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epl1-my.sharepoint.com/personal/navneet_chaudhary_grew_one/Documents/Desktop/DB1/LC/"/>
    </mc:Choice>
  </mc:AlternateContent>
  <xr:revisionPtr revIDLastSave="28" documentId="8_{81F14D7E-9689-4545-B825-1EC77C95F582}" xr6:coauthVersionLast="47" xr6:coauthVersionMax="47" xr10:uidLastSave="{6369F832-3326-4C80-8836-6F77D23925EF}"/>
  <bookViews>
    <workbookView xWindow="-120" yWindow="-120" windowWidth="20730" windowHeight="11760" firstSheet="17" activeTab="19" xr2:uid="{472A3AC2-16D6-488B-890E-A04A2EB923F0}"/>
  </bookViews>
  <sheets>
    <sheet name="C_Outstanding Payment" sheetId="37" state="hidden" r:id="rId1"/>
    <sheet name="C_Limit Available_Planning" sheetId="36" state="hidden" r:id="rId2"/>
    <sheet name="LC-Summary" sheetId="8" r:id="rId3"/>
    <sheet name="DAILY UPDATE SHEET" sheetId="39" r:id="rId4"/>
    <sheet name="SBLC" sheetId="33" r:id="rId5"/>
    <sheet name="Day wise" sheetId="18" r:id="rId6"/>
    <sheet name="LC-Final List" sheetId="7" r:id="rId7"/>
    <sheet name="Due Import Payment list rate" sheetId="30" r:id="rId8"/>
    <sheet name="LC BG in Process" sheetId="21" r:id="rId9"/>
    <sheet name="supplier Bank Guarantee" sheetId="10" r:id="rId10"/>
    <sheet name="Bank Guarantee" sheetId="9" r:id="rId11"/>
    <sheet name="FDR List" sheetId="13" r:id="rId12"/>
    <sheet name="GREW FDI DETAILS" sheetId="32" r:id="rId13"/>
    <sheet name="CREPL FDI Details" sheetId="16" r:id="rId14"/>
    <sheet name="Customer LC Details" sheetId="20" state="hidden" r:id="rId15"/>
    <sheet name="BG Charges calculation" sheetId="22" r:id="rId16"/>
    <sheet name="SBI Import LC Charges" sheetId="23" r:id="rId17"/>
    <sheet name="BOI IMPORT LC CHARGES" sheetId="35" r:id="rId18"/>
    <sheet name="IDBI IMPORT LC CHARGES" sheetId="34" r:id="rId19"/>
    <sheet name="Grew Renewable BG" sheetId="31" r:id="rId20"/>
  </sheets>
  <definedNames>
    <definedName name="_xlnm._FilterDatabase" localSheetId="10" hidden="1">'Bank Guarantee'!$A$1:$M$30</definedName>
    <definedName name="_xlnm._FilterDatabase" localSheetId="0" hidden="1">'C_Outstanding Payment'!$A$2:$H$12</definedName>
    <definedName name="_xlnm._FilterDatabase" localSheetId="14" hidden="1">'Customer LC Details'!$F$4:$AB$113</definedName>
    <definedName name="_xlnm._FilterDatabase" localSheetId="3" hidden="1">'DAILY UPDATE SHEET'!$A$35:$O$153</definedName>
    <definedName name="_xlnm._FilterDatabase" localSheetId="7" hidden="1">'Due Import Payment list rate'!$B$4:$K$4</definedName>
    <definedName name="_xlnm._FilterDatabase" localSheetId="11" hidden="1">'FDR List'!$A$1:$X$99</definedName>
    <definedName name="_xlnm._FilterDatabase" localSheetId="8" hidden="1">'LC BG in Process'!$A$1:$K$7</definedName>
    <definedName name="_xlnm._FilterDatabase" localSheetId="6" hidden="1">'LC-Final List'!$A$1:$AP$220</definedName>
    <definedName name="_xlnm._FilterDatabase" localSheetId="4" hidden="1">SBLC!$A$1:$AD$70</definedName>
    <definedName name="_xlnm._FilterDatabase" localSheetId="9" hidden="1">'supplier Bank Guarantee'!$A$1:$H$57</definedName>
  </definedNames>
  <calcPr calcId="191028"/>
  <pivotCaches>
    <pivotCache cacheId="2" r:id="rId21"/>
    <pivotCache cacheId="3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0" i="33" l="1"/>
  <c r="X70" i="33" s="1"/>
  <c r="W69" i="33"/>
  <c r="X69" i="33" s="1"/>
  <c r="S70" i="33"/>
  <c r="Q70" i="33"/>
  <c r="S69" i="33"/>
  <c r="Q69" i="33"/>
  <c r="H8" i="30"/>
  <c r="H7" i="30"/>
  <c r="W68" i="33"/>
  <c r="X68" i="33" s="1"/>
  <c r="S68" i="33"/>
  <c r="Q68" i="33"/>
  <c r="I159" i="39"/>
  <c r="I160" i="39"/>
  <c r="I161" i="39"/>
  <c r="I162" i="39"/>
  <c r="I163" i="39"/>
  <c r="I164" i="39"/>
  <c r="I165" i="39"/>
  <c r="I166" i="39"/>
  <c r="I167" i="39"/>
  <c r="I158" i="39"/>
  <c r="O159" i="39"/>
  <c r="O160" i="39"/>
  <c r="O161" i="39"/>
  <c r="O162" i="39"/>
  <c r="O163" i="39"/>
  <c r="O164" i="39"/>
  <c r="O165" i="39"/>
  <c r="O166" i="39"/>
  <c r="O167" i="39"/>
  <c r="O158" i="39"/>
  <c r="N168" i="39"/>
  <c r="M168" i="39"/>
  <c r="L168" i="39"/>
  <c r="G168" i="39"/>
  <c r="H168" i="39"/>
  <c r="F168" i="39"/>
  <c r="AC219" i="7"/>
  <c r="W219" i="7"/>
  <c r="K219" i="7"/>
  <c r="V219" i="7" s="1"/>
  <c r="AC218" i="7"/>
  <c r="W218" i="7"/>
  <c r="K218" i="7"/>
  <c r="V218" i="7" s="1"/>
  <c r="V71" i="13"/>
  <c r="V50" i="13"/>
  <c r="V42" i="13"/>
  <c r="H6" i="30"/>
  <c r="H5" i="30"/>
  <c r="C8" i="39"/>
  <c r="M219" i="7" l="1"/>
  <c r="AA219" i="7" s="1"/>
  <c r="M218" i="7"/>
  <c r="AA218" i="7" s="1"/>
  <c r="Y220" i="7"/>
  <c r="Z220" i="7" s="1"/>
  <c r="W220" i="7"/>
  <c r="K220" i="7"/>
  <c r="V220" i="7" s="1"/>
  <c r="Y217" i="7"/>
  <c r="AC217" i="7" s="1"/>
  <c r="W217" i="7"/>
  <c r="K217" i="7"/>
  <c r="V217" i="7" s="1"/>
  <c r="G2" i="8"/>
  <c r="W63" i="33"/>
  <c r="X63" i="33" s="1"/>
  <c r="W64" i="33"/>
  <c r="X64" i="33" s="1"/>
  <c r="W65" i="33"/>
  <c r="X65" i="33" s="1"/>
  <c r="W66" i="33"/>
  <c r="X66" i="33" s="1"/>
  <c r="W67" i="33"/>
  <c r="X67" i="33" s="1"/>
  <c r="Q63" i="33"/>
  <c r="S63" i="33"/>
  <c r="Q64" i="33"/>
  <c r="S64" i="33"/>
  <c r="Q65" i="33"/>
  <c r="S65" i="33"/>
  <c r="Q66" i="33"/>
  <c r="S66" i="33"/>
  <c r="Q67" i="33"/>
  <c r="S67" i="33"/>
  <c r="V62" i="33"/>
  <c r="W62" i="33" s="1"/>
  <c r="X62" i="33" s="1"/>
  <c r="V61" i="33"/>
  <c r="W61" i="33" s="1"/>
  <c r="X61" i="33" s="1"/>
  <c r="D31" i="39"/>
  <c r="C31" i="39"/>
  <c r="B31" i="39"/>
  <c r="H29" i="39"/>
  <c r="H28" i="39"/>
  <c r="H27" i="39"/>
  <c r="D27" i="39"/>
  <c r="C27" i="39"/>
  <c r="Q61" i="33"/>
  <c r="S61" i="33"/>
  <c r="Q62" i="33"/>
  <c r="S62" i="33"/>
  <c r="W60" i="33"/>
  <c r="X60" i="33" s="1"/>
  <c r="Q60" i="33"/>
  <c r="S60" i="33"/>
  <c r="H10" i="34"/>
  <c r="H12" i="34" s="1"/>
  <c r="H16" i="34" s="1"/>
  <c r="H17" i="34"/>
  <c r="H20" i="34" s="1"/>
  <c r="H21" i="34" s="1"/>
  <c r="G10" i="34"/>
  <c r="G12" i="34" s="1"/>
  <c r="G16" i="34" s="1"/>
  <c r="G17" i="34"/>
  <c r="G20" i="34"/>
  <c r="G21" i="34"/>
  <c r="F10" i="34"/>
  <c r="F12" i="34" s="1"/>
  <c r="F17" i="34"/>
  <c r="F20" i="34" s="1"/>
  <c r="F21" i="34" s="1"/>
  <c r="E17" i="34"/>
  <c r="E20" i="34" s="1"/>
  <c r="E21" i="34" s="1"/>
  <c r="E10" i="34"/>
  <c r="E12" i="34" s="1"/>
  <c r="G24" i="34" l="1"/>
  <c r="G26" i="34" s="1"/>
  <c r="H24" i="34"/>
  <c r="H26" i="34" s="1"/>
  <c r="E24" i="34"/>
  <c r="Z217" i="7"/>
  <c r="M220" i="7"/>
  <c r="AA220" i="7" s="1"/>
  <c r="AC220" i="7"/>
  <c r="M217" i="7"/>
  <c r="AA217" i="7" s="1"/>
  <c r="F24" i="34"/>
  <c r="F16" i="34"/>
  <c r="H27" i="34"/>
  <c r="E16" i="34"/>
  <c r="G27" i="34" l="1"/>
  <c r="E26" i="34"/>
  <c r="E27" i="34"/>
  <c r="F26" i="34"/>
  <c r="F27" i="34"/>
  <c r="V96" i="13"/>
  <c r="N96" i="13"/>
  <c r="V95" i="13"/>
  <c r="N95" i="13"/>
  <c r="K99" i="13"/>
  <c r="L35" i="23"/>
  <c r="L36" i="23" s="1"/>
  <c r="L31" i="23"/>
  <c r="L38" i="23" s="1"/>
  <c r="L39" i="23" s="1"/>
  <c r="L28" i="23"/>
  <c r="L10" i="23"/>
  <c r="L12" i="23" s="1"/>
  <c r="Y216" i="7"/>
  <c r="AC216" i="7" s="1"/>
  <c r="W216" i="7"/>
  <c r="K216" i="7"/>
  <c r="V216" i="7" s="1"/>
  <c r="F12" i="30"/>
  <c r="A38" i="39"/>
  <c r="E158" i="39" s="1"/>
  <c r="K158" i="39" s="1"/>
  <c r="W59" i="33"/>
  <c r="X59" i="33" s="1"/>
  <c r="S59" i="33"/>
  <c r="W58" i="33"/>
  <c r="X58" i="33" s="1"/>
  <c r="S58" i="33"/>
  <c r="Q59" i="33"/>
  <c r="Q58" i="33"/>
  <c r="V57" i="33"/>
  <c r="W57" i="33" s="1"/>
  <c r="X57" i="33" s="1"/>
  <c r="S57" i="33"/>
  <c r="Q57" i="33"/>
  <c r="V56" i="33"/>
  <c r="W56" i="33" s="1"/>
  <c r="X56" i="33" s="1"/>
  <c r="S56" i="33"/>
  <c r="Q56" i="33"/>
  <c r="V55" i="33"/>
  <c r="W55" i="33" s="1"/>
  <c r="X55" i="33" s="1"/>
  <c r="S55" i="33"/>
  <c r="Q55" i="33"/>
  <c r="A39" i="39" l="1"/>
  <c r="L23" i="23"/>
  <c r="L19" i="23"/>
  <c r="L16" i="23"/>
  <c r="M216" i="7"/>
  <c r="AA216" i="7" s="1"/>
  <c r="Z216" i="7"/>
  <c r="G38" i="39"/>
  <c r="E38" i="39"/>
  <c r="C38" i="39"/>
  <c r="A34" i="37"/>
  <c r="A33" i="37"/>
  <c r="A32" i="37"/>
  <c r="F3" i="8"/>
  <c r="I3" i="8" s="1"/>
  <c r="F2" i="8"/>
  <c r="I2" i="8" s="1"/>
  <c r="G39" i="39" l="1"/>
  <c r="E159" i="39"/>
  <c r="K159" i="39" s="1"/>
  <c r="C39" i="39"/>
  <c r="E39" i="39"/>
  <c r="A40" i="39"/>
  <c r="E160" i="39" s="1"/>
  <c r="K160" i="39" s="1"/>
  <c r="L25" i="23"/>
  <c r="L26" i="23" s="1"/>
  <c r="V33" i="33"/>
  <c r="D9" i="39"/>
  <c r="C9" i="39"/>
  <c r="V52" i="33"/>
  <c r="W52" i="33" s="1"/>
  <c r="X52" i="33" s="1"/>
  <c r="V53" i="33"/>
  <c r="W53" i="33" s="1"/>
  <c r="X53" i="33" s="1"/>
  <c r="V54" i="33"/>
  <c r="W54" i="33" s="1"/>
  <c r="X54" i="33" s="1"/>
  <c r="S52" i="33"/>
  <c r="S53" i="33"/>
  <c r="S54" i="33"/>
  <c r="Q52" i="33"/>
  <c r="Q53" i="33"/>
  <c r="Q54" i="33"/>
  <c r="Z183" i="7"/>
  <c r="A41" i="39" l="1"/>
  <c r="E161" i="39" s="1"/>
  <c r="K161" i="39" s="1"/>
  <c r="C40" i="39"/>
  <c r="G40" i="39"/>
  <c r="E40" i="39"/>
  <c r="L41" i="23"/>
  <c r="AC183" i="7"/>
  <c r="W183" i="7"/>
  <c r="K183" i="7"/>
  <c r="M183" i="7" s="1"/>
  <c r="AC182" i="7"/>
  <c r="W182" i="7"/>
  <c r="K182" i="7"/>
  <c r="V182" i="7" s="1"/>
  <c r="X182" i="7" s="1"/>
  <c r="A42" i="39" l="1"/>
  <c r="E162" i="39" s="1"/>
  <c r="K162" i="39" s="1"/>
  <c r="G41" i="39"/>
  <c r="E41" i="39"/>
  <c r="C41" i="39"/>
  <c r="M182" i="7"/>
  <c r="AA182" i="7" s="1"/>
  <c r="V183" i="7"/>
  <c r="X183" i="7" s="1"/>
  <c r="A43" i="39" l="1"/>
  <c r="E163" i="39" s="1"/>
  <c r="K163" i="39" s="1"/>
  <c r="C42" i="39"/>
  <c r="G42" i="39"/>
  <c r="E42" i="39"/>
  <c r="AC171" i="7"/>
  <c r="W171" i="7"/>
  <c r="AA171" i="7" s="1"/>
  <c r="K171" i="7"/>
  <c r="V171" i="7" s="1"/>
  <c r="AC195" i="7"/>
  <c r="W195" i="7"/>
  <c r="K195" i="7"/>
  <c r="V195" i="7" s="1"/>
  <c r="AC54" i="7"/>
  <c r="W54" i="7"/>
  <c r="K54" i="7"/>
  <c r="V54" i="7" s="1"/>
  <c r="X54" i="7" s="1"/>
  <c r="AC57" i="7"/>
  <c r="W57" i="7"/>
  <c r="K57" i="7"/>
  <c r="V57" i="7" s="1"/>
  <c r="X57" i="7" s="1"/>
  <c r="K181" i="7"/>
  <c r="M181" i="7" s="1"/>
  <c r="AA181" i="7" s="1"/>
  <c r="W181" i="7"/>
  <c r="AC181" i="7"/>
  <c r="AC197" i="7"/>
  <c r="W197" i="7"/>
  <c r="K197" i="7"/>
  <c r="V197" i="7" s="1"/>
  <c r="AC178" i="7"/>
  <c r="W178" i="7"/>
  <c r="K178" i="7"/>
  <c r="V178" i="7" s="1"/>
  <c r="AC101" i="7"/>
  <c r="W101" i="7"/>
  <c r="K101" i="7"/>
  <c r="V101" i="7" s="1"/>
  <c r="AC174" i="7"/>
  <c r="W174" i="7"/>
  <c r="K174" i="7"/>
  <c r="V174" i="7" s="1"/>
  <c r="L48" i="13"/>
  <c r="L47" i="13" s="1"/>
  <c r="V48" i="13"/>
  <c r="A31" i="37"/>
  <c r="A30" i="37"/>
  <c r="A29" i="37"/>
  <c r="W51" i="33"/>
  <c r="X51" i="33" s="1"/>
  <c r="S51" i="33"/>
  <c r="Q51" i="33"/>
  <c r="W50" i="33"/>
  <c r="X50" i="33" s="1"/>
  <c r="S50" i="33"/>
  <c r="Q50" i="33"/>
  <c r="X33" i="33"/>
  <c r="V42" i="33"/>
  <c r="V49" i="33"/>
  <c r="W49" i="33" s="1"/>
  <c r="X49" i="33" s="1"/>
  <c r="V48" i="33"/>
  <c r="W48" i="33" s="1"/>
  <c r="X48" i="33" s="1"/>
  <c r="S49" i="33"/>
  <c r="Q49" i="33"/>
  <c r="S48" i="33"/>
  <c r="Q48" i="33"/>
  <c r="W47" i="33"/>
  <c r="X47" i="33" s="1"/>
  <c r="S47" i="33"/>
  <c r="Q47" i="33"/>
  <c r="A44" i="39" l="1"/>
  <c r="E164" i="39" s="1"/>
  <c r="K164" i="39" s="1"/>
  <c r="C43" i="39"/>
  <c r="G43" i="39"/>
  <c r="E43" i="39"/>
  <c r="Z171" i="7"/>
  <c r="M171" i="7"/>
  <c r="M195" i="7"/>
  <c r="M54" i="7"/>
  <c r="AA54" i="7" s="1"/>
  <c r="M57" i="7"/>
  <c r="AA57" i="7" s="1"/>
  <c r="V181" i="7"/>
  <c r="X181" i="7" s="1"/>
  <c r="M197" i="7"/>
  <c r="M178" i="7"/>
  <c r="M101" i="7"/>
  <c r="M174" i="7"/>
  <c r="Z144" i="7"/>
  <c r="Z143" i="7"/>
  <c r="Z142" i="7"/>
  <c r="Z141" i="7"/>
  <c r="Z140" i="7"/>
  <c r="Z139" i="7"/>
  <c r="Z138" i="7"/>
  <c r="Z124" i="7"/>
  <c r="Z122" i="7"/>
  <c r="Z118" i="7"/>
  <c r="Z116" i="7"/>
  <c r="Z166" i="7"/>
  <c r="Z169" i="7"/>
  <c r="Z168" i="7"/>
  <c r="A45" i="39" l="1"/>
  <c r="E165" i="39" s="1"/>
  <c r="K165" i="39" s="1"/>
  <c r="E44" i="39"/>
  <c r="G44" i="39"/>
  <c r="C44" i="39"/>
  <c r="AC188" i="7"/>
  <c r="W188" i="7"/>
  <c r="K188" i="7"/>
  <c r="M188" i="7" s="1"/>
  <c r="K133" i="7"/>
  <c r="AC170" i="7"/>
  <c r="W170" i="7"/>
  <c r="AA170" i="7" s="1"/>
  <c r="K170" i="7"/>
  <c r="M170" i="7" s="1"/>
  <c r="AC169" i="7"/>
  <c r="W169" i="7"/>
  <c r="AA169" i="7" s="1"/>
  <c r="K169" i="7"/>
  <c r="V169" i="7" s="1"/>
  <c r="Z130" i="7"/>
  <c r="Z145" i="7"/>
  <c r="V46" i="33"/>
  <c r="W46" i="33" s="1"/>
  <c r="X46" i="33" s="1"/>
  <c r="V45" i="33"/>
  <c r="W45" i="33" s="1"/>
  <c r="X45" i="33" s="1"/>
  <c r="S46" i="33"/>
  <c r="S45" i="33"/>
  <c r="Q46" i="33"/>
  <c r="Q45" i="33"/>
  <c r="Z147" i="7"/>
  <c r="Z146" i="7"/>
  <c r="Z137" i="7"/>
  <c r="J29" i="39"/>
  <c r="J28" i="39"/>
  <c r="J27" i="39"/>
  <c r="J14" i="39"/>
  <c r="I14" i="39"/>
  <c r="H14" i="39"/>
  <c r="Y215" i="7"/>
  <c r="Z215" i="7" s="1"/>
  <c r="W215" i="7"/>
  <c r="K215" i="7"/>
  <c r="V215" i="7" s="1"/>
  <c r="Y214" i="7"/>
  <c r="AC214" i="7" s="1"/>
  <c r="W214" i="7"/>
  <c r="K214" i="7"/>
  <c r="V214" i="7" s="1"/>
  <c r="I223" i="7"/>
  <c r="D32" i="39"/>
  <c r="C32" i="39"/>
  <c r="B32" i="39"/>
  <c r="D28" i="39"/>
  <c r="C28" i="39"/>
  <c r="B28" i="39"/>
  <c r="D13" i="39"/>
  <c r="J8" i="39"/>
  <c r="I8" i="39"/>
  <c r="H8" i="39"/>
  <c r="B9" i="39"/>
  <c r="E7" i="39"/>
  <c r="AC205" i="7"/>
  <c r="W205" i="7"/>
  <c r="K205" i="7"/>
  <c r="V205" i="7" s="1"/>
  <c r="AC208" i="7"/>
  <c r="W208" i="7"/>
  <c r="K208" i="7"/>
  <c r="V208" i="7" s="1"/>
  <c r="Y213" i="7"/>
  <c r="AC213" i="7" s="1"/>
  <c r="W213" i="7"/>
  <c r="K213" i="7"/>
  <c r="V213" i="7" s="1"/>
  <c r="K35" i="23"/>
  <c r="K36" i="23" s="1"/>
  <c r="K31" i="23"/>
  <c r="K38" i="23" s="1"/>
  <c r="K39" i="23" s="1"/>
  <c r="K28" i="23"/>
  <c r="K10" i="23"/>
  <c r="K12" i="23" s="1"/>
  <c r="K13" i="8"/>
  <c r="Q42" i="33"/>
  <c r="W42" i="33"/>
  <c r="X42" i="33" s="1"/>
  <c r="W39" i="33"/>
  <c r="X39" i="33" s="1"/>
  <c r="Q44" i="33"/>
  <c r="Q43" i="33"/>
  <c r="Q41" i="33"/>
  <c r="Q40" i="33"/>
  <c r="Q39" i="33"/>
  <c r="S44" i="33"/>
  <c r="S43" i="33"/>
  <c r="S42" i="33"/>
  <c r="S41" i="33"/>
  <c r="S40" i="33"/>
  <c r="S39" i="33"/>
  <c r="AC124" i="7"/>
  <c r="W124" i="7"/>
  <c r="K124" i="7"/>
  <c r="V124" i="7" s="1"/>
  <c r="W38" i="33"/>
  <c r="X38" i="33" s="1"/>
  <c r="S38" i="33"/>
  <c r="Q38" i="33"/>
  <c r="O35" i="33"/>
  <c r="Q35" i="33" s="1"/>
  <c r="O34" i="33"/>
  <c r="Q34" i="33" s="1"/>
  <c r="O33" i="33"/>
  <c r="Q37" i="33"/>
  <c r="Q36" i="33"/>
  <c r="S37" i="33"/>
  <c r="S36" i="33"/>
  <c r="S35" i="33"/>
  <c r="S34" i="33"/>
  <c r="S33" i="33"/>
  <c r="I17" i="39" l="1"/>
  <c r="J18" i="39"/>
  <c r="J17" i="39"/>
  <c r="AA124" i="7"/>
  <c r="I18" i="39"/>
  <c r="A46" i="39"/>
  <c r="E166" i="39" s="1"/>
  <c r="K166" i="39" s="1"/>
  <c r="G45" i="39"/>
  <c r="E45" i="39"/>
  <c r="C45" i="39"/>
  <c r="K8" i="39"/>
  <c r="E28" i="39"/>
  <c r="V188" i="7"/>
  <c r="V170" i="7"/>
  <c r="Z170" i="7"/>
  <c r="M169" i="7"/>
  <c r="E32" i="39"/>
  <c r="AC215" i="7"/>
  <c r="M215" i="7"/>
  <c r="AA215" i="7" s="1"/>
  <c r="M214" i="7"/>
  <c r="AA214" i="7" s="1"/>
  <c r="Z214" i="7"/>
  <c r="E31" i="39"/>
  <c r="D30" i="39"/>
  <c r="C30" i="39"/>
  <c r="B30" i="39"/>
  <c r="D26" i="39"/>
  <c r="J7" i="39" s="1"/>
  <c r="C26" i="39"/>
  <c r="I7" i="39" s="1"/>
  <c r="M205" i="7"/>
  <c r="M208" i="7"/>
  <c r="M213" i="7"/>
  <c r="Z213" i="7"/>
  <c r="K23" i="23"/>
  <c r="K19" i="23"/>
  <c r="K16" i="23"/>
  <c r="M124" i="7"/>
  <c r="Q33" i="33"/>
  <c r="A47" i="39" l="1"/>
  <c r="E167" i="39" s="1"/>
  <c r="K167" i="39" s="1"/>
  <c r="G46" i="39"/>
  <c r="E46" i="39"/>
  <c r="C46" i="39"/>
  <c r="AA213" i="7"/>
  <c r="E30" i="39"/>
  <c r="K25" i="23"/>
  <c r="K26" i="23" s="1"/>
  <c r="K41" i="23" s="1"/>
  <c r="J35" i="23"/>
  <c r="J36" i="23" s="1"/>
  <c r="J31" i="23"/>
  <c r="J38" i="23" s="1"/>
  <c r="J39" i="23" s="1"/>
  <c r="J28" i="23"/>
  <c r="J10" i="23"/>
  <c r="J12" i="23" s="1"/>
  <c r="I35" i="23"/>
  <c r="I36" i="23" s="1"/>
  <c r="I31" i="23"/>
  <c r="I38" i="23" s="1"/>
  <c r="I39" i="23" s="1"/>
  <c r="I28" i="23"/>
  <c r="I10" i="23"/>
  <c r="I12" i="23" s="1"/>
  <c r="H35" i="23"/>
  <c r="H36" i="23" s="1"/>
  <c r="H31" i="23"/>
  <c r="H38" i="23" s="1"/>
  <c r="H39" i="23" s="1"/>
  <c r="H28" i="23"/>
  <c r="H10" i="23"/>
  <c r="H12" i="23" s="1"/>
  <c r="G35" i="23"/>
  <c r="G36" i="23" s="1"/>
  <c r="G31" i="23"/>
  <c r="G38" i="23" s="1"/>
  <c r="G39" i="23" s="1"/>
  <c r="G28" i="23"/>
  <c r="G10" i="23"/>
  <c r="G12" i="23" s="1"/>
  <c r="AC193" i="7"/>
  <c r="W193" i="7"/>
  <c r="K193" i="7"/>
  <c r="M193" i="7" s="1"/>
  <c r="Z100" i="7"/>
  <c r="Z98" i="7"/>
  <c r="Y191" i="7"/>
  <c r="AC191" i="7" s="1"/>
  <c r="W191" i="7"/>
  <c r="K191" i="7"/>
  <c r="V191" i="7" s="1"/>
  <c r="W189" i="7"/>
  <c r="K189" i="7"/>
  <c r="M189" i="7" s="1"/>
  <c r="AC187" i="7"/>
  <c r="W187" i="7"/>
  <c r="K187" i="7"/>
  <c r="V187" i="7" s="1"/>
  <c r="H7" i="21"/>
  <c r="I7" i="21" s="1"/>
  <c r="B3" i="18"/>
  <c r="E3" i="18" s="1"/>
  <c r="AC211" i="7"/>
  <c r="W211" i="7"/>
  <c r="K211" i="7"/>
  <c r="V211" i="7" s="1"/>
  <c r="AC122" i="7"/>
  <c r="W122" i="7"/>
  <c r="AA122" i="7" s="1"/>
  <c r="K122" i="7"/>
  <c r="M122" i="7" s="1"/>
  <c r="AC120" i="7"/>
  <c r="W120" i="7"/>
  <c r="AA120" i="7" s="1"/>
  <c r="K120" i="7"/>
  <c r="V120" i="7" s="1"/>
  <c r="AC78" i="7"/>
  <c r="W78" i="7"/>
  <c r="J78" i="7"/>
  <c r="K78" i="7" s="1"/>
  <c r="A48" i="39" l="1"/>
  <c r="G47" i="39"/>
  <c r="C47" i="39"/>
  <c r="E47" i="39"/>
  <c r="AC189" i="7"/>
  <c r="Z189" i="7"/>
  <c r="J16" i="23"/>
  <c r="J23" i="23"/>
  <c r="J19" i="23"/>
  <c r="I19" i="23"/>
  <c r="I16" i="23"/>
  <c r="I23" i="23"/>
  <c r="H16" i="23"/>
  <c r="H23" i="23"/>
  <c r="H19" i="23"/>
  <c r="G23" i="23"/>
  <c r="G19" i="23"/>
  <c r="G16" i="23"/>
  <c r="V193" i="7"/>
  <c r="Z193" i="7"/>
  <c r="M191" i="7"/>
  <c r="Z191" i="7"/>
  <c r="V189" i="7"/>
  <c r="M187" i="7"/>
  <c r="M211" i="7"/>
  <c r="V122" i="7"/>
  <c r="Z120" i="7"/>
  <c r="M120" i="7"/>
  <c r="V78" i="7"/>
  <c r="X78" i="7" s="1"/>
  <c r="M78" i="7"/>
  <c r="H25" i="23" l="1"/>
  <c r="H26" i="23"/>
  <c r="A49" i="39"/>
  <c r="E48" i="39"/>
  <c r="G48" i="39"/>
  <c r="C48" i="39"/>
  <c r="J25" i="23"/>
  <c r="J26" i="23" s="1"/>
  <c r="J41" i="23" s="1"/>
  <c r="I25" i="23"/>
  <c r="I26" i="23" s="1"/>
  <c r="G25" i="23"/>
  <c r="AC56" i="7"/>
  <c r="W56" i="7"/>
  <c r="K56" i="7"/>
  <c r="V56" i="7" s="1"/>
  <c r="X56" i="7" s="1"/>
  <c r="AC44" i="7"/>
  <c r="W44" i="7"/>
  <c r="K44" i="7"/>
  <c r="M44" i="7" s="1"/>
  <c r="AA44" i="7" s="1"/>
  <c r="AC30" i="7"/>
  <c r="W30" i="7"/>
  <c r="K30" i="7"/>
  <c r="V30" i="7" s="1"/>
  <c r="C13" i="39"/>
  <c r="A28" i="37"/>
  <c r="A27" i="37"/>
  <c r="A26" i="37"/>
  <c r="A25" i="37"/>
  <c r="W32" i="33"/>
  <c r="X32" i="33" s="1"/>
  <c r="W31" i="33"/>
  <c r="X31" i="33" s="1"/>
  <c r="W30" i="33"/>
  <c r="X30" i="33" s="1"/>
  <c r="W29" i="33"/>
  <c r="X29" i="33" s="1"/>
  <c r="S32" i="33"/>
  <c r="S31" i="33"/>
  <c r="S30" i="33"/>
  <c r="H41" i="23" l="1"/>
  <c r="G26" i="23"/>
  <c r="G41" i="23" s="1"/>
  <c r="A50" i="39"/>
  <c r="E49" i="39"/>
  <c r="C49" i="39"/>
  <c r="G49" i="39"/>
  <c r="B17" i="39"/>
  <c r="B24" i="39" s="1"/>
  <c r="I41" i="23"/>
  <c r="M56" i="7"/>
  <c r="AA56" i="7" s="1"/>
  <c r="V44" i="7"/>
  <c r="X44" i="7" s="1"/>
  <c r="M30" i="7"/>
  <c r="Q32" i="33"/>
  <c r="Q31" i="33"/>
  <c r="Q30" i="33"/>
  <c r="AC212" i="7"/>
  <c r="W212" i="7"/>
  <c r="K212" i="7"/>
  <c r="V212" i="7" s="1"/>
  <c r="AC203" i="7"/>
  <c r="W203" i="7"/>
  <c r="K203" i="7"/>
  <c r="V203" i="7" s="1"/>
  <c r="AC207" i="7"/>
  <c r="W207" i="7"/>
  <c r="K207" i="7"/>
  <c r="V207" i="7" s="1"/>
  <c r="I4" i="8"/>
  <c r="AC94" i="7"/>
  <c r="W94" i="7"/>
  <c r="K94" i="7"/>
  <c r="M94" i="7" s="1"/>
  <c r="AC210" i="7"/>
  <c r="W210" i="7"/>
  <c r="K210" i="7"/>
  <c r="V210" i="7" s="1"/>
  <c r="A51" i="39" l="1"/>
  <c r="C50" i="39"/>
  <c r="E50" i="39"/>
  <c r="G50" i="39"/>
  <c r="Z212" i="7"/>
  <c r="M212" i="7"/>
  <c r="M203" i="7"/>
  <c r="AA203" i="7" s="1"/>
  <c r="Z207" i="7"/>
  <c r="M207" i="7"/>
  <c r="V94" i="7"/>
  <c r="M210" i="7"/>
  <c r="AA211" i="7" s="1"/>
  <c r="Z210" i="7"/>
  <c r="S29" i="33"/>
  <c r="Q29" i="33"/>
  <c r="E57" i="10"/>
  <c r="W28" i="33"/>
  <c r="X28" i="33" s="1"/>
  <c r="S28" i="33"/>
  <c r="Q28" i="33"/>
  <c r="V27" i="33"/>
  <c r="S27" i="33"/>
  <c r="Q27" i="33"/>
  <c r="W26" i="33"/>
  <c r="Q26" i="33"/>
  <c r="S26" i="33"/>
  <c r="X26" i="33" l="1"/>
  <c r="C17" i="39" s="1"/>
  <c r="C18" i="39" s="1"/>
  <c r="AA212" i="7"/>
  <c r="A52" i="39"/>
  <c r="E51" i="39"/>
  <c r="C51" i="39"/>
  <c r="G51" i="39"/>
  <c r="W27" i="33"/>
  <c r="X27" i="33" s="1"/>
  <c r="A53" i="39" l="1"/>
  <c r="C52" i="39"/>
  <c r="G52" i="39"/>
  <c r="E52" i="39"/>
  <c r="D17" i="39"/>
  <c r="D18" i="39" s="1"/>
  <c r="B18" i="39"/>
  <c r="B22" i="39" s="1"/>
  <c r="E22" i="39" s="1"/>
  <c r="Y173" i="7"/>
  <c r="AC173" i="7" s="1"/>
  <c r="W173" i="7"/>
  <c r="K173" i="7"/>
  <c r="V173" i="7" s="1"/>
  <c r="AC74" i="7"/>
  <c r="W74" i="7"/>
  <c r="J74" i="7"/>
  <c r="K74" i="7" s="1"/>
  <c r="A24" i="37"/>
  <c r="A23" i="37"/>
  <c r="AC209" i="7"/>
  <c r="W209" i="7"/>
  <c r="K209" i="7"/>
  <c r="V209" i="7" s="1"/>
  <c r="AC206" i="7"/>
  <c r="W206" i="7"/>
  <c r="K206" i="7"/>
  <c r="V206" i="7" s="1"/>
  <c r="AC204" i="7"/>
  <c r="W204" i="7"/>
  <c r="K204" i="7"/>
  <c r="V204" i="7" s="1"/>
  <c r="AC202" i="7"/>
  <c r="W202" i="7"/>
  <c r="K202" i="7"/>
  <c r="V202" i="7" s="1"/>
  <c r="Y201" i="7"/>
  <c r="Z201" i="7" s="1"/>
  <c r="W201" i="7"/>
  <c r="K201" i="7"/>
  <c r="M201" i="7" s="1"/>
  <c r="AC106" i="7"/>
  <c r="K106" i="7"/>
  <c r="V106" i="7" s="1"/>
  <c r="AC200" i="7"/>
  <c r="W200" i="7"/>
  <c r="K200" i="7"/>
  <c r="V200" i="7" s="1"/>
  <c r="AC100" i="7"/>
  <c r="W100" i="7"/>
  <c r="K100" i="7"/>
  <c r="V100" i="7" s="1"/>
  <c r="AC98" i="7"/>
  <c r="W98" i="7"/>
  <c r="K98" i="7"/>
  <c r="M98" i="7" s="1"/>
  <c r="Z58" i="7"/>
  <c r="AC176" i="7"/>
  <c r="W176" i="7"/>
  <c r="K176" i="7"/>
  <c r="V176" i="7" s="1"/>
  <c r="AC167" i="7"/>
  <c r="W167" i="7"/>
  <c r="AA167" i="7" s="1"/>
  <c r="K167" i="7"/>
  <c r="M167" i="7" s="1"/>
  <c r="AC80" i="7"/>
  <c r="W80" i="7"/>
  <c r="K80" i="7"/>
  <c r="V80" i="7" s="1"/>
  <c r="J12" i="8"/>
  <c r="J10" i="8"/>
  <c r="J9" i="8"/>
  <c r="Z86" i="7"/>
  <c r="AC93" i="7"/>
  <c r="W93" i="7"/>
  <c r="K93" i="7"/>
  <c r="V93" i="7" s="1"/>
  <c r="AC92" i="7"/>
  <c r="W92" i="7"/>
  <c r="K92" i="7"/>
  <c r="V92" i="7" s="1"/>
  <c r="AC91" i="7"/>
  <c r="W91" i="7"/>
  <c r="K91" i="7"/>
  <c r="V91" i="7" s="1"/>
  <c r="AC90" i="7"/>
  <c r="W90" i="7"/>
  <c r="K90" i="7"/>
  <c r="V90" i="7" s="1"/>
  <c r="AC89" i="7"/>
  <c r="W89" i="7"/>
  <c r="K89" i="7"/>
  <c r="M89" i="7" s="1"/>
  <c r="AC88" i="7"/>
  <c r="W88" i="7"/>
  <c r="K88" i="7"/>
  <c r="V88" i="7" s="1"/>
  <c r="AC87" i="7"/>
  <c r="W87" i="7"/>
  <c r="K87" i="7"/>
  <c r="V87" i="7" s="1"/>
  <c r="Z129" i="7"/>
  <c r="Z112" i="7"/>
  <c r="AC97" i="7"/>
  <c r="W97" i="7"/>
  <c r="K97" i="7"/>
  <c r="V97" i="7" s="1"/>
  <c r="V94" i="13"/>
  <c r="N94" i="13"/>
  <c r="V93" i="13"/>
  <c r="N93" i="13"/>
  <c r="Y199" i="7"/>
  <c r="AC199" i="7" s="1"/>
  <c r="W199" i="7"/>
  <c r="K199" i="7"/>
  <c r="M199" i="7" s="1"/>
  <c r="AC75" i="7"/>
  <c r="W75" i="7"/>
  <c r="J75" i="7"/>
  <c r="K75" i="7" s="1"/>
  <c r="Z77" i="7"/>
  <c r="W77" i="7"/>
  <c r="J77" i="7"/>
  <c r="K77" i="7" s="1"/>
  <c r="AC198" i="7"/>
  <c r="W198" i="7"/>
  <c r="K198" i="7"/>
  <c r="V198" i="7" s="1"/>
  <c r="A3" i="37"/>
  <c r="A4" i="37"/>
  <c r="A22" i="37"/>
  <c r="A21" i="37"/>
  <c r="A20" i="37"/>
  <c r="A19" i="37"/>
  <c r="A18" i="37"/>
  <c r="A17" i="37"/>
  <c r="A16" i="37"/>
  <c r="A15" i="37"/>
  <c r="A14" i="37"/>
  <c r="A13" i="37"/>
  <c r="Y196" i="7"/>
  <c r="AC196" i="7" s="1"/>
  <c r="W196" i="7"/>
  <c r="K196" i="7"/>
  <c r="V196" i="7" s="1"/>
  <c r="AC194" i="7"/>
  <c r="W194" i="7"/>
  <c r="K194" i="7"/>
  <c r="V194" i="7" s="1"/>
  <c r="AC192" i="7"/>
  <c r="W192" i="7"/>
  <c r="K192" i="7"/>
  <c r="V192" i="7" s="1"/>
  <c r="AC186" i="7"/>
  <c r="W186" i="7"/>
  <c r="K186" i="7"/>
  <c r="V186" i="7" s="1"/>
  <c r="W190" i="7"/>
  <c r="K190" i="7"/>
  <c r="V190" i="7" s="1"/>
  <c r="AC53" i="7"/>
  <c r="W53" i="7"/>
  <c r="K53" i="7"/>
  <c r="V53" i="7" s="1"/>
  <c r="X53" i="7" s="1"/>
  <c r="AC105" i="7"/>
  <c r="K105" i="7"/>
  <c r="V105" i="7" s="1"/>
  <c r="AC143" i="7"/>
  <c r="W143" i="7"/>
  <c r="AA143" i="7" s="1"/>
  <c r="K143" i="7"/>
  <c r="V143" i="7" s="1"/>
  <c r="AC142" i="7"/>
  <c r="W142" i="7"/>
  <c r="AA142" i="7" s="1"/>
  <c r="K142" i="7"/>
  <c r="M142" i="7" s="1"/>
  <c r="AC141" i="7"/>
  <c r="W141" i="7"/>
  <c r="AA141" i="7" s="1"/>
  <c r="K141" i="7"/>
  <c r="V141" i="7" s="1"/>
  <c r="AC144" i="7"/>
  <c r="W144" i="7"/>
  <c r="AA144" i="7" s="1"/>
  <c r="K144" i="7"/>
  <c r="V144" i="7" s="1"/>
  <c r="Z136" i="7"/>
  <c r="W136" i="7"/>
  <c r="AA136" i="7" s="1"/>
  <c r="K136" i="7"/>
  <c r="V136" i="7" s="1"/>
  <c r="Y135" i="7"/>
  <c r="W135" i="7"/>
  <c r="AA135" i="7" s="1"/>
  <c r="K135" i="7"/>
  <c r="V135" i="7" s="1"/>
  <c r="AC137" i="7"/>
  <c r="W137" i="7"/>
  <c r="AA137" i="7" s="1"/>
  <c r="K137" i="7"/>
  <c r="V137" i="7" s="1"/>
  <c r="V92" i="13"/>
  <c r="V91" i="13"/>
  <c r="O99" i="13"/>
  <c r="M99" i="13"/>
  <c r="V90" i="13"/>
  <c r="N90" i="13"/>
  <c r="V83" i="13"/>
  <c r="L200" i="13"/>
  <c r="K32" i="9"/>
  <c r="AC117" i="7"/>
  <c r="W117" i="7"/>
  <c r="I15" i="39" s="1"/>
  <c r="K117" i="7"/>
  <c r="M117" i="7" s="1"/>
  <c r="AC9" i="7"/>
  <c r="Z9" i="7"/>
  <c r="W9" i="7"/>
  <c r="K9" i="7"/>
  <c r="M9" i="7" s="1"/>
  <c r="AA9" i="7" s="1"/>
  <c r="AC103" i="7"/>
  <c r="K103" i="7"/>
  <c r="V103" i="7" s="1"/>
  <c r="AC159" i="7"/>
  <c r="K159" i="7"/>
  <c r="V159" i="7" s="1"/>
  <c r="AC157" i="7"/>
  <c r="K157" i="7"/>
  <c r="V157" i="7" s="1"/>
  <c r="AC154" i="7"/>
  <c r="K154" i="7"/>
  <c r="M154" i="7" s="1"/>
  <c r="Z185" i="7"/>
  <c r="W185" i="7"/>
  <c r="K185" i="7"/>
  <c r="V185" i="7" s="1"/>
  <c r="H18" i="39" l="1"/>
  <c r="K18" i="39" s="1"/>
  <c r="H17" i="39"/>
  <c r="AA199" i="7"/>
  <c r="AA201" i="7"/>
  <c r="A54" i="39"/>
  <c r="C53" i="39"/>
  <c r="G53" i="39"/>
  <c r="E53" i="39"/>
  <c r="E17" i="39"/>
  <c r="E18" i="39" s="1"/>
  <c r="E9" i="39"/>
  <c r="E8" i="39"/>
  <c r="AC135" i="7"/>
  <c r="Z135" i="7"/>
  <c r="Z173" i="7"/>
  <c r="M173" i="7"/>
  <c r="V74" i="7"/>
  <c r="X74" i="7" s="1"/>
  <c r="M74" i="7"/>
  <c r="M209" i="7"/>
  <c r="M204" i="7"/>
  <c r="Z204" i="7"/>
  <c r="M206" i="7"/>
  <c r="AA207" i="7" s="1"/>
  <c r="Z202" i="7"/>
  <c r="M202" i="7"/>
  <c r="AA202" i="7" s="1"/>
  <c r="AC201" i="7"/>
  <c r="V201" i="7"/>
  <c r="M106" i="7"/>
  <c r="M200" i="7"/>
  <c r="Z200" i="7"/>
  <c r="M100" i="7"/>
  <c r="AA101" i="7" s="1"/>
  <c r="V98" i="7"/>
  <c r="Z176" i="7"/>
  <c r="M176" i="7"/>
  <c r="V167" i="7"/>
  <c r="Z167" i="7"/>
  <c r="M80" i="7"/>
  <c r="AA80" i="7" s="1"/>
  <c r="M93" i="7"/>
  <c r="M92" i="7"/>
  <c r="M91" i="7"/>
  <c r="M90" i="7"/>
  <c r="V89" i="7"/>
  <c r="M88" i="7"/>
  <c r="M87" i="7"/>
  <c r="M97" i="7"/>
  <c r="V199" i="7"/>
  <c r="Z199" i="7"/>
  <c r="V75" i="7"/>
  <c r="X75" i="7" s="1"/>
  <c r="M75" i="7"/>
  <c r="Z75" i="7"/>
  <c r="AC77" i="7"/>
  <c r="V77" i="7"/>
  <c r="X77" i="7" s="1"/>
  <c r="M77" i="7"/>
  <c r="AA78" i="7" s="1"/>
  <c r="Z198" i="7"/>
  <c r="M198" i="7"/>
  <c r="M196" i="7"/>
  <c r="AA196" i="7" s="1"/>
  <c r="Z196" i="7"/>
  <c r="M194" i="7"/>
  <c r="AA194" i="7" s="1"/>
  <c r="Z194" i="7"/>
  <c r="M192" i="7"/>
  <c r="M186" i="7"/>
  <c r="AC190" i="7"/>
  <c r="M190" i="7"/>
  <c r="M53" i="7"/>
  <c r="AA53" i="7" s="1"/>
  <c r="M105" i="7"/>
  <c r="M143" i="7"/>
  <c r="V142" i="7"/>
  <c r="M141" i="7"/>
  <c r="M144" i="7"/>
  <c r="AC136" i="7"/>
  <c r="M136" i="7"/>
  <c r="M135" i="7"/>
  <c r="M137" i="7"/>
  <c r="H12" i="30"/>
  <c r="Z117" i="7"/>
  <c r="V117" i="7"/>
  <c r="V9" i="7"/>
  <c r="X9" i="7" s="1"/>
  <c r="M103" i="7"/>
  <c r="M159" i="7"/>
  <c r="M157" i="7"/>
  <c r="V154" i="7"/>
  <c r="AC185" i="7"/>
  <c r="M185" i="7"/>
  <c r="AA210" i="7" l="1"/>
  <c r="A55" i="39"/>
  <c r="C54" i="39"/>
  <c r="G54" i="39"/>
  <c r="E54" i="39"/>
  <c r="AA198" i="7"/>
  <c r="AA200" i="7"/>
  <c r="AA191" i="7"/>
  <c r="AA189" i="7"/>
  <c r="AA193" i="7"/>
  <c r="AA185" i="7"/>
  <c r="AA204" i="7"/>
  <c r="AC7" i="7"/>
  <c r="Z7" i="7"/>
  <c r="W7" i="7"/>
  <c r="K7" i="7"/>
  <c r="M7" i="7" s="1"/>
  <c r="AA7" i="7" s="1"/>
  <c r="V207" i="13"/>
  <c r="V66" i="13"/>
  <c r="V200" i="13"/>
  <c r="V65" i="13"/>
  <c r="C17" i="34"/>
  <c r="Z131" i="7"/>
  <c r="A56" i="39" l="1"/>
  <c r="E55" i="39"/>
  <c r="G55" i="39"/>
  <c r="C55" i="39"/>
  <c r="V7" i="7"/>
  <c r="X7" i="7" s="1"/>
  <c r="D33" i="35"/>
  <c r="D35" i="35" s="1"/>
  <c r="D36" i="35" s="1"/>
  <c r="D31" i="35"/>
  <c r="D38" i="35" s="1"/>
  <c r="D39" i="35" s="1"/>
  <c r="D40" i="35" s="1"/>
  <c r="D28" i="35"/>
  <c r="D10" i="35"/>
  <c r="D12" i="35" s="1"/>
  <c r="C33" i="35"/>
  <c r="C35" i="35" s="1"/>
  <c r="C36" i="35" s="1"/>
  <c r="C31" i="35"/>
  <c r="C38" i="35" s="1"/>
  <c r="C39" i="35" s="1"/>
  <c r="C40" i="35" s="1"/>
  <c r="C28" i="35"/>
  <c r="C10" i="35"/>
  <c r="C12" i="35" s="1"/>
  <c r="J76" i="7"/>
  <c r="J73" i="7"/>
  <c r="A57" i="39" l="1"/>
  <c r="G56" i="39"/>
  <c r="C56" i="39"/>
  <c r="E56" i="39"/>
  <c r="D23" i="35"/>
  <c r="D19" i="35"/>
  <c r="D16" i="35"/>
  <c r="C23" i="35"/>
  <c r="C19" i="35"/>
  <c r="C16" i="35"/>
  <c r="E13" i="22"/>
  <c r="I33" i="35"/>
  <c r="I35" i="35" s="1"/>
  <c r="I36" i="35" s="1"/>
  <c r="I31" i="35"/>
  <c r="I38" i="35" s="1"/>
  <c r="I39" i="35" s="1"/>
  <c r="I40" i="35" s="1"/>
  <c r="I28" i="35"/>
  <c r="I10" i="35"/>
  <c r="I12" i="35" s="1"/>
  <c r="I23" i="35" s="1"/>
  <c r="H33" i="35"/>
  <c r="H35" i="35" s="1"/>
  <c r="H36" i="35" s="1"/>
  <c r="H31" i="35"/>
  <c r="H38" i="35" s="1"/>
  <c r="H39" i="35" s="1"/>
  <c r="H40" i="35" s="1"/>
  <c r="H28" i="35"/>
  <c r="H10" i="35"/>
  <c r="H12" i="35" s="1"/>
  <c r="C33" i="23"/>
  <c r="G33" i="35"/>
  <c r="F33" i="35"/>
  <c r="B33" i="35"/>
  <c r="A58" i="39" l="1"/>
  <c r="E57" i="39"/>
  <c r="G57" i="39"/>
  <c r="C57" i="39"/>
  <c r="D25" i="35"/>
  <c r="C25" i="35"/>
  <c r="C26" i="35" s="1"/>
  <c r="C41" i="35" s="1"/>
  <c r="I16" i="35"/>
  <c r="I19" i="35"/>
  <c r="H23" i="35"/>
  <c r="H19" i="35"/>
  <c r="H16" i="35"/>
  <c r="I13" i="22"/>
  <c r="H13" i="22"/>
  <c r="H16" i="22" s="1"/>
  <c r="G13" i="22"/>
  <c r="G14" i="22" s="1"/>
  <c r="AC184" i="7"/>
  <c r="W184" i="7"/>
  <c r="K184" i="7"/>
  <c r="V184" i="7" s="1"/>
  <c r="AC180" i="7"/>
  <c r="W180" i="7"/>
  <c r="K180" i="7"/>
  <c r="M180" i="7" s="1"/>
  <c r="AA183" i="7" s="1"/>
  <c r="Z179" i="7"/>
  <c r="W179" i="7"/>
  <c r="K179" i="7"/>
  <c r="M179" i="7" s="1"/>
  <c r="AC177" i="7"/>
  <c r="W177" i="7"/>
  <c r="K177" i="7"/>
  <c r="M177" i="7" s="1"/>
  <c r="AA177" i="7" s="1"/>
  <c r="AC175" i="7"/>
  <c r="W175" i="7"/>
  <c r="K175" i="7"/>
  <c r="M175" i="7" s="1"/>
  <c r="D26" i="35" l="1"/>
  <c r="D41" i="35" s="1"/>
  <c r="AA179" i="7"/>
  <c r="AA176" i="7"/>
  <c r="A59" i="39"/>
  <c r="C58" i="39"/>
  <c r="E58" i="39"/>
  <c r="G58" i="39"/>
  <c r="I25" i="35"/>
  <c r="H25" i="35"/>
  <c r="H20" i="22"/>
  <c r="I14" i="22"/>
  <c r="I16" i="22"/>
  <c r="I20" i="22" s="1"/>
  <c r="H14" i="22"/>
  <c r="G16" i="22"/>
  <c r="G20" i="22" s="1"/>
  <c r="AC179" i="7"/>
  <c r="M184" i="7"/>
  <c r="AA184" i="7" s="1"/>
  <c r="Z184" i="7"/>
  <c r="V180" i="7"/>
  <c r="X180" i="7" s="1"/>
  <c r="V179" i="7"/>
  <c r="V177" i="7"/>
  <c r="Z177" i="7"/>
  <c r="V175" i="7"/>
  <c r="AC172" i="7"/>
  <c r="W172" i="7"/>
  <c r="K172" i="7"/>
  <c r="V172" i="7" s="1"/>
  <c r="G35" i="35"/>
  <c r="G36" i="35" s="1"/>
  <c r="G31" i="35"/>
  <c r="G38" i="35" s="1"/>
  <c r="G39" i="35" s="1"/>
  <c r="G40" i="35" s="1"/>
  <c r="G28" i="35"/>
  <c r="G10" i="35"/>
  <c r="G12" i="35" s="1"/>
  <c r="F35" i="35"/>
  <c r="F36" i="35" s="1"/>
  <c r="F31" i="35"/>
  <c r="F38" i="35" s="1"/>
  <c r="F39" i="35" s="1"/>
  <c r="F40" i="35" s="1"/>
  <c r="F28" i="35"/>
  <c r="F10" i="35"/>
  <c r="F12" i="35" s="1"/>
  <c r="D17" i="34"/>
  <c r="D20" i="34" s="1"/>
  <c r="D21" i="34" s="1"/>
  <c r="D10" i="34"/>
  <c r="D12" i="34" s="1"/>
  <c r="C13" i="22"/>
  <c r="D13" i="22"/>
  <c r="Z83" i="7"/>
  <c r="E35" i="23"/>
  <c r="E36" i="23" s="1"/>
  <c r="E31" i="23"/>
  <c r="E38" i="23" s="1"/>
  <c r="E39" i="23" s="1"/>
  <c r="E28" i="23"/>
  <c r="E10" i="23"/>
  <c r="E12" i="23" s="1"/>
  <c r="E23" i="23" s="1"/>
  <c r="D35" i="23"/>
  <c r="D36" i="23" s="1"/>
  <c r="D31" i="23"/>
  <c r="D38" i="23" s="1"/>
  <c r="D39" i="23" s="1"/>
  <c r="D28" i="23"/>
  <c r="D10" i="23"/>
  <c r="D12" i="23" s="1"/>
  <c r="K2" i="7"/>
  <c r="A5" i="37"/>
  <c r="A6" i="37"/>
  <c r="A7" i="37"/>
  <c r="A8" i="37"/>
  <c r="A9" i="37"/>
  <c r="A10" i="37"/>
  <c r="A11" i="37"/>
  <c r="A12" i="37"/>
  <c r="D24" i="34" l="1"/>
  <c r="D26" i="34"/>
  <c r="D27" i="34"/>
  <c r="A60" i="39"/>
  <c r="G59" i="39"/>
  <c r="C59" i="39"/>
  <c r="E59" i="39"/>
  <c r="H26" i="35"/>
  <c r="H41" i="35" s="1"/>
  <c r="I26" i="35"/>
  <c r="I41" i="35" s="1"/>
  <c r="M172" i="7"/>
  <c r="G23" i="35"/>
  <c r="G19" i="35"/>
  <c r="G16" i="35"/>
  <c r="F23" i="35"/>
  <c r="F19" i="35"/>
  <c r="F16" i="35"/>
  <c r="D16" i="34"/>
  <c r="C14" i="22"/>
  <c r="C16" i="22"/>
  <c r="C20" i="22" s="1"/>
  <c r="D14" i="22"/>
  <c r="D16" i="22"/>
  <c r="D20" i="22" s="1"/>
  <c r="E19" i="23"/>
  <c r="E16" i="23"/>
  <c r="D19" i="23"/>
  <c r="D16" i="23"/>
  <c r="D23" i="23"/>
  <c r="Z84" i="7"/>
  <c r="AC68" i="7"/>
  <c r="W68" i="7"/>
  <c r="K68" i="7"/>
  <c r="V68" i="7" s="1"/>
  <c r="W168" i="7"/>
  <c r="AA168" i="7" s="1"/>
  <c r="K168" i="7"/>
  <c r="V168" i="7" s="1"/>
  <c r="AC166" i="7"/>
  <c r="W166" i="7"/>
  <c r="AA166" i="7" s="1"/>
  <c r="K166" i="7"/>
  <c r="V166" i="7" s="1"/>
  <c r="AA173" i="7" l="1"/>
  <c r="A61" i="39"/>
  <c r="E60" i="39"/>
  <c r="C60" i="39"/>
  <c r="G60" i="39"/>
  <c r="G25" i="35"/>
  <c r="G26" i="35" s="1"/>
  <c r="F25" i="35"/>
  <c r="F26" i="35" s="1"/>
  <c r="E25" i="23"/>
  <c r="E26" i="23" s="1"/>
  <c r="E41" i="23" s="1"/>
  <c r="D25" i="23"/>
  <c r="D26" i="23" s="1"/>
  <c r="M68" i="7"/>
  <c r="AA68" i="7" s="1"/>
  <c r="AC168" i="7"/>
  <c r="M168" i="7"/>
  <c r="M166" i="7"/>
  <c r="A62" i="39" l="1"/>
  <c r="C61" i="39"/>
  <c r="G61" i="39"/>
  <c r="E61" i="39"/>
  <c r="D41" i="23"/>
  <c r="G41" i="35"/>
  <c r="F41" i="35"/>
  <c r="Y13" i="7"/>
  <c r="AC13" i="7" s="1"/>
  <c r="W13" i="7"/>
  <c r="K13" i="7"/>
  <c r="M13" i="7" s="1"/>
  <c r="A63" i="39" l="1"/>
  <c r="E62" i="39"/>
  <c r="G62" i="39"/>
  <c r="C62" i="39"/>
  <c r="AA14" i="7"/>
  <c r="V13" i="7"/>
  <c r="X13" i="7" s="1"/>
  <c r="A64" i="39" l="1"/>
  <c r="E63" i="39"/>
  <c r="C63" i="39"/>
  <c r="G63" i="39"/>
  <c r="B4" i="18"/>
  <c r="A4" i="18"/>
  <c r="U223" i="7"/>
  <c r="AK223" i="7"/>
  <c r="Z38" i="7"/>
  <c r="L12" i="32"/>
  <c r="O12" i="32" s="1"/>
  <c r="L14" i="32"/>
  <c r="O14" i="32" s="1"/>
  <c r="L15" i="32"/>
  <c r="O15" i="32" s="1"/>
  <c r="L16" i="32"/>
  <c r="O16" i="32" s="1"/>
  <c r="L11" i="32"/>
  <c r="O11" i="32" s="1"/>
  <c r="H2" i="21"/>
  <c r="H4" i="21"/>
  <c r="I4" i="21" s="1"/>
  <c r="AC165" i="7"/>
  <c r="W165" i="7"/>
  <c r="K165" i="7"/>
  <c r="V165" i="7" s="1"/>
  <c r="AC164" i="7"/>
  <c r="W164" i="7"/>
  <c r="K164" i="7"/>
  <c r="V164" i="7" s="1"/>
  <c r="Z43" i="7"/>
  <c r="F32" i="9"/>
  <c r="AC163" i="7"/>
  <c r="W163" i="7"/>
  <c r="K163" i="7"/>
  <c r="V163" i="7" s="1"/>
  <c r="AC162" i="7"/>
  <c r="W162" i="7"/>
  <c r="K162" i="7"/>
  <c r="M162" i="7" s="1"/>
  <c r="AC161" i="7"/>
  <c r="W161" i="7"/>
  <c r="K161" i="7"/>
  <c r="V161" i="7" s="1"/>
  <c r="AC160" i="7"/>
  <c r="W160" i="7"/>
  <c r="K160" i="7"/>
  <c r="V160" i="7" s="1"/>
  <c r="Z148" i="7"/>
  <c r="W148" i="7"/>
  <c r="AA148" i="7" s="1"/>
  <c r="K148" i="7"/>
  <c r="V148" i="7" s="1"/>
  <c r="AC147" i="7"/>
  <c r="W147" i="7"/>
  <c r="AA147" i="7" s="1"/>
  <c r="K147" i="7"/>
  <c r="V147" i="7" s="1"/>
  <c r="AC146" i="7"/>
  <c r="W146" i="7"/>
  <c r="AA146" i="7" s="1"/>
  <c r="K146" i="7"/>
  <c r="M146" i="7" s="1"/>
  <c r="AC139" i="7"/>
  <c r="W139" i="7"/>
  <c r="K139" i="7"/>
  <c r="M139" i="7" s="1"/>
  <c r="Y134" i="7"/>
  <c r="W134" i="7"/>
  <c r="AA134" i="7" s="1"/>
  <c r="K134" i="7"/>
  <c r="M134" i="7" s="1"/>
  <c r="D4" i="18" l="1"/>
  <c r="C4" i="18"/>
  <c r="AA139" i="7"/>
  <c r="J15" i="39"/>
  <c r="A65" i="39"/>
  <c r="G64" i="39"/>
  <c r="E64" i="39"/>
  <c r="C64" i="39"/>
  <c r="AC134" i="7"/>
  <c r="Z134" i="7"/>
  <c r="I2" i="21"/>
  <c r="A5" i="18"/>
  <c r="AA162" i="7"/>
  <c r="M164" i="7"/>
  <c r="M165" i="7"/>
  <c r="Z164" i="7"/>
  <c r="Z165" i="7"/>
  <c r="M163" i="7"/>
  <c r="AA163" i="7" s="1"/>
  <c r="V162" i="7"/>
  <c r="Z163" i="7"/>
  <c r="Z162" i="7"/>
  <c r="M161" i="7"/>
  <c r="Z161" i="7"/>
  <c r="M160" i="7"/>
  <c r="Z160" i="7"/>
  <c r="AC148" i="7"/>
  <c r="M148" i="7"/>
  <c r="M147" i="7"/>
  <c r="V146" i="7"/>
  <c r="V139" i="7"/>
  <c r="V134" i="7"/>
  <c r="AC72" i="7"/>
  <c r="W72" i="7"/>
  <c r="K72" i="7"/>
  <c r="M72" i="7" s="1"/>
  <c r="D5" i="18" l="1"/>
  <c r="C5" i="18"/>
  <c r="A66" i="39"/>
  <c r="G65" i="39"/>
  <c r="E65" i="39"/>
  <c r="C65" i="39"/>
  <c r="AA161" i="7"/>
  <c r="AA160" i="7"/>
  <c r="A6" i="18"/>
  <c r="C6" i="18" s="1"/>
  <c r="AA165" i="7"/>
  <c r="AA164" i="7"/>
  <c r="V72" i="7"/>
  <c r="Z72" i="7"/>
  <c r="A67" i="39" l="1"/>
  <c r="C66" i="39"/>
  <c r="G66" i="39"/>
  <c r="E66" i="39"/>
  <c r="E4" i="18"/>
  <c r="B5" i="18" s="1"/>
  <c r="E5" i="18" s="1"/>
  <c r="B6" i="18" s="1"/>
  <c r="A7" i="18"/>
  <c r="H6" i="21"/>
  <c r="I6" i="21" s="1"/>
  <c r="H5" i="21"/>
  <c r="I5" i="21" s="1"/>
  <c r="A8" i="18" l="1"/>
  <c r="D7" i="18"/>
  <c r="C7" i="18"/>
  <c r="A68" i="39"/>
  <c r="E67" i="39"/>
  <c r="G67" i="39"/>
  <c r="C67" i="39"/>
  <c r="A9" i="18"/>
  <c r="AC158" i="7"/>
  <c r="K158" i="7"/>
  <c r="V158" i="7" s="1"/>
  <c r="AC156" i="7"/>
  <c r="K156" i="7"/>
  <c r="V156" i="7" s="1"/>
  <c r="Z155" i="7"/>
  <c r="W155" i="7"/>
  <c r="K155" i="7"/>
  <c r="M155" i="7" s="1"/>
  <c r="AA155" i="7" s="1"/>
  <c r="N80" i="13"/>
  <c r="V80" i="13"/>
  <c r="AC153" i="7"/>
  <c r="K153" i="7"/>
  <c r="V153" i="7" s="1"/>
  <c r="AC152" i="7"/>
  <c r="W152" i="7"/>
  <c r="K152" i="7"/>
  <c r="V152" i="7" s="1"/>
  <c r="V89" i="13"/>
  <c r="N89" i="13"/>
  <c r="V88" i="13"/>
  <c r="N88" i="13"/>
  <c r="V87" i="13"/>
  <c r="N87" i="13"/>
  <c r="V86" i="13"/>
  <c r="N86" i="13"/>
  <c r="Z14" i="7"/>
  <c r="H3" i="21"/>
  <c r="AC151" i="7"/>
  <c r="W151" i="7"/>
  <c r="K151" i="7"/>
  <c r="V151" i="7" s="1"/>
  <c r="Z150" i="7"/>
  <c r="W150" i="7"/>
  <c r="K150" i="7"/>
  <c r="V150" i="7" s="1"/>
  <c r="Y115" i="7"/>
  <c r="W115" i="7"/>
  <c r="AA115" i="7" s="1"/>
  <c r="K115" i="7"/>
  <c r="V115" i="7" s="1"/>
  <c r="Y114" i="7"/>
  <c r="W114" i="7"/>
  <c r="AA114" i="7" s="1"/>
  <c r="K114" i="7"/>
  <c r="M114" i="7" s="1"/>
  <c r="AC116" i="7"/>
  <c r="W116" i="7"/>
  <c r="K116" i="7"/>
  <c r="V116" i="7" s="1"/>
  <c r="W71" i="7"/>
  <c r="K71" i="7"/>
  <c r="V71" i="7" s="1"/>
  <c r="Z49" i="7"/>
  <c r="Y48" i="7"/>
  <c r="AC48" i="7" s="1"/>
  <c r="W48" i="7"/>
  <c r="K48" i="7"/>
  <c r="V48" i="7" s="1"/>
  <c r="AC47" i="7"/>
  <c r="W47" i="7"/>
  <c r="K47" i="7"/>
  <c r="V47" i="7" s="1"/>
  <c r="AC46" i="7"/>
  <c r="W46" i="7"/>
  <c r="K46" i="7"/>
  <c r="V46" i="7" s="1"/>
  <c r="AC29" i="7"/>
  <c r="W29" i="7"/>
  <c r="K29" i="7"/>
  <c r="V29" i="7" s="1"/>
  <c r="AC149" i="7"/>
  <c r="W149" i="7"/>
  <c r="K149" i="7"/>
  <c r="V149" i="7" s="1"/>
  <c r="AC66" i="7"/>
  <c r="W66" i="7"/>
  <c r="K66" i="7"/>
  <c r="V66" i="7" s="1"/>
  <c r="AC65" i="7"/>
  <c r="W65" i="7"/>
  <c r="K65" i="7"/>
  <c r="V65" i="7" s="1"/>
  <c r="AC64" i="7"/>
  <c r="W64" i="7"/>
  <c r="K64" i="7"/>
  <c r="V64" i="7" s="1"/>
  <c r="AC63" i="7"/>
  <c r="W63" i="7"/>
  <c r="K63" i="7"/>
  <c r="V63" i="7" s="1"/>
  <c r="AC62" i="7"/>
  <c r="W62" i="7"/>
  <c r="K62" i="7"/>
  <c r="V62" i="7" s="1"/>
  <c r="AC61" i="7"/>
  <c r="W61" i="7"/>
  <c r="K61" i="7"/>
  <c r="V61" i="7" s="1"/>
  <c r="AC60" i="7"/>
  <c r="W60" i="7"/>
  <c r="K60" i="7"/>
  <c r="V60" i="7" s="1"/>
  <c r="AC59" i="7"/>
  <c r="W59" i="7"/>
  <c r="K59" i="7"/>
  <c r="V59" i="7" s="1"/>
  <c r="AC104" i="7"/>
  <c r="K104" i="7"/>
  <c r="M104" i="7" s="1"/>
  <c r="AC102" i="7"/>
  <c r="K102" i="7"/>
  <c r="V102" i="7" s="1"/>
  <c r="AC99" i="7"/>
  <c r="W99" i="7"/>
  <c r="K99" i="7"/>
  <c r="V99" i="7" s="1"/>
  <c r="AC96" i="7"/>
  <c r="W96" i="7"/>
  <c r="K96" i="7"/>
  <c r="V96" i="7" s="1"/>
  <c r="AC95" i="7"/>
  <c r="W95" i="7"/>
  <c r="K95" i="7"/>
  <c r="M95" i="7" s="1"/>
  <c r="AA95" i="7" s="1"/>
  <c r="V85" i="13"/>
  <c r="N85" i="13"/>
  <c r="V198" i="13"/>
  <c r="N198" i="13"/>
  <c r="V84" i="13"/>
  <c r="N84" i="13"/>
  <c r="V199" i="13"/>
  <c r="N199" i="13"/>
  <c r="V197" i="13"/>
  <c r="N197" i="13"/>
  <c r="V82" i="13"/>
  <c r="N82" i="13"/>
  <c r="V81" i="13"/>
  <c r="N81" i="13"/>
  <c r="F13" i="22"/>
  <c r="E16" i="22"/>
  <c r="E20" i="22" s="1"/>
  <c r="AC145" i="7"/>
  <c r="W145" i="7"/>
  <c r="AA145" i="7" s="1"/>
  <c r="K145" i="7"/>
  <c r="V145" i="7" s="1"/>
  <c r="AC140" i="7"/>
  <c r="W140" i="7"/>
  <c r="AA140" i="7" s="1"/>
  <c r="K140" i="7"/>
  <c r="M140" i="7" s="1"/>
  <c r="W138" i="7"/>
  <c r="AA138" i="7" s="1"/>
  <c r="K138" i="7"/>
  <c r="V138" i="7" s="1"/>
  <c r="Y133" i="7"/>
  <c r="W133" i="7"/>
  <c r="V133" i="7"/>
  <c r="Z132" i="7"/>
  <c r="W132" i="7"/>
  <c r="K132" i="7"/>
  <c r="V132" i="7" s="1"/>
  <c r="AC131" i="7"/>
  <c r="W131" i="7"/>
  <c r="K131" i="7"/>
  <c r="M131" i="7" s="1"/>
  <c r="AA131" i="7" s="1"/>
  <c r="AC130" i="7"/>
  <c r="W130" i="7"/>
  <c r="K130" i="7"/>
  <c r="V130" i="7" s="1"/>
  <c r="W129" i="7"/>
  <c r="K129" i="7"/>
  <c r="V129" i="7" s="1"/>
  <c r="AC86" i="7"/>
  <c r="W86" i="7"/>
  <c r="K86" i="7"/>
  <c r="V86" i="7" s="1"/>
  <c r="D9" i="18" l="1"/>
  <c r="C9" i="18"/>
  <c r="D8" i="18"/>
  <c r="C8" i="18"/>
  <c r="J16" i="39"/>
  <c r="C6" i="8"/>
  <c r="D12" i="39"/>
  <c r="A69" i="39"/>
  <c r="G68" i="39"/>
  <c r="C68" i="39"/>
  <c r="E68" i="39"/>
  <c r="H10" i="21"/>
  <c r="L4" i="8" s="1"/>
  <c r="B13" i="39"/>
  <c r="E13" i="39" s="1"/>
  <c r="AC115" i="7"/>
  <c r="Z115" i="7"/>
  <c r="AC114" i="7"/>
  <c r="Z114" i="7"/>
  <c r="AC133" i="7"/>
  <c r="Z133" i="7"/>
  <c r="AA133" i="7"/>
  <c r="A10" i="18"/>
  <c r="C10" i="18" s="1"/>
  <c r="I3" i="21"/>
  <c r="M158" i="7"/>
  <c r="M156" i="7"/>
  <c r="AC155" i="7"/>
  <c r="V155" i="7"/>
  <c r="M153" i="7"/>
  <c r="Z152" i="7"/>
  <c r="M152" i="7"/>
  <c r="Z151" i="7"/>
  <c r="M151" i="7"/>
  <c r="AA151" i="7" s="1"/>
  <c r="AC150" i="7"/>
  <c r="M150" i="7"/>
  <c r="AA150" i="7" s="1"/>
  <c r="M115" i="7"/>
  <c r="V114" i="7"/>
  <c r="M116" i="7"/>
  <c r="AC71" i="7"/>
  <c r="M71" i="7"/>
  <c r="M48" i="7"/>
  <c r="M47" i="7"/>
  <c r="M46" i="7"/>
  <c r="M29" i="7"/>
  <c r="AA30" i="7" s="1"/>
  <c r="Z29" i="7"/>
  <c r="Z149" i="7"/>
  <c r="M149" i="7"/>
  <c r="AA149" i="7" s="1"/>
  <c r="M59" i="7"/>
  <c r="AA59" i="7" s="1"/>
  <c r="M60" i="7"/>
  <c r="AA60" i="7" s="1"/>
  <c r="M61" i="7"/>
  <c r="AA61" i="7" s="1"/>
  <c r="M62" i="7"/>
  <c r="AA62" i="7" s="1"/>
  <c r="M63" i="7"/>
  <c r="AA63" i="7" s="1"/>
  <c r="M64" i="7"/>
  <c r="AA64" i="7" s="1"/>
  <c r="M65" i="7"/>
  <c r="AA65" i="7" s="1"/>
  <c r="M66" i="7"/>
  <c r="V104" i="7"/>
  <c r="M102" i="7"/>
  <c r="M96" i="7"/>
  <c r="AA98" i="7" s="1"/>
  <c r="M99" i="7"/>
  <c r="AA100" i="7" s="1"/>
  <c r="V95" i="7"/>
  <c r="Z95" i="7"/>
  <c r="F14" i="22"/>
  <c r="F16" i="22"/>
  <c r="F20" i="22" s="1"/>
  <c r="E14" i="22"/>
  <c r="M145" i="7"/>
  <c r="V140" i="7"/>
  <c r="M138" i="7"/>
  <c r="AC138" i="7"/>
  <c r="M133" i="7"/>
  <c r="AC132" i="7"/>
  <c r="M132" i="7"/>
  <c r="AA132" i="7" s="1"/>
  <c r="V131" i="7"/>
  <c r="M130" i="7"/>
  <c r="AA130" i="7" s="1"/>
  <c r="AC129" i="7"/>
  <c r="M129" i="7"/>
  <c r="AA129" i="7" s="1"/>
  <c r="M86" i="7"/>
  <c r="AA86" i="7" s="1"/>
  <c r="W85" i="7"/>
  <c r="K85" i="7"/>
  <c r="M85" i="7" s="1"/>
  <c r="AA85" i="7" s="1"/>
  <c r="W84" i="7"/>
  <c r="K84" i="7"/>
  <c r="V84" i="7" s="1"/>
  <c r="W83" i="7"/>
  <c r="K83" i="7"/>
  <c r="V83" i="7" s="1"/>
  <c r="AC128" i="7"/>
  <c r="W128" i="7"/>
  <c r="K128" i="7"/>
  <c r="V128" i="7" s="1"/>
  <c r="W82" i="7"/>
  <c r="K82" i="7"/>
  <c r="V82" i="7" s="1"/>
  <c r="W81" i="7"/>
  <c r="K81" i="7"/>
  <c r="V81" i="7" s="1"/>
  <c r="A70" i="39" l="1"/>
  <c r="E69" i="39"/>
  <c r="C69" i="39"/>
  <c r="G69" i="39"/>
  <c r="A11" i="18"/>
  <c r="AA152" i="7"/>
  <c r="AC84" i="7"/>
  <c r="Z85" i="7"/>
  <c r="AC82" i="7"/>
  <c r="AC83" i="7"/>
  <c r="Z81" i="7"/>
  <c r="AC85" i="7"/>
  <c r="V85" i="7"/>
  <c r="M84" i="7"/>
  <c r="AA84" i="7" s="1"/>
  <c r="M83" i="7"/>
  <c r="AC81" i="7"/>
  <c r="M128" i="7"/>
  <c r="AA128" i="7" s="1"/>
  <c r="Z128" i="7"/>
  <c r="M82" i="7"/>
  <c r="AA82" i="7" s="1"/>
  <c r="Z82" i="7"/>
  <c r="M81" i="7"/>
  <c r="AA81" i="7" s="1"/>
  <c r="W79" i="7"/>
  <c r="K79" i="7"/>
  <c r="V79" i="7" s="1"/>
  <c r="Z127" i="7"/>
  <c r="W127" i="7"/>
  <c r="K127" i="7"/>
  <c r="V127" i="7" s="1"/>
  <c r="Z126" i="7"/>
  <c r="W126" i="7"/>
  <c r="K126" i="7"/>
  <c r="V126" i="7" s="1"/>
  <c r="Z24" i="7"/>
  <c r="D11" i="18" l="1"/>
  <c r="C11" i="18"/>
  <c r="A71" i="39"/>
  <c r="E70" i="39"/>
  <c r="C70" i="39"/>
  <c r="G70" i="39"/>
  <c r="J3" i="8"/>
  <c r="J19" i="39"/>
  <c r="A12" i="18"/>
  <c r="AA83" i="7"/>
  <c r="Z79" i="7"/>
  <c r="AC79" i="7"/>
  <c r="M79" i="7"/>
  <c r="AC127" i="7"/>
  <c r="M127" i="7"/>
  <c r="AA127" i="7" s="1"/>
  <c r="AC126" i="7"/>
  <c r="M126" i="7"/>
  <c r="AC112" i="7"/>
  <c r="W112" i="7"/>
  <c r="K112" i="7"/>
  <c r="V112" i="7" s="1"/>
  <c r="D12" i="18" l="1"/>
  <c r="C12" i="18"/>
  <c r="A72" i="39"/>
  <c r="C71" i="39"/>
  <c r="E71" i="39"/>
  <c r="G71" i="39"/>
  <c r="AA126" i="7"/>
  <c r="A13" i="18"/>
  <c r="AA79" i="7"/>
  <c r="M112" i="7"/>
  <c r="L13" i="32"/>
  <c r="O13" i="32" s="1"/>
  <c r="V79" i="13"/>
  <c r="N79" i="13"/>
  <c r="H112" i="13"/>
  <c r="D13" i="18" l="1"/>
  <c r="C13" i="18"/>
  <c r="A73" i="39"/>
  <c r="G72" i="39"/>
  <c r="C72" i="39"/>
  <c r="E72" i="39"/>
  <c r="D14" i="39"/>
  <c r="D23" i="39" s="1"/>
  <c r="J21" i="39"/>
  <c r="A14" i="18"/>
  <c r="C14" i="18" s="1"/>
  <c r="Z36" i="7"/>
  <c r="W36" i="7"/>
  <c r="K36" i="7"/>
  <c r="V36" i="7" s="1"/>
  <c r="Z125" i="7"/>
  <c r="W125" i="7"/>
  <c r="K125" i="7"/>
  <c r="V125" i="7" s="1"/>
  <c r="B35" i="35"/>
  <c r="B36" i="35" s="1"/>
  <c r="B31" i="35"/>
  <c r="B38" i="35" s="1"/>
  <c r="B39" i="35" s="1"/>
  <c r="B40" i="35" s="1"/>
  <c r="B28" i="35"/>
  <c r="B10" i="35"/>
  <c r="B12" i="35" s="1"/>
  <c r="B23" i="35" s="1"/>
  <c r="A74" i="39" l="1"/>
  <c r="G73" i="39"/>
  <c r="E73" i="39"/>
  <c r="C73" i="39"/>
  <c r="D21" i="39"/>
  <c r="J6" i="39"/>
  <c r="A15" i="18"/>
  <c r="B19" i="35"/>
  <c r="AC36" i="7"/>
  <c r="M36" i="7"/>
  <c r="AC125" i="7"/>
  <c r="M125" i="7"/>
  <c r="B16" i="35"/>
  <c r="W123" i="7"/>
  <c r="K123" i="7"/>
  <c r="V123" i="7" s="1"/>
  <c r="W76" i="7"/>
  <c r="K76" i="7"/>
  <c r="V76" i="7" s="1"/>
  <c r="X76" i="7" s="1"/>
  <c r="W73" i="7"/>
  <c r="K73" i="7"/>
  <c r="V73" i="7" s="1"/>
  <c r="X73" i="7" s="1"/>
  <c r="D15" i="18" l="1"/>
  <c r="C15" i="18"/>
  <c r="C5" i="8"/>
  <c r="I16" i="39"/>
  <c r="C12" i="39"/>
  <c r="A75" i="39"/>
  <c r="G74" i="39"/>
  <c r="C74" i="39"/>
  <c r="E74" i="39"/>
  <c r="AA123" i="7"/>
  <c r="AC123" i="7"/>
  <c r="Z123" i="7"/>
  <c r="J9" i="39"/>
  <c r="N3" i="8"/>
  <c r="A16" i="18"/>
  <c r="AC73" i="7"/>
  <c r="AC76" i="7"/>
  <c r="AA125" i="7"/>
  <c r="B25" i="35"/>
  <c r="B26" i="35" s="1"/>
  <c r="B41" i="35" s="1"/>
  <c r="M123" i="7"/>
  <c r="M76" i="7"/>
  <c r="AA77" i="7" s="1"/>
  <c r="M73" i="7"/>
  <c r="AA75" i="7" s="1"/>
  <c r="AC17" i="7"/>
  <c r="W17" i="7"/>
  <c r="K17" i="7"/>
  <c r="V17" i="7" s="1"/>
  <c r="X17" i="7" s="1"/>
  <c r="D16" i="18" l="1"/>
  <c r="C16" i="18"/>
  <c r="A76" i="39"/>
  <c r="C75" i="39"/>
  <c r="G75" i="39"/>
  <c r="E75" i="39"/>
  <c r="A17" i="18"/>
  <c r="C17" i="18" s="1"/>
  <c r="Z17" i="7"/>
  <c r="M17" i="7"/>
  <c r="A77" i="39" l="1"/>
  <c r="G76" i="39"/>
  <c r="E76" i="39"/>
  <c r="C76" i="39"/>
  <c r="A18" i="18"/>
  <c r="W70" i="7"/>
  <c r="K70" i="7"/>
  <c r="V70" i="7" s="1"/>
  <c r="AC69" i="7"/>
  <c r="W69" i="7"/>
  <c r="K69" i="7"/>
  <c r="V69" i="7" s="1"/>
  <c r="V78" i="13"/>
  <c r="N78" i="13"/>
  <c r="AC20" i="7"/>
  <c r="W20" i="7"/>
  <c r="K20" i="7"/>
  <c r="V20" i="7" s="1"/>
  <c r="X20" i="7" s="1"/>
  <c r="Y67" i="7"/>
  <c r="W67" i="7"/>
  <c r="K67" i="7"/>
  <c r="M67" i="7" s="1"/>
  <c r="AA67" i="7" s="1"/>
  <c r="AC58" i="7"/>
  <c r="W58" i="7"/>
  <c r="K58" i="7"/>
  <c r="V58" i="7" s="1"/>
  <c r="F13" i="8"/>
  <c r="H13" i="8"/>
  <c r="I11" i="8"/>
  <c r="N11" i="8" s="1"/>
  <c r="I12" i="8"/>
  <c r="I9" i="8"/>
  <c r="N9" i="8" s="1"/>
  <c r="I10" i="8"/>
  <c r="N10" i="8" s="1"/>
  <c r="D18" i="18" l="1"/>
  <c r="C18" i="18"/>
  <c r="A78" i="39"/>
  <c r="E77" i="39"/>
  <c r="C77" i="39"/>
  <c r="G77" i="39"/>
  <c r="A19" i="18"/>
  <c r="C19" i="18" s="1"/>
  <c r="AC67" i="7"/>
  <c r="AC70" i="7"/>
  <c r="M70" i="7"/>
  <c r="AA72" i="7" s="1"/>
  <c r="M69" i="7"/>
  <c r="AA69" i="7" s="1"/>
  <c r="Z69" i="7"/>
  <c r="M20" i="7"/>
  <c r="Z67" i="7"/>
  <c r="V67" i="7"/>
  <c r="M58" i="7"/>
  <c r="I13" i="8"/>
  <c r="Z121" i="7"/>
  <c r="W121" i="7"/>
  <c r="AA121" i="7" s="1"/>
  <c r="K121" i="7"/>
  <c r="V121" i="7" s="1"/>
  <c r="AC49" i="7"/>
  <c r="W49" i="7"/>
  <c r="K49" i="7"/>
  <c r="V49" i="7" s="1"/>
  <c r="AC43" i="7"/>
  <c r="W43" i="7"/>
  <c r="K43" i="7"/>
  <c r="V43" i="7" s="1"/>
  <c r="X43" i="7" s="1"/>
  <c r="AC41" i="7"/>
  <c r="W41" i="7"/>
  <c r="K41" i="7"/>
  <c r="V41" i="7" s="1"/>
  <c r="X41" i="7" s="1"/>
  <c r="AC40" i="7"/>
  <c r="W40" i="7"/>
  <c r="K40" i="7"/>
  <c r="V40" i="7" s="1"/>
  <c r="X40" i="7" s="1"/>
  <c r="AC39" i="7"/>
  <c r="W39" i="7"/>
  <c r="K39" i="7"/>
  <c r="V39" i="7" s="1"/>
  <c r="X39" i="7" s="1"/>
  <c r="W38" i="7"/>
  <c r="K38" i="7"/>
  <c r="V38" i="7" s="1"/>
  <c r="X38" i="7" s="1"/>
  <c r="V77" i="13"/>
  <c r="N77" i="13"/>
  <c r="AC119" i="7"/>
  <c r="W119" i="7"/>
  <c r="K119" i="7"/>
  <c r="V119" i="7" s="1"/>
  <c r="A79" i="39" l="1"/>
  <c r="C78" i="39"/>
  <c r="G78" i="39"/>
  <c r="E78" i="39"/>
  <c r="K17" i="39"/>
  <c r="A20" i="18"/>
  <c r="AA58" i="7"/>
  <c r="O13" i="8"/>
  <c r="AC121" i="7"/>
  <c r="M121" i="7"/>
  <c r="M49" i="7"/>
  <c r="M43" i="7"/>
  <c r="M41" i="7"/>
  <c r="AA41" i="7" s="1"/>
  <c r="M40" i="7"/>
  <c r="AA40" i="7" s="1"/>
  <c r="M39" i="7"/>
  <c r="AA39" i="7" s="1"/>
  <c r="AC38" i="7"/>
  <c r="M38" i="7"/>
  <c r="Z119" i="7"/>
  <c r="M119" i="7"/>
  <c r="W55" i="7"/>
  <c r="K55" i="7"/>
  <c r="V55" i="7" s="1"/>
  <c r="X55" i="7" s="1"/>
  <c r="W52" i="7"/>
  <c r="H16" i="39" s="1"/>
  <c r="K52" i="7"/>
  <c r="M52" i="7" s="1"/>
  <c r="AA52" i="7" s="1"/>
  <c r="W51" i="7"/>
  <c r="K51" i="7"/>
  <c r="V51" i="7" s="1"/>
  <c r="AC35" i="7"/>
  <c r="W35" i="7"/>
  <c r="K35" i="7"/>
  <c r="V35" i="7" s="1"/>
  <c r="AC50" i="7"/>
  <c r="W50" i="7"/>
  <c r="K50" i="7"/>
  <c r="V50" i="7" s="1"/>
  <c r="W45" i="7"/>
  <c r="K45" i="7"/>
  <c r="V45" i="7" s="1"/>
  <c r="V189" i="13"/>
  <c r="N189" i="13"/>
  <c r="D20" i="18" l="1"/>
  <c r="C20" i="18"/>
  <c r="A80" i="39"/>
  <c r="E79" i="39"/>
  <c r="G79" i="39"/>
  <c r="C79" i="39"/>
  <c r="C10" i="8"/>
  <c r="A21" i="18"/>
  <c r="AA119" i="7"/>
  <c r="AC51" i="7"/>
  <c r="AC45" i="7"/>
  <c r="AC52" i="7"/>
  <c r="AC55" i="7"/>
  <c r="M55" i="7"/>
  <c r="AA55" i="7" s="1"/>
  <c r="Z55" i="7"/>
  <c r="V52" i="7"/>
  <c r="X52" i="7" s="1"/>
  <c r="Z52" i="7"/>
  <c r="M51" i="7"/>
  <c r="Z51" i="7"/>
  <c r="M35" i="7"/>
  <c r="Z50" i="7"/>
  <c r="M50" i="7"/>
  <c r="AA50" i="7" s="1"/>
  <c r="M45" i="7"/>
  <c r="AA49" i="7" s="1"/>
  <c r="W25" i="33"/>
  <c r="W24" i="33"/>
  <c r="D21" i="18" l="1"/>
  <c r="C21" i="18"/>
  <c r="A81" i="39"/>
  <c r="C80" i="39"/>
  <c r="E80" i="39"/>
  <c r="G80" i="39"/>
  <c r="A22" i="18"/>
  <c r="AA51" i="7"/>
  <c r="W42" i="7"/>
  <c r="K42" i="7"/>
  <c r="V42" i="7" s="1"/>
  <c r="X42" i="7" s="1"/>
  <c r="W118" i="7"/>
  <c r="AA118" i="7" s="1"/>
  <c r="K118" i="7"/>
  <c r="V118" i="7" s="1"/>
  <c r="W37" i="7"/>
  <c r="K37" i="7"/>
  <c r="V37" i="7" s="1"/>
  <c r="X37" i="7" s="1"/>
  <c r="D22" i="18" l="1"/>
  <c r="C22" i="18"/>
  <c r="C12" i="8"/>
  <c r="H15" i="39"/>
  <c r="A82" i="39"/>
  <c r="E81" i="39"/>
  <c r="G81" i="39"/>
  <c r="C81" i="39"/>
  <c r="J2" i="8"/>
  <c r="A23" i="18"/>
  <c r="AC37" i="7"/>
  <c r="AC42" i="7"/>
  <c r="M42" i="7"/>
  <c r="AC118" i="7"/>
  <c r="M118" i="7"/>
  <c r="M37" i="7"/>
  <c r="C20" i="34"/>
  <c r="C21" i="34" s="1"/>
  <c r="B17" i="34"/>
  <c r="B20" i="34" s="1"/>
  <c r="B21" i="34" s="1"/>
  <c r="C23" i="18" l="1"/>
  <c r="D23" i="18"/>
  <c r="A83" i="39"/>
  <c r="G82" i="39"/>
  <c r="C82" i="39"/>
  <c r="E82" i="39"/>
  <c r="AA43" i="7"/>
  <c r="B12" i="39"/>
  <c r="C8" i="8"/>
  <c r="N2" i="8"/>
  <c r="AA38" i="7"/>
  <c r="K16" i="39"/>
  <c r="A24" i="18"/>
  <c r="C10" i="34"/>
  <c r="C12" i="34" s="1"/>
  <c r="C24" i="34" s="1"/>
  <c r="D24" i="18" l="1"/>
  <c r="C24" i="18"/>
  <c r="C26" i="34"/>
  <c r="C27" i="34" s="1"/>
  <c r="A84" i="39"/>
  <c r="E83" i="39"/>
  <c r="G83" i="39"/>
  <c r="C83" i="39"/>
  <c r="A25" i="18"/>
  <c r="C16" i="34"/>
  <c r="B10" i="34"/>
  <c r="B12" i="34" s="1"/>
  <c r="B24" i="34" s="1"/>
  <c r="Y113" i="7"/>
  <c r="W113" i="7"/>
  <c r="K113" i="7"/>
  <c r="M113" i="7" s="1"/>
  <c r="AC111" i="7"/>
  <c r="W111" i="7"/>
  <c r="K111" i="7"/>
  <c r="M111" i="7" s="1"/>
  <c r="AC110" i="7"/>
  <c r="W110" i="7"/>
  <c r="K110" i="7"/>
  <c r="V110" i="7" s="1"/>
  <c r="S25" i="33"/>
  <c r="S24" i="33"/>
  <c r="Q25" i="33"/>
  <c r="Q24" i="33"/>
  <c r="D25" i="18" l="1"/>
  <c r="C25" i="18"/>
  <c r="B26" i="34"/>
  <c r="B27" i="34" s="1"/>
  <c r="A85" i="39"/>
  <c r="C84" i="39"/>
  <c r="E84" i="39"/>
  <c r="G84" i="39"/>
  <c r="AC113" i="7"/>
  <c r="Z113" i="7"/>
  <c r="I19" i="39"/>
  <c r="AA113" i="7"/>
  <c r="A26" i="18"/>
  <c r="AA112" i="7"/>
  <c r="V113" i="7"/>
  <c r="V111" i="7"/>
  <c r="M110" i="7"/>
  <c r="AA110" i="7" s="1"/>
  <c r="Z110" i="7"/>
  <c r="B16" i="34"/>
  <c r="Y9" i="32"/>
  <c r="T9" i="32"/>
  <c r="L9" i="32"/>
  <c r="O9" i="32" s="1"/>
  <c r="Y8" i="32"/>
  <c r="T8" i="32"/>
  <c r="L8" i="32"/>
  <c r="O8" i="32" s="1"/>
  <c r="Y7" i="32"/>
  <c r="T7" i="32"/>
  <c r="L7" i="32"/>
  <c r="O7" i="32" s="1"/>
  <c r="W14" i="7"/>
  <c r="K14" i="7"/>
  <c r="V14" i="7" s="1"/>
  <c r="X14" i="7" s="1"/>
  <c r="AC16" i="7"/>
  <c r="W16" i="7"/>
  <c r="K16" i="7"/>
  <c r="V16" i="7" s="1"/>
  <c r="X16" i="7" s="1"/>
  <c r="W19" i="7"/>
  <c r="K19" i="7"/>
  <c r="V19" i="7" s="1"/>
  <c r="X19" i="7" s="1"/>
  <c r="AC25" i="7"/>
  <c r="W25" i="7"/>
  <c r="K25" i="7"/>
  <c r="V25" i="7" s="1"/>
  <c r="AC24" i="7"/>
  <c r="W24" i="7"/>
  <c r="K24" i="7"/>
  <c r="V24" i="7" s="1"/>
  <c r="AC23" i="7"/>
  <c r="W23" i="7"/>
  <c r="K23" i="7"/>
  <c r="V23" i="7" s="1"/>
  <c r="AC22" i="7"/>
  <c r="W22" i="7"/>
  <c r="K22" i="7"/>
  <c r="V22" i="7" s="1"/>
  <c r="AC32" i="7"/>
  <c r="W32" i="7"/>
  <c r="K32" i="7"/>
  <c r="V32" i="7" s="1"/>
  <c r="AC34" i="7"/>
  <c r="W34" i="7"/>
  <c r="K34" i="7"/>
  <c r="V34" i="7" s="1"/>
  <c r="C26" i="18" l="1"/>
  <c r="D26" i="18"/>
  <c r="A86" i="39"/>
  <c r="E85" i="39"/>
  <c r="G85" i="39"/>
  <c r="C85" i="39"/>
  <c r="C14" i="39"/>
  <c r="I21" i="39"/>
  <c r="A27" i="18"/>
  <c r="C27" i="18" s="1"/>
  <c r="AC19" i="7"/>
  <c r="Z19" i="7"/>
  <c r="AC14" i="7"/>
  <c r="M14" i="7"/>
  <c r="D6" i="18" s="1"/>
  <c r="M16" i="7"/>
  <c r="M19" i="7"/>
  <c r="M22" i="7"/>
  <c r="M23" i="7"/>
  <c r="M24" i="7"/>
  <c r="M25" i="7"/>
  <c r="M32" i="7"/>
  <c r="Z32" i="7"/>
  <c r="M34" i="7"/>
  <c r="AA35" i="7" s="1"/>
  <c r="I6" i="39" l="1"/>
  <c r="C23" i="39"/>
  <c r="A87" i="39"/>
  <c r="E86" i="39"/>
  <c r="C86" i="39"/>
  <c r="G86" i="39"/>
  <c r="C21" i="39"/>
  <c r="A28" i="18"/>
  <c r="E6" i="18"/>
  <c r="B7" i="18" s="1"/>
  <c r="E7" i="18" s="1"/>
  <c r="B8" i="18" s="1"/>
  <c r="E8" i="18" s="1"/>
  <c r="B9" i="18" s="1"/>
  <c r="E9" i="18" s="1"/>
  <c r="B10" i="18" s="1"/>
  <c r="AC33" i="7"/>
  <c r="W33" i="7"/>
  <c r="K33" i="7"/>
  <c r="V33" i="7" s="1"/>
  <c r="C28" i="18" l="1"/>
  <c r="D28" i="18"/>
  <c r="A88" i="39"/>
  <c r="C87" i="39"/>
  <c r="G87" i="39"/>
  <c r="E87" i="39"/>
  <c r="I9" i="39"/>
  <c r="A29" i="18"/>
  <c r="M33" i="7"/>
  <c r="V76" i="13"/>
  <c r="N76" i="13"/>
  <c r="V75" i="13"/>
  <c r="N75" i="13"/>
  <c r="V74" i="13"/>
  <c r="N74" i="13"/>
  <c r="V196" i="13"/>
  <c r="N196" i="13"/>
  <c r="V193" i="13"/>
  <c r="N193" i="13"/>
  <c r="V192" i="13"/>
  <c r="N192" i="13"/>
  <c r="V191" i="13"/>
  <c r="N191" i="13"/>
  <c r="H111" i="13"/>
  <c r="AC31" i="7"/>
  <c r="W31" i="7"/>
  <c r="K31" i="7"/>
  <c r="V31" i="7" s="1"/>
  <c r="Z109" i="7"/>
  <c r="W109" i="7"/>
  <c r="K109" i="7"/>
  <c r="V109" i="7" s="1"/>
  <c r="AC108" i="7"/>
  <c r="W108" i="7"/>
  <c r="K108" i="7"/>
  <c r="M108" i="7" s="1"/>
  <c r="W28" i="7"/>
  <c r="K28" i="7"/>
  <c r="M28" i="7" s="1"/>
  <c r="AC27" i="7"/>
  <c r="W27" i="7"/>
  <c r="K27" i="7"/>
  <c r="V27" i="7" s="1"/>
  <c r="AC11" i="7"/>
  <c r="W11" i="7"/>
  <c r="K11" i="7"/>
  <c r="V11" i="7" s="1"/>
  <c r="X11" i="7" s="1"/>
  <c r="D29" i="18" l="1"/>
  <c r="C29" i="18"/>
  <c r="A89" i="39"/>
  <c r="E88" i="39"/>
  <c r="G88" i="39"/>
  <c r="C88" i="39"/>
  <c r="A30" i="18"/>
  <c r="AA29" i="7"/>
  <c r="AA36" i="7"/>
  <c r="AA108" i="7"/>
  <c r="AC28" i="7"/>
  <c r="M31" i="7"/>
  <c r="AA32" i="7" s="1"/>
  <c r="AC109" i="7"/>
  <c r="M109" i="7"/>
  <c r="AA109" i="7" s="1"/>
  <c r="V108" i="7"/>
  <c r="Z108" i="7"/>
  <c r="V28" i="7"/>
  <c r="M27" i="7"/>
  <c r="Z27" i="7"/>
  <c r="M11" i="7"/>
  <c r="Z11" i="7"/>
  <c r="Z107" i="7"/>
  <c r="W107" i="7"/>
  <c r="K107" i="7"/>
  <c r="V107" i="7" s="1"/>
  <c r="AC26" i="7"/>
  <c r="W26" i="7"/>
  <c r="K26" i="7"/>
  <c r="V26" i="7" s="1"/>
  <c r="D30" i="18" l="1"/>
  <c r="C30" i="18"/>
  <c r="A90" i="39"/>
  <c r="C89" i="39"/>
  <c r="E89" i="39"/>
  <c r="G89" i="39"/>
  <c r="D27" i="18"/>
  <c r="H19" i="39"/>
  <c r="H21" i="39" s="1"/>
  <c r="K15" i="39"/>
  <c r="K19" i="39" s="1"/>
  <c r="B14" i="39"/>
  <c r="B23" i="39" s="1"/>
  <c r="E12" i="39"/>
  <c r="E14" i="39" s="1"/>
  <c r="A31" i="18"/>
  <c r="AA27" i="7"/>
  <c r="AC107" i="7"/>
  <c r="M107" i="7"/>
  <c r="Z26" i="7"/>
  <c r="M26" i="7"/>
  <c r="D10" i="18" s="1"/>
  <c r="W23" i="33"/>
  <c r="W22" i="33"/>
  <c r="W21" i="33"/>
  <c r="W20" i="33"/>
  <c r="W19" i="33"/>
  <c r="W18" i="33"/>
  <c r="W17" i="33"/>
  <c r="W16" i="33"/>
  <c r="AC21" i="7"/>
  <c r="W21" i="7"/>
  <c r="K21" i="7"/>
  <c r="V21" i="7" s="1"/>
  <c r="W8" i="33"/>
  <c r="W7" i="33"/>
  <c r="W6" i="33"/>
  <c r="W5" i="33"/>
  <c r="W4" i="33"/>
  <c r="W3" i="33"/>
  <c r="W2" i="33"/>
  <c r="AC18" i="7"/>
  <c r="W18" i="7"/>
  <c r="K18" i="7"/>
  <c r="M18" i="7" s="1"/>
  <c r="AA19" i="7" s="1"/>
  <c r="AC15" i="7"/>
  <c r="W15" i="7"/>
  <c r="K15" i="7"/>
  <c r="V15" i="7" s="1"/>
  <c r="X15" i="7" s="1"/>
  <c r="W15" i="33"/>
  <c r="W14" i="33"/>
  <c r="W13" i="33"/>
  <c r="W12" i="33"/>
  <c r="W11" i="33"/>
  <c r="W10" i="33"/>
  <c r="W9" i="33"/>
  <c r="Y10" i="7"/>
  <c r="Y12" i="7"/>
  <c r="B89" i="39" s="1"/>
  <c r="V73" i="13"/>
  <c r="N73" i="13"/>
  <c r="V190" i="13"/>
  <c r="N190" i="13"/>
  <c r="C35" i="23"/>
  <c r="C36" i="23" s="1"/>
  <c r="C31" i="23"/>
  <c r="C38" i="23" s="1"/>
  <c r="C39" i="23" s="1"/>
  <c r="C40" i="23" s="1"/>
  <c r="C28" i="23"/>
  <c r="C10" i="23"/>
  <c r="C12" i="23" s="1"/>
  <c r="C23" i="23" s="1"/>
  <c r="K12" i="7"/>
  <c r="V12" i="7" s="1"/>
  <c r="X12" i="7" s="1"/>
  <c r="C31" i="18" l="1"/>
  <c r="D31" i="18"/>
  <c r="F38" i="39"/>
  <c r="D38" i="39"/>
  <c r="B38" i="39"/>
  <c r="F39" i="39"/>
  <c r="D39" i="39"/>
  <c r="B39" i="39"/>
  <c r="F40" i="39"/>
  <c r="D40" i="39"/>
  <c r="B40" i="39"/>
  <c r="F41" i="39"/>
  <c r="D41" i="39"/>
  <c r="B41" i="39"/>
  <c r="B42" i="39"/>
  <c r="D42" i="39"/>
  <c r="F42" i="39"/>
  <c r="D43" i="39"/>
  <c r="F43" i="39"/>
  <c r="B43" i="39"/>
  <c r="D44" i="39"/>
  <c r="F44" i="39"/>
  <c r="B44" i="39"/>
  <c r="F45" i="39"/>
  <c r="B45" i="39"/>
  <c r="D45" i="39"/>
  <c r="F46" i="39"/>
  <c r="D46" i="39"/>
  <c r="B46" i="39"/>
  <c r="F47" i="39"/>
  <c r="B47" i="39"/>
  <c r="D47" i="39"/>
  <c r="D48" i="39"/>
  <c r="F48" i="39"/>
  <c r="B48" i="39"/>
  <c r="F49" i="39"/>
  <c r="D49" i="39"/>
  <c r="B49" i="39"/>
  <c r="B50" i="39"/>
  <c r="D50" i="39"/>
  <c r="F50" i="39"/>
  <c r="F51" i="39"/>
  <c r="D51" i="39"/>
  <c r="B51" i="39"/>
  <c r="B52" i="39"/>
  <c r="D52" i="39"/>
  <c r="F52" i="39"/>
  <c r="D53" i="39"/>
  <c r="F53" i="39"/>
  <c r="B53" i="39"/>
  <c r="F54" i="39"/>
  <c r="D54" i="39"/>
  <c r="B54" i="39"/>
  <c r="D55" i="39"/>
  <c r="F55" i="39"/>
  <c r="B55" i="39"/>
  <c r="B56" i="39"/>
  <c r="F56" i="39"/>
  <c r="D56" i="39"/>
  <c r="D57" i="39"/>
  <c r="F57" i="39"/>
  <c r="B57" i="39"/>
  <c r="F58" i="39"/>
  <c r="B58" i="39"/>
  <c r="D58" i="39"/>
  <c r="F59" i="39"/>
  <c r="B59" i="39"/>
  <c r="D59" i="39"/>
  <c r="B60" i="39"/>
  <c r="F60" i="39"/>
  <c r="D60" i="39"/>
  <c r="F61" i="39"/>
  <c r="B61" i="39"/>
  <c r="D61" i="39"/>
  <c r="F62" i="39"/>
  <c r="B62" i="39"/>
  <c r="D62" i="39"/>
  <c r="F63" i="39"/>
  <c r="B63" i="39"/>
  <c r="D63" i="39"/>
  <c r="F64" i="39"/>
  <c r="D64" i="39"/>
  <c r="B64" i="39"/>
  <c r="F65" i="39"/>
  <c r="B65" i="39"/>
  <c r="D65" i="39"/>
  <c r="F66" i="39"/>
  <c r="D66" i="39"/>
  <c r="B66" i="39"/>
  <c r="F67" i="39"/>
  <c r="B67" i="39"/>
  <c r="D67" i="39"/>
  <c r="B68" i="39"/>
  <c r="D68" i="39"/>
  <c r="F68" i="39"/>
  <c r="F69" i="39"/>
  <c r="B69" i="39"/>
  <c r="D69" i="39"/>
  <c r="F70" i="39"/>
  <c r="D70" i="39"/>
  <c r="B70" i="39"/>
  <c r="F71" i="39"/>
  <c r="D71" i="39"/>
  <c r="B71" i="39"/>
  <c r="F72" i="39"/>
  <c r="D72" i="39"/>
  <c r="B72" i="39"/>
  <c r="B73" i="39"/>
  <c r="F73" i="39"/>
  <c r="D73" i="39"/>
  <c r="F74" i="39"/>
  <c r="D74" i="39"/>
  <c r="B74" i="39"/>
  <c r="D75" i="39"/>
  <c r="B75" i="39"/>
  <c r="F75" i="39"/>
  <c r="F76" i="39"/>
  <c r="D76" i="39"/>
  <c r="B76" i="39"/>
  <c r="F77" i="39"/>
  <c r="B77" i="39"/>
  <c r="D77" i="39"/>
  <c r="F78" i="39"/>
  <c r="B78" i="39"/>
  <c r="D78" i="39"/>
  <c r="F79" i="39"/>
  <c r="D79" i="39"/>
  <c r="B79" i="39"/>
  <c r="F80" i="39"/>
  <c r="B80" i="39"/>
  <c r="D80" i="39"/>
  <c r="F81" i="39"/>
  <c r="D81" i="39"/>
  <c r="B81" i="39"/>
  <c r="D82" i="39"/>
  <c r="F82" i="39"/>
  <c r="B82" i="39"/>
  <c r="F83" i="39"/>
  <c r="D83" i="39"/>
  <c r="B83" i="39"/>
  <c r="B84" i="39"/>
  <c r="F84" i="39"/>
  <c r="D84" i="39"/>
  <c r="D85" i="39"/>
  <c r="F85" i="39"/>
  <c r="B85" i="39"/>
  <c r="F86" i="39"/>
  <c r="D86" i="39"/>
  <c r="B86" i="39"/>
  <c r="F87" i="39"/>
  <c r="D87" i="39"/>
  <c r="B87" i="39"/>
  <c r="B88" i="39"/>
  <c r="F88" i="39"/>
  <c r="D88" i="39"/>
  <c r="D89" i="39"/>
  <c r="C32" i="37"/>
  <c r="E32" i="37"/>
  <c r="E33" i="37"/>
  <c r="D33" i="37"/>
  <c r="C33" i="37"/>
  <c r="B33" i="37"/>
  <c r="B34" i="37"/>
  <c r="D34" i="37"/>
  <c r="B32" i="37"/>
  <c r="D32" i="37"/>
  <c r="C34" i="37"/>
  <c r="E34" i="37"/>
  <c r="E29" i="37"/>
  <c r="D31" i="37"/>
  <c r="B29" i="37"/>
  <c r="E30" i="37"/>
  <c r="D30" i="37"/>
  <c r="B30" i="37"/>
  <c r="C31" i="37"/>
  <c r="D29" i="37"/>
  <c r="E31" i="37"/>
  <c r="C29" i="37"/>
  <c r="C30" i="37"/>
  <c r="B31" i="37"/>
  <c r="C25" i="37"/>
  <c r="E27" i="37"/>
  <c r="D27" i="37"/>
  <c r="D26" i="37"/>
  <c r="C27" i="37"/>
  <c r="C26" i="37"/>
  <c r="C28" i="37"/>
  <c r="B28" i="37"/>
  <c r="E28" i="37"/>
  <c r="D28" i="37"/>
  <c r="B25" i="37"/>
  <c r="D25" i="37"/>
  <c r="E25" i="37"/>
  <c r="B27" i="37"/>
  <c r="B26" i="37"/>
  <c r="E26" i="37"/>
  <c r="D16" i="37"/>
  <c r="B23" i="37"/>
  <c r="E13" i="37"/>
  <c r="C18" i="37"/>
  <c r="E17" i="37"/>
  <c r="E23" i="37"/>
  <c r="D13" i="37"/>
  <c r="B18" i="37"/>
  <c r="D17" i="37"/>
  <c r="D3" i="37"/>
  <c r="D14" i="37"/>
  <c r="C19" i="37"/>
  <c r="C22" i="37"/>
  <c r="B17" i="37"/>
  <c r="C3" i="37"/>
  <c r="C14" i="37"/>
  <c r="B19" i="37"/>
  <c r="B22" i="37"/>
  <c r="C17" i="37"/>
  <c r="B3" i="37"/>
  <c r="B14" i="37"/>
  <c r="D19" i="37"/>
  <c r="D22" i="37"/>
  <c r="C20" i="37"/>
  <c r="E3" i="37"/>
  <c r="E14" i="37"/>
  <c r="E19" i="37"/>
  <c r="E22" i="37"/>
  <c r="E20" i="37"/>
  <c r="E4" i="37"/>
  <c r="E24" i="37"/>
  <c r="E15" i="37"/>
  <c r="E21" i="37"/>
  <c r="D20" i="37"/>
  <c r="D4" i="37"/>
  <c r="D24" i="37"/>
  <c r="D15" i="37"/>
  <c r="D21" i="37"/>
  <c r="B20" i="37"/>
  <c r="C4" i="37"/>
  <c r="C24" i="37"/>
  <c r="B15" i="37"/>
  <c r="C21" i="37"/>
  <c r="C16" i="37"/>
  <c r="B4" i="37"/>
  <c r="B24" i="37"/>
  <c r="C15" i="37"/>
  <c r="B21" i="37"/>
  <c r="B16" i="37"/>
  <c r="D23" i="37"/>
  <c r="C13" i="37"/>
  <c r="E18" i="37"/>
  <c r="E16" i="37"/>
  <c r="C23" i="37"/>
  <c r="B13" i="37"/>
  <c r="D18" i="37"/>
  <c r="E5" i="37"/>
  <c r="D10" i="37"/>
  <c r="D7" i="37"/>
  <c r="B12" i="37"/>
  <c r="C10" i="37"/>
  <c r="C7" i="37"/>
  <c r="C12" i="37"/>
  <c r="B6" i="37"/>
  <c r="B9" i="37"/>
  <c r="D11" i="37"/>
  <c r="C6" i="37"/>
  <c r="E9" i="37"/>
  <c r="E12" i="37"/>
  <c r="E7" i="37"/>
  <c r="D12" i="37"/>
  <c r="D5" i="37"/>
  <c r="D8" i="37"/>
  <c r="C5" i="37"/>
  <c r="B10" i="37"/>
  <c r="B7" i="37"/>
  <c r="B11" i="37"/>
  <c r="B5" i="37"/>
  <c r="D9" i="37"/>
  <c r="E11" i="37"/>
  <c r="C9" i="37"/>
  <c r="C11" i="37"/>
  <c r="E6" i="37"/>
  <c r="D6" i="37"/>
  <c r="C8" i="37"/>
  <c r="B8" i="37"/>
  <c r="E8" i="37"/>
  <c r="E10" i="37"/>
  <c r="F89" i="39"/>
  <c r="A91" i="39"/>
  <c r="D90" i="39"/>
  <c r="F90" i="39"/>
  <c r="B90" i="39"/>
  <c r="E90" i="39"/>
  <c r="G90" i="39"/>
  <c r="C90" i="39"/>
  <c r="B21" i="39"/>
  <c r="E21" i="39" s="1"/>
  <c r="H6" i="39"/>
  <c r="K21" i="39"/>
  <c r="A32" i="18"/>
  <c r="C9" i="8"/>
  <c r="AA26" i="7"/>
  <c r="E10" i="18"/>
  <c r="B11" i="18" s="1"/>
  <c r="E11" i="18" s="1"/>
  <c r="B12" i="18" s="1"/>
  <c r="E12" i="18" s="1"/>
  <c r="B13" i="18" s="1"/>
  <c r="E13" i="18" s="1"/>
  <c r="B14" i="18" s="1"/>
  <c r="AA107" i="7"/>
  <c r="AC12" i="7"/>
  <c r="M21" i="7"/>
  <c r="AA24" i="7" s="1"/>
  <c r="V18" i="7"/>
  <c r="X18" i="7" s="1"/>
  <c r="M15" i="7"/>
  <c r="C19" i="23"/>
  <c r="C16" i="23"/>
  <c r="M12" i="7"/>
  <c r="D32" i="18" l="1"/>
  <c r="C32" i="18"/>
  <c r="A92" i="39"/>
  <c r="F91" i="39"/>
  <c r="D91" i="39"/>
  <c r="B91" i="39"/>
  <c r="E91" i="39"/>
  <c r="C91" i="39"/>
  <c r="G91" i="39"/>
  <c r="C7" i="8"/>
  <c r="J5" i="8" s="1"/>
  <c r="B27" i="39"/>
  <c r="H90" i="39"/>
  <c r="H57" i="39"/>
  <c r="H59" i="39"/>
  <c r="H73" i="39"/>
  <c r="H75" i="39"/>
  <c r="H48" i="39"/>
  <c r="H50" i="39"/>
  <c r="H82" i="39"/>
  <c r="H79" i="39"/>
  <c r="H45" i="39"/>
  <c r="H60" i="39"/>
  <c r="H49" i="39"/>
  <c r="H39" i="39"/>
  <c r="H74" i="39"/>
  <c r="H63" i="39"/>
  <c r="H76" i="39"/>
  <c r="H61" i="39"/>
  <c r="H65" i="39"/>
  <c r="H72" i="39"/>
  <c r="H51" i="39"/>
  <c r="H56" i="39"/>
  <c r="H41" i="39"/>
  <c r="H81" i="39"/>
  <c r="H84" i="39"/>
  <c r="H58" i="39"/>
  <c r="H86" i="39"/>
  <c r="H54" i="39"/>
  <c r="H89" i="39"/>
  <c r="H68" i="39"/>
  <c r="H42" i="39"/>
  <c r="H44" i="39"/>
  <c r="H53" i="39"/>
  <c r="H77" i="39"/>
  <c r="H70" i="39"/>
  <c r="H88" i="39"/>
  <c r="H66" i="39"/>
  <c r="H78" i="39"/>
  <c r="H69" i="39"/>
  <c r="H85" i="39"/>
  <c r="H87" i="39"/>
  <c r="H83" i="39"/>
  <c r="H71" i="39"/>
  <c r="H62" i="39"/>
  <c r="H46" i="39"/>
  <c r="H80" i="39"/>
  <c r="H52" i="39"/>
  <c r="H47" i="39"/>
  <c r="H55" i="39"/>
  <c r="H67" i="39"/>
  <c r="H64" i="39"/>
  <c r="H40" i="39"/>
  <c r="H43" i="39"/>
  <c r="H38" i="39"/>
  <c r="K6" i="39"/>
  <c r="A33" i="18"/>
  <c r="AA17" i="7"/>
  <c r="C25" i="23"/>
  <c r="V72" i="13"/>
  <c r="N72" i="13"/>
  <c r="V194" i="13"/>
  <c r="N194" i="13"/>
  <c r="C33" i="18" l="1"/>
  <c r="D33" i="18"/>
  <c r="H91" i="39"/>
  <c r="A93" i="39"/>
  <c r="F92" i="39"/>
  <c r="B92" i="39"/>
  <c r="D92" i="39"/>
  <c r="E92" i="39"/>
  <c r="G92" i="39"/>
  <c r="C92" i="39"/>
  <c r="B26" i="39"/>
  <c r="E27" i="39"/>
  <c r="A34" i="18"/>
  <c r="C26" i="23"/>
  <c r="AC10" i="7"/>
  <c r="W10" i="7"/>
  <c r="K10" i="7"/>
  <c r="V10" i="7" s="1"/>
  <c r="X10" i="7" s="1"/>
  <c r="AC8" i="7"/>
  <c r="Z8" i="7"/>
  <c r="W8" i="7"/>
  <c r="K8" i="7"/>
  <c r="V8" i="7" s="1"/>
  <c r="X8" i="7" s="1"/>
  <c r="D34" i="18" l="1"/>
  <c r="C34" i="18"/>
  <c r="H92" i="39"/>
  <c r="A94" i="39"/>
  <c r="F93" i="39"/>
  <c r="D93" i="39"/>
  <c r="B93" i="39"/>
  <c r="E93" i="39"/>
  <c r="G93" i="39"/>
  <c r="C93" i="39"/>
  <c r="E26" i="39"/>
  <c r="H7" i="39"/>
  <c r="A35" i="18"/>
  <c r="C41" i="23"/>
  <c r="M10" i="7"/>
  <c r="AA11" i="7" s="1"/>
  <c r="M8" i="7"/>
  <c r="AA8" i="7" s="1"/>
  <c r="AF23" i="33"/>
  <c r="AF22" i="33"/>
  <c r="AF21" i="33"/>
  <c r="AF20" i="33"/>
  <c r="AF19" i="33"/>
  <c r="AF18" i="33"/>
  <c r="AF17" i="33"/>
  <c r="AF16" i="33"/>
  <c r="AF15" i="33"/>
  <c r="AF14" i="33"/>
  <c r="AF13" i="33"/>
  <c r="AF12" i="33"/>
  <c r="AF11" i="33"/>
  <c r="AF10" i="33"/>
  <c r="AF9" i="33"/>
  <c r="AF8" i="33"/>
  <c r="AF7" i="33"/>
  <c r="AF6" i="33"/>
  <c r="AF5" i="33"/>
  <c r="AF4" i="33"/>
  <c r="AF3" i="33"/>
  <c r="AF2" i="33"/>
  <c r="D35" i="18" l="1"/>
  <c r="C35" i="18"/>
  <c r="A95" i="39"/>
  <c r="F94" i="39"/>
  <c r="D94" i="39"/>
  <c r="B94" i="39"/>
  <c r="E94" i="39"/>
  <c r="G94" i="39"/>
  <c r="C94" i="39"/>
  <c r="H93" i="39"/>
  <c r="H9" i="39"/>
  <c r="K7" i="39"/>
  <c r="K9" i="39" s="1"/>
  <c r="A36" i="18"/>
  <c r="AC3" i="7"/>
  <c r="W3" i="7"/>
  <c r="K3" i="7"/>
  <c r="AC5" i="7"/>
  <c r="W5" i="7"/>
  <c r="K5" i="7"/>
  <c r="V5" i="7" s="1"/>
  <c r="X5" i="7" s="1"/>
  <c r="AC6" i="7"/>
  <c r="Z6" i="7"/>
  <c r="W6" i="7"/>
  <c r="K6" i="7"/>
  <c r="V6" i="7" s="1"/>
  <c r="X6" i="7" s="1"/>
  <c r="AC4" i="7"/>
  <c r="Z4" i="7"/>
  <c r="W4" i="7"/>
  <c r="K4" i="7"/>
  <c r="V4" i="7" s="1"/>
  <c r="X4" i="7" s="1"/>
  <c r="AC2" i="7"/>
  <c r="Z2" i="7"/>
  <c r="W2" i="7"/>
  <c r="D36" i="18" l="1"/>
  <c r="C36" i="18"/>
  <c r="H94" i="39"/>
  <c r="H5" i="37"/>
  <c r="B163" i="39"/>
  <c r="B162" i="39"/>
  <c r="H7" i="37"/>
  <c r="B161" i="39"/>
  <c r="B160" i="39"/>
  <c r="H10" i="37"/>
  <c r="H6" i="37"/>
  <c r="H8" i="37"/>
  <c r="H9" i="37"/>
  <c r="H4" i="37"/>
  <c r="B164" i="39"/>
  <c r="H3" i="37"/>
  <c r="B165" i="39"/>
  <c r="B159" i="39"/>
  <c r="H11" i="37"/>
  <c r="B158" i="39"/>
  <c r="A96" i="39"/>
  <c r="F95" i="39"/>
  <c r="D95" i="39"/>
  <c r="B95" i="39"/>
  <c r="E95" i="39"/>
  <c r="C95" i="39"/>
  <c r="G95" i="39"/>
  <c r="C4" i="8"/>
  <c r="A37" i="18"/>
  <c r="C3" i="8"/>
  <c r="V3" i="7"/>
  <c r="X3" i="7" s="1"/>
  <c r="K223" i="7"/>
  <c r="C11" i="8"/>
  <c r="V2" i="7"/>
  <c r="W223" i="7"/>
  <c r="M3" i="7"/>
  <c r="AA3" i="7" s="1"/>
  <c r="M5" i="7"/>
  <c r="AA5" i="7" s="1"/>
  <c r="M6" i="7"/>
  <c r="D14" i="18" s="1"/>
  <c r="M4" i="7"/>
  <c r="M2" i="7"/>
  <c r="D37" i="18" l="1"/>
  <c r="C37" i="18"/>
  <c r="D19" i="18"/>
  <c r="D17" i="18"/>
  <c r="A97" i="39"/>
  <c r="F96" i="39"/>
  <c r="B96" i="39"/>
  <c r="D96" i="39"/>
  <c r="E96" i="39"/>
  <c r="C96" i="39"/>
  <c r="G96" i="39"/>
  <c r="H95" i="39"/>
  <c r="H36" i="37"/>
  <c r="A38" i="18"/>
  <c r="M223" i="7"/>
  <c r="E36" i="37"/>
  <c r="AA4" i="7"/>
  <c r="AA6" i="7"/>
  <c r="E14" i="18"/>
  <c r="B15" i="18" s="1"/>
  <c r="E15" i="18" s="1"/>
  <c r="B16" i="18" s="1"/>
  <c r="E16" i="18" s="1"/>
  <c r="B17" i="18" s="1"/>
  <c r="AA2" i="7"/>
  <c r="X2" i="7"/>
  <c r="X223" i="7" s="1"/>
  <c r="V223" i="7"/>
  <c r="C38" i="18" l="1"/>
  <c r="D38" i="18"/>
  <c r="H96" i="39"/>
  <c r="A98" i="39"/>
  <c r="F97" i="39"/>
  <c r="D97" i="39"/>
  <c r="B97" i="39"/>
  <c r="E97" i="39"/>
  <c r="C97" i="39"/>
  <c r="G97" i="39"/>
  <c r="A39" i="18"/>
  <c r="E17" i="18"/>
  <c r="B18" i="18" s="1"/>
  <c r="E18" i="18" s="1"/>
  <c r="B19" i="18" s="1"/>
  <c r="E19" i="18" s="1"/>
  <c r="B20" i="18" s="1"/>
  <c r="E20" i="18" s="1"/>
  <c r="B21" i="18" s="1"/>
  <c r="E21" i="18" s="1"/>
  <c r="B22" i="18" s="1"/>
  <c r="E22" i="18" s="1"/>
  <c r="B23" i="18" s="1"/>
  <c r="E23" i="18" s="1"/>
  <c r="B24" i="18" s="1"/>
  <c r="E24" i="18" s="1"/>
  <c r="B25" i="18" s="1"/>
  <c r="E25" i="18" s="1"/>
  <c r="B26" i="18" s="1"/>
  <c r="E26" i="18" s="1"/>
  <c r="B27" i="18" s="1"/>
  <c r="E27" i="18" s="1"/>
  <c r="B28" i="18" s="1"/>
  <c r="E28" i="18" s="1"/>
  <c r="B29" i="18" s="1"/>
  <c r="E29" i="18" s="1"/>
  <c r="B30" i="18" s="1"/>
  <c r="E30" i="18" s="1"/>
  <c r="B31" i="18" s="1"/>
  <c r="E31" i="18" s="1"/>
  <c r="B32" i="18" s="1"/>
  <c r="E32" i="18" s="1"/>
  <c r="B33" i="18" s="1"/>
  <c r="E33" i="18" s="1"/>
  <c r="B34" i="18" s="1"/>
  <c r="E34" i="18" s="1"/>
  <c r="B35" i="18" s="1"/>
  <c r="E35" i="18" s="1"/>
  <c r="B36" i="18" s="1"/>
  <c r="E36" i="18" s="1"/>
  <c r="B37" i="18" s="1"/>
  <c r="E37" i="18" s="1"/>
  <c r="B38" i="18" s="1"/>
  <c r="V70" i="13"/>
  <c r="N70" i="13"/>
  <c r="D39" i="18" l="1"/>
  <c r="C39" i="18"/>
  <c r="H97" i="39"/>
  <c r="A99" i="39"/>
  <c r="F98" i="39"/>
  <c r="D98" i="39"/>
  <c r="B98" i="39"/>
  <c r="C98" i="39"/>
  <c r="E98" i="39"/>
  <c r="G98" i="39"/>
  <c r="E38" i="18"/>
  <c r="B39" i="18" s="1"/>
  <c r="A40" i="18"/>
  <c r="V69" i="13"/>
  <c r="N69" i="13"/>
  <c r="D40" i="18" l="1"/>
  <c r="C40" i="18"/>
  <c r="H98" i="39"/>
  <c r="C99" i="39"/>
  <c r="F99" i="39"/>
  <c r="D99" i="39"/>
  <c r="B99" i="39"/>
  <c r="G99" i="39"/>
  <c r="A100" i="39"/>
  <c r="E99" i="39"/>
  <c r="A41" i="18"/>
  <c r="E39" i="18"/>
  <c r="B40" i="18" s="1"/>
  <c r="V68" i="13"/>
  <c r="N68" i="13"/>
  <c r="V186" i="13"/>
  <c r="N186" i="13"/>
  <c r="V185" i="13"/>
  <c r="N185" i="13"/>
  <c r="S23" i="33"/>
  <c r="Q23" i="33"/>
  <c r="AG23" i="33" s="1"/>
  <c r="AH23" i="33" s="1"/>
  <c r="C41" i="18" l="1"/>
  <c r="D41" i="18"/>
  <c r="F100" i="39"/>
  <c r="B100" i="39"/>
  <c r="D100" i="39"/>
  <c r="C100" i="39"/>
  <c r="E100" i="39"/>
  <c r="A101" i="39"/>
  <c r="G100" i="39"/>
  <c r="H99" i="39"/>
  <c r="E40" i="18"/>
  <c r="B41" i="18" s="1"/>
  <c r="A42" i="18"/>
  <c r="S22" i="33"/>
  <c r="Q22" i="33"/>
  <c r="AG22" i="33" s="1"/>
  <c r="AH22" i="33" s="1"/>
  <c r="S21" i="33"/>
  <c r="Q21" i="33"/>
  <c r="AG21" i="33" s="1"/>
  <c r="AH21" i="33" s="1"/>
  <c r="S20" i="33"/>
  <c r="Q20" i="33"/>
  <c r="AG20" i="33" s="1"/>
  <c r="AH20" i="33" s="1"/>
  <c r="S19" i="33"/>
  <c r="Q19" i="33"/>
  <c r="AG19" i="33" s="1"/>
  <c r="AH19" i="33" s="1"/>
  <c r="S18" i="33"/>
  <c r="Q18" i="33"/>
  <c r="AG18" i="33" s="1"/>
  <c r="AH18" i="33" s="1"/>
  <c r="S17" i="33"/>
  <c r="Q17" i="33"/>
  <c r="AG17" i="33" s="1"/>
  <c r="AH17" i="33" s="1"/>
  <c r="S16" i="33"/>
  <c r="Q16" i="33"/>
  <c r="AG16" i="33" s="1"/>
  <c r="AH16" i="33" s="1"/>
  <c r="Q2" i="33"/>
  <c r="Q3" i="33"/>
  <c r="AG3" i="33" s="1"/>
  <c r="AH3" i="33" s="1"/>
  <c r="Q4" i="33"/>
  <c r="AG4" i="33" s="1"/>
  <c r="AH4" i="33" s="1"/>
  <c r="Q5" i="33"/>
  <c r="AG5" i="33" s="1"/>
  <c r="AH5" i="33" s="1"/>
  <c r="Q6" i="33"/>
  <c r="AG6" i="33" s="1"/>
  <c r="AH6" i="33" s="1"/>
  <c r="Q7" i="33"/>
  <c r="AG7" i="33" s="1"/>
  <c r="AH7" i="33" s="1"/>
  <c r="Q8" i="33"/>
  <c r="AG8" i="33" s="1"/>
  <c r="AH8" i="33" s="1"/>
  <c r="Q9" i="33"/>
  <c r="AG9" i="33" s="1"/>
  <c r="AH9" i="33" s="1"/>
  <c r="Q10" i="33"/>
  <c r="AG10" i="33" s="1"/>
  <c r="AH10" i="33" s="1"/>
  <c r="Q11" i="33"/>
  <c r="AG11" i="33" s="1"/>
  <c r="AH11" i="33" s="1"/>
  <c r="Q12" i="33"/>
  <c r="AG12" i="33" s="1"/>
  <c r="AH12" i="33" s="1"/>
  <c r="Q13" i="33"/>
  <c r="AG13" i="33" s="1"/>
  <c r="AH13" i="33" s="1"/>
  <c r="Q14" i="33"/>
  <c r="AG14" i="33" s="1"/>
  <c r="AH14" i="33" s="1"/>
  <c r="Q15" i="33"/>
  <c r="AG15" i="33" s="1"/>
  <c r="AH15" i="33" s="1"/>
  <c r="N188" i="13"/>
  <c r="V188" i="13"/>
  <c r="S2" i="33"/>
  <c r="S3" i="33"/>
  <c r="S4" i="33"/>
  <c r="S5" i="33"/>
  <c r="S6" i="33"/>
  <c r="S7" i="33"/>
  <c r="S8" i="33"/>
  <c r="S9" i="33"/>
  <c r="S10" i="33"/>
  <c r="S11" i="33"/>
  <c r="S12" i="33"/>
  <c r="S13" i="33"/>
  <c r="S14" i="33"/>
  <c r="S15" i="33"/>
  <c r="V195" i="13"/>
  <c r="N195" i="13"/>
  <c r="N167" i="13"/>
  <c r="H103" i="13"/>
  <c r="N200" i="13"/>
  <c r="H104" i="13"/>
  <c r="H105" i="13"/>
  <c r="H106" i="13"/>
  <c r="L203" i="13"/>
  <c r="L99" i="13" s="1"/>
  <c r="H109" i="13"/>
  <c r="H110" i="13"/>
  <c r="V181" i="13"/>
  <c r="N181" i="13"/>
  <c r="V183" i="13"/>
  <c r="N183" i="13"/>
  <c r="V67" i="13"/>
  <c r="N67" i="13"/>
  <c r="V44" i="13"/>
  <c r="V43" i="13"/>
  <c r="V205" i="13"/>
  <c r="V40" i="13"/>
  <c r="M4" i="31"/>
  <c r="V175" i="13"/>
  <c r="N175" i="13"/>
  <c r="V180" i="13"/>
  <c r="N180" i="13"/>
  <c r="V36" i="13"/>
  <c r="N65" i="13"/>
  <c r="V182" i="13"/>
  <c r="N182" i="13"/>
  <c r="V173" i="13"/>
  <c r="N173" i="13"/>
  <c r="V172" i="13"/>
  <c r="N172" i="13"/>
  <c r="V174" i="13"/>
  <c r="N174" i="13"/>
  <c r="V202" i="13"/>
  <c r="N207" i="13"/>
  <c r="V171" i="13"/>
  <c r="N171" i="13"/>
  <c r="V184" i="13"/>
  <c r="N184" i="13"/>
  <c r="V179" i="13"/>
  <c r="N179" i="13"/>
  <c r="V187" i="13"/>
  <c r="N187" i="13"/>
  <c r="V178" i="13"/>
  <c r="N178" i="13"/>
  <c r="V177" i="13"/>
  <c r="N177" i="13"/>
  <c r="V164" i="13"/>
  <c r="N164" i="13"/>
  <c r="V201" i="13"/>
  <c r="T10" i="32"/>
  <c r="L10" i="32"/>
  <c r="O10" i="32" s="1"/>
  <c r="V165" i="13"/>
  <c r="N165" i="13"/>
  <c r="N169" i="13"/>
  <c r="N168" i="13"/>
  <c r="N170" i="13"/>
  <c r="V176" i="13"/>
  <c r="N176" i="13"/>
  <c r="V64" i="13"/>
  <c r="A4" i="23"/>
  <c r="A5" i="23" s="1"/>
  <c r="A6" i="23" s="1"/>
  <c r="A7" i="23" s="1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V166" i="13"/>
  <c r="N166" i="13"/>
  <c r="V38" i="13"/>
  <c r="V37" i="13"/>
  <c r="V60" i="13"/>
  <c r="N60" i="13"/>
  <c r="V24" i="13"/>
  <c r="V23" i="13"/>
  <c r="V22" i="13"/>
  <c r="V21" i="13"/>
  <c r="V5" i="13"/>
  <c r="V4" i="13"/>
  <c r="V59" i="13"/>
  <c r="V208" i="13"/>
  <c r="V206" i="13"/>
  <c r="V58" i="13"/>
  <c r="V57" i="13"/>
  <c r="V56" i="13"/>
  <c r="V55" i="13"/>
  <c r="V54" i="13"/>
  <c r="V53" i="13"/>
  <c r="V52" i="13"/>
  <c r="V51" i="13"/>
  <c r="V49" i="13"/>
  <c r="V47" i="13"/>
  <c r="V46" i="13"/>
  <c r="V161" i="13"/>
  <c r="V163" i="13"/>
  <c r="V41" i="13"/>
  <c r="V35" i="13"/>
  <c r="V32" i="13"/>
  <c r="V30" i="13"/>
  <c r="V28" i="13"/>
  <c r="V25" i="13"/>
  <c r="V20" i="13"/>
  <c r="V17" i="13"/>
  <c r="V15" i="13"/>
  <c r="V162" i="13"/>
  <c r="V13" i="13"/>
  <c r="V10" i="13"/>
  <c r="V9" i="13"/>
  <c r="V7" i="13"/>
  <c r="V6" i="13"/>
  <c r="V3" i="13"/>
  <c r="V2" i="13"/>
  <c r="L32" i="9"/>
  <c r="N159" i="13"/>
  <c r="N158" i="13"/>
  <c r="N157" i="13"/>
  <c r="N156" i="13"/>
  <c r="N155" i="13"/>
  <c r="G3" i="32"/>
  <c r="Y4" i="32"/>
  <c r="T4" i="32"/>
  <c r="L4" i="32"/>
  <c r="O4" i="32" s="1"/>
  <c r="T3" i="32"/>
  <c r="Y3" i="32"/>
  <c r="L3" i="32"/>
  <c r="O3" i="32" s="1"/>
  <c r="AA114" i="20"/>
  <c r="L114" i="20"/>
  <c r="N59" i="13"/>
  <c r="L112" i="20"/>
  <c r="L113" i="20"/>
  <c r="L107" i="20"/>
  <c r="L111" i="20"/>
  <c r="L110" i="20"/>
  <c r="L109" i="20"/>
  <c r="N160" i="13"/>
  <c r="A160" i="13"/>
  <c r="L108" i="20"/>
  <c r="AA112" i="20"/>
  <c r="L106" i="20"/>
  <c r="AA107" i="20"/>
  <c r="L104" i="20"/>
  <c r="L105" i="20"/>
  <c r="AA105" i="20"/>
  <c r="L103" i="20"/>
  <c r="L102" i="20"/>
  <c r="L101" i="20"/>
  <c r="L100" i="20"/>
  <c r="L99" i="20"/>
  <c r="L98" i="20"/>
  <c r="L97" i="20"/>
  <c r="L96" i="20"/>
  <c r="L95" i="20"/>
  <c r="L94" i="20"/>
  <c r="L93" i="20"/>
  <c r="L92" i="20"/>
  <c r="L91" i="20"/>
  <c r="L90" i="20"/>
  <c r="L89" i="20"/>
  <c r="L88" i="20"/>
  <c r="L87" i="20"/>
  <c r="L86" i="20"/>
  <c r="L85" i="20"/>
  <c r="L84" i="20"/>
  <c r="L83" i="20"/>
  <c r="L82" i="20"/>
  <c r="L81" i="20"/>
  <c r="L80" i="20"/>
  <c r="L79" i="20"/>
  <c r="L78" i="20"/>
  <c r="L77" i="20"/>
  <c r="L76" i="20"/>
  <c r="L75" i="20"/>
  <c r="AA104" i="20"/>
  <c r="L74" i="20"/>
  <c r="L73" i="20"/>
  <c r="L72" i="20"/>
  <c r="L71" i="20"/>
  <c r="L70" i="20"/>
  <c r="L69" i="20"/>
  <c r="L68" i="20"/>
  <c r="L67" i="20"/>
  <c r="L66" i="20"/>
  <c r="L65" i="20"/>
  <c r="L64" i="20"/>
  <c r="L63" i="20"/>
  <c r="L62" i="20"/>
  <c r="L61" i="20"/>
  <c r="L60" i="20"/>
  <c r="L59" i="20"/>
  <c r="AA74" i="20"/>
  <c r="L58" i="20"/>
  <c r="L57" i="20"/>
  <c r="L56" i="20"/>
  <c r="L55" i="20"/>
  <c r="L54" i="20"/>
  <c r="L53" i="20"/>
  <c r="L52" i="20"/>
  <c r="L51" i="20"/>
  <c r="L50" i="20"/>
  <c r="L49" i="20"/>
  <c r="L48" i="20"/>
  <c r="L47" i="20"/>
  <c r="L46" i="20"/>
  <c r="L45" i="20"/>
  <c r="L44" i="20"/>
  <c r="L43" i="20"/>
  <c r="L42" i="20"/>
  <c r="L41" i="20"/>
  <c r="L40" i="20"/>
  <c r="L39" i="20"/>
  <c r="L38" i="20"/>
  <c r="AA58" i="20"/>
  <c r="L37" i="20"/>
  <c r="AA37" i="20"/>
  <c r="L36" i="20"/>
  <c r="AA36" i="20"/>
  <c r="L35" i="20"/>
  <c r="L34" i="20"/>
  <c r="AA35" i="20"/>
  <c r="L26" i="20"/>
  <c r="AA33" i="20"/>
  <c r="L25" i="20"/>
  <c r="AA25" i="20"/>
  <c r="L24" i="20"/>
  <c r="L23" i="20"/>
  <c r="L22" i="20"/>
  <c r="L21" i="20"/>
  <c r="L20" i="20"/>
  <c r="AA24" i="20"/>
  <c r="L16" i="20"/>
  <c r="AA19" i="20"/>
  <c r="AA15" i="20"/>
  <c r="AB9" i="20"/>
  <c r="D9" i="20"/>
  <c r="D7" i="20"/>
  <c r="C6" i="20"/>
  <c r="D6" i="20"/>
  <c r="N25" i="13"/>
  <c r="N20" i="13"/>
  <c r="N17" i="13"/>
  <c r="N151" i="13"/>
  <c r="N140" i="13"/>
  <c r="N136" i="13"/>
  <c r="N15" i="13"/>
  <c r="N162" i="13"/>
  <c r="N13" i="13"/>
  <c r="N143" i="13"/>
  <c r="N10" i="13"/>
  <c r="N149" i="13"/>
  <c r="N139" i="13"/>
  <c r="N9" i="13"/>
  <c r="N3" i="13"/>
  <c r="N6" i="13"/>
  <c r="N7" i="13"/>
  <c r="N32" i="13"/>
  <c r="N35" i="13"/>
  <c r="N37" i="13"/>
  <c r="N38" i="13"/>
  <c r="N40" i="13"/>
  <c r="N41" i="13"/>
  <c r="N205" i="13"/>
  <c r="N43" i="13"/>
  <c r="N44" i="13"/>
  <c r="N46" i="13"/>
  <c r="N47" i="13"/>
  <c r="N49" i="13"/>
  <c r="N134" i="13"/>
  <c r="N150" i="13"/>
  <c r="N144" i="13"/>
  <c r="N145" i="13"/>
  <c r="N135" i="13"/>
  <c r="N129" i="13"/>
  <c r="N131" i="13"/>
  <c r="A131" i="13"/>
  <c r="N148" i="13"/>
  <c r="N137" i="13"/>
  <c r="N161" i="13"/>
  <c r="M2" i="31"/>
  <c r="A2" i="31"/>
  <c r="N142" i="13"/>
  <c r="N130" i="13"/>
  <c r="N125" i="13"/>
  <c r="N128" i="13"/>
  <c r="N163" i="13"/>
  <c r="S11" i="16"/>
  <c r="G11" i="16"/>
  <c r="H11" i="16"/>
  <c r="N11" i="16"/>
  <c r="A6" i="9"/>
  <c r="A7" i="9" s="1"/>
  <c r="A8" i="9" s="1"/>
  <c r="A9" i="9" s="1"/>
  <c r="A10" i="9" s="1"/>
  <c r="A11" i="9" s="1"/>
  <c r="A12" i="9" s="1"/>
  <c r="A37" i="9" s="1"/>
  <c r="A38" i="9"/>
  <c r="A18" i="9"/>
  <c r="A21" i="9" s="1"/>
  <c r="N121" i="13"/>
  <c r="A2" i="13"/>
  <c r="A120" i="13" s="1"/>
  <c r="A121" i="13" s="1"/>
  <c r="N147" i="13"/>
  <c r="N138" i="13"/>
  <c r="N146" i="13"/>
  <c r="N154" i="13"/>
  <c r="N153" i="13"/>
  <c r="N133" i="13"/>
  <c r="G10" i="16"/>
  <c r="H10" i="16" s="1"/>
  <c r="K10" i="16" s="1"/>
  <c r="N10" i="16" s="1"/>
  <c r="H9" i="16"/>
  <c r="K9" i="16" s="1"/>
  <c r="N9" i="16" s="1"/>
  <c r="S9" i="16"/>
  <c r="G9" i="16"/>
  <c r="V8" i="16"/>
  <c r="X8" i="16"/>
  <c r="S8" i="16"/>
  <c r="K8" i="16"/>
  <c r="N8" i="16"/>
  <c r="G8" i="16"/>
  <c r="V7" i="16"/>
  <c r="X7" i="16" s="1"/>
  <c r="S7" i="16"/>
  <c r="K7" i="16"/>
  <c r="N7" i="16" s="1"/>
  <c r="G7" i="16"/>
  <c r="V6" i="16"/>
  <c r="X6" i="16"/>
  <c r="S6" i="16"/>
  <c r="K6" i="16"/>
  <c r="N6" i="16"/>
  <c r="G6" i="16"/>
  <c r="V5" i="16"/>
  <c r="X5" i="16"/>
  <c r="S5" i="16"/>
  <c r="K5" i="16"/>
  <c r="N5" i="16" s="1"/>
  <c r="G5" i="16"/>
  <c r="V4" i="16"/>
  <c r="X4" i="16"/>
  <c r="S4" i="16"/>
  <c r="K4" i="16"/>
  <c r="N4" i="16"/>
  <c r="G4" i="16"/>
  <c r="A4" i="16"/>
  <c r="A5" i="16" s="1"/>
  <c r="A6" i="16" s="1"/>
  <c r="A7" i="16" s="1"/>
  <c r="A8" i="16" s="1"/>
  <c r="A9" i="16" s="1"/>
  <c r="A10" i="16" s="1"/>
  <c r="A11" i="16" s="1"/>
  <c r="V3" i="16"/>
  <c r="X3" i="16" s="1"/>
  <c r="S3" i="16"/>
  <c r="K3" i="16"/>
  <c r="N3" i="16"/>
  <c r="G3" i="16"/>
  <c r="N124" i="13"/>
  <c r="A146" i="13"/>
  <c r="A138" i="13" s="1"/>
  <c r="A147" i="13" s="1"/>
  <c r="A40" i="13"/>
  <c r="A41" i="13" s="1"/>
  <c r="A163" i="13" s="1"/>
  <c r="A128" i="13" s="1"/>
  <c r="A125" i="13" s="1"/>
  <c r="A43" i="13"/>
  <c r="A130" i="13" s="1"/>
  <c r="A142" i="13"/>
  <c r="A161" i="13" s="1"/>
  <c r="A137" i="13" s="1"/>
  <c r="C42" i="18" l="1"/>
  <c r="D42" i="18"/>
  <c r="C165" i="39"/>
  <c r="C164" i="39"/>
  <c r="C163" i="39"/>
  <c r="C162" i="39"/>
  <c r="C161" i="39"/>
  <c r="C160" i="39"/>
  <c r="C23" i="8"/>
  <c r="C24" i="8"/>
  <c r="C22" i="8"/>
  <c r="C21" i="8"/>
  <c r="C20" i="8"/>
  <c r="D101" i="39"/>
  <c r="F101" i="39"/>
  <c r="B101" i="39"/>
  <c r="A102" i="39"/>
  <c r="C101" i="39"/>
  <c r="E101" i="39"/>
  <c r="G101" i="39"/>
  <c r="H100" i="39"/>
  <c r="D24" i="8"/>
  <c r="D23" i="8"/>
  <c r="D22" i="8"/>
  <c r="D21" i="8"/>
  <c r="D20" i="8"/>
  <c r="C166" i="39"/>
  <c r="A43" i="18"/>
  <c r="E41" i="18"/>
  <c r="B42" i="18" s="1"/>
  <c r="C19" i="8"/>
  <c r="V99" i="13"/>
  <c r="H108" i="13"/>
  <c r="D19" i="8"/>
  <c r="AG2" i="33"/>
  <c r="AH2" i="33" s="1"/>
  <c r="H102" i="13"/>
  <c r="H107" i="13"/>
  <c r="N30" i="13"/>
  <c r="N99" i="13" s="1"/>
  <c r="A3" i="13"/>
  <c r="A4" i="13" s="1"/>
  <c r="A141" i="13" s="1"/>
  <c r="A126" i="13" s="1"/>
  <c r="A127" i="13" s="1"/>
  <c r="A5" i="13" s="1"/>
  <c r="A6" i="13" s="1"/>
  <c r="A7" i="13" s="1"/>
  <c r="A150" i="13" s="1"/>
  <c r="A134" i="13" s="1"/>
  <c r="A9" i="13" s="1"/>
  <c r="A139" i="13" s="1"/>
  <c r="A149" i="13" s="1"/>
  <c r="A10" i="13" s="1"/>
  <c r="A143" i="13" s="1"/>
  <c r="A13" i="13" s="1"/>
  <c r="A162" i="13" s="1"/>
  <c r="A15" i="13" s="1"/>
  <c r="A136" i="13" s="1"/>
  <c r="A140" i="13" s="1"/>
  <c r="A122" i="13" s="1"/>
  <c r="D43" i="18" l="1"/>
  <c r="C43" i="18"/>
  <c r="G102" i="39"/>
  <c r="F102" i="39"/>
  <c r="D102" i="39"/>
  <c r="B102" i="39"/>
  <c r="C102" i="39"/>
  <c r="E102" i="39"/>
  <c r="A103" i="39"/>
  <c r="H101" i="39"/>
  <c r="E22" i="8"/>
  <c r="E24" i="8"/>
  <c r="C167" i="39"/>
  <c r="E23" i="8"/>
  <c r="C26" i="8"/>
  <c r="D26" i="8"/>
  <c r="E42" i="18"/>
  <c r="B43" i="18" s="1"/>
  <c r="A44" i="18"/>
  <c r="E21" i="8"/>
  <c r="E20" i="8"/>
  <c r="H113" i="13"/>
  <c r="E19" i="8"/>
  <c r="A151" i="13"/>
  <c r="A17" i="13" s="1"/>
  <c r="A152" i="13" s="1"/>
  <c r="A132" i="13" s="1"/>
  <c r="A20" i="13" s="1"/>
  <c r="A21" i="13" s="1"/>
  <c r="A22" i="13" s="1"/>
  <c r="A23" i="13" s="1"/>
  <c r="A24" i="13" s="1"/>
  <c r="A25" i="13" s="1"/>
  <c r="A28" i="13" s="1"/>
  <c r="A30" i="13" s="1"/>
  <c r="A32" i="13" s="1"/>
  <c r="A35" i="13" s="1"/>
  <c r="A133" i="13" s="1"/>
  <c r="A153" i="13" s="1"/>
  <c r="A154" i="13" s="1"/>
  <c r="D44" i="18" l="1"/>
  <c r="C44" i="18"/>
  <c r="F103" i="39"/>
  <c r="D103" i="39"/>
  <c r="B103" i="39"/>
  <c r="C103" i="39"/>
  <c r="A104" i="39"/>
  <c r="G103" i="39"/>
  <c r="E103" i="39"/>
  <c r="H102" i="39"/>
  <c r="E26" i="8"/>
  <c r="A45" i="18"/>
  <c r="E43" i="18"/>
  <c r="B44" i="18" s="1"/>
  <c r="A123" i="13"/>
  <c r="A124" i="13" s="1"/>
  <c r="C45" i="18" l="1"/>
  <c r="D45" i="18"/>
  <c r="G104" i="39"/>
  <c r="F104" i="39"/>
  <c r="B104" i="39"/>
  <c r="D104" i="39"/>
  <c r="E104" i="39"/>
  <c r="A105" i="39"/>
  <c r="C104" i="39"/>
  <c r="H103" i="39"/>
  <c r="E44" i="18"/>
  <c r="B45" i="18" s="1"/>
  <c r="A46" i="18"/>
  <c r="J4" i="8"/>
  <c r="N4" i="8" s="1"/>
  <c r="N13" i="8" s="1"/>
  <c r="C46" i="18" l="1"/>
  <c r="D46" i="18"/>
  <c r="H104" i="39"/>
  <c r="G105" i="39"/>
  <c r="F105" i="39"/>
  <c r="B105" i="39"/>
  <c r="D105" i="39"/>
  <c r="C105" i="39"/>
  <c r="A106" i="39"/>
  <c r="E105" i="39"/>
  <c r="A47" i="18"/>
  <c r="E45" i="18"/>
  <c r="B46" i="18" s="1"/>
  <c r="J13" i="8"/>
  <c r="D47" i="18" l="1"/>
  <c r="C47" i="18"/>
  <c r="A48" i="18"/>
  <c r="G106" i="39"/>
  <c r="D106" i="39"/>
  <c r="F106" i="39"/>
  <c r="B106" i="39"/>
  <c r="E106" i="39"/>
  <c r="C106" i="39"/>
  <c r="A107" i="39"/>
  <c r="H105" i="39"/>
  <c r="E46" i="18"/>
  <c r="C48" i="18" l="1"/>
  <c r="A49" i="18"/>
  <c r="D48" i="18"/>
  <c r="G107" i="39"/>
  <c r="F107" i="39"/>
  <c r="D107" i="39"/>
  <c r="B107" i="39"/>
  <c r="C107" i="39"/>
  <c r="E107" i="39"/>
  <c r="A108" i="39"/>
  <c r="H106" i="39"/>
  <c r="B47" i="18"/>
  <c r="E47" i="18" s="1"/>
  <c r="B48" i="18" s="1"/>
  <c r="E48" i="18" s="1"/>
  <c r="B49" i="18" s="1"/>
  <c r="A50" i="18" l="1"/>
  <c r="C49" i="18"/>
  <c r="E49" i="18" s="1"/>
  <c r="B50" i="18" s="1"/>
  <c r="D49" i="18"/>
  <c r="G108" i="39"/>
  <c r="F108" i="39"/>
  <c r="D108" i="39"/>
  <c r="B108" i="39"/>
  <c r="C108" i="39"/>
  <c r="E108" i="39"/>
  <c r="A109" i="39"/>
  <c r="H107" i="39"/>
  <c r="B167" i="39"/>
  <c r="D50" i="18" l="1"/>
  <c r="C50" i="18"/>
  <c r="E50" i="18" s="1"/>
  <c r="B51" i="18" s="1"/>
  <c r="A51" i="18"/>
  <c r="G109" i="39"/>
  <c r="B109" i="39"/>
  <c r="D109" i="39"/>
  <c r="F109" i="39"/>
  <c r="C109" i="39"/>
  <c r="E109" i="39"/>
  <c r="A110" i="39"/>
  <c r="H108" i="39"/>
  <c r="C51" i="18" l="1"/>
  <c r="E51" i="18" s="1"/>
  <c r="B52" i="18" s="1"/>
  <c r="D51" i="18"/>
  <c r="A52" i="18"/>
  <c r="G110" i="39"/>
  <c r="F110" i="39"/>
  <c r="D110" i="39"/>
  <c r="B110" i="39"/>
  <c r="C110" i="39"/>
  <c r="E110" i="39"/>
  <c r="A111" i="39"/>
  <c r="H109" i="39"/>
  <c r="C52" i="18" l="1"/>
  <c r="E52" i="18" s="1"/>
  <c r="D52" i="18"/>
  <c r="H110" i="39"/>
  <c r="G111" i="39"/>
  <c r="F111" i="39"/>
  <c r="B111" i="39"/>
  <c r="D111" i="39"/>
  <c r="C111" i="39"/>
  <c r="A112" i="39"/>
  <c r="E111" i="39"/>
  <c r="H111" i="39" l="1"/>
  <c r="G112" i="39"/>
  <c r="F112" i="39"/>
  <c r="D112" i="39"/>
  <c r="B112" i="39"/>
  <c r="C112" i="39"/>
  <c r="E112" i="39"/>
  <c r="A113" i="39"/>
  <c r="H112" i="39" l="1"/>
  <c r="G113" i="39"/>
  <c r="B113" i="39"/>
  <c r="D113" i="39"/>
  <c r="F113" i="39"/>
  <c r="E113" i="39"/>
  <c r="A114" i="39"/>
  <c r="C113" i="39"/>
  <c r="H113" i="39" l="1"/>
  <c r="G114" i="39"/>
  <c r="D114" i="39"/>
  <c r="B114" i="39"/>
  <c r="F114" i="39"/>
  <c r="E114" i="39"/>
  <c r="A115" i="39"/>
  <c r="C114" i="39"/>
  <c r="G115" i="39" l="1"/>
  <c r="F115" i="39"/>
  <c r="B115" i="39"/>
  <c r="D115" i="39"/>
  <c r="A116" i="39"/>
  <c r="C115" i="39"/>
  <c r="E115" i="39"/>
  <c r="H114" i="39"/>
  <c r="G116" i="39" l="1"/>
  <c r="F116" i="39"/>
  <c r="D116" i="39"/>
  <c r="B116" i="39"/>
  <c r="C116" i="39"/>
  <c r="E116" i="39"/>
  <c r="A117" i="39"/>
  <c r="H115" i="39"/>
  <c r="G117" i="39" l="1"/>
  <c r="F117" i="39"/>
  <c r="D117" i="39"/>
  <c r="B117" i="39"/>
  <c r="C117" i="39"/>
  <c r="E117" i="39"/>
  <c r="A118" i="39"/>
  <c r="H116" i="39"/>
  <c r="D118" i="39" l="1"/>
  <c r="F118" i="39"/>
  <c r="B118" i="39"/>
  <c r="E118" i="39"/>
  <c r="G118" i="39"/>
  <c r="A119" i="39"/>
  <c r="C118" i="39"/>
  <c r="H117" i="39"/>
  <c r="G119" i="39" l="1"/>
  <c r="F119" i="39"/>
  <c r="D119" i="39"/>
  <c r="B119" i="39"/>
  <c r="E119" i="39"/>
  <c r="A120" i="39"/>
  <c r="C119" i="39"/>
  <c r="H118" i="39"/>
  <c r="G120" i="39" l="1"/>
  <c r="F120" i="39"/>
  <c r="D120" i="39"/>
  <c r="B120" i="39"/>
  <c r="C120" i="39"/>
  <c r="E120" i="39"/>
  <c r="A121" i="39"/>
  <c r="H119" i="39"/>
  <c r="H120" i="39" l="1"/>
  <c r="G121" i="39"/>
  <c r="B121" i="39"/>
  <c r="F121" i="39"/>
  <c r="D121" i="39"/>
  <c r="C121" i="39"/>
  <c r="E121" i="39"/>
  <c r="A122" i="39"/>
  <c r="H121" i="39" l="1"/>
  <c r="G122" i="39"/>
  <c r="F122" i="39"/>
  <c r="D122" i="39"/>
  <c r="B122" i="39"/>
  <c r="C122" i="39"/>
  <c r="A123" i="39"/>
  <c r="E122" i="39"/>
  <c r="G123" i="39" l="1"/>
  <c r="F123" i="39"/>
  <c r="B123" i="39"/>
  <c r="D123" i="39"/>
  <c r="C123" i="39"/>
  <c r="E123" i="39"/>
  <c r="A124" i="39"/>
  <c r="H122" i="39"/>
  <c r="G124" i="39" l="1"/>
  <c r="F124" i="39"/>
  <c r="D124" i="39"/>
  <c r="B124" i="39"/>
  <c r="C124" i="39"/>
  <c r="E124" i="39"/>
  <c r="A125" i="39"/>
  <c r="H123" i="39"/>
  <c r="G125" i="39" l="1"/>
  <c r="B125" i="39"/>
  <c r="D125" i="39"/>
  <c r="F125" i="39"/>
  <c r="E125" i="39"/>
  <c r="A126" i="39"/>
  <c r="A127" i="39" s="1"/>
  <c r="C125" i="39"/>
  <c r="H124" i="39"/>
  <c r="B127" i="39" l="1"/>
  <c r="C127" i="39"/>
  <c r="F127" i="39"/>
  <c r="D127" i="39"/>
  <c r="E127" i="39"/>
  <c r="G127" i="39"/>
  <c r="A128" i="39"/>
  <c r="G126" i="39"/>
  <c r="D126" i="39"/>
  <c r="B126" i="39"/>
  <c r="F126" i="39"/>
  <c r="E126" i="39"/>
  <c r="C126" i="39"/>
  <c r="H125" i="39"/>
  <c r="H127" i="39" l="1"/>
  <c r="E128" i="39"/>
  <c r="F128" i="39"/>
  <c r="A129" i="39"/>
  <c r="G128" i="39"/>
  <c r="B128" i="39"/>
  <c r="C128" i="39"/>
  <c r="D128" i="39"/>
  <c r="H126" i="39"/>
  <c r="H128" i="39" l="1"/>
  <c r="A130" i="39"/>
  <c r="B129" i="39"/>
  <c r="C129" i="39"/>
  <c r="E129" i="39"/>
  <c r="F129" i="39"/>
  <c r="D129" i="39"/>
  <c r="G129" i="39"/>
  <c r="F130" i="39" l="1"/>
  <c r="B130" i="39"/>
  <c r="C130" i="39"/>
  <c r="E130" i="39"/>
  <c r="G130" i="39"/>
  <c r="A131" i="39"/>
  <c r="D130" i="39"/>
  <c r="H129" i="39"/>
  <c r="H130" i="39" l="1"/>
  <c r="E131" i="39"/>
  <c r="F131" i="39"/>
  <c r="G131" i="39"/>
  <c r="A132" i="39"/>
  <c r="D131" i="39"/>
  <c r="C131" i="39"/>
  <c r="B131" i="39"/>
  <c r="H131" i="39" l="1"/>
  <c r="A133" i="39"/>
  <c r="D132" i="39"/>
  <c r="F132" i="39"/>
  <c r="G132" i="39"/>
  <c r="B132" i="39"/>
  <c r="C132" i="39"/>
  <c r="E132" i="39"/>
  <c r="H132" i="39" l="1"/>
  <c r="G133" i="39"/>
  <c r="B133" i="39"/>
  <c r="A134" i="39"/>
  <c r="C133" i="39"/>
  <c r="E133" i="39"/>
  <c r="F133" i="39"/>
  <c r="D133" i="39"/>
  <c r="E134" i="39" l="1"/>
  <c r="C134" i="39"/>
  <c r="F134" i="39"/>
  <c r="A135" i="39"/>
  <c r="G134" i="39"/>
  <c r="B134" i="39"/>
  <c r="D134" i="39"/>
  <c r="H133" i="39"/>
  <c r="H134" i="39" l="1"/>
  <c r="A136" i="39"/>
  <c r="F135" i="39"/>
  <c r="B135" i="39"/>
  <c r="C135" i="39"/>
  <c r="D135" i="39"/>
  <c r="G135" i="39"/>
  <c r="E135" i="39"/>
  <c r="H135" i="39" l="1"/>
  <c r="F136" i="39"/>
  <c r="A137" i="39"/>
  <c r="B136" i="39"/>
  <c r="C136" i="39"/>
  <c r="D136" i="39"/>
  <c r="E136" i="39"/>
  <c r="G136" i="39"/>
  <c r="E137" i="39" l="1"/>
  <c r="C137" i="39"/>
  <c r="F137" i="39"/>
  <c r="B137" i="39"/>
  <c r="G137" i="39"/>
  <c r="A138" i="39"/>
  <c r="D137" i="39"/>
  <c r="H136" i="39"/>
  <c r="A139" i="39" l="1"/>
  <c r="E138" i="39"/>
  <c r="G138" i="39"/>
  <c r="C138" i="39"/>
  <c r="D138" i="39"/>
  <c r="B138" i="39"/>
  <c r="F138" i="39"/>
  <c r="H137" i="39"/>
  <c r="H138" i="39" l="1"/>
  <c r="G139" i="39"/>
  <c r="B139" i="39"/>
  <c r="C139" i="39"/>
  <c r="E139" i="39"/>
  <c r="F139" i="39"/>
  <c r="A140" i="39"/>
  <c r="D139" i="39"/>
  <c r="H139" i="39" l="1"/>
  <c r="E140" i="39"/>
  <c r="F140" i="39"/>
  <c r="G140" i="39"/>
  <c r="B140" i="39"/>
  <c r="A141" i="39"/>
  <c r="D140" i="39"/>
  <c r="C140" i="39"/>
  <c r="A142" i="39" l="1"/>
  <c r="D141" i="39"/>
  <c r="B141" i="39"/>
  <c r="C141" i="39"/>
  <c r="E141" i="39"/>
  <c r="F141" i="39"/>
  <c r="G141" i="39"/>
  <c r="H140" i="39"/>
  <c r="B142" i="39" l="1"/>
  <c r="C142" i="39"/>
  <c r="G142" i="39"/>
  <c r="A143" i="39"/>
  <c r="D142" i="39"/>
  <c r="F142" i="39"/>
  <c r="E142" i="39"/>
  <c r="H141" i="39"/>
  <c r="H142" i="39" l="1"/>
  <c r="E143" i="39"/>
  <c r="A144" i="39"/>
  <c r="B143" i="39"/>
  <c r="F143" i="39"/>
  <c r="G143" i="39"/>
  <c r="C143" i="39"/>
  <c r="D143" i="39"/>
  <c r="A145" i="39" l="1"/>
  <c r="B144" i="39"/>
  <c r="F144" i="39"/>
  <c r="G144" i="39"/>
  <c r="D144" i="39"/>
  <c r="C144" i="39"/>
  <c r="E144" i="39"/>
  <c r="H143" i="39"/>
  <c r="H144" i="39" l="1"/>
  <c r="A146" i="39"/>
  <c r="B145" i="39"/>
  <c r="C145" i="39"/>
  <c r="E145" i="39"/>
  <c r="F145" i="39"/>
  <c r="G145" i="39"/>
  <c r="D145" i="39"/>
  <c r="H145" i="39" l="1"/>
  <c r="E146" i="39"/>
  <c r="C146" i="39"/>
  <c r="D146" i="39"/>
  <c r="F146" i="39"/>
  <c r="G146" i="39"/>
  <c r="A147" i="39"/>
  <c r="B146" i="39"/>
  <c r="H146" i="39" l="1"/>
  <c r="A148" i="39"/>
  <c r="B147" i="39"/>
  <c r="C147" i="39"/>
  <c r="E147" i="39"/>
  <c r="D147" i="39"/>
  <c r="F147" i="39"/>
  <c r="G147" i="39"/>
  <c r="H147" i="39" l="1"/>
  <c r="B148" i="39"/>
  <c r="C148" i="39"/>
  <c r="G148" i="39"/>
  <c r="A149" i="39"/>
  <c r="E148" i="39"/>
  <c r="D148" i="39"/>
  <c r="F148" i="39"/>
  <c r="H148" i="39" l="1"/>
  <c r="E149" i="39"/>
  <c r="A150" i="39"/>
  <c r="F149" i="39"/>
  <c r="G149" i="39"/>
  <c r="B149" i="39"/>
  <c r="C149" i="39"/>
  <c r="D149" i="39"/>
  <c r="A151" i="39" l="1"/>
  <c r="C150" i="39"/>
  <c r="F150" i="39"/>
  <c r="G150" i="39"/>
  <c r="B150" i="39"/>
  <c r="D150" i="39"/>
  <c r="E150" i="39"/>
  <c r="H149" i="39"/>
  <c r="F151" i="39" l="1"/>
  <c r="B151" i="39"/>
  <c r="C151" i="39"/>
  <c r="E151" i="39"/>
  <c r="D151" i="39"/>
  <c r="G151" i="39"/>
  <c r="A152" i="39"/>
  <c r="H150" i="39"/>
  <c r="H151" i="39" l="1"/>
  <c r="E152" i="39"/>
  <c r="E153" i="39" s="1"/>
  <c r="F152" i="39"/>
  <c r="F153" i="39" s="1"/>
  <c r="G152" i="39"/>
  <c r="G153" i="39" s="1"/>
  <c r="B152" i="39"/>
  <c r="B153" i="39" s="1"/>
  <c r="C152" i="39"/>
  <c r="C153" i="39" s="1"/>
  <c r="D152" i="39"/>
  <c r="D153" i="39" s="1"/>
  <c r="H152" i="39" l="1"/>
  <c r="H153" i="3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tc={DF4F7CFA-3FF6-41FD-8712-1B1F96190E81}</author>
    <author>tc={DE7B75B9-69FE-4D84-8F90-5BC869510D3C}</author>
  </authors>
  <commentList>
    <comment ref="A157" authorId="0" shapeId="0" xr:uid="{DF4F7CFA-3FF6-41FD-8712-1B1F96190E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Cover All Months Data
</t>
      </text>
    </comment>
    <comment ref="E157" authorId="1" shapeId="0" xr:uid="{DE7B75B9-69FE-4D84-8F90-5BC869510D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Cover All Dates Data
</t>
      </text>
    </comment>
  </commentList>
</comments>
</file>

<file path=xl/sharedStrings.xml><?xml version="1.0" encoding="utf-8"?>
<sst xmlns="http://schemas.openxmlformats.org/spreadsheetml/2006/main" count="7934" uniqueCount="1380">
  <si>
    <t>DAILY PAYMENT SCHEDULE</t>
  </si>
  <si>
    <t>SBI</t>
  </si>
  <si>
    <t>IDBI</t>
  </si>
  <si>
    <t>BOI</t>
  </si>
  <si>
    <t>PAYABLE AMOUNT (INR)</t>
  </si>
  <si>
    <t>MONTHLY PAYABLE SUMMARY</t>
  </si>
  <si>
    <t>AMOUNT (INR)</t>
  </si>
  <si>
    <t>January26</t>
  </si>
  <si>
    <t>February26</t>
  </si>
  <si>
    <t>March26</t>
  </si>
  <si>
    <t>April26</t>
  </si>
  <si>
    <t>May26</t>
  </si>
  <si>
    <t>TOTAL OUTSTANDING</t>
  </si>
  <si>
    <t>LC Limit Available</t>
  </si>
  <si>
    <t>Sum of LC Limit Available</t>
  </si>
  <si>
    <t/>
  </si>
  <si>
    <t>NO</t>
  </si>
  <si>
    <t>YES</t>
  </si>
  <si>
    <t>SOFT COPY</t>
  </si>
  <si>
    <t>Grand Total</t>
  </si>
  <si>
    <t>Row Labels</t>
  </si>
  <si>
    <t>(blank)</t>
  </si>
  <si>
    <t>Sr. No.</t>
  </si>
  <si>
    <t>Particular</t>
  </si>
  <si>
    <t>Amount</t>
  </si>
  <si>
    <t>Details</t>
  </si>
  <si>
    <t>Existing Limit</t>
  </si>
  <si>
    <t>Interchangeability Limit to SBLC</t>
  </si>
  <si>
    <t xml:space="preserve">Total Current NFB limit </t>
  </si>
  <si>
    <t xml:space="preserve">Outstanding </t>
  </si>
  <si>
    <t>In Process</t>
  </si>
  <si>
    <t>LC request received and not process</t>
  </si>
  <si>
    <t>BG Limit Available</t>
  </si>
  <si>
    <t>IDBI -LC</t>
  </si>
  <si>
    <t>LC Cancelled</t>
  </si>
  <si>
    <t>BOI -LC</t>
  </si>
  <si>
    <t>BOE Received and Paid</t>
  </si>
  <si>
    <t>SBI -LC</t>
  </si>
  <si>
    <t>SBI -CAPEX LC</t>
  </si>
  <si>
    <t>SBI -LC 110%</t>
  </si>
  <si>
    <t>Capex</t>
  </si>
  <si>
    <t>Total  LC Outstanding</t>
  </si>
  <si>
    <t>SBI-BG 10%</t>
  </si>
  <si>
    <t>Part/Full BOE received &amp; Unpaid</t>
  </si>
  <si>
    <t>IDBI -BG</t>
  </si>
  <si>
    <t>BOE not received</t>
  </si>
  <si>
    <t>BOI-BG</t>
  </si>
  <si>
    <t>Bill Paid</t>
  </si>
  <si>
    <t>SBI BG 100%</t>
  </si>
  <si>
    <t>TOTAL</t>
  </si>
  <si>
    <t>Month</t>
  </si>
  <si>
    <t>Paid till Date</t>
  </si>
  <si>
    <t>O/s as on date</t>
  </si>
  <si>
    <t>Total</t>
  </si>
  <si>
    <t>SBLC OUTSTANDING</t>
  </si>
  <si>
    <t>TOTAL SBLC AMT</t>
  </si>
  <si>
    <t>📊 SUMMARY – LC &amp; BILL POSITION</t>
  </si>
  <si>
    <t>1️⃣ Total LC Exposure and Available Limit Snapshot</t>
  </si>
  <si>
    <t>1️⃣ (a) Margin Wise LC Bifurcation - Total LC Exposure</t>
  </si>
  <si>
    <t>Category</t>
  </si>
  <si>
    <t>Margin %</t>
  </si>
  <si>
    <t>A. BANK LIMITS (10% Margin)</t>
  </si>
  <si>
    <t>Interchangability Limit</t>
  </si>
  <si>
    <t>Total Current NFB limit (A)</t>
  </si>
  <si>
    <t>B. UTILIZATION</t>
  </si>
  <si>
    <t>LC Outstanding</t>
  </si>
  <si>
    <t>1️⃣ (b)  10% Margin - BOE Position (Open LCs)</t>
  </si>
  <si>
    <t>SBLC Outstanding</t>
  </si>
  <si>
    <t>LC in Process</t>
  </si>
  <si>
    <t>Total LC Exposure (B)</t>
  </si>
  <si>
    <t>Bill Status </t>
  </si>
  <si>
    <t>C. HEADROOM</t>
  </si>
  <si>
    <t>BOE Received and Unpaid</t>
  </si>
  <si>
    <t>BOE Not Received </t>
  </si>
  <si>
    <t>LC Limit Utilization (%)</t>
  </si>
  <si>
    <t>Cancelled</t>
  </si>
  <si>
    <t>Total 100% Margin LC Exposure</t>
  </si>
  <si>
    <t>100% LC Outstanding</t>
  </si>
  <si>
    <t>Reconcilation</t>
  </si>
  <si>
    <t>Currency Exposure (FX Risk)</t>
  </si>
  <si>
    <t>TOTAL Unpaid Bill</t>
  </si>
  <si>
    <t>HEDGED</t>
  </si>
  <si>
    <t>UNHEDGED</t>
  </si>
  <si>
    <t>100% in Process</t>
  </si>
  <si>
    <t>USD- RAW MATERIAL</t>
  </si>
  <si>
    <t>USD-CAPEX</t>
  </si>
  <si>
    <t>Total 110% Margin LC Exposure</t>
  </si>
  <si>
    <t>EUR-CAPEX</t>
  </si>
  <si>
    <t>110% LC Outstanding</t>
  </si>
  <si>
    <t>110% in Process</t>
  </si>
  <si>
    <t>LC AMOUNT (INR)</t>
  </si>
  <si>
    <t>SBLC AMOUNT (INR)</t>
  </si>
  <si>
    <t xml:space="preserve"> </t>
  </si>
  <si>
    <t xml:space="preserve">Expiring LCs and documents not received (Next 10  Days) </t>
  </si>
  <si>
    <t>Expiring FDs if plan for withdraw (Next 7 Days)</t>
  </si>
  <si>
    <t>Expiring LCs</t>
  </si>
  <si>
    <t>Expiring FDs</t>
  </si>
  <si>
    <t>Sr No</t>
  </si>
  <si>
    <t>PO NO</t>
  </si>
  <si>
    <t xml:space="preserve"> LC no.</t>
  </si>
  <si>
    <t>LC Op. Date</t>
  </si>
  <si>
    <t>Bank Name</t>
  </si>
  <si>
    <t>Margin</t>
  </si>
  <si>
    <t>Supplier Name</t>
  </si>
  <si>
    <t>Currency</t>
  </si>
  <si>
    <t>LC Amt without Tolerance</t>
  </si>
  <si>
    <t>Tolerance Amt /Reduction Amt</t>
  </si>
  <si>
    <t>Final LC Amt
(in FC)</t>
  </si>
  <si>
    <t>RATE</t>
  </si>
  <si>
    <t>LC Amt 
(in INR)</t>
  </si>
  <si>
    <t>Type</t>
  </si>
  <si>
    <t>USANCE NO OF DAYS</t>
  </si>
  <si>
    <t>DOCUMENTS RECEIVED</t>
  </si>
  <si>
    <t>Bill Invoice No</t>
  </si>
  <si>
    <t>Bill Lodge date</t>
  </si>
  <si>
    <t>Bill Acceptance date</t>
  </si>
  <si>
    <t>Shipment Date for LC due date</t>
  </si>
  <si>
    <t>BOE Bill Amt
(in FC)</t>
  </si>
  <si>
    <t>Pending BOE Amt
(in FC)</t>
  </si>
  <si>
    <t>BOE Bill Amt
(in INR)</t>
  </si>
  <si>
    <t>Pending BOE Amt
(in INR)</t>
  </si>
  <si>
    <t>LC Payment Due Date</t>
  </si>
  <si>
    <t>Limit Available date</t>
  </si>
  <si>
    <t>Material Receipt Date</t>
  </si>
  <si>
    <t>LC Payment Due Month</t>
  </si>
  <si>
    <t>BOE Status/LC OUTSTANDING</t>
  </si>
  <si>
    <t>Payment Status</t>
  </si>
  <si>
    <t>BOE Status</t>
  </si>
  <si>
    <t>LC Close date</t>
  </si>
  <si>
    <t>LC Status</t>
  </si>
  <si>
    <t>FD Number</t>
  </si>
  <si>
    <t>Margin FD Made</t>
  </si>
  <si>
    <t>LC SHIPMENT DATE</t>
  </si>
  <si>
    <t>LC EXPIRY DATE</t>
  </si>
  <si>
    <t>Bill of Entry No.</t>
  </si>
  <si>
    <t>Date of Bill of Entry Submitted to Bank</t>
  </si>
  <si>
    <t>Product Name</t>
  </si>
  <si>
    <t>0692625IM0Y00380</t>
  </si>
  <si>
    <t>JIETAI NEW ENERGY TECHNOLOGY (HK) LIMITED</t>
  </si>
  <si>
    <t>USD</t>
  </si>
  <si>
    <t>Raw Material</t>
  </si>
  <si>
    <t>HKCE-GREW-20260210</t>
  </si>
  <si>
    <t>Paid</t>
  </si>
  <si>
    <t>Received</t>
  </si>
  <si>
    <t>Closed</t>
  </si>
  <si>
    <t>SOLAR CELLS</t>
  </si>
  <si>
    <t>CANCELLED</t>
  </si>
  <si>
    <t>0692625IM0Y00379</t>
  </si>
  <si>
    <t>HKCE-GREW-20260203-2</t>
  </si>
  <si>
    <t>5600000355/388</t>
  </si>
  <si>
    <t>0692625IM0Y00377</t>
  </si>
  <si>
    <t>HKCE-GREW-20260205-1/2/3 ,&amp; HKCE-GREW-20260209-1/2/3/4/5/6</t>
  </si>
  <si>
    <t>7466829 / 7457784 /7476535 /7606483 /7605503 /7607504 / 7607501 / 7601470 /7601488</t>
  </si>
  <si>
    <t>0692625IM0Y00378</t>
  </si>
  <si>
    <t>HKCE-GREW-20260203-1</t>
  </si>
  <si>
    <t>0692625IM0Y00381</t>
  </si>
  <si>
    <t>FIRST MATERIAL SCIENCE (THAILAND) CO LTD</t>
  </si>
  <si>
    <t>MSBT250577-1</t>
  </si>
  <si>
    <t xml:space="preserve"> EVA FILM</t>
  </si>
  <si>
    <t>MSBT250577-2</t>
  </si>
  <si>
    <t>0692626IM0Y00002</t>
  </si>
  <si>
    <t>GNBS ECO CO. LTD</t>
  </si>
  <si>
    <t>CAPEX</t>
  </si>
  <si>
    <t>GNBS-20260109-02</t>
  </si>
  <si>
    <t>Unpaid</t>
  </si>
  <si>
    <t>Open</t>
  </si>
  <si>
    <t>GNBS PLASMA AND WET GAS ABATEMENT SYSTEM</t>
  </si>
  <si>
    <t>0692626IM0Y00012</t>
  </si>
  <si>
    <t>XINYI PV PRODUCTS (ANHUI) HOLDINGSLTD</t>
  </si>
  <si>
    <t>4206010068/70</t>
  </si>
  <si>
    <t>7770706 /8126350</t>
  </si>
  <si>
    <t xml:space="preserve"> GLASS</t>
  </si>
  <si>
    <t>42026010071/2</t>
  </si>
  <si>
    <t>8102852 / 8102856</t>
  </si>
  <si>
    <t>0692626IM0Y00011</t>
  </si>
  <si>
    <t>MSBT250575-3</t>
  </si>
  <si>
    <t>MSBT250575-1</t>
  </si>
  <si>
    <t>MSBT250575-2</t>
  </si>
  <si>
    <t>0692626IM0Y00010</t>
  </si>
  <si>
    <t>MSBT250574-1</t>
  </si>
  <si>
    <t>MSBT250574-2</t>
  </si>
  <si>
    <t>MSBT250574-3</t>
  </si>
  <si>
    <t>0692626IM0Y00018</t>
  </si>
  <si>
    <t>GUANGXI CSG NEW ENERGY MATERIAL TECHNOLOGY CO LTD</t>
  </si>
  <si>
    <t>SFG2601009-4</t>
  </si>
  <si>
    <t>SFG2601009-1</t>
  </si>
  <si>
    <t>SFG2601009-3</t>
  </si>
  <si>
    <t>SFG2601009-5</t>
  </si>
  <si>
    <t>SFG2601009-2</t>
  </si>
  <si>
    <t>0692626IM0Y00025</t>
  </si>
  <si>
    <t>TAICANG JUREN INTERNATIONAL TRADE CO LTD</t>
  </si>
  <si>
    <t>JRIT20260126001</t>
  </si>
  <si>
    <t>PV RIBBON BUS BAR</t>
  </si>
  <si>
    <t>0692626IM0Y00030</t>
  </si>
  <si>
    <t>JRIT20260203009</t>
  </si>
  <si>
    <t>0692626IM0Y00033</t>
  </si>
  <si>
    <t>SOLAR SPACE TECHNOLOGY HONG KONG LIMITED</t>
  </si>
  <si>
    <t>INV2026022011</t>
  </si>
  <si>
    <t>INV2026030632</t>
  </si>
  <si>
    <t>0692626IM0Y00031</t>
  </si>
  <si>
    <t>ZHEJIANG ZHONGHUAN SUNTER PV TECHNOLOGY CO. LTD</t>
  </si>
  <si>
    <t>GREW2508A</t>
  </si>
  <si>
    <t>PV - ZH011C-5 SOLDERING</t>
  </si>
  <si>
    <t>GREW2508B</t>
  </si>
  <si>
    <t>0692626IM0Y00032</t>
  </si>
  <si>
    <t>MSBT250642-2</t>
  </si>
  <si>
    <t>MSBT250642-4</t>
  </si>
  <si>
    <t>MSBT250642-1</t>
  </si>
  <si>
    <t>MSBT250642-3</t>
  </si>
  <si>
    <t>0692626IM0Y00039</t>
  </si>
  <si>
    <t>HKJTGREW20260211-1/2/3/4/5/6/7/8/9/10/11/12</t>
  </si>
  <si>
    <t>Not Received</t>
  </si>
  <si>
    <t>0692626IM0Y00040</t>
  </si>
  <si>
    <t>HKJTGREW20260225-1/2/3/4</t>
  </si>
  <si>
    <t>8067419 /8067418 /8080855 /8080986</t>
  </si>
  <si>
    <t>HKJTGREW20260225-5/6/7/8/9</t>
  </si>
  <si>
    <t>0692626IM0Y00043</t>
  </si>
  <si>
    <t>MSBT250645-4</t>
  </si>
  <si>
    <t>MSBT250645-2</t>
  </si>
  <si>
    <t>MSBT250645-3</t>
  </si>
  <si>
    <t>MSBT250645-1</t>
  </si>
  <si>
    <t>MSBT250645-5</t>
  </si>
  <si>
    <t>0692626IM0Y00044</t>
  </si>
  <si>
    <t>FUTURE ALUMINUM NEW MATERIALS SDN BHD</t>
  </si>
  <si>
    <t>FA-GREW2026-02-26</t>
  </si>
  <si>
    <t>AL FRAME</t>
  </si>
  <si>
    <t>0692626IM0Y00047</t>
  </si>
  <si>
    <t>PT GREEN SOLAR ENERGY TUNAS</t>
  </si>
  <si>
    <t>SNP20260210</t>
  </si>
  <si>
    <t>0692626IM0Y00050</t>
  </si>
  <si>
    <t>HKJTGREW20260226-3/4</t>
  </si>
  <si>
    <t>0692626IM0Y00049</t>
  </si>
  <si>
    <t>HKJTGREW20260226-5/6</t>
  </si>
  <si>
    <t>0692626IM0Y00053</t>
  </si>
  <si>
    <t>PT BINTAN CELLULAR INDONESIA</t>
  </si>
  <si>
    <t>BCI26022411</t>
  </si>
  <si>
    <t>BC126022406</t>
  </si>
  <si>
    <t>BCI26022410</t>
  </si>
  <si>
    <t>BCI26022408</t>
  </si>
  <si>
    <t>BCI26022403</t>
  </si>
  <si>
    <t>BCI26022407</t>
  </si>
  <si>
    <t>BCI26022409</t>
  </si>
  <si>
    <t>BCI26022404</t>
  </si>
  <si>
    <t>BCI26022405</t>
  </si>
  <si>
    <t>0692626IM0Y00054</t>
  </si>
  <si>
    <t>ARVEE INTERNATIONAL PTE LTD</t>
  </si>
  <si>
    <t>IDA20260108A</t>
  </si>
  <si>
    <t>-</t>
  </si>
  <si>
    <t>0692626IM0Y00052</t>
  </si>
  <si>
    <t>FA-GREW2026-03-03</t>
  </si>
  <si>
    <t>0692626IM0Y00057</t>
  </si>
  <si>
    <t>MSBT260063-1</t>
  </si>
  <si>
    <t>MSBT260063-3</t>
  </si>
  <si>
    <t>MSBT260063-2</t>
  </si>
  <si>
    <t>0692626IM0Y00058</t>
  </si>
  <si>
    <t>HKJTGREW20260310-4</t>
  </si>
  <si>
    <t>HKJTGREW20260310-5</t>
  </si>
  <si>
    <t>0692626IM0Y00059</t>
  </si>
  <si>
    <t>HKJTGREW20260310-1/2</t>
  </si>
  <si>
    <t>HKJTGREW20260310-3</t>
  </si>
  <si>
    <t>0692626IM0Y00063</t>
  </si>
  <si>
    <t>ID20260108B</t>
  </si>
  <si>
    <t>0692626IM0Y00064</t>
  </si>
  <si>
    <t>ID20260115B-1</t>
  </si>
  <si>
    <t>0692626IM0Y00066</t>
  </si>
  <si>
    <t>JRIT20260318001</t>
  </si>
  <si>
    <t>0692626IM0Y00068</t>
  </si>
  <si>
    <t>FLAT HONG KONG CO LTD</t>
  </si>
  <si>
    <t>81005224 /5420/5600/5667/5683</t>
  </si>
  <si>
    <t>0692626IM0Y00067</t>
  </si>
  <si>
    <t>81003332/3737/3329/3831/3836</t>
  </si>
  <si>
    <t>8849791 / 8849792 /8850556 /8847569 /8850714</t>
  </si>
  <si>
    <t>0692626IM0Y00069</t>
  </si>
  <si>
    <t>81015302/4671/5417/5804/5806</t>
  </si>
  <si>
    <t>0692626IM0Y00070</t>
  </si>
  <si>
    <t>BCI26032308</t>
  </si>
  <si>
    <t>BCI26032303</t>
  </si>
  <si>
    <t>BCI26032302</t>
  </si>
  <si>
    <t>BCI26032301</t>
  </si>
  <si>
    <t>BCI26032304</t>
  </si>
  <si>
    <t>BCI26032305</t>
  </si>
  <si>
    <t>BCI26032307</t>
  </si>
  <si>
    <t>BCI26032306</t>
  </si>
  <si>
    <t>0692626IM0Y00074</t>
  </si>
  <si>
    <t>81007400 /7403/7405/7674/7678</t>
  </si>
  <si>
    <t>0692626IM0Y00075</t>
  </si>
  <si>
    <t>81006010/81013207/81010631</t>
  </si>
  <si>
    <t>81013211/81010648</t>
  </si>
  <si>
    <t>0692626IM0Y00076</t>
  </si>
  <si>
    <t>81012449/4293/3478/3458</t>
  </si>
  <si>
    <t>0692626IM0Y00071</t>
  </si>
  <si>
    <t>ISRA VISION GMBH</t>
  </si>
  <si>
    <t>EUR</t>
  </si>
  <si>
    <t>Sight</t>
  </si>
  <si>
    <t>COATING OFFLINE PL TESTER</t>
  </si>
  <si>
    <t>0692626IM0Y00072</t>
  </si>
  <si>
    <t>SEMILAB SEMICONDUCTOR PHYSICS LABORATORY CO LTD</t>
  </si>
  <si>
    <t>2026KV000010733</t>
  </si>
  <si>
    <t>SPECTROSCOPIC ELLIPSOMETER</t>
  </si>
  <si>
    <t>2026KV000010788</t>
  </si>
  <si>
    <t>261001FLCU00013</t>
  </si>
  <si>
    <t>JRIT20260203008</t>
  </si>
  <si>
    <t>261001FLCU00015</t>
  </si>
  <si>
    <t>SHANGHAI HUITIAN NEW MATERIAL CO LTD</t>
  </si>
  <si>
    <t>HT-GEW-2025123001</t>
  </si>
  <si>
    <t>HT 960 SEALANT</t>
  </si>
  <si>
    <t>261001FLCU00016</t>
  </si>
  <si>
    <t>HT-GEW-2025123002</t>
  </si>
  <si>
    <t>261001FLCU00021</t>
  </si>
  <si>
    <t>JRIT20260211002</t>
  </si>
  <si>
    <t>261001FLCU00023</t>
  </si>
  <si>
    <t>MSBT250644-1</t>
  </si>
  <si>
    <t>MSBT250644-2</t>
  </si>
  <si>
    <t>261001FLCU00022</t>
  </si>
  <si>
    <t>MSBT250643-3</t>
  </si>
  <si>
    <t>100110-7000002998</t>
  </si>
  <si>
    <t>MSBT250643-2</t>
  </si>
  <si>
    <t>100110-7000003001</t>
  </si>
  <si>
    <t>MSBT250643-1</t>
  </si>
  <si>
    <t>MSBT250643-4</t>
  </si>
  <si>
    <t>MSBT250643-5</t>
  </si>
  <si>
    <t>261001FLCU00026</t>
  </si>
  <si>
    <t>HKJTGREW20260212</t>
  </si>
  <si>
    <t>261001FLCS00003</t>
  </si>
  <si>
    <t>SUZHOU SOLUPLUS NEW ENRGY SCIENCE AND TECHNOLOGY</t>
  </si>
  <si>
    <t>Spares</t>
  </si>
  <si>
    <t>SZSP-CI-20260129</t>
  </si>
  <si>
    <t>MEMBRANE SHEET</t>
  </si>
  <si>
    <t>261001FLCU00040</t>
  </si>
  <si>
    <t>HKJTGREW20260226 -1 /HKJTGREW20260226-2</t>
  </si>
  <si>
    <t>261001FLCU00044</t>
  </si>
  <si>
    <t>2035FLCDA260017</t>
  </si>
  <si>
    <t>FA-GREW2026-03-13</t>
  </si>
  <si>
    <t>2035FLCDA260022</t>
  </si>
  <si>
    <t>ZHONGHUAN (HONG KONG) HOLDING LTD</t>
  </si>
  <si>
    <t>YC-HK-GREW-26001</t>
  </si>
  <si>
    <t>WAFFER</t>
  </si>
  <si>
    <t>2035FLCDA260023</t>
  </si>
  <si>
    <t>GOKIN SOLAR (HONGKONG) COMPANY LIMITED</t>
  </si>
  <si>
    <t>CI-GREW-20260313</t>
  </si>
  <si>
    <t>2035FLCDA260026</t>
  </si>
  <si>
    <t>SHUANGLIANG INTERNATIONAL(SHANGHAI) CO LTD</t>
  </si>
  <si>
    <t>W20260201</t>
  </si>
  <si>
    <t>2035FLCDA260027</t>
  </si>
  <si>
    <t>JIANGYIN TINZE NEW ENERGY TECHNOLOGY CO., LTD</t>
  </si>
  <si>
    <t>STG2026-0322 /STG2026-0323</t>
  </si>
  <si>
    <t>2035FLCDA260033</t>
  </si>
  <si>
    <t>81013482/3218/3534/4297/3582</t>
  </si>
  <si>
    <t>2035FLCDA260029</t>
  </si>
  <si>
    <t>81002864/2865/3357/3365/3370</t>
  </si>
  <si>
    <t>8775546 /8777001/8778588/8780100/8784774</t>
  </si>
  <si>
    <t>2035FLCDA260031</t>
  </si>
  <si>
    <t>JIANGYIN HAIHONG NEW ENERGY TECHNOLOGY CO LTD</t>
  </si>
  <si>
    <t>H-GREW-260402</t>
  </si>
  <si>
    <t>2035FLCDA260030</t>
  </si>
  <si>
    <t>SFG2602015-5</t>
  </si>
  <si>
    <t>SFG2602015-4</t>
  </si>
  <si>
    <t>SFG2602015-3</t>
  </si>
  <si>
    <t>SFG2602015-2</t>
  </si>
  <si>
    <t>SFG2602015-1</t>
  </si>
  <si>
    <t>2035FLCDA260028</t>
  </si>
  <si>
    <t>MSBT260064-1</t>
  </si>
  <si>
    <t>MSBT260064-2</t>
  </si>
  <si>
    <t>2035FLCDA260036</t>
  </si>
  <si>
    <t>ANHUI CSG NEW ENERGY MATERIAL TECHNOLOGY CO LTD</t>
  </si>
  <si>
    <t>SFG2602016-5</t>
  </si>
  <si>
    <t>SFG2602016-4</t>
  </si>
  <si>
    <t>SFG2602016-3</t>
  </si>
  <si>
    <t>SFG2602016-2</t>
  </si>
  <si>
    <t>SFG2602016-1</t>
  </si>
  <si>
    <t>2035FLCDA260034</t>
  </si>
  <si>
    <t>JIANGSU SULV PRECISION TECHNOLOGY CO LTD</t>
  </si>
  <si>
    <t>SL-GREW-2026-3-25</t>
  </si>
  <si>
    <t>SL-GREW-2026-3-20</t>
  </si>
  <si>
    <t>SL-GREW-2026-3-17</t>
  </si>
  <si>
    <t>SL-GREW-2026-3-30</t>
  </si>
  <si>
    <t>2035FLCDA260037</t>
  </si>
  <si>
    <t>JRIT20260323003</t>
  </si>
  <si>
    <t>2035FLCDA260042</t>
  </si>
  <si>
    <t>HT-GEW-2026021201</t>
  </si>
  <si>
    <t>2035FLCDA260043</t>
  </si>
  <si>
    <t>HT-GEW-2026021202</t>
  </si>
  <si>
    <t>0692626IM0Y00077</t>
  </si>
  <si>
    <t>ID20260115B</t>
  </si>
  <si>
    <t>0692626IM0Y00073</t>
  </si>
  <si>
    <t>SIW MANUFACTURING SDN BHD</t>
  </si>
  <si>
    <t>PI-MY-25-5648</t>
  </si>
  <si>
    <t>GAS ABATEMENT SYSTEM COMPRISING</t>
  </si>
  <si>
    <t>0692626IM0Y00078</t>
  </si>
  <si>
    <t>ID20260115A</t>
  </si>
  <si>
    <t>0692626IM0Y00079</t>
  </si>
  <si>
    <t>FREIBERG INSTRUMENTS GMBH</t>
  </si>
  <si>
    <t>PI2026-0009</t>
  </si>
  <si>
    <t>MDPSPOT BASIC SYSTEM</t>
  </si>
  <si>
    <t>0692626IM0Y00080</t>
  </si>
  <si>
    <t>KLA CORPORATION</t>
  </si>
  <si>
    <t>MODEL, ZETA-20 IMAGING</t>
  </si>
  <si>
    <t>0692626IM0Y00081</t>
  </si>
  <si>
    <t>HKJTGREW20260207-1</t>
  </si>
  <si>
    <t>0692626IM0Y00082</t>
  </si>
  <si>
    <t>HKJTREW20260207-2</t>
  </si>
  <si>
    <t>2035FLCDA260044</t>
  </si>
  <si>
    <t>JRIT20260330001</t>
  </si>
  <si>
    <t>2035FLCDA260045</t>
  </si>
  <si>
    <t>JRIT20260330002</t>
  </si>
  <si>
    <t>0692626IM0Y00083</t>
  </si>
  <si>
    <t>ID20260115A-1</t>
  </si>
  <si>
    <t>0692626IM0Y00084</t>
  </si>
  <si>
    <t>ID20260115A-2</t>
  </si>
  <si>
    <t>2035FLCDA260047</t>
  </si>
  <si>
    <t>SL-GREW-2026-4-12</t>
  </si>
  <si>
    <t>SL-GREW-2026-4-16</t>
  </si>
  <si>
    <t>2035FLCDA260048</t>
  </si>
  <si>
    <t>MSBT260065-2</t>
  </si>
  <si>
    <t>EPE FILM</t>
  </si>
  <si>
    <t>MSBT260065-1</t>
  </si>
  <si>
    <t>0692626IM0Y00085</t>
  </si>
  <si>
    <t>SL-GREW-2026-4-10</t>
  </si>
  <si>
    <t>SL-GREW-2026-4-11</t>
  </si>
  <si>
    <t>0692626IM0Y00086</t>
  </si>
  <si>
    <t>H-GREW-260411</t>
  </si>
  <si>
    <t>H-GREW-260415</t>
  </si>
  <si>
    <t>0692626IM0Y00087</t>
  </si>
  <si>
    <t>HKJTGREW20260207-6</t>
  </si>
  <si>
    <t>0692626IM0Y00088</t>
  </si>
  <si>
    <t>HKJTGREW20260207-5</t>
  </si>
  <si>
    <t>0692626IM0Y00089</t>
  </si>
  <si>
    <t>0692626IM0Y00090</t>
  </si>
  <si>
    <t>GREW2604-1</t>
  </si>
  <si>
    <t>JUNCTION BOX</t>
  </si>
  <si>
    <t>0692626IM0Y00093</t>
  </si>
  <si>
    <t>HKJTGREW20260207-3</t>
  </si>
  <si>
    <t>0692626IM0Y00097</t>
  </si>
  <si>
    <t>SFG2604015-2</t>
  </si>
  <si>
    <t>SFG2604015-1</t>
  </si>
  <si>
    <t>0692626IM0Y00098</t>
  </si>
  <si>
    <t>H-GREW-260425</t>
  </si>
  <si>
    <t>0692626IM0Y00099</t>
  </si>
  <si>
    <t>SL-GREW-2026-4-22</t>
  </si>
  <si>
    <t>0692626IM0Y00100</t>
  </si>
  <si>
    <t>HKJTGREW20260312-1</t>
  </si>
  <si>
    <t>0692626IM0Y00101</t>
  </si>
  <si>
    <t>261001FLCU00073</t>
  </si>
  <si>
    <t>HKJTGREW20260207-4</t>
  </si>
  <si>
    <t>261001FLCU00074</t>
  </si>
  <si>
    <t>YIBIN YINGFA DEYAO TECHNOLOGY CO. LTD</t>
  </si>
  <si>
    <t>261001FLCU00078</t>
  </si>
  <si>
    <t>SCENERGY TECHNOLOGY LTD,</t>
  </si>
  <si>
    <t>0692626IM0Y00104</t>
  </si>
  <si>
    <t>0692626IM0Y00105</t>
  </si>
  <si>
    <t>HKJTGREW20260311-2 /HKJTGREW20260311-3</t>
  </si>
  <si>
    <t>0692626IM0Y00111</t>
  </si>
  <si>
    <t>HKJTGREW20260312-3</t>
  </si>
  <si>
    <t>0692626IM0Y00110</t>
  </si>
  <si>
    <t>HKJTGREW20260312-2</t>
  </si>
  <si>
    <t>HKJTGREW20260324-1</t>
  </si>
  <si>
    <t>0692626IM0Y00112</t>
  </si>
  <si>
    <t>HKJTGREW20260311-1</t>
  </si>
  <si>
    <t>HKJTGREW20260311-4</t>
  </si>
  <si>
    <t>0692626IM0Y00116</t>
  </si>
  <si>
    <t>SHANGHAI XINZHUOZHUANG PRINTING TECHNOLOGY CO LTD</t>
  </si>
  <si>
    <t>BUSBAR AND FINGER</t>
  </si>
  <si>
    <t>0692626IM0Y00117</t>
  </si>
  <si>
    <t>FUSION MATERIAL TECHNOLOGY LTD</t>
  </si>
  <si>
    <t>SILVER PASTE</t>
  </si>
  <si>
    <t>261001FLCU00082</t>
  </si>
  <si>
    <t>LONGI HK TRADING LIMITED</t>
  </si>
  <si>
    <t>CLASS N-TYPE SIDE LENGTH 210MM</t>
  </si>
  <si>
    <t>261001FLCU00083</t>
  </si>
  <si>
    <t>SHANGHAI YANG ER IMPORT AND EXPORT CO.LTD</t>
  </si>
  <si>
    <t>LAMINATE FRAME</t>
  </si>
  <si>
    <t>SBLC REF NO</t>
  </si>
  <si>
    <t>BANK</t>
  </si>
  <si>
    <t>SBLC ISSUE DATE</t>
  </si>
  <si>
    <t>BILL REF NO</t>
  </si>
  <si>
    <t>Percentage</t>
  </si>
  <si>
    <t>Rate</t>
  </si>
  <si>
    <t>SBLC LC Payment Due Date</t>
  </si>
  <si>
    <t>MONTH</t>
  </si>
  <si>
    <t>Notional Int Amt (USD)</t>
  </si>
  <si>
    <t>Final Int Amt (USD)</t>
  </si>
  <si>
    <t>PAYMENT AMT [USD] BILL AMT +INT AMT</t>
  </si>
  <si>
    <t>FD NO</t>
  </si>
  <si>
    <t>LIEN AMT</t>
  </si>
  <si>
    <t>0692625TC0A00009</t>
  </si>
  <si>
    <t>0692625IM0Y00181</t>
  </si>
  <si>
    <t>0692625US0B00519</t>
  </si>
  <si>
    <t>HK-GREW-250808</t>
  </si>
  <si>
    <t>0692625TC0A00010</t>
  </si>
  <si>
    <t>0692625IM0Y00241</t>
  </si>
  <si>
    <t>0692625US0B00561</t>
  </si>
  <si>
    <t>80883796/80875012/80883463/80884631</t>
  </si>
  <si>
    <t>0692625TC0A00011</t>
  </si>
  <si>
    <t>0692625IM0Y00238</t>
  </si>
  <si>
    <t>0692625US0B00546</t>
  </si>
  <si>
    <t>0692625TC0A00012</t>
  </si>
  <si>
    <t>0692625US0B00540</t>
  </si>
  <si>
    <t>0692625TC0A00013</t>
  </si>
  <si>
    <t>0692625IM0Y00237</t>
  </si>
  <si>
    <t>0692625US0B00541</t>
  </si>
  <si>
    <t>YIBIN YINGFA DEYAO TECHNOLOGY CO LTD</t>
  </si>
  <si>
    <t>YFDY25080804</t>
  </si>
  <si>
    <t>0692625TC0A00014</t>
  </si>
  <si>
    <t>0692625IM0Y00261</t>
  </si>
  <si>
    <t>0692625US0B00559</t>
  </si>
  <si>
    <t>0692625TC0A00015</t>
  </si>
  <si>
    <t>0692625US0B00555</t>
  </si>
  <si>
    <t>HK-GREW-250811</t>
  </si>
  <si>
    <t>0692625TC0A00021</t>
  </si>
  <si>
    <t>0692625IM0Y00216</t>
  </si>
  <si>
    <t>0692625US0B00526</t>
  </si>
  <si>
    <t>STG2025-0721</t>
  </si>
  <si>
    <t>0692625TC0A00022</t>
  </si>
  <si>
    <t>0692625IM0Y00248</t>
  </si>
  <si>
    <t>0692625US0B00627</t>
  </si>
  <si>
    <t>0692625TC0A00023</t>
  </si>
  <si>
    <t>0692625IM0Y00246</t>
  </si>
  <si>
    <t>0692625US0B00579</t>
  </si>
  <si>
    <t>0692625TC0A00024</t>
  </si>
  <si>
    <t>0692625IM0Y00223</t>
  </si>
  <si>
    <t>0692625US0B00575</t>
  </si>
  <si>
    <t>STG2025-0728</t>
  </si>
  <si>
    <t>0692625TC0A00025</t>
  </si>
  <si>
    <t>0692625IM0Y00244</t>
  </si>
  <si>
    <t>0692625US0B00539</t>
  </si>
  <si>
    <t>42025080092/93</t>
  </si>
  <si>
    <t>0692625TC0A00026</t>
  </si>
  <si>
    <t>0692625US0B00556</t>
  </si>
  <si>
    <t>42025080098/99</t>
  </si>
  <si>
    <t>0692625TC0A00027</t>
  </si>
  <si>
    <t>0692625US0B00603</t>
  </si>
  <si>
    <t>80881389/80888026/80884223</t>
  </si>
  <si>
    <t>0692625TC0A00029</t>
  </si>
  <si>
    <t>0692625IM0Y00220</t>
  </si>
  <si>
    <t>0692625US0B00613</t>
  </si>
  <si>
    <t>HK-GREW-250831</t>
  </si>
  <si>
    <t>0692625TC0A00032</t>
  </si>
  <si>
    <t>0692625IM0Y00231</t>
  </si>
  <si>
    <t>0692625US0B00623</t>
  </si>
  <si>
    <t>HK-GREW-250818</t>
  </si>
  <si>
    <t>0692625TC0A00030</t>
  </si>
  <si>
    <t>0692625IM0Y00250</t>
  </si>
  <si>
    <t>0692625US0B00653</t>
  </si>
  <si>
    <t>STG2025-0815/STG2025-0817/STG2025-0818</t>
  </si>
  <si>
    <t>0692625TC0A00031</t>
  </si>
  <si>
    <t>0692625IM0Y00257</t>
  </si>
  <si>
    <t>0692625US0B00618</t>
  </si>
  <si>
    <t>JIANGSU SULV NEW MATERIAL TECHNOLOGY CO LTD</t>
  </si>
  <si>
    <t>SL-GREW-2025-8-29</t>
  </si>
  <si>
    <t>0692625TC0A00033</t>
  </si>
  <si>
    <t>0692625IM0Y00259</t>
  </si>
  <si>
    <t>0692625US0B00616</t>
  </si>
  <si>
    <t>STG2025-0823/STG2025-0822</t>
  </si>
  <si>
    <t>0692625TC0A00028</t>
  </si>
  <si>
    <t>0692625IM0Y00260</t>
  </si>
  <si>
    <t>0692625US0B00636</t>
  </si>
  <si>
    <t>STG2025-0828</t>
  </si>
  <si>
    <t>0692625TC0A00034</t>
  </si>
  <si>
    <t>0692625IM0Y00287</t>
  </si>
  <si>
    <t>0692625US0B00685</t>
  </si>
  <si>
    <t>0692625TC0A00039</t>
  </si>
  <si>
    <t>0692625IM0Y00221</t>
  </si>
  <si>
    <t>0692625US0B00642</t>
  </si>
  <si>
    <t>HK-GREW-250918</t>
  </si>
  <si>
    <t>0692626TC0A00003</t>
  </si>
  <si>
    <t>0692625IM0Y00327</t>
  </si>
  <si>
    <t>0692625US0B00744</t>
  </si>
  <si>
    <t>JRIT20251119004</t>
  </si>
  <si>
    <t>0692626TC0A00004</t>
  </si>
  <si>
    <t>0692625IM0Y00328</t>
  </si>
  <si>
    <t>0692625US0B00743</t>
  </si>
  <si>
    <t>JRIT20251119002</t>
  </si>
  <si>
    <t>261001TCBG00015</t>
  </si>
  <si>
    <t>26100FBIN00063</t>
  </si>
  <si>
    <t>2035BBC26T001144</t>
  </si>
  <si>
    <t>2035FBRLC260037</t>
  </si>
  <si>
    <t>JIANGSU SULV PRECISION TECHNOLOGY CO.,LTD</t>
  </si>
  <si>
    <t>2035FBRLC260035</t>
  </si>
  <si>
    <t>0692626TC0A00005</t>
  </si>
  <si>
    <t>0692626US0B00240</t>
  </si>
  <si>
    <t>0692626TC0A00008</t>
  </si>
  <si>
    <t>0692626US0B00253</t>
  </si>
  <si>
    <t>0692626TC0A00006</t>
  </si>
  <si>
    <t>0692626US0B00250</t>
  </si>
  <si>
    <t>0692626TC0A00009</t>
  </si>
  <si>
    <t>0692626US0B00254</t>
  </si>
  <si>
    <t>2035BBC26T001160</t>
  </si>
  <si>
    <t>2035FBRLC260055</t>
  </si>
  <si>
    <t>2035FBRLC260054</t>
  </si>
  <si>
    <t>2035FBRLC260053</t>
  </si>
  <si>
    <t>2035FBRLC260049</t>
  </si>
  <si>
    <t>2035FBRLC260052</t>
  </si>
  <si>
    <t xml:space="preserve">0692626TC0A00010 </t>
  </si>
  <si>
    <t>0692626US0B00252</t>
  </si>
  <si>
    <t>261001TCBG00017</t>
  </si>
  <si>
    <t>261001FIBN00068</t>
  </si>
  <si>
    <t>261001FIBN00069</t>
  </si>
  <si>
    <t>261001FIBN00070</t>
  </si>
  <si>
    <t>2035FBRLC260048</t>
  </si>
  <si>
    <t>2035FBRLC260044</t>
  </si>
  <si>
    <t>2035FBRLC260046</t>
  </si>
  <si>
    <t>2035BBC26T001167</t>
  </si>
  <si>
    <t>2035FBRLC260040</t>
  </si>
  <si>
    <t>2035BBC26T001168</t>
  </si>
  <si>
    <t>2035FBRLC260042</t>
  </si>
  <si>
    <t>Confirmed Lc Payment List</t>
  </si>
  <si>
    <t>BENEFICIARY NAME</t>
  </si>
  <si>
    <t>CURRENCY</t>
  </si>
  <si>
    <t>BILL AMT</t>
  </si>
  <si>
    <t>DISCREPANCY AMT</t>
  </si>
  <si>
    <t>FINAL PAYMENT AMT IN FC</t>
  </si>
  <si>
    <t>REF NO</t>
  </si>
  <si>
    <t>BOE NO</t>
  </si>
  <si>
    <t>LC AMT IN FC</t>
  </si>
  <si>
    <t>MRGIN</t>
  </si>
  <si>
    <t>PO</t>
  </si>
  <si>
    <t>Party Name</t>
  </si>
  <si>
    <t>Amt in FC</t>
  </si>
  <si>
    <t>AMT IN INR</t>
  </si>
  <si>
    <t>MARGIN</t>
  </si>
  <si>
    <t>Name of Material</t>
  </si>
  <si>
    <t>STATUS</t>
  </si>
  <si>
    <t>LC</t>
  </si>
  <si>
    <t>LC DRAFT CONFRIMATION PENDING</t>
  </si>
  <si>
    <t>ZHEJIANG ZHONGHUAN SUNTER PV TECHNOLOGY</t>
  </si>
  <si>
    <t>HOLD</t>
  </si>
  <si>
    <t>FRAME</t>
  </si>
  <si>
    <t>PT DUOMAX SOLAR INDONESIA</t>
  </si>
  <si>
    <t>CELL</t>
  </si>
  <si>
    <t xml:space="preserve">TOTAL ALL BANK LC DATY WISE </t>
  </si>
  <si>
    <t>DATE</t>
  </si>
  <si>
    <t>LC OPENING BALANCE</t>
  </si>
  <si>
    <t>LC OPENED</t>
  </si>
  <si>
    <t>LC CLOSED</t>
  </si>
  <si>
    <t>LC OUTSTANDING</t>
  </si>
  <si>
    <t>Sr.no</t>
  </si>
  <si>
    <t>Supplier</t>
  </si>
  <si>
    <t>Bank</t>
  </si>
  <si>
    <t>Amt.</t>
  </si>
  <si>
    <t>Date of opening</t>
  </si>
  <si>
    <t>Date of expiry</t>
  </si>
  <si>
    <t>Swati Switchgears (India) Pvt Ltd</t>
  </si>
  <si>
    <t>CORPORATE BG</t>
  </si>
  <si>
    <t>Riello Power India Pvt Ltd</t>
  </si>
  <si>
    <t>BANK GUARANTEE</t>
  </si>
  <si>
    <t>Punjab National Bank</t>
  </si>
  <si>
    <t>Rostfrei Steels Pvt Ltd</t>
  </si>
  <si>
    <t>ICICI Bank Ltd</t>
  </si>
  <si>
    <t>1100000214</t>
  </si>
  <si>
    <t>Kirby Building Systems &amp; Structures Indai Pvt Ltd</t>
  </si>
  <si>
    <t>P2/11000000010</t>
  </si>
  <si>
    <t>P2/11000000069</t>
  </si>
  <si>
    <t>P2/1100000022</t>
  </si>
  <si>
    <t>EPACK PREFAB TECHNOLOGIES LTD</t>
  </si>
  <si>
    <t>P4/1400000065</t>
  </si>
  <si>
    <t>AVANT GARDE CLEANROOM &amp;ENGG</t>
  </si>
  <si>
    <t>1400000138</t>
  </si>
  <si>
    <t>GARDNER DENVER ENGINEERED PRODUCTS INDIA PVT LTD</t>
  </si>
  <si>
    <t>BANK OF AMERICA</t>
  </si>
  <si>
    <t>P4/1400000075</t>
  </si>
  <si>
    <t>MEMBRANE GROUP INDIA PVT LTD</t>
  </si>
  <si>
    <t>GEPL/2025/577</t>
  </si>
  <si>
    <t>AGNICE FIRE PROTECTION PVT LTD</t>
  </si>
  <si>
    <t>AXIS BANK</t>
  </si>
  <si>
    <t>1400000183</t>
  </si>
  <si>
    <t>1400000181</t>
  </si>
  <si>
    <t>1400000134</t>
  </si>
  <si>
    <t>Permionics Membranes Pvt Ltd</t>
  </si>
  <si>
    <t>1400000133</t>
  </si>
  <si>
    <t>SKAI AIR CONTROL PVT LTD</t>
  </si>
  <si>
    <t>1400000045/1100000046/1100000056/1100000116</t>
  </si>
  <si>
    <t>HI MAK PVT LTD</t>
  </si>
  <si>
    <t>1400000221</t>
  </si>
  <si>
    <t>Sudhir Power Ltd</t>
  </si>
  <si>
    <t>YES BANK</t>
  </si>
  <si>
    <t>P4/14000000119</t>
  </si>
  <si>
    <t>TRANE TECHNOLOGIES INDIA PVT LTD</t>
  </si>
  <si>
    <t>IDFC</t>
  </si>
  <si>
    <t>1400000114</t>
  </si>
  <si>
    <t>HARTEK POWER PVT LTD</t>
  </si>
  <si>
    <t>1400000211</t>
  </si>
  <si>
    <t>AIR GAS ELECTRONIC MATERIAL ENTERPRISES CO LTD</t>
  </si>
  <si>
    <t>DBS</t>
  </si>
  <si>
    <t>1400000141</t>
  </si>
  <si>
    <t>1400000139</t>
  </si>
  <si>
    <t>P4/1400000291</t>
  </si>
  <si>
    <t>1400000443</t>
  </si>
  <si>
    <t>NAY ENTERPRISE</t>
  </si>
  <si>
    <t>1400000208</t>
  </si>
  <si>
    <t>1400000210</t>
  </si>
  <si>
    <t>ECOSPHERE INDIA PVT LTDD</t>
  </si>
  <si>
    <t>1400000481</t>
  </si>
  <si>
    <t>1400000404</t>
  </si>
  <si>
    <t>SHIV SHAKTI ENGINEERS</t>
  </si>
  <si>
    <t>KOTAK</t>
  </si>
  <si>
    <t>1400000469</t>
  </si>
  <si>
    <t>ADVANCE PANELS AND SWITCHGEARS PVT LTD</t>
  </si>
  <si>
    <t>1400000561</t>
  </si>
  <si>
    <t>1400000167</t>
  </si>
  <si>
    <t>TRANSFORMERS AND RECTIFIERS (INDIA) LTD</t>
  </si>
  <si>
    <t>1400000107</t>
  </si>
  <si>
    <t>THERMAX LIMITED</t>
  </si>
  <si>
    <t>1400000539</t>
  </si>
  <si>
    <t>GANDHI AUTOMATIONS PRIVATE LIMITED</t>
  </si>
  <si>
    <t>HDFC</t>
  </si>
  <si>
    <t>P4/1400000156</t>
  </si>
  <si>
    <t>P4/1400000324</t>
  </si>
  <si>
    <t>1400000774</t>
  </si>
  <si>
    <t>P4/1400000754</t>
  </si>
  <si>
    <t>Raychem RPG PVT LTD</t>
  </si>
  <si>
    <t>1400000252</t>
  </si>
  <si>
    <t>WIPRO ENTERPRISES PRIVATE LIMITED</t>
  </si>
  <si>
    <t>1400000647</t>
  </si>
  <si>
    <t>1400000153</t>
  </si>
  <si>
    <t>1400000433</t>
  </si>
  <si>
    <t>CLOSED</t>
  </si>
  <si>
    <t>MS Gandhi Automations Pvt Ltd</t>
  </si>
  <si>
    <t>Axis Bank Ltd</t>
  </si>
  <si>
    <t>1100000173</t>
  </si>
  <si>
    <t>Handover to Sh. Harimohan sir and received by beneficiary also</t>
  </si>
  <si>
    <t>Skai Air Control Pvt Ltd</t>
  </si>
  <si>
    <t>IDBI Bank Ltd</t>
  </si>
  <si>
    <t>1100000143,142,212,242,319,260,350,379</t>
  </si>
  <si>
    <t>Handover to Sh. Harimohan sir on 04-04-2025</t>
  </si>
  <si>
    <t>Handover to Kishan sir on 06-09-2025</t>
  </si>
  <si>
    <t>handover to Meet sir on 30-09-2025 due to assign clause issue as per their request to return back</t>
  </si>
  <si>
    <t>GNBS ECO CO LTD</t>
  </si>
  <si>
    <t>HANA BANK</t>
  </si>
  <si>
    <t>1400000398 [USD BG ASSIGNABLE CLUASE PENDING]</t>
  </si>
  <si>
    <t>SUBMITTED IN SBI BANK ON 28-11-2025 FOR CANCELLATION AS IT IS FOREIGN BG</t>
  </si>
  <si>
    <t>Handover to Meet sir on 16-05-2026</t>
  </si>
  <si>
    <t xml:space="preserve">supplier BG details </t>
  </si>
  <si>
    <t>PO No/LOI NO</t>
  </si>
  <si>
    <t>BG Amt</t>
  </si>
  <si>
    <t>mail dtd</t>
  </si>
  <si>
    <t>Product</t>
  </si>
  <si>
    <r>
      <t xml:space="preserve">First time </t>
    </r>
    <r>
      <rPr>
        <b/>
        <sz val="11"/>
        <color rgb="FF000000"/>
        <rFont val="Calibri"/>
        <family val="2"/>
      </rPr>
      <t>Draft confirm date by Finance</t>
    </r>
  </si>
  <si>
    <t>Original BG Received</t>
  </si>
  <si>
    <t>Remarks</t>
  </si>
  <si>
    <t>Gardner Denver Engineered Products India Pvt Ltd</t>
  </si>
  <si>
    <t>MODULE</t>
  </si>
  <si>
    <t>Permionics Membranes Pvt. Ltd</t>
  </si>
  <si>
    <t>GEPL/2025/581</t>
  </si>
  <si>
    <t xml:space="preserve">    2,29,72,980.00 </t>
  </si>
  <si>
    <t>cell</t>
  </si>
  <si>
    <t>Avant Garde Cleanroom &amp; Engg. Solutions Pvt. Ltd</t>
  </si>
  <si>
    <t xml:space="preserve">  10,98,15,000.00 </t>
  </si>
  <si>
    <t>Membrane Group India Pvt Ltd</t>
  </si>
  <si>
    <t xml:space="preserve">    4,23,75,730.00 </t>
  </si>
  <si>
    <t>Trane Technologies Pvt Ltd</t>
  </si>
  <si>
    <t xml:space="preserve">    1,18,63,789.00 </t>
  </si>
  <si>
    <t>Skai Air Control Private Limited</t>
  </si>
  <si>
    <t xml:space="preserve">1100000045/1100000045/1100000056/1100000116 </t>
  </si>
  <si>
    <t xml:space="preserve">    1,49,46,077.00 </t>
  </si>
  <si>
    <t>Agnice Fire Protection Pvt. Ltd</t>
  </si>
  <si>
    <t>Air Gas Electronic Material Enterprises Co., Ltd</t>
  </si>
  <si>
    <t>$ 212900</t>
  </si>
  <si>
    <t xml:space="preserve">GAS </t>
  </si>
  <si>
    <t>$ 114300</t>
  </si>
  <si>
    <t>Nay Enterprise</t>
  </si>
  <si>
    <t>1400000208 and 1400000210</t>
  </si>
  <si>
    <t>EPACK PREFAB TECHNOLOGIES LIMITED</t>
  </si>
  <si>
    <r>
      <t>P4/1400000291</t>
    </r>
    <r>
      <rPr>
        <sz val="11"/>
        <color rgb="FF000000"/>
        <rFont val="Arial"/>
        <family val="2"/>
      </rPr>
      <t xml:space="preserve"> </t>
    </r>
  </si>
  <si>
    <t>BG no.</t>
  </si>
  <si>
    <t>FD No</t>
  </si>
  <si>
    <t>FD Lien Amt</t>
  </si>
  <si>
    <t>FD Amt</t>
  </si>
  <si>
    <t>status</t>
  </si>
  <si>
    <t>THE PRESIDENT OF INDIA</t>
  </si>
  <si>
    <t>0692623BG0000159</t>
  </si>
  <si>
    <t>EPCG</t>
  </si>
  <si>
    <t>Module Line</t>
  </si>
  <si>
    <t>ACTIVE</t>
  </si>
  <si>
    <t>0692623BG0000161</t>
  </si>
  <si>
    <t>Stringer</t>
  </si>
  <si>
    <t>0692623BG0000222</t>
  </si>
  <si>
    <t>Vacuum Pump</t>
  </si>
  <si>
    <t>0692623BG0000262</t>
  </si>
  <si>
    <t>IGCR</t>
  </si>
  <si>
    <t>Solar Glass</t>
  </si>
  <si>
    <t>0692623BG0000308</t>
  </si>
  <si>
    <t>Sum Simulator</t>
  </si>
  <si>
    <t>0692623BG0000309</t>
  </si>
  <si>
    <t>PDI Line</t>
  </si>
  <si>
    <t>0692623BG0000307</t>
  </si>
  <si>
    <t>0692623BG0000322</t>
  </si>
  <si>
    <t>Lab Testing Machine - ZWT  / CG Goods</t>
  </si>
  <si>
    <t>SOLAR ENERGY CORPORATION OF INDIA LTD</t>
  </si>
  <si>
    <t>0692624BG0000093</t>
  </si>
  <si>
    <t>PLI</t>
  </si>
  <si>
    <t>0692624BG0000126</t>
  </si>
  <si>
    <t>BG</t>
  </si>
  <si>
    <t>AGAINST BOE NO 3305878 SOLAR SPACE LC</t>
  </si>
  <si>
    <t>0692624BG0000127</t>
  </si>
  <si>
    <t>AGAINST BOE NO 3324460 SOLAR SPACE LC</t>
  </si>
  <si>
    <t>0692624BG0000128</t>
  </si>
  <si>
    <t>AGAINST BOE NO 3305835 SOLAR SPACE LC</t>
  </si>
  <si>
    <t>Sunsure Energy Pvt Ltd</t>
  </si>
  <si>
    <t>26001IBGA00021</t>
  </si>
  <si>
    <t>ABG</t>
  </si>
  <si>
    <t>50 MW Mundsar Solar</t>
  </si>
  <si>
    <t>26001IBGA00033</t>
  </si>
  <si>
    <t xml:space="preserve">60.180 MW </t>
  </si>
  <si>
    <t>1001105000022030</t>
  </si>
  <si>
    <t>SUNBREEZE RENEWABLES NINE PVT LTD</t>
  </si>
  <si>
    <t>0692626BG0Y00021</t>
  </si>
  <si>
    <t xml:space="preserve">MW is 360 MW </t>
  </si>
  <si>
    <t>0692626BG0Y00022</t>
  </si>
  <si>
    <t>HINDUJA RENEWABLES ENERGY PVT LTD</t>
  </si>
  <si>
    <t>0692626BG0Y00024</t>
  </si>
  <si>
    <t>196.78908 MW</t>
  </si>
  <si>
    <t>0692626BG0Y00025</t>
  </si>
  <si>
    <t>0692626BG0Y00026</t>
  </si>
  <si>
    <t>CLOSED BG</t>
  </si>
  <si>
    <t>closed date</t>
  </si>
  <si>
    <t>0692623BG0000326</t>
  </si>
  <si>
    <t>EMD</t>
  </si>
  <si>
    <t>200Mwp</t>
  </si>
  <si>
    <t>42278070682, 42318765196 , 42475014793 , 42334957015</t>
  </si>
  <si>
    <t>0692624BG0000072</t>
  </si>
  <si>
    <t>900Mwp</t>
  </si>
  <si>
    <t>BANDHAN</t>
  </si>
  <si>
    <t>2023PBG017240189</t>
  </si>
  <si>
    <t>23001563112</t>
  </si>
  <si>
    <t>Acme Cleantech Solutions Private Limited</t>
  </si>
  <si>
    <t>0692624BG0000148</t>
  </si>
  <si>
    <t>Bikaner Project</t>
  </si>
  <si>
    <t>42319489577 , 42855164420, 42561333063 , 42815340031 , 42840339454</t>
  </si>
  <si>
    <t>AMBUJA CEMENT LTD/ADANI</t>
  </si>
  <si>
    <t>0692624BG0Y00190</t>
  </si>
  <si>
    <t>0692624BG0000161</t>
  </si>
  <si>
    <t>35 Mwp</t>
  </si>
  <si>
    <t>ADANI GREEN ENERGY LTD</t>
  </si>
  <si>
    <t>0692625BG0Y00009</t>
  </si>
  <si>
    <t>SOLAR PV MODULE OF 82.20 WP</t>
  </si>
  <si>
    <t>0692624BG0Y00173</t>
  </si>
  <si>
    <t>80 Mwp</t>
  </si>
  <si>
    <t>Solarcraft Power India 5 Private Limited</t>
  </si>
  <si>
    <t>0692624BG0000152</t>
  </si>
  <si>
    <t>TOPCON MSA</t>
  </si>
  <si>
    <t>DYNASPEDE RENEWABLE ENERGY PVT LTD/SUNSTREAM</t>
  </si>
  <si>
    <t>0692625BG0Y00032</t>
  </si>
  <si>
    <t>Module WP 580-585 WP</t>
  </si>
  <si>
    <t>0692625BG0Y00063</t>
  </si>
  <si>
    <t>modules for a 260 MW</t>
  </si>
  <si>
    <t>0692624BG0Y00183</t>
  </si>
  <si>
    <t>SOLAR PV MODULE OF 580 WP</t>
  </si>
  <si>
    <t>0692624BG0Y00191</t>
  </si>
  <si>
    <t>Purvah Green Power Private Limited /RPSG</t>
  </si>
  <si>
    <t>0692625BG0Y00111</t>
  </si>
  <si>
    <t>RPSG 210 MW</t>
  </si>
  <si>
    <t>0692625BG0Y00054</t>
  </si>
  <si>
    <t>Module WP 460 WP</t>
  </si>
  <si>
    <t>0692624BG0000136</t>
  </si>
  <si>
    <t>AGAINST BOE NO 3490798 &amp; 3408215 release of jolywood material</t>
  </si>
  <si>
    <t>NTPC RAJASTHAN GREEN ENERGY LIMITED</t>
  </si>
  <si>
    <t>0692625BG0Y00133</t>
  </si>
  <si>
    <t>BIKANER 787.8 Mwp</t>
  </si>
  <si>
    <t>NTPC Renewable energy Limited</t>
  </si>
  <si>
    <t>0692625BG0Y00135</t>
  </si>
  <si>
    <t>KHAVDA</t>
  </si>
  <si>
    <t>0692625BG0Y00125</t>
  </si>
  <si>
    <t xml:space="preserve">Lalitpur-1 + Lalitpur-2 878.7 MWP </t>
  </si>
  <si>
    <t>Invoke on 09-04-2026</t>
  </si>
  <si>
    <t>0692625BG0Y00112</t>
  </si>
  <si>
    <t>SR NO</t>
  </si>
  <si>
    <t>Opening date</t>
  </si>
  <si>
    <t xml:space="preserve">FD Account Number </t>
  </si>
  <si>
    <t>LC/BG/COLLETRAL</t>
  </si>
  <si>
    <t>PARTY NAME</t>
  </si>
  <si>
    <t>TYPE</t>
  </si>
  <si>
    <t>DESCRIPTION</t>
  </si>
  <si>
    <t>Original  Principal Rate</t>
  </si>
  <si>
    <t>OLD MATURITY AMT</t>
  </si>
  <si>
    <t>FD LIEN AMT for LC/BG</t>
  </si>
  <si>
    <t>New Prin. Amt</t>
  </si>
  <si>
    <t>Int. Amt</t>
  </si>
  <si>
    <t>New Maturity Amt.</t>
  </si>
  <si>
    <t>Maturity Period</t>
  </si>
  <si>
    <t>Maturity Date</t>
  </si>
  <si>
    <t>New Deposit Value</t>
  </si>
  <si>
    <t>New Maturity Value</t>
  </si>
  <si>
    <t>New Maturity Date</t>
  </si>
  <si>
    <t xml:space="preserve">New Interest Rates </t>
  </si>
  <si>
    <t>FINAL FD  AMT</t>
  </si>
  <si>
    <t>Account Type</t>
  </si>
  <si>
    <t>FREE AGAINST BG</t>
  </si>
  <si>
    <t>6 Y 1M</t>
  </si>
  <si>
    <t>CA</t>
  </si>
  <si>
    <t>BG 10%</t>
  </si>
  <si>
    <t>BG 100%</t>
  </si>
  <si>
    <t>STRINGER</t>
  </si>
  <si>
    <t xml:space="preserve">6 Y </t>
  </si>
  <si>
    <t>COLLETRAL</t>
  </si>
  <si>
    <t>GREW ENERGY PVT LTD</t>
  </si>
  <si>
    <t>400D</t>
  </si>
  <si>
    <t>VACCUM PUMP</t>
  </si>
  <si>
    <t>SOLAR GLASS</t>
  </si>
  <si>
    <t>2 Y 1M</t>
  </si>
  <si>
    <t>CUSTOM DEPT</t>
  </si>
  <si>
    <t>1 Y</t>
  </si>
  <si>
    <t>CAPEX 100%</t>
  </si>
  <si>
    <t xml:space="preserve">1 Y </t>
  </si>
  <si>
    <t xml:space="preserve"> LC - 10%</t>
  </si>
  <si>
    <t>CC</t>
  </si>
  <si>
    <t>SBLC</t>
  </si>
  <si>
    <t>6 Y</t>
  </si>
  <si>
    <t>8M</t>
  </si>
  <si>
    <t>8 Y 2M</t>
  </si>
  <si>
    <t>444D</t>
  </si>
  <si>
    <t>DSRA</t>
  </si>
  <si>
    <t>DSRA PHASE I</t>
  </si>
  <si>
    <t>7M</t>
  </si>
  <si>
    <t>204D</t>
  </si>
  <si>
    <t>4M</t>
  </si>
  <si>
    <t>6M</t>
  </si>
  <si>
    <t>DSRA PHASE II</t>
  </si>
  <si>
    <t>1Y</t>
  </si>
  <si>
    <t>GNBS</t>
  </si>
  <si>
    <t>332D</t>
  </si>
  <si>
    <t>ESCROW</t>
  </si>
  <si>
    <t>1001107000002998</t>
  </si>
  <si>
    <t>IDBI -FD</t>
  </si>
  <si>
    <t>30 MONTHS</t>
  </si>
  <si>
    <t>1001107000003001</t>
  </si>
  <si>
    <t>1001107000003018</t>
  </si>
  <si>
    <t>1001105000022011</t>
  </si>
  <si>
    <t>3 M</t>
  </si>
  <si>
    <t>203556110001652</t>
  </si>
  <si>
    <t>BOI-FD</t>
  </si>
  <si>
    <t>450D</t>
  </si>
  <si>
    <t>1001105000022039</t>
  </si>
  <si>
    <t>45D</t>
  </si>
  <si>
    <t>203556110001657</t>
  </si>
  <si>
    <t>449D</t>
  </si>
  <si>
    <t>203556110001656</t>
  </si>
  <si>
    <t>365D</t>
  </si>
  <si>
    <t>203556110001655</t>
  </si>
  <si>
    <t>203541110002591</t>
  </si>
  <si>
    <t>4.7M</t>
  </si>
  <si>
    <t>203556110001658</t>
  </si>
  <si>
    <t>451D</t>
  </si>
  <si>
    <t>TOTAL AMT</t>
  </si>
  <si>
    <t xml:space="preserve"> LC - 110%</t>
  </si>
  <si>
    <t>CLOSED LC DETAILS</t>
  </si>
  <si>
    <t>LIEN AGAINST</t>
  </si>
  <si>
    <t>BG WORK FOR</t>
  </si>
  <si>
    <t xml:space="preserve">Interest Rates </t>
  </si>
  <si>
    <t>Original  Principal Amt</t>
  </si>
  <si>
    <t>Maturity Amt.</t>
  </si>
  <si>
    <t>FD CLOSE DATE</t>
  </si>
  <si>
    <t>Bandhan</t>
  </si>
  <si>
    <t>SECI</t>
  </si>
  <si>
    <t>9 Y 1M</t>
  </si>
  <si>
    <t>1M</t>
  </si>
  <si>
    <t>FREE</t>
  </si>
  <si>
    <t>15D</t>
  </si>
  <si>
    <t>AMBUJA CEMENT LTD</t>
  </si>
  <si>
    <t xml:space="preserve">BG CANCELLED </t>
  </si>
  <si>
    <t>5 M</t>
  </si>
  <si>
    <t>46D</t>
  </si>
  <si>
    <t>3M</t>
  </si>
  <si>
    <t>LEYBOLD LC</t>
  </si>
  <si>
    <t>CREDIT IN CC ACCOUNT</t>
  </si>
  <si>
    <t>100D</t>
  </si>
  <si>
    <t>2M</t>
  </si>
  <si>
    <t>ATLAS COPCO</t>
  </si>
  <si>
    <t>50D</t>
  </si>
  <si>
    <t>TRANE TECHNOLOGIES</t>
  </si>
  <si>
    <t>25-12-20225</t>
  </si>
  <si>
    <t xml:space="preserve">ZIEHL ABEGG SE </t>
  </si>
  <si>
    <t>66D</t>
  </si>
  <si>
    <t>AIR GAS ELECTRONICS</t>
  </si>
  <si>
    <t>88D</t>
  </si>
  <si>
    <t>87D</t>
  </si>
  <si>
    <t>SCZ LLC</t>
  </si>
  <si>
    <t>SCZ</t>
  </si>
  <si>
    <t>196D</t>
  </si>
  <si>
    <t>ENLI TECHNOLOGY</t>
  </si>
  <si>
    <t>98D</t>
  </si>
  <si>
    <t>SR. NO.</t>
  </si>
  <si>
    <t>Investor</t>
  </si>
  <si>
    <t>BANK'S ACCOUNT</t>
  </si>
  <si>
    <t>SHARE CAPITAL ACCOUNT</t>
  </si>
  <si>
    <t>CURRENT ACCOUNT</t>
  </si>
  <si>
    <t>ALLOTMENT</t>
  </si>
  <si>
    <t>BANK'S ACCOUNT FOR EXCESS MONEY</t>
  </si>
  <si>
    <t>Remittance date [USD]</t>
  </si>
  <si>
    <t>Sender Remmited Amount [USD]</t>
  </si>
  <si>
    <t>Bank Charges [USD]</t>
  </si>
  <si>
    <t>Received Amount After Charges [USD]</t>
  </si>
  <si>
    <t>Credited Amount [USD]</t>
  </si>
  <si>
    <t>Unused Amount [USD]</t>
  </si>
  <si>
    <t>Swift Copy (YES/NO)</t>
  </si>
  <si>
    <t>Converted Amount [USD]</t>
  </si>
  <si>
    <t>Conversion Date</t>
  </si>
  <si>
    <t>Conversion Rate</t>
  </si>
  <si>
    <t>Converted Amount</t>
  </si>
  <si>
    <t>Transfer Date</t>
  </si>
  <si>
    <t>Any Charges[INR]</t>
  </si>
  <si>
    <t>Shares Alloted</t>
  </si>
  <si>
    <t>Total Amount</t>
  </si>
  <si>
    <t>Allotment Date</t>
  </si>
  <si>
    <t>Remittance Date</t>
  </si>
  <si>
    <t>Excess Amount [USD]</t>
  </si>
  <si>
    <t>Bank Charges[USD]</t>
  </si>
  <si>
    <t>Returned Amount [USD]</t>
  </si>
  <si>
    <t>SIGMA GLOBAL FUND</t>
  </si>
  <si>
    <t>AVAITOR EMERGING MARKET FUND</t>
  </si>
  <si>
    <t>MINERVA VENTURES FUND</t>
  </si>
  <si>
    <t>BAY CAPITAL INVESTMENTS LTD</t>
  </si>
  <si>
    <t>AL MAHA INVESTMENT FUN PPC -ONYX STRATEGY</t>
  </si>
  <si>
    <t>INTI CAPITAL VCC</t>
  </si>
  <si>
    <t>Nova Dynamic</t>
  </si>
  <si>
    <t>Vineeta Chiripal</t>
  </si>
  <si>
    <t>BOM</t>
  </si>
  <si>
    <t>DISCOUNTING LIMIT AMOUNT</t>
  </si>
  <si>
    <t>Limit Amt</t>
  </si>
  <si>
    <t>Utilised Amt</t>
  </si>
  <si>
    <t>Available Amt</t>
  </si>
  <si>
    <t>LC No</t>
  </si>
  <si>
    <t>LC Date</t>
  </si>
  <si>
    <t>LC Amt</t>
  </si>
  <si>
    <t>Amended LC Amt</t>
  </si>
  <si>
    <t>Final LC Amt</t>
  </si>
  <si>
    <t>Applicant Bank</t>
  </si>
  <si>
    <t>Receiver Bank</t>
  </si>
  <si>
    <t>Discounting Bank</t>
  </si>
  <si>
    <t>date of shipment</t>
  </si>
  <si>
    <t>Expiry Date</t>
  </si>
  <si>
    <t>Bill of Exchange No</t>
  </si>
  <si>
    <t>Bill Ref No of Bank</t>
  </si>
  <si>
    <t>Bill of Exchange Amt</t>
  </si>
  <si>
    <t>Status as on date</t>
  </si>
  <si>
    <t>BOE SIGNED DATE</t>
  </si>
  <si>
    <t>Documents submitted in bank</t>
  </si>
  <si>
    <t>Documents Received by Beneficiary bank</t>
  </si>
  <si>
    <t>Payment received date</t>
  </si>
  <si>
    <t>Bill Due Date</t>
  </si>
  <si>
    <t>LC Balancing Amount</t>
  </si>
  <si>
    <t>Party will cancel</t>
  </si>
  <si>
    <t>VIKRAM SOLAR LTD</t>
  </si>
  <si>
    <t>17212ILC008424</t>
  </si>
  <si>
    <t>INR</t>
  </si>
  <si>
    <t>PNB</t>
  </si>
  <si>
    <t xml:space="preserve">SBI </t>
  </si>
  <si>
    <t>SIB</t>
  </si>
  <si>
    <t>0179UBP00043124</t>
  </si>
  <si>
    <t>Acceptance received</t>
  </si>
  <si>
    <t>0179UBP00043424</t>
  </si>
  <si>
    <t>SHINHAN</t>
  </si>
  <si>
    <t>0179UBP00043224</t>
  </si>
  <si>
    <t>Saraswat</t>
  </si>
  <si>
    <t>0179UBP00046024</t>
  </si>
  <si>
    <t>0179UBP00050924</t>
  </si>
  <si>
    <t>0179UBP00051024</t>
  </si>
  <si>
    <t>02560IOUU2412101</t>
  </si>
  <si>
    <t>CANARA</t>
  </si>
  <si>
    <t>50340M11D2400105</t>
  </si>
  <si>
    <t>UNION</t>
  </si>
  <si>
    <t>SARASWAT</t>
  </si>
  <si>
    <t>17212ILC022324</t>
  </si>
  <si>
    <t>GREENTEK INDIA LTD</t>
  </si>
  <si>
    <t>1634LCO-0016004</t>
  </si>
  <si>
    <t>AXIS</t>
  </si>
  <si>
    <t>GREENTEK/001</t>
  </si>
  <si>
    <t>RELIANCE INDUSTRIES LTD</t>
  </si>
  <si>
    <t>054INLC0000325</t>
  </si>
  <si>
    <t>ICICI</t>
  </si>
  <si>
    <t>RELIANCE/001</t>
  </si>
  <si>
    <t>RELIANCE/002</t>
  </si>
  <si>
    <t>RELIANCE/003</t>
  </si>
  <si>
    <t>RELIANCE/004</t>
  </si>
  <si>
    <t>RELIANCE/005</t>
  </si>
  <si>
    <t>RELIANCE/006</t>
  </si>
  <si>
    <t>RELIANCE/007</t>
  </si>
  <si>
    <t>RELIANCE/008</t>
  </si>
  <si>
    <t>17212ILC032324</t>
  </si>
  <si>
    <t>17212ILC032824</t>
  </si>
  <si>
    <t>ORNATE AGENCIES PVT LTD</t>
  </si>
  <si>
    <t>027LC03242490021</t>
  </si>
  <si>
    <t>ORNATE/001</t>
  </si>
  <si>
    <t>LC CANCELLED AS PER SARJAK SIR INSTRUCTION</t>
  </si>
  <si>
    <t>ACME CLEANTECH SOLUTIONS PVT LTD</t>
  </si>
  <si>
    <t>0328224ILS000274</t>
  </si>
  <si>
    <t>INDIAN</t>
  </si>
  <si>
    <t>N.A</t>
  </si>
  <si>
    <t>ACME/001</t>
  </si>
  <si>
    <t>NA</t>
  </si>
  <si>
    <t>ACME/002</t>
  </si>
  <si>
    <t>ACME/003</t>
  </si>
  <si>
    <t>ACME/004</t>
  </si>
  <si>
    <t>ACME/005</t>
  </si>
  <si>
    <t>ACME/006</t>
  </si>
  <si>
    <t>ACME/007</t>
  </si>
  <si>
    <t>ACME/008</t>
  </si>
  <si>
    <t>ACME/009</t>
  </si>
  <si>
    <t>ACME/010</t>
  </si>
  <si>
    <t>ACME/011</t>
  </si>
  <si>
    <t>ACME/012</t>
  </si>
  <si>
    <t>ACME/013</t>
  </si>
  <si>
    <t>ACME/014</t>
  </si>
  <si>
    <t>ACME/015</t>
  </si>
  <si>
    <t>ACME/016</t>
  </si>
  <si>
    <t>ACME/017</t>
  </si>
  <si>
    <t>ACME/018</t>
  </si>
  <si>
    <t>ACME/019</t>
  </si>
  <si>
    <t>ACME/020</t>
  </si>
  <si>
    <t>ACME/021</t>
  </si>
  <si>
    <t>001LM02242480006</t>
  </si>
  <si>
    <t>AMBUJA/001</t>
  </si>
  <si>
    <t>AMBUJA/002</t>
  </si>
  <si>
    <t>AMBUJA/003</t>
  </si>
  <si>
    <t>AMBUJA/004</t>
  </si>
  <si>
    <t>AMBUJA/005</t>
  </si>
  <si>
    <t>AMBUJA/006</t>
  </si>
  <si>
    <t>AMBUJA/007</t>
  </si>
  <si>
    <t>AMBUJA/008</t>
  </si>
  <si>
    <t>AMBUJA/009</t>
  </si>
  <si>
    <t>AMBUJA/010</t>
  </si>
  <si>
    <t>AMBUJA/011</t>
  </si>
  <si>
    <t>AMBUJA/012</t>
  </si>
  <si>
    <t>AMBUJA/013</t>
  </si>
  <si>
    <t>AMBUJA/014</t>
  </si>
  <si>
    <t>AMBUJA/015</t>
  </si>
  <si>
    <t>AMBUJA/016</t>
  </si>
  <si>
    <t>0024NILC0058125</t>
  </si>
  <si>
    <t>ADANI-75MW/001</t>
  </si>
  <si>
    <t>ADANI-75MW/002</t>
  </si>
  <si>
    <t>ADANI-75MW/003</t>
  </si>
  <si>
    <t>ADANI-75MW/004</t>
  </si>
  <si>
    <t>ADANI-75MW/005</t>
  </si>
  <si>
    <t>ADANI-75MW/006</t>
  </si>
  <si>
    <t>ADANI-75MW/007</t>
  </si>
  <si>
    <t>ADANI-75MW/008</t>
  </si>
  <si>
    <t>ADANI-75MW/009</t>
  </si>
  <si>
    <t>ADANI-75MW/010</t>
  </si>
  <si>
    <t>ADANI-75MW/011</t>
  </si>
  <si>
    <t>ADANI-75MW/012</t>
  </si>
  <si>
    <t>ADANI-75MW/013</t>
  </si>
  <si>
    <t>ADANI-75MW/014</t>
  </si>
  <si>
    <t>ADANI-75MW/015</t>
  </si>
  <si>
    <t>ADANI-75MW/016</t>
  </si>
  <si>
    <t>ADANI-75MW/017</t>
  </si>
  <si>
    <t>ADANI-75MW/018</t>
  </si>
  <si>
    <t>ADANI-75MW/019</t>
  </si>
  <si>
    <t>ADANI-75MW/020</t>
  </si>
  <si>
    <t>ADANI-75MW/021</t>
  </si>
  <si>
    <t>ADANI-75MW/022</t>
  </si>
  <si>
    <t>ADANI-75MW/023</t>
  </si>
  <si>
    <t>ADANI-75MW/024</t>
  </si>
  <si>
    <t>ADANI-75MW/025</t>
  </si>
  <si>
    <t>ADANI-75MW/026</t>
  </si>
  <si>
    <t>ADANI-75MW/027</t>
  </si>
  <si>
    <t>ADANI-75MW/028</t>
  </si>
  <si>
    <t>ADANI-75MW/029</t>
  </si>
  <si>
    <t>ADANI-75MW/030</t>
  </si>
  <si>
    <t>ROOFSOL ENERGY PVT LTD</t>
  </si>
  <si>
    <t>1022NILC0000325</t>
  </si>
  <si>
    <t>ROOFSOL/001</t>
  </si>
  <si>
    <t>LOLC401012500013</t>
  </si>
  <si>
    <t>REQUEST 01</t>
  </si>
  <si>
    <t>DOCUMENTS RECEIVED BY APPLICANT BANK</t>
  </si>
  <si>
    <t>REQUEST 02</t>
  </si>
  <si>
    <t>0415224LC0Y00294</t>
  </si>
  <si>
    <t>WOORI</t>
  </si>
  <si>
    <t>ADANI-80MW/001</t>
  </si>
  <si>
    <t>ADANI-80MW/002</t>
  </si>
  <si>
    <t>ADANI-80MW/003</t>
  </si>
  <si>
    <t>ADANI-80MW/004</t>
  </si>
  <si>
    <t>ADANI-80MW/005</t>
  </si>
  <si>
    <t xml:space="preserve">50350M11D0069625 </t>
  </si>
  <si>
    <t>ADANI-87MW/001</t>
  </si>
  <si>
    <t>Submitted in bank</t>
  </si>
  <si>
    <t>ADANI-87MW/002</t>
  </si>
  <si>
    <t>INSTRUMENT TYPE</t>
  </si>
  <si>
    <t>INSTRUMENT DATE</t>
  </si>
  <si>
    <t>INSTRUMENT NUMBER</t>
  </si>
  <si>
    <t>BG(26001IBGA00021)</t>
  </si>
  <si>
    <t>BG(261001IBGA00033)</t>
  </si>
  <si>
    <t>BG(0692626BG0Y00021)</t>
  </si>
  <si>
    <t>BG(0692626BG0Y00022)</t>
  </si>
  <si>
    <t>BG(0692626BG0Y00024)</t>
  </si>
  <si>
    <t>BG(0692626BG0Y00025)</t>
  </si>
  <si>
    <t>BG(0692626BG0Y00026)</t>
  </si>
  <si>
    <t>NATURE OF INSTRUMENT</t>
  </si>
  <si>
    <t>BANK GUARENTEE</t>
  </si>
  <si>
    <t>SUNBREEZE / JINDAL</t>
  </si>
  <si>
    <t>HINDUJA RENEWABLES ENERGY</t>
  </si>
  <si>
    <t>AMOUNT IN INR</t>
  </si>
  <si>
    <t>COMMISSION</t>
  </si>
  <si>
    <t>TENOR OF INSTRUMENT FROM</t>
  </si>
  <si>
    <t>TENOR OF INSTRUMENT TO</t>
  </si>
  <si>
    <t>TOTAL TENOR</t>
  </si>
  <si>
    <t>3 MONTHS</t>
  </si>
  <si>
    <t>5 MONTHS</t>
  </si>
  <si>
    <t>CHARGES PER MONTH %</t>
  </si>
  <si>
    <t>NUMBER OF MONTHS</t>
  </si>
  <si>
    <t>TOTAL CHARGES (5*6*10*11/(12))</t>
  </si>
  <si>
    <t>CHARGES PER MONTH (12/11)</t>
  </si>
  <si>
    <t>GST %</t>
  </si>
  <si>
    <t>GST AMOUNT (12*14)</t>
  </si>
  <si>
    <t>P&amp;T CHARGE</t>
  </si>
  <si>
    <t>STAMP</t>
  </si>
  <si>
    <t>SWIFT CAHRGE</t>
  </si>
  <si>
    <t>TOTAL CAHRGES FOR INSTRUMENT (11+15+16+17)</t>
  </si>
  <si>
    <t xml:space="preserve"> 20% additional charges not calculated by bank, also Charges deducted by bank quarter basis next charges will deduct in June-26</t>
  </si>
  <si>
    <t xml:space="preserve">  20% additional charges not calculated by bank, also Charges deducted by bank quarter basis next charges will deduct in June-26</t>
  </si>
  <si>
    <t>20% additional charges not calculated by bank</t>
  </si>
  <si>
    <t>LC ISSUE CHARGES</t>
  </si>
  <si>
    <t xml:space="preserve">Sr.no </t>
  </si>
  <si>
    <t>LC Type</t>
  </si>
  <si>
    <t>Import</t>
  </si>
  <si>
    <t>LC No.</t>
  </si>
  <si>
    <t xml:space="preserve">SHANGHAI XINZHUOZHUANG </t>
  </si>
  <si>
    <t>LC Amt in Foreign Currency</t>
  </si>
  <si>
    <t>LC Currency</t>
  </si>
  <si>
    <t>LC Amt in INR</t>
  </si>
  <si>
    <t>Tolerance (%)</t>
  </si>
  <si>
    <t>Total LC Amt.</t>
  </si>
  <si>
    <t>LC Opening Date/Date of Shipment</t>
  </si>
  <si>
    <t>LC Expiry Date</t>
  </si>
  <si>
    <t>Margin FD (%)</t>
  </si>
  <si>
    <t>Margin FD</t>
  </si>
  <si>
    <t>LC Issunace/Commitment/Enhancement/Extension Charges (%)</t>
  </si>
  <si>
    <t>No. of Months</t>
  </si>
  <si>
    <t>LC Issunace/Commitment/Enhancement/Extension Charges</t>
  </si>
  <si>
    <t>Ussance Charges (%)</t>
  </si>
  <si>
    <t>Ussance Period (Months)</t>
  </si>
  <si>
    <t>Ussance Charges</t>
  </si>
  <si>
    <t>Swift Charges</t>
  </si>
  <si>
    <t>Total GST Charges</t>
  </si>
  <si>
    <t xml:space="preserve">Total LC Charges AS PER BANK </t>
  </si>
  <si>
    <t>Discrepancy Charges (USD)</t>
  </si>
  <si>
    <t>Discrepancy Charges (INR)</t>
  </si>
  <si>
    <t>BILL Amt in Foreign Currency</t>
  </si>
  <si>
    <t>BILL Payment rate</t>
  </si>
  <si>
    <t>Total Bill Amount</t>
  </si>
  <si>
    <t>Bill Retirement Charges (%)</t>
  </si>
  <si>
    <t>Bill Retirement Charges</t>
  </si>
  <si>
    <t>Total charges</t>
  </si>
  <si>
    <t>GST</t>
  </si>
  <si>
    <t>Amount Form Notification</t>
  </si>
  <si>
    <t>(A38-44)*0.001</t>
  </si>
  <si>
    <t>P+5500</t>
  </si>
  <si>
    <t>GST on Conversion Charges</t>
  </si>
  <si>
    <t>Main Total charges</t>
  </si>
  <si>
    <t>ARVEE INTERNATIONAL</t>
  </si>
  <si>
    <t>GOKIN SOLAR (HONGKONG) COMPANY</t>
  </si>
  <si>
    <t>SHANGHAI HUITIAN</t>
  </si>
  <si>
    <t>TAICANG JUREN INTERNATIONAL</t>
  </si>
  <si>
    <t>261001FLCU00011</t>
  </si>
  <si>
    <t>FLAT (HONG KONG) CO. LIMITED</t>
  </si>
  <si>
    <t>JIETAI NEW ENERGY TECHNOLOGY</t>
  </si>
  <si>
    <t>LC NO OF DAYS</t>
  </si>
  <si>
    <t xml:space="preserve">Ussance Charges </t>
  </si>
  <si>
    <t>Ussance days</t>
  </si>
  <si>
    <t>TOTAL NO OF DAYS</t>
  </si>
  <si>
    <t>TOTAL NO OF MONTHS</t>
  </si>
  <si>
    <t>YEAR  [PERIOD OF MONTHS /12]</t>
  </si>
  <si>
    <t>COMMISSION CHARGES</t>
  </si>
  <si>
    <t xml:space="preserve">GST </t>
  </si>
  <si>
    <t>GST CHARGES</t>
  </si>
  <si>
    <t>TOTAL LC CHARGES</t>
  </si>
  <si>
    <t>Int Rate</t>
  </si>
  <si>
    <t>Principal Amt</t>
  </si>
  <si>
    <t>Int Amt.</t>
  </si>
  <si>
    <t>Maturity Amt</t>
  </si>
  <si>
    <t>FD Term</t>
  </si>
  <si>
    <t>FD Issue Date</t>
  </si>
  <si>
    <t>CLOSE DATE</t>
  </si>
  <si>
    <t>IOCL</t>
  </si>
  <si>
    <t>0021324IPG014987</t>
  </si>
  <si>
    <t>Security</t>
  </si>
  <si>
    <t>666 days</t>
  </si>
  <si>
    <t>SJVN Green Energy Limited</t>
  </si>
  <si>
    <t>0021325IPG014159</t>
  </si>
  <si>
    <t>0021325IPG016130</t>
  </si>
  <si>
    <t>228 days</t>
  </si>
  <si>
    <t>SFG2604015-4</t>
  </si>
  <si>
    <t>H-GREW-260424</t>
  </si>
  <si>
    <t>Yes</t>
  </si>
  <si>
    <t>(Multiple Items)</t>
  </si>
  <si>
    <t>0692626US0B00261</t>
  </si>
  <si>
    <t>0692626TC0A00015</t>
  </si>
  <si>
    <t>2035FBRLC260045</t>
  </si>
  <si>
    <t>2035FBRLC260047</t>
  </si>
  <si>
    <t>2035BBC26T001185</t>
  </si>
  <si>
    <t>2035BBC26T001187</t>
  </si>
  <si>
    <t>SFG2604015-3</t>
  </si>
  <si>
    <t>2035BBC26T001163</t>
  </si>
  <si>
    <t>Final PAYMENT AMT INR</t>
  </si>
  <si>
    <t>SBLC Bill Amt
(in FC)</t>
  </si>
  <si>
    <t>261001FIBN00093</t>
  </si>
  <si>
    <t>0692626US0B00260</t>
  </si>
  <si>
    <t>0692626TC0A00014</t>
  </si>
  <si>
    <t>MSBT260065-3</t>
  </si>
  <si>
    <t>MSBT260065-4</t>
  </si>
  <si>
    <t>DOC SUBMITTED TO BANK</t>
  </si>
  <si>
    <t>MSBT260066-1</t>
  </si>
  <si>
    <t>MSBT260066-2</t>
  </si>
  <si>
    <t>MSBT260066-3</t>
  </si>
  <si>
    <t>MSBT260066-4</t>
  </si>
  <si>
    <t>SL-GREW-2026-4-29</t>
  </si>
  <si>
    <t>GREW-XZZ2026051201</t>
  </si>
  <si>
    <t>2035BBC26T001195</t>
  </si>
  <si>
    <t>2035BBC26T001194</t>
  </si>
  <si>
    <t>2035BBC26T001197</t>
  </si>
  <si>
    <t>2035FBRLC260041</t>
  </si>
  <si>
    <t>2035FBRLC260033</t>
  </si>
  <si>
    <t>2035FBRLC260032</t>
  </si>
  <si>
    <t>HKJTGREW20260316-1 /HKJTGREW202603162</t>
  </si>
  <si>
    <t>C. SBLC UTILIZATION</t>
  </si>
  <si>
    <t>Total SBLC Exposure (C)</t>
  </si>
  <si>
    <t>Available Balance (D) = (A - B-C)</t>
  </si>
  <si>
    <t>AVAILABLE SBLC LIMIT IN SBI</t>
  </si>
  <si>
    <t>Yes-SBI</t>
  </si>
  <si>
    <t>SBLC Status</t>
  </si>
  <si>
    <t>SCDLPGREW20260428</t>
  </si>
  <si>
    <t>YFDY26042701</t>
  </si>
  <si>
    <t>Handover to Meet sir on 27-05-2026</t>
  </si>
  <si>
    <t>TRANSFER FROM CC TO LC limit</t>
  </si>
  <si>
    <t>2035BBC26T001202</t>
  </si>
  <si>
    <t>2035BBC26T001201</t>
  </si>
  <si>
    <t>2035BBC26T001200</t>
  </si>
  <si>
    <t>2035FBRLC260038</t>
  </si>
  <si>
    <t>2035FBRLC260039</t>
  </si>
  <si>
    <t>2035FBRLC260059</t>
  </si>
  <si>
    <t>261001TCBG00022</t>
  </si>
  <si>
    <t>261001FIBN00081</t>
  </si>
  <si>
    <t>261001FIBN00087</t>
  </si>
  <si>
    <t>261001TCBG00024</t>
  </si>
  <si>
    <t>Monthly Payable</t>
  </si>
  <si>
    <t>0692626US0B00272</t>
  </si>
  <si>
    <t>0692626US0B00270</t>
  </si>
  <si>
    <t>0692626US0B00284</t>
  </si>
  <si>
    <t>0692626US0B00285</t>
  </si>
  <si>
    <t>0692626US0B00271</t>
  </si>
  <si>
    <t>0692626IM0Y00127</t>
  </si>
  <si>
    <t>ISILVER MATERIALS (MALAYSIA) SDN BHD</t>
  </si>
  <si>
    <t xml:space="preserve">I SILVER </t>
  </si>
  <si>
    <t>203556110001679</t>
  </si>
  <si>
    <t>203541110002597</t>
  </si>
  <si>
    <t>SCENERGY TECHNOLOGY LTD</t>
  </si>
  <si>
    <t>261001TCBG00026</t>
  </si>
  <si>
    <t>261001FIBN00082</t>
  </si>
  <si>
    <t>No</t>
  </si>
  <si>
    <t>2035BBC26T001211</t>
  </si>
  <si>
    <t>2035BBC26T001210</t>
  </si>
  <si>
    <t>2035FBRLC260036</t>
  </si>
  <si>
    <t>2035FBRLC260034</t>
  </si>
  <si>
    <t>0692626TC0A00017</t>
  </si>
  <si>
    <t>0692626TC0A00016</t>
  </si>
  <si>
    <t>0692626TC0A00021</t>
  </si>
  <si>
    <t>0692626TC0A00018</t>
  </si>
  <si>
    <t>0692626TC0A00019</t>
  </si>
  <si>
    <t>  1,82,17,561.37</t>
  </si>
  <si>
    <t>  1,21,59,094.09</t>
  </si>
  <si>
    <t>     16,27,905.00</t>
  </si>
  <si>
    <t>0692626IM0Y00126</t>
  </si>
  <si>
    <t>0692626IM0Y00129</t>
  </si>
  <si>
    <t>0692626US0B00278</t>
  </si>
  <si>
    <t>Daily Payment Schedule</t>
  </si>
  <si>
    <t>In Planning</t>
  </si>
  <si>
    <t>0692626TC0A00020</t>
  </si>
  <si>
    <t>  1,30,00,000.00</t>
  </si>
  <si>
    <t>2026KV000010901</t>
  </si>
  <si>
    <t>0692626US0B00282</t>
  </si>
  <si>
    <t>0692626US0B00283</t>
  </si>
  <si>
    <t>0692626US0B00297</t>
  </si>
  <si>
    <t>0692626US0B00296</t>
  </si>
  <si>
    <t>INV NO</t>
  </si>
  <si>
    <t>261001FIBN00086</t>
  </si>
  <si>
    <t>2035FBRLC260051</t>
  </si>
  <si>
    <t>2035BBC26T001216</t>
  </si>
  <si>
    <t xml:space="preserve">TRACKING DETAILS </t>
  </si>
  <si>
    <t>In Planning-SBI</t>
  </si>
  <si>
    <t>SBLC Limit Utilization</t>
  </si>
  <si>
    <t>1️⃣ ( C ) Outstanding Payables: Currency Exposure &amp; Hedge Status</t>
  </si>
  <si>
    <t>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</si>
</sst>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_ * #,##0.0000_ ;_ * \-#,##0.0000_ ;_ * &quot;-&quot;??_ ;_ @_ "/>
    <numFmt numFmtId="167" formatCode="0.000"/>
    <numFmt numFmtId="168" formatCode="&quot;₹&quot;\ #,##0.00"/>
    <numFmt numFmtId="169" formatCode="0.000%"/>
    <numFmt numFmtId="170" formatCode="[$$-409]#,##0.00"/>
    <numFmt numFmtId="171" formatCode="0.0"/>
    <numFmt numFmtId="172" formatCode="_ * #,##0.000000_ ;_ * \-#,##0.000000_ ;_ * &quot;-&quot;??_ ;_ @_ "/>
    <numFmt numFmtId="173" formatCode="_ * #,##0.0_ ;_ * \-#,##0.0_ ;_ * &quot;-&quot;??_ ;_ @_ "/>
    <numFmt numFmtId="174" formatCode="dd\-mmm\-yy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mbria"/>
      <family val="1"/>
    </font>
    <font>
      <b/>
      <sz val="11"/>
      <color theme="1"/>
      <name val="Cambria"/>
      <family val="1"/>
    </font>
    <font>
      <sz val="10"/>
      <color theme="1"/>
      <name val="Aptos Display"/>
      <family val="2"/>
    </font>
    <font>
      <b/>
      <sz val="10"/>
      <color theme="1"/>
      <name val="Cambri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Display"/>
      <family val="2"/>
    </font>
    <font>
      <b/>
      <sz val="10"/>
      <color theme="9" tint="-0.499984740745262"/>
      <name val="Aptos Display"/>
      <family val="2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0"/>
      <color theme="1"/>
      <name val="Cambria"/>
      <family val="1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Arial"/>
      <family val="2"/>
    </font>
    <font>
      <sz val="9"/>
      <color theme="1"/>
      <name val="Calibri"/>
      <family val="2"/>
    </font>
    <font>
      <b/>
      <sz val="11"/>
      <color rgb="FF000000"/>
      <name val="Aptos Narrow"/>
      <family val="2"/>
    </font>
    <font>
      <sz val="10.5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Aptos Narrow"/>
      <family val="2"/>
    </font>
    <font>
      <sz val="9"/>
      <color rgb="FF000000"/>
      <name val="Arial"/>
      <family val="2"/>
    </font>
    <font>
      <sz val="10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11"/>
      <color rgb="FF000000"/>
      <name val="Arial"/>
      <family val="2"/>
    </font>
    <font>
      <sz val="9"/>
      <color theme="1"/>
      <name val="Calibri"/>
      <family val="2"/>
    </font>
    <font>
      <sz val="11"/>
      <color theme="5" tint="-0.249977111117893"/>
      <name val="Calibri"/>
      <family val="2"/>
      <scheme val="minor"/>
    </font>
    <font>
      <b/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E181"/>
        <bgColor indexed="64"/>
      </patternFill>
    </fill>
    <fill>
      <patternFill patternType="solid">
        <fgColor rgb="FFD0F0C0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4698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95">
    <xf numFmtId="0" fontId="0" fillId="0" borderId="0" xfId="0"/>
    <xf numFmtId="43" fontId="0" fillId="0" borderId="0" xfId="0" applyNumberFormat="1"/>
    <xf numFmtId="165" fontId="0" fillId="0" borderId="0" xfId="1" applyNumberFormat="1" applyFont="1"/>
    <xf numFmtId="0" fontId="0" fillId="0" borderId="1" xfId="0" applyBorder="1"/>
    <xf numFmtId="0" fontId="4" fillId="0" borderId="0" xfId="0" applyFont="1"/>
    <xf numFmtId="165" fontId="0" fillId="0" borderId="0" xfId="0" applyNumberFormat="1"/>
    <xf numFmtId="0" fontId="0" fillId="0" borderId="1" xfId="0" applyBorder="1" applyAlignment="1">
      <alignment horizontal="center"/>
    </xf>
    <xf numFmtId="43" fontId="4" fillId="0" borderId="0" xfId="1" applyFont="1"/>
    <xf numFmtId="43" fontId="0" fillId="0" borderId="1" xfId="1" applyFont="1" applyFill="1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4" fillId="0" borderId="0" xfId="0" applyFont="1" applyAlignment="1">
      <alignment wrapText="1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wrapText="1"/>
    </xf>
    <xf numFmtId="0" fontId="0" fillId="4" borderId="3" xfId="0" applyFill="1" applyBorder="1" applyAlignment="1">
      <alignment horizontal="center"/>
    </xf>
    <xf numFmtId="43" fontId="0" fillId="0" borderId="7" xfId="1" applyFont="1" applyFill="1" applyBorder="1"/>
    <xf numFmtId="43" fontId="2" fillId="0" borderId="5" xfId="1" applyFont="1" applyFill="1" applyBorder="1"/>
    <xf numFmtId="0" fontId="4" fillId="0" borderId="2" xfId="0" applyFont="1" applyBorder="1" applyAlignment="1">
      <alignment horizontal="center" wrapText="1"/>
    </xf>
    <xf numFmtId="0" fontId="6" fillId="2" borderId="1" xfId="0" applyFont="1" applyFill="1" applyBorder="1"/>
    <xf numFmtId="0" fontId="7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165" fontId="7" fillId="2" borderId="1" xfId="1" applyNumberFormat="1" applyFont="1" applyFill="1" applyBorder="1" applyAlignment="1">
      <alignment horizontal="center" wrapText="1"/>
    </xf>
    <xf numFmtId="10" fontId="4" fillId="2" borderId="1" xfId="0" applyNumberFormat="1" applyFont="1" applyFill="1" applyBorder="1" applyAlignment="1">
      <alignment wrapText="1"/>
    </xf>
    <xf numFmtId="10" fontId="7" fillId="2" borderId="1" xfId="0" applyNumberFormat="1" applyFont="1" applyFill="1" applyBorder="1" applyAlignment="1">
      <alignment horizontal="center" wrapText="1"/>
    </xf>
    <xf numFmtId="43" fontId="7" fillId="2" borderId="1" xfId="1" applyFont="1" applyFill="1" applyBorder="1" applyAlignment="1">
      <alignment horizontal="center" wrapText="1"/>
    </xf>
    <xf numFmtId="165" fontId="7" fillId="2" borderId="1" xfId="1" applyNumberFormat="1" applyFont="1" applyFill="1" applyBorder="1" applyAlignment="1">
      <alignment horizontal="right" wrapText="1"/>
    </xf>
    <xf numFmtId="44" fontId="7" fillId="2" borderId="1" xfId="0" applyNumberFormat="1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2" fillId="2" borderId="1" xfId="0" applyFont="1" applyFill="1" applyBorder="1"/>
    <xf numFmtId="10" fontId="2" fillId="2" borderId="1" xfId="0" applyNumberFormat="1" applyFont="1" applyFill="1" applyBorder="1"/>
    <xf numFmtId="14" fontId="2" fillId="2" borderId="1" xfId="0" applyNumberFormat="1" applyFon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165" fontId="0" fillId="2" borderId="1" xfId="1" applyNumberFormat="1" applyFont="1" applyFill="1" applyBorder="1"/>
    <xf numFmtId="165" fontId="0" fillId="2" borderId="1" xfId="1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14" fontId="0" fillId="2" borderId="1" xfId="0" applyNumberFormat="1" applyFill="1" applyBorder="1"/>
    <xf numFmtId="3" fontId="0" fillId="2" borderId="1" xfId="0" applyNumberFormat="1" applyFill="1" applyBorder="1"/>
    <xf numFmtId="1" fontId="0" fillId="2" borderId="1" xfId="0" quotePrefix="1" applyNumberFormat="1" applyFill="1" applyBorder="1" applyAlignment="1">
      <alignment horizontal="center"/>
    </xf>
    <xf numFmtId="165" fontId="9" fillId="2" borderId="1" xfId="1" applyNumberFormat="1" applyFont="1" applyFill="1" applyBorder="1"/>
    <xf numFmtId="43" fontId="0" fillId="2" borderId="1" xfId="1" applyFont="1" applyFill="1" applyBorder="1"/>
    <xf numFmtId="165" fontId="7" fillId="2" borderId="1" xfId="6" applyNumberFormat="1" applyFont="1" applyFill="1" applyBorder="1" applyAlignment="1">
      <alignment wrapText="1"/>
    </xf>
    <xf numFmtId="165" fontId="8" fillId="0" borderId="1" xfId="6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3" fontId="0" fillId="0" borderId="1" xfId="0" quotePrefix="1" applyNumberFormat="1" applyBorder="1"/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43" fontId="8" fillId="0" borderId="1" xfId="1" applyFont="1" applyFill="1" applyBorder="1" applyAlignment="1">
      <alignment horizontal="right"/>
    </xf>
    <xf numFmtId="165" fontId="8" fillId="0" borderId="1" xfId="1" applyNumberFormat="1" applyFont="1" applyFill="1" applyBorder="1" applyAlignment="1">
      <alignment horizontal="center"/>
    </xf>
    <xf numFmtId="43" fontId="6" fillId="0" borderId="1" xfId="1" applyFont="1" applyFill="1" applyBorder="1"/>
    <xf numFmtId="165" fontId="6" fillId="0" borderId="1" xfId="1" applyNumberFormat="1" applyFont="1" applyFill="1" applyBorder="1" applyAlignment="1">
      <alignment horizontal="center"/>
    </xf>
    <xf numFmtId="43" fontId="0" fillId="0" borderId="1" xfId="0" applyNumberFormat="1" applyBorder="1"/>
    <xf numFmtId="43" fontId="2" fillId="0" borderId="10" xfId="1" applyFont="1" applyFill="1" applyBorder="1"/>
    <xf numFmtId="43" fontId="0" fillId="0" borderId="10" xfId="1" applyFont="1" applyFill="1" applyBorder="1"/>
    <xf numFmtId="1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0" fillId="0" borderId="0" xfId="0" applyNumberFormat="1"/>
    <xf numFmtId="43" fontId="2" fillId="0" borderId="6" xfId="2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6" fillId="0" borderId="1" xfId="0" applyFont="1" applyBorder="1"/>
    <xf numFmtId="43" fontId="4" fillId="0" borderId="1" xfId="0" applyNumberFormat="1" applyFont="1" applyBorder="1"/>
    <xf numFmtId="0" fontId="0" fillId="0" borderId="0" xfId="0" applyAlignment="1">
      <alignment horizontal="center"/>
    </xf>
    <xf numFmtId="0" fontId="7" fillId="2" borderId="1" xfId="0" applyFont="1" applyFill="1" applyBorder="1" applyAlignment="1">
      <alignment horizontal="center"/>
    </xf>
    <xf numFmtId="43" fontId="7" fillId="2" borderId="1" xfId="14" applyFont="1" applyFill="1" applyBorder="1" applyAlignment="1">
      <alignment horizontal="center" wrapText="1"/>
    </xf>
    <xf numFmtId="165" fontId="7" fillId="2" borderId="1" xfId="14" applyNumberFormat="1" applyFont="1" applyFill="1" applyBorder="1" applyAlignment="1">
      <alignment horizontal="right" wrapText="1"/>
    </xf>
    <xf numFmtId="165" fontId="0" fillId="2" borderId="1" xfId="14" applyNumberFormat="1" applyFont="1" applyFill="1" applyBorder="1" applyAlignment="1">
      <alignment horizontal="right"/>
    </xf>
    <xf numFmtId="165" fontId="0" fillId="2" borderId="1" xfId="14" applyNumberFormat="1" applyFont="1" applyFill="1" applyBorder="1"/>
    <xf numFmtId="3" fontId="6" fillId="2" borderId="1" xfId="0" applyNumberFormat="1" applyFont="1" applyFill="1" applyBorder="1"/>
    <xf numFmtId="165" fontId="6" fillId="2" borderId="1" xfId="14" applyNumberFormat="1" applyFont="1" applyFill="1" applyBorder="1"/>
    <xf numFmtId="0" fontId="6" fillId="2" borderId="1" xfId="0" applyFont="1" applyFill="1" applyBorder="1" applyAlignment="1">
      <alignment horizontal="center"/>
    </xf>
    <xf numFmtId="14" fontId="6" fillId="2" borderId="1" xfId="0" applyNumberFormat="1" applyFont="1" applyFill="1" applyBorder="1"/>
    <xf numFmtId="0" fontId="4" fillId="0" borderId="1" xfId="0" applyFont="1" applyBorder="1"/>
    <xf numFmtId="3" fontId="4" fillId="0" borderId="1" xfId="0" applyNumberFormat="1" applyFont="1" applyBorder="1"/>
    <xf numFmtId="165" fontId="0" fillId="2" borderId="1" xfId="15" applyNumberFormat="1" applyFont="1" applyFill="1" applyBorder="1" applyAlignment="1">
      <alignment horizontal="right"/>
    </xf>
    <xf numFmtId="165" fontId="0" fillId="2" borderId="1" xfId="15" applyNumberFormat="1" applyFont="1" applyFill="1" applyBorder="1"/>
    <xf numFmtId="43" fontId="2" fillId="0" borderId="1" xfId="2" applyFont="1" applyFill="1" applyBorder="1" applyAlignment="1">
      <alignment horizontal="center"/>
    </xf>
    <xf numFmtId="43" fontId="2" fillId="0" borderId="1" xfId="1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43" fontId="10" fillId="0" borderId="1" xfId="17" applyFont="1" applyBorder="1" applyAlignment="1">
      <alignment vertical="center" wrapText="1"/>
    </xf>
    <xf numFmtId="1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left"/>
    </xf>
    <xf numFmtId="1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/>
    <xf numFmtId="14" fontId="0" fillId="0" borderId="1" xfId="0" applyNumberFormat="1" applyBorder="1"/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43" fontId="2" fillId="0" borderId="10" xfId="2" applyFont="1" applyFill="1" applyBorder="1" applyAlignment="1">
      <alignment horizontal="center"/>
    </xf>
    <xf numFmtId="0" fontId="11" fillId="0" borderId="14" xfId="0" applyFont="1" applyBorder="1" applyAlignment="1">
      <alignment horizontal="center" vertical="center" wrapText="1"/>
    </xf>
    <xf numFmtId="0" fontId="11" fillId="0" borderId="19" xfId="0" applyFont="1" applyBorder="1" applyAlignment="1">
      <alignment vertical="center"/>
    </xf>
    <xf numFmtId="0" fontId="11" fillId="0" borderId="19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0" fillId="0" borderId="1" xfId="0" applyNumberFormat="1" applyFont="1" applyBorder="1" applyAlignment="1">
      <alignment vertical="center"/>
    </xf>
    <xf numFmtId="0" fontId="11" fillId="0" borderId="19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/>
    </xf>
    <xf numFmtId="167" fontId="10" fillId="0" borderId="1" xfId="0" applyNumberFormat="1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14" fontId="2" fillId="0" borderId="1" xfId="0" applyNumberFormat="1" applyFont="1" applyBorder="1"/>
    <xf numFmtId="43" fontId="0" fillId="0" borderId="1" xfId="1" applyFont="1" applyBorder="1"/>
    <xf numFmtId="0" fontId="4" fillId="0" borderId="20" xfId="0" applyFont="1" applyBorder="1" applyAlignment="1">
      <alignment horizontal="center"/>
    </xf>
    <xf numFmtId="43" fontId="0" fillId="0" borderId="1" xfId="1" applyFont="1" applyFill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4" fillId="3" borderId="1" xfId="0" applyFont="1" applyFill="1" applyBorder="1"/>
    <xf numFmtId="0" fontId="12" fillId="2" borderId="1" xfId="0" applyFont="1" applyFill="1" applyBorder="1"/>
    <xf numFmtId="0" fontId="13" fillId="0" borderId="1" xfId="0" applyFont="1" applyBorder="1"/>
    <xf numFmtId="14" fontId="8" fillId="2" borderId="1" xfId="0" applyNumberFormat="1" applyFont="1" applyFill="1" applyBorder="1"/>
    <xf numFmtId="0" fontId="8" fillId="0" borderId="1" xfId="0" applyFont="1" applyBorder="1" applyAlignment="1">
      <alignment horizontal="right"/>
    </xf>
    <xf numFmtId="0" fontId="8" fillId="2" borderId="1" xfId="0" applyFont="1" applyFill="1" applyBorder="1" applyAlignment="1">
      <alignment horizontal="right"/>
    </xf>
    <xf numFmtId="168" fontId="8" fillId="2" borderId="1" xfId="0" applyNumberFormat="1" applyFont="1" applyFill="1" applyBorder="1" applyAlignment="1">
      <alignment horizontal="right"/>
    </xf>
    <xf numFmtId="14" fontId="8" fillId="2" borderId="1" xfId="0" applyNumberFormat="1" applyFont="1" applyFill="1" applyBorder="1" applyAlignment="1">
      <alignment horizontal="right"/>
    </xf>
    <xf numFmtId="10" fontId="8" fillId="2" borderId="1" xfId="0" applyNumberFormat="1" applyFont="1" applyFill="1" applyBorder="1" applyAlignment="1">
      <alignment horizontal="right"/>
    </xf>
    <xf numFmtId="14" fontId="0" fillId="0" borderId="1" xfId="0" applyNumberForma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left" vertical="top" wrapText="1"/>
    </xf>
    <xf numFmtId="43" fontId="0" fillId="0" borderId="1" xfId="1" applyFont="1" applyFill="1" applyBorder="1" applyAlignment="1">
      <alignment horizontal="right" wrapText="1"/>
    </xf>
    <xf numFmtId="165" fontId="0" fillId="0" borderId="1" xfId="1" applyNumberFormat="1" applyFont="1" applyFill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44" fontId="0" fillId="0" borderId="1" xfId="0" applyNumberFormat="1" applyBorder="1" applyAlignment="1">
      <alignment horizontal="right" wrapText="1"/>
    </xf>
    <xf numFmtId="9" fontId="0" fillId="0" borderId="1" xfId="0" applyNumberFormat="1" applyBorder="1" applyAlignment="1">
      <alignment horizontal="right" wrapText="1"/>
    </xf>
    <xf numFmtId="14" fontId="0" fillId="0" borderId="1" xfId="0" applyNumberFormat="1" applyBorder="1" applyAlignment="1">
      <alignment horizontal="right" wrapText="1"/>
    </xf>
    <xf numFmtId="10" fontId="0" fillId="0" borderId="1" xfId="0" applyNumberFormat="1" applyBorder="1" applyAlignment="1">
      <alignment horizontal="right" wrapText="1"/>
    </xf>
    <xf numFmtId="2" fontId="0" fillId="0" borderId="1" xfId="1" applyNumberFormat="1" applyFont="1" applyFill="1" applyBorder="1" applyAlignment="1">
      <alignment horizontal="right" wrapText="1"/>
    </xf>
    <xf numFmtId="44" fontId="0" fillId="0" borderId="1" xfId="1" applyNumberFormat="1" applyFont="1" applyFill="1" applyBorder="1" applyAlignment="1">
      <alignment horizontal="right" wrapText="1"/>
    </xf>
    <xf numFmtId="9" fontId="0" fillId="0" borderId="1" xfId="1" applyNumberFormat="1" applyFont="1" applyFill="1" applyBorder="1" applyAlignment="1">
      <alignment horizontal="right" wrapText="1"/>
    </xf>
    <xf numFmtId="169" fontId="0" fillId="0" borderId="1" xfId="1" applyNumberFormat="1" applyFont="1" applyFill="1" applyBorder="1" applyAlignment="1">
      <alignment horizontal="right" wrapText="1"/>
    </xf>
    <xf numFmtId="0" fontId="0" fillId="0" borderId="1" xfId="1" applyNumberFormat="1" applyFont="1" applyFill="1" applyBorder="1" applyAlignment="1">
      <alignment horizontal="right" wrapText="1"/>
    </xf>
    <xf numFmtId="43" fontId="4" fillId="2" borderId="21" xfId="1" applyFont="1" applyFill="1" applyBorder="1" applyAlignment="1">
      <alignment horizontal="left" wrapText="1"/>
    </xf>
    <xf numFmtId="170" fontId="0" fillId="0" borderId="1" xfId="0" applyNumberFormat="1" applyBorder="1" applyAlignment="1">
      <alignment horizontal="right"/>
    </xf>
    <xf numFmtId="10" fontId="0" fillId="0" borderId="1" xfId="1" applyNumberFormat="1" applyFont="1" applyFill="1" applyBorder="1" applyAlignment="1">
      <alignment horizontal="right" wrapText="1"/>
    </xf>
    <xf numFmtId="164" fontId="4" fillId="0" borderId="1" xfId="1" applyNumberFormat="1" applyFont="1" applyFill="1" applyBorder="1" applyAlignment="1">
      <alignment horizontal="right" wrapText="1"/>
    </xf>
    <xf numFmtId="10" fontId="4" fillId="0" borderId="0" xfId="1" applyNumberFormat="1" applyFont="1" applyFill="1" applyBorder="1" applyAlignment="1">
      <alignment horizontal="right" wrapText="1"/>
    </xf>
    <xf numFmtId="0" fontId="14" fillId="0" borderId="0" xfId="0" applyFont="1"/>
    <xf numFmtId="43" fontId="4" fillId="0" borderId="1" xfId="1" applyFont="1" applyBorder="1"/>
    <xf numFmtId="165" fontId="0" fillId="0" borderId="1" xfId="1" applyNumberFormat="1" applyFont="1" applyFill="1" applyBorder="1"/>
    <xf numFmtId="1" fontId="10" fillId="0" borderId="0" xfId="0" applyNumberFormat="1" applyFont="1" applyAlignment="1">
      <alignment horizontal="center" vertical="center"/>
    </xf>
    <xf numFmtId="43" fontId="0" fillId="0" borderId="1" xfId="0" applyNumberFormat="1" applyBorder="1" applyAlignment="1">
      <alignment horizontal="center"/>
    </xf>
    <xf numFmtId="43" fontId="0" fillId="0" borderId="1" xfId="1" applyFont="1" applyBorder="1" applyAlignment="1">
      <alignment horizontal="center"/>
    </xf>
    <xf numFmtId="3" fontId="0" fillId="2" borderId="1" xfId="0" applyNumberFormat="1" applyFill="1" applyBorder="1" applyAlignment="1">
      <alignment horizontal="right"/>
    </xf>
    <xf numFmtId="0" fontId="7" fillId="3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16" fillId="2" borderId="0" xfId="0" applyFont="1" applyFill="1"/>
    <xf numFmtId="0" fontId="0" fillId="2" borderId="1" xfId="0" applyFill="1" applyBorder="1" applyAlignment="1">
      <alignment horizontal="left"/>
    </xf>
    <xf numFmtId="1" fontId="0" fillId="0" borderId="1" xfId="0" quotePrefix="1" applyNumberFormat="1" applyBorder="1" applyAlignment="1">
      <alignment horizontal="center"/>
    </xf>
    <xf numFmtId="3" fontId="0" fillId="0" borderId="1" xfId="0" applyNumberFormat="1" applyBorder="1"/>
    <xf numFmtId="3" fontId="0" fillId="0" borderId="0" xfId="0" applyNumberFormat="1"/>
    <xf numFmtId="43" fontId="1" fillId="0" borderId="1" xfId="1" applyFont="1" applyFill="1" applyBorder="1"/>
    <xf numFmtId="43" fontId="0" fillId="0" borderId="0" xfId="1" applyFont="1"/>
    <xf numFmtId="0" fontId="4" fillId="0" borderId="1" xfId="0" applyFont="1" applyBorder="1" applyAlignment="1">
      <alignment wrapText="1"/>
    </xf>
    <xf numFmtId="43" fontId="17" fillId="0" borderId="1" xfId="1" applyFont="1" applyFill="1" applyBorder="1"/>
    <xf numFmtId="43" fontId="0" fillId="2" borderId="1" xfId="1" applyFont="1" applyFill="1" applyBorder="1" applyAlignment="1">
      <alignment horizontal="center"/>
    </xf>
    <xf numFmtId="43" fontId="0" fillId="2" borderId="1" xfId="1" applyFont="1" applyFill="1" applyBorder="1" applyAlignment="1"/>
    <xf numFmtId="165" fontId="6" fillId="0" borderId="1" xfId="14" applyNumberFormat="1" applyFont="1" applyFill="1" applyBorder="1"/>
    <xf numFmtId="10" fontId="0" fillId="0" borderId="1" xfId="0" applyNumberFormat="1" applyBorder="1" applyAlignment="1">
      <alignment horizontal="center"/>
    </xf>
    <xf numFmtId="165" fontId="0" fillId="0" borderId="1" xfId="14" applyNumberFormat="1" applyFont="1" applyFill="1" applyBorder="1" applyAlignment="1">
      <alignment horizontal="right"/>
    </xf>
    <xf numFmtId="165" fontId="0" fillId="0" borderId="1" xfId="15" applyNumberFormat="1" applyFont="1" applyFill="1" applyBorder="1" applyAlignment="1">
      <alignment horizontal="right"/>
    </xf>
    <xf numFmtId="165" fontId="0" fillId="0" borderId="1" xfId="15" applyNumberFormat="1" applyFont="1" applyFill="1" applyBorder="1"/>
    <xf numFmtId="14" fontId="6" fillId="0" borderId="1" xfId="0" applyNumberFormat="1" applyFont="1" applyBorder="1"/>
    <xf numFmtId="43" fontId="0" fillId="2" borderId="1" xfId="1" applyFont="1" applyFill="1" applyBorder="1" applyAlignment="1">
      <alignment horizontal="right"/>
    </xf>
    <xf numFmtId="165" fontId="8" fillId="0" borderId="1" xfId="17272" applyNumberFormat="1" applyFont="1" applyFill="1" applyBorder="1" applyAlignment="1">
      <alignment horizontal="center"/>
    </xf>
    <xf numFmtId="10" fontId="6" fillId="2" borderId="1" xfId="0" applyNumberFormat="1" applyFont="1" applyFill="1" applyBorder="1" applyAlignment="1">
      <alignment horizontal="center"/>
    </xf>
    <xf numFmtId="3" fontId="0" fillId="0" borderId="1" xfId="0" applyNumberFormat="1" applyBorder="1" applyAlignment="1">
      <alignment horizontal="right"/>
    </xf>
    <xf numFmtId="165" fontId="0" fillId="0" borderId="1" xfId="1" applyNumberFormat="1" applyFont="1" applyFill="1" applyBorder="1" applyAlignment="1">
      <alignment horizontal="right"/>
    </xf>
    <xf numFmtId="10" fontId="6" fillId="0" borderId="1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3" fontId="0" fillId="0" borderId="1" xfId="0" applyNumberFormat="1" applyBorder="1" applyAlignment="1">
      <alignment horizontal="center"/>
    </xf>
    <xf numFmtId="0" fontId="4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/>
    </xf>
    <xf numFmtId="1" fontId="0" fillId="0" borderId="1" xfId="0" quotePrefix="1" applyNumberFormat="1" applyBorder="1" applyAlignment="1">
      <alignment horizontal="left"/>
    </xf>
    <xf numFmtId="1" fontId="0" fillId="2" borderId="1" xfId="0" applyNumberForma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1" fontId="0" fillId="2" borderId="1" xfId="0" quotePrefix="1" applyNumberForma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43" fontId="1" fillId="0" borderId="10" xfId="1" applyFont="1" applyFill="1" applyBorder="1"/>
    <xf numFmtId="0" fontId="20" fillId="0" borderId="0" xfId="0" applyFont="1"/>
    <xf numFmtId="0" fontId="18" fillId="0" borderId="0" xfId="0" applyFont="1" applyAlignment="1">
      <alignment vertical="center"/>
    </xf>
    <xf numFmtId="0" fontId="11" fillId="0" borderId="23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11" fillId="0" borderId="13" xfId="0" applyFont="1" applyBorder="1" applyAlignment="1">
      <alignment vertical="center"/>
    </xf>
    <xf numFmtId="0" fontId="22" fillId="0" borderId="13" xfId="0" applyFont="1" applyBorder="1" applyAlignment="1">
      <alignment vertical="center" wrapText="1"/>
    </xf>
    <xf numFmtId="0" fontId="10" fillId="0" borderId="24" xfId="0" applyFont="1" applyBorder="1" applyAlignment="1">
      <alignment vertical="center"/>
    </xf>
    <xf numFmtId="0" fontId="10" fillId="0" borderId="22" xfId="0" applyFont="1" applyBorder="1" applyAlignment="1">
      <alignment vertical="center"/>
    </xf>
    <xf numFmtId="14" fontId="10" fillId="0" borderId="22" xfId="0" applyNumberFormat="1" applyFont="1" applyBorder="1" applyAlignment="1">
      <alignment horizontal="right" vertical="center"/>
    </xf>
    <xf numFmtId="14" fontId="10" fillId="0" borderId="22" xfId="0" applyNumberFormat="1" applyFont="1" applyBorder="1" applyAlignment="1">
      <alignment vertical="center"/>
    </xf>
    <xf numFmtId="0" fontId="10" fillId="0" borderId="22" xfId="0" applyFont="1" applyBorder="1" applyAlignment="1">
      <alignment vertical="center" wrapText="1"/>
    </xf>
    <xf numFmtId="14" fontId="21" fillId="0" borderId="22" xfId="0" applyNumberFormat="1" applyFont="1" applyBorder="1" applyAlignment="1">
      <alignment vertical="center"/>
    </xf>
    <xf numFmtId="0" fontId="10" fillId="0" borderId="22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 wrapText="1"/>
    </xf>
    <xf numFmtId="43" fontId="10" fillId="0" borderId="22" xfId="1" applyFont="1" applyBorder="1" applyAlignment="1">
      <alignment vertical="center"/>
    </xf>
    <xf numFmtId="165" fontId="8" fillId="0" borderId="1" xfId="6" applyNumberFormat="1" applyFont="1" applyFill="1" applyBorder="1" applyAlignment="1">
      <alignment horizontal="right"/>
    </xf>
    <xf numFmtId="43" fontId="10" fillId="0" borderId="22" xfId="1" applyFont="1" applyFill="1" applyBorder="1" applyAlignment="1">
      <alignment vertical="center"/>
    </xf>
    <xf numFmtId="0" fontId="0" fillId="4" borderId="20" xfId="0" applyFill="1" applyBorder="1" applyAlignment="1">
      <alignment horizontal="center"/>
    </xf>
    <xf numFmtId="0" fontId="0" fillId="4" borderId="20" xfId="0" applyFill="1" applyBorder="1" applyAlignment="1">
      <alignment wrapText="1"/>
    </xf>
    <xf numFmtId="43" fontId="4" fillId="0" borderId="1" xfId="1" applyFont="1" applyFill="1" applyBorder="1"/>
    <xf numFmtId="43" fontId="10" fillId="0" borderId="22" xfId="1" applyFont="1" applyFill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4" fillId="3" borderId="0" xfId="0" applyFont="1" applyFill="1"/>
    <xf numFmtId="0" fontId="6" fillId="0" borderId="1" xfId="0" applyFont="1" applyBorder="1" applyAlignment="1">
      <alignment horizontal="right"/>
    </xf>
    <xf numFmtId="0" fontId="24" fillId="0" borderId="1" xfId="0" applyFont="1" applyBorder="1" applyAlignment="1">
      <alignment horizontal="left"/>
    </xf>
    <xf numFmtId="43" fontId="0" fillId="0" borderId="0" xfId="1" applyFont="1" applyFill="1" applyBorder="1"/>
    <xf numFmtId="0" fontId="6" fillId="2" borderId="1" xfId="0" applyFont="1" applyFill="1" applyBorder="1" applyAlignment="1">
      <alignment horizontal="right"/>
    </xf>
    <xf numFmtId="43" fontId="2" fillId="0" borderId="1" xfId="544" applyFont="1" applyFill="1" applyBorder="1" applyAlignment="1">
      <alignment horizontal="center"/>
    </xf>
    <xf numFmtId="10" fontId="0" fillId="2" borderId="1" xfId="34691" applyNumberFormat="1" applyFont="1" applyFill="1" applyBorder="1"/>
    <xf numFmtId="165" fontId="24" fillId="0" borderId="1" xfId="1" applyNumberFormat="1" applyFont="1" applyFill="1" applyBorder="1" applyAlignment="1">
      <alignment horizontal="left"/>
    </xf>
    <xf numFmtId="0" fontId="24" fillId="0" borderId="1" xfId="0" applyFont="1" applyBorder="1" applyAlignment="1">
      <alignment horizontal="center"/>
    </xf>
    <xf numFmtId="10" fontId="0" fillId="2" borderId="1" xfId="34691" applyNumberFormat="1" applyFont="1" applyFill="1" applyBorder="1" applyAlignment="1">
      <alignment horizontal="center"/>
    </xf>
    <xf numFmtId="43" fontId="24" fillId="0" borderId="1" xfId="1" applyFont="1" applyFill="1" applyBorder="1" applyAlignment="1">
      <alignment horizontal="right"/>
    </xf>
    <xf numFmtId="4" fontId="0" fillId="2" borderId="1" xfId="0" applyNumberFormat="1" applyFill="1" applyBorder="1"/>
    <xf numFmtId="165" fontId="0" fillId="0" borderId="1" xfId="1" applyNumberFormat="1" applyFont="1" applyBorder="1"/>
    <xf numFmtId="165" fontId="0" fillId="0" borderId="1" xfId="0" applyNumberFormat="1" applyBorder="1"/>
    <xf numFmtId="165" fontId="4" fillId="0" borderId="1" xfId="1" applyNumberFormat="1" applyFont="1" applyBorder="1"/>
    <xf numFmtId="0" fontId="0" fillId="3" borderId="0" xfId="0" applyFill="1"/>
    <xf numFmtId="0" fontId="3" fillId="0" borderId="1" xfId="0" applyFont="1" applyBorder="1" applyAlignment="1">
      <alignment horizontal="left"/>
    </xf>
    <xf numFmtId="0" fontId="6" fillId="0" borderId="0" xfId="0" applyFont="1"/>
    <xf numFmtId="165" fontId="8" fillId="0" borderId="0" xfId="6" applyNumberFormat="1" applyFont="1" applyFill="1" applyBorder="1" applyAlignment="1">
      <alignment horizontal="right"/>
    </xf>
    <xf numFmtId="3" fontId="0" fillId="0" borderId="0" xfId="0" quotePrefix="1" applyNumberFormat="1"/>
    <xf numFmtId="14" fontId="0" fillId="0" borderId="7" xfId="1" applyNumberFormat="1" applyFont="1" applyFill="1" applyBorder="1"/>
    <xf numFmtId="43" fontId="0" fillId="2" borderId="1" xfId="1" applyFont="1" applyFill="1" applyBorder="1" applyAlignment="1">
      <alignment horizontal="right" wrapText="1"/>
    </xf>
    <xf numFmtId="43" fontId="0" fillId="3" borderId="1" xfId="1" applyFont="1" applyFill="1" applyBorder="1" applyAlignment="1">
      <alignment horizontal="right" wrapText="1"/>
    </xf>
    <xf numFmtId="43" fontId="1" fillId="3" borderId="1" xfId="1" applyFont="1" applyFill="1" applyBorder="1" applyAlignment="1">
      <alignment horizontal="right" wrapText="1"/>
    </xf>
    <xf numFmtId="3" fontId="25" fillId="0" borderId="0" xfId="0" applyNumberFormat="1" applyFont="1"/>
    <xf numFmtId="0" fontId="0" fillId="0" borderId="0" xfId="0" applyAlignment="1">
      <alignment wrapText="1"/>
    </xf>
    <xf numFmtId="0" fontId="6" fillId="0" borderId="0" xfId="0" applyFont="1" applyAlignment="1">
      <alignment horizontal="left"/>
    </xf>
    <xf numFmtId="169" fontId="0" fillId="0" borderId="1" xfId="0" applyNumberFormat="1" applyBorder="1" applyAlignment="1">
      <alignment horizontal="right" wrapText="1"/>
    </xf>
    <xf numFmtId="165" fontId="4" fillId="3" borderId="1" xfId="1" applyNumberFormat="1" applyFont="1" applyFill="1" applyBorder="1" applyAlignment="1">
      <alignment horizontal="right" wrapText="1"/>
    </xf>
    <xf numFmtId="43" fontId="1" fillId="0" borderId="1" xfId="1" applyFont="1" applyFill="1" applyBorder="1" applyAlignment="1">
      <alignment horizontal="left" wrapText="1"/>
    </xf>
    <xf numFmtId="43" fontId="4" fillId="3" borderId="1" xfId="1" applyFont="1" applyFill="1" applyBorder="1" applyAlignment="1">
      <alignment horizontal="left" wrapText="1"/>
    </xf>
    <xf numFmtId="0" fontId="4" fillId="6" borderId="1" xfId="0" applyFont="1" applyFill="1" applyBorder="1"/>
    <xf numFmtId="43" fontId="4" fillId="6" borderId="1" xfId="1" applyFont="1" applyFill="1" applyBorder="1" applyAlignment="1">
      <alignment horizontal="left" wrapText="1"/>
    </xf>
    <xf numFmtId="0" fontId="4" fillId="0" borderId="0" xfId="0" applyFont="1" applyAlignment="1">
      <alignment horizontal="center" wrapText="1"/>
    </xf>
    <xf numFmtId="165" fontId="4" fillId="0" borderId="0" xfId="1" applyNumberFormat="1" applyFont="1" applyBorder="1"/>
    <xf numFmtId="173" fontId="4" fillId="7" borderId="1" xfId="0" applyNumberFormat="1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173" fontId="3" fillId="7" borderId="1" xfId="0" applyNumberFormat="1" applyFont="1" applyFill="1" applyBorder="1" applyAlignment="1">
      <alignment vertical="center" wrapText="1"/>
    </xf>
    <xf numFmtId="43" fontId="4" fillId="8" borderId="1" xfId="0" applyNumberFormat="1" applyFont="1" applyFill="1" applyBorder="1"/>
    <xf numFmtId="2" fontId="4" fillId="0" borderId="1" xfId="0" applyNumberFormat="1" applyFont="1" applyBorder="1"/>
    <xf numFmtId="2" fontId="4" fillId="0" borderId="1" xfId="1" applyNumberFormat="1" applyFont="1" applyBorder="1"/>
    <xf numFmtId="2" fontId="4" fillId="7" borderId="1" xfId="0" applyNumberFormat="1" applyFont="1" applyFill="1" applyBorder="1"/>
    <xf numFmtId="14" fontId="2" fillId="0" borderId="7" xfId="0" applyNumberFormat="1" applyFont="1" applyBorder="1" applyAlignment="1">
      <alignment horizontal="left" vertical="center"/>
    </xf>
    <xf numFmtId="9" fontId="4" fillId="0" borderId="1" xfId="0" applyNumberFormat="1" applyFont="1" applyBorder="1" applyAlignment="1">
      <alignment horizontal="left" wrapText="1"/>
    </xf>
    <xf numFmtId="9" fontId="3" fillId="0" borderId="1" xfId="34691" applyFont="1" applyFill="1" applyBorder="1" applyAlignment="1">
      <alignment horizontal="left" vertical="center" wrapText="1"/>
    </xf>
    <xf numFmtId="9" fontId="0" fillId="4" borderId="1" xfId="0" applyNumberFormat="1" applyFill="1" applyBorder="1" applyAlignment="1">
      <alignment horizontal="center"/>
    </xf>
    <xf numFmtId="165" fontId="0" fillId="0" borderId="0" xfId="1" applyNumberFormat="1" applyFont="1" applyFill="1" applyBorder="1"/>
    <xf numFmtId="9" fontId="0" fillId="0" borderId="0" xfId="34691" applyFont="1" applyFill="1" applyBorder="1" applyAlignment="1">
      <alignment horizontal="left"/>
    </xf>
    <xf numFmtId="0" fontId="0" fillId="0" borderId="0" xfId="0" applyAlignment="1">
      <alignment horizontal="left" vertical="center"/>
    </xf>
    <xf numFmtId="170" fontId="4" fillId="0" borderId="1" xfId="1" applyNumberFormat="1" applyFont="1" applyFill="1" applyBorder="1"/>
    <xf numFmtId="170" fontId="24" fillId="0" borderId="1" xfId="1" applyNumberFormat="1" applyFont="1" applyFill="1" applyBorder="1" applyAlignment="1">
      <alignment horizontal="right"/>
    </xf>
    <xf numFmtId="170" fontId="0" fillId="0" borderId="0" xfId="0" applyNumberFormat="1"/>
    <xf numFmtId="168" fontId="4" fillId="0" borderId="1" xfId="1" applyNumberFormat="1" applyFont="1" applyFill="1" applyBorder="1" applyAlignment="1">
      <alignment horizontal="right"/>
    </xf>
    <xf numFmtId="168" fontId="0" fillId="0" borderId="0" xfId="0" applyNumberFormat="1" applyAlignment="1">
      <alignment horizontal="right"/>
    </xf>
    <xf numFmtId="9" fontId="2" fillId="0" borderId="6" xfId="34691" applyFont="1" applyFill="1" applyBorder="1" applyAlignment="1">
      <alignment horizontal="left"/>
    </xf>
    <xf numFmtId="9" fontId="0" fillId="0" borderId="1" xfId="34691" applyFont="1" applyBorder="1"/>
    <xf numFmtId="14" fontId="0" fillId="5" borderId="0" xfId="0" applyNumberFormat="1" applyFill="1"/>
    <xf numFmtId="43" fontId="24" fillId="0" borderId="6" xfId="1" applyFont="1" applyFill="1" applyBorder="1" applyAlignment="1">
      <alignment horizontal="right"/>
    </xf>
    <xf numFmtId="2" fontId="4" fillId="0" borderId="10" xfId="0" applyNumberFormat="1" applyFont="1" applyBorder="1"/>
    <xf numFmtId="172" fontId="8" fillId="0" borderId="1" xfId="1" applyNumberFormat="1" applyFont="1" applyFill="1" applyBorder="1" applyAlignment="1">
      <alignment horizontal="center"/>
    </xf>
    <xf numFmtId="14" fontId="2" fillId="0" borderId="0" xfId="0" applyNumberFormat="1" applyFont="1" applyAlignment="1">
      <alignment horizontal="left" vertical="center"/>
    </xf>
    <xf numFmtId="0" fontId="4" fillId="9" borderId="1" xfId="0" applyFont="1" applyFill="1" applyBorder="1" applyAlignment="1">
      <alignment wrapText="1"/>
    </xf>
    <xf numFmtId="165" fontId="0" fillId="0" borderId="4" xfId="0" applyNumberFormat="1" applyBorder="1"/>
    <xf numFmtId="165" fontId="0" fillId="0" borderId="10" xfId="0" applyNumberFormat="1" applyBorder="1"/>
    <xf numFmtId="0" fontId="0" fillId="0" borderId="26" xfId="0" applyBorder="1"/>
    <xf numFmtId="0" fontId="0" fillId="0" borderId="0" xfId="0" pivotButton="1"/>
    <xf numFmtId="0" fontId="29" fillId="0" borderId="0" xfId="0" applyFont="1"/>
    <xf numFmtId="165" fontId="0" fillId="0" borderId="0" xfId="1" applyNumberFormat="1" applyFont="1" applyFill="1"/>
    <xf numFmtId="0" fontId="27" fillId="10" borderId="1" xfId="0" applyFont="1" applyFill="1" applyBorder="1"/>
    <xf numFmtId="165" fontId="28" fillId="0" borderId="0" xfId="1" applyNumberFormat="1" applyFont="1" applyFill="1" applyBorder="1"/>
    <xf numFmtId="165" fontId="27" fillId="10" borderId="1" xfId="1" applyNumberFormat="1" applyFont="1" applyFill="1" applyBorder="1"/>
    <xf numFmtId="4" fontId="0" fillId="0" borderId="1" xfId="0" applyNumberFormat="1" applyBorder="1"/>
    <xf numFmtId="0" fontId="4" fillId="11" borderId="1" xfId="0" applyFont="1" applyFill="1" applyBorder="1"/>
    <xf numFmtId="174" fontId="0" fillId="0" borderId="1" xfId="0" applyNumberFormat="1" applyBorder="1" applyAlignment="1">
      <alignment horizontal="center"/>
    </xf>
    <xf numFmtId="0" fontId="30" fillId="10" borderId="1" xfId="0" applyFont="1" applyFill="1" applyBorder="1" applyAlignment="1">
      <alignment horizontal="center" vertical="center"/>
    </xf>
    <xf numFmtId="165" fontId="30" fillId="0" borderId="0" xfId="1" applyNumberFormat="1" applyFont="1" applyFill="1" applyBorder="1" applyAlignment="1">
      <alignment horizontal="center" vertical="center"/>
    </xf>
    <xf numFmtId="165" fontId="30" fillId="10" borderId="1" xfId="1" applyNumberFormat="1" applyFont="1" applyFill="1" applyBorder="1" applyAlignment="1">
      <alignment horizontal="center" vertical="center"/>
    </xf>
    <xf numFmtId="165" fontId="0" fillId="0" borderId="20" xfId="0" applyNumberFormat="1" applyBorder="1"/>
    <xf numFmtId="0" fontId="0" fillId="0" borderId="1" xfId="0" pivotButton="1" applyBorder="1"/>
    <xf numFmtId="0" fontId="28" fillId="10" borderId="27" xfId="0" applyFont="1" applyFill="1" applyBorder="1"/>
    <xf numFmtId="0" fontId="28" fillId="10" borderId="25" xfId="0" applyFont="1" applyFill="1" applyBorder="1"/>
    <xf numFmtId="17" fontId="4" fillId="11" borderId="1" xfId="0" applyNumberFormat="1" applyFont="1" applyFill="1" applyBorder="1" applyAlignment="1">
      <alignment horizontal="left" vertical="top"/>
    </xf>
    <xf numFmtId="0" fontId="2" fillId="12" borderId="1" xfId="0" applyFont="1" applyFill="1" applyBorder="1" applyAlignment="1">
      <alignment horizontal="center"/>
    </xf>
    <xf numFmtId="0" fontId="31" fillId="0" borderId="1" xfId="0" applyFont="1" applyBorder="1"/>
    <xf numFmtId="14" fontId="0" fillId="0" borderId="0" xfId="0" applyNumberFormat="1" applyAlignment="1">
      <alignment horizontal="left"/>
    </xf>
    <xf numFmtId="165" fontId="0" fillId="2" borderId="1" xfId="1" applyNumberFormat="1" applyFont="1" applyFill="1" applyBorder="1" applyAlignment="1">
      <alignment horizontal="right" wrapText="1"/>
    </xf>
    <xf numFmtId="0" fontId="31" fillId="0" borderId="1" xfId="0" applyFont="1" applyBorder="1" applyAlignment="1">
      <alignment horizontal="center"/>
    </xf>
    <xf numFmtId="165" fontId="7" fillId="2" borderId="1" xfId="1" applyNumberFormat="1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10" fontId="0" fillId="0" borderId="1" xfId="34691" applyNumberFormat="1" applyFont="1" applyFill="1" applyBorder="1" applyAlignment="1">
      <alignment horizontal="center"/>
    </xf>
    <xf numFmtId="43" fontId="1" fillId="2" borderId="1" xfId="1" applyFont="1" applyFill="1" applyBorder="1" applyAlignment="1">
      <alignment horizontal="center"/>
    </xf>
    <xf numFmtId="170" fontId="0" fillId="3" borderId="0" xfId="0" applyNumberFormat="1" applyFill="1"/>
    <xf numFmtId="168" fontId="0" fillId="3" borderId="0" xfId="0" applyNumberFormat="1" applyFill="1" applyAlignment="1">
      <alignment horizontal="right"/>
    </xf>
    <xf numFmtId="173" fontId="4" fillId="7" borderId="1" xfId="0" applyNumberFormat="1" applyFont="1" applyFill="1" applyBorder="1" applyAlignment="1">
      <alignment vertical="center" wrapText="1"/>
    </xf>
    <xf numFmtId="43" fontId="4" fillId="7" borderId="1" xfId="1" applyFont="1" applyFill="1" applyBorder="1"/>
    <xf numFmtId="165" fontId="4" fillId="0" borderId="1" xfId="1" applyNumberFormat="1" applyFont="1" applyFill="1" applyBorder="1"/>
    <xf numFmtId="17" fontId="0" fillId="0" borderId="8" xfId="0" applyNumberFormat="1" applyBorder="1" applyAlignment="1">
      <alignment horizontal="center"/>
    </xf>
    <xf numFmtId="17" fontId="0" fillId="0" borderId="2" xfId="0" applyNumberFormat="1" applyBorder="1" applyAlignment="1">
      <alignment horizontal="center"/>
    </xf>
    <xf numFmtId="43" fontId="2" fillId="0" borderId="20" xfId="1" applyFont="1" applyFill="1" applyBorder="1"/>
    <xf numFmtId="164" fontId="0" fillId="0" borderId="0" xfId="0" applyNumberFormat="1"/>
    <xf numFmtId="0" fontId="3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173" fontId="27" fillId="10" borderId="49" xfId="0" applyNumberFormat="1" applyFont="1" applyFill="1" applyBorder="1" applyAlignment="1">
      <alignment horizontal="center" vertical="center"/>
    </xf>
    <xf numFmtId="165" fontId="30" fillId="10" borderId="12" xfId="1" applyNumberFormat="1" applyFont="1" applyFill="1" applyBorder="1" applyAlignment="1">
      <alignment horizontal="center" vertical="center" wrapText="1"/>
    </xf>
    <xf numFmtId="165" fontId="30" fillId="10" borderId="23" xfId="1" applyNumberFormat="1" applyFont="1" applyFill="1" applyBorder="1" applyAlignment="1">
      <alignment horizontal="center" vertical="center" wrapText="1"/>
    </xf>
    <xf numFmtId="165" fontId="30" fillId="0" borderId="12" xfId="1" applyNumberFormat="1" applyFont="1" applyFill="1" applyBorder="1" applyAlignment="1">
      <alignment horizontal="center" vertical="center" wrapText="1"/>
    </xf>
    <xf numFmtId="165" fontId="30" fillId="0" borderId="50" xfId="1" applyNumberFormat="1" applyFont="1" applyFill="1" applyBorder="1" applyAlignment="1">
      <alignment horizontal="center" vertical="center" wrapText="1"/>
    </xf>
    <xf numFmtId="165" fontId="0" fillId="0" borderId="18" xfId="0" applyNumberFormat="1" applyBorder="1"/>
    <xf numFmtId="165" fontId="4" fillId="0" borderId="19" xfId="0" applyNumberFormat="1" applyFont="1" applyBorder="1"/>
    <xf numFmtId="165" fontId="4" fillId="0" borderId="18" xfId="0" applyNumberFormat="1" applyFont="1" applyBorder="1"/>
    <xf numFmtId="173" fontId="4" fillId="0" borderId="51" xfId="0" applyNumberFormat="1" applyFont="1" applyBorder="1" applyAlignment="1">
      <alignment vertical="center"/>
    </xf>
    <xf numFmtId="0" fontId="4" fillId="0" borderId="18" xfId="0" applyFont="1" applyBorder="1" applyAlignment="1">
      <alignment horizontal="center" vertical="center"/>
    </xf>
    <xf numFmtId="165" fontId="4" fillId="0" borderId="18" xfId="1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3" fontId="4" fillId="0" borderId="18" xfId="0" applyNumberFormat="1" applyFont="1" applyBorder="1"/>
    <xf numFmtId="173" fontId="4" fillId="0" borderId="19" xfId="0" applyNumberFormat="1" applyFont="1" applyBorder="1"/>
    <xf numFmtId="165" fontId="37" fillId="13" borderId="18" xfId="0" applyNumberFormat="1" applyFont="1" applyFill="1" applyBorder="1" applyAlignment="1">
      <alignment vertical="center" wrapText="1"/>
    </xf>
    <xf numFmtId="10" fontId="4" fillId="13" borderId="23" xfId="34691" applyNumberFormat="1" applyFont="1" applyFill="1" applyBorder="1" applyAlignment="1">
      <alignment vertical="center" wrapText="1"/>
    </xf>
    <xf numFmtId="10" fontId="4" fillId="13" borderId="13" xfId="34691" applyNumberFormat="1" applyFont="1" applyFill="1" applyBorder="1" applyAlignment="1">
      <alignment vertical="center" wrapText="1"/>
    </xf>
    <xf numFmtId="9" fontId="4" fillId="0" borderId="0" xfId="34691" applyFont="1" applyFill="1" applyBorder="1" applyAlignment="1">
      <alignment vertical="center" wrapText="1"/>
    </xf>
    <xf numFmtId="9" fontId="4" fillId="0" borderId="19" xfId="34691" applyFont="1" applyFill="1" applyBorder="1" applyAlignment="1">
      <alignment vertical="center" wrapText="1"/>
    </xf>
    <xf numFmtId="173" fontId="0" fillId="0" borderId="51" xfId="0" applyNumberFormat="1" applyBorder="1"/>
    <xf numFmtId="173" fontId="36" fillId="0" borderId="51" xfId="0" applyNumberFormat="1" applyFont="1" applyBorder="1"/>
    <xf numFmtId="0" fontId="0" fillId="0" borderId="51" xfId="0" applyBorder="1" applyAlignment="1">
      <alignment vertical="center"/>
    </xf>
    <xf numFmtId="0" fontId="4" fillId="13" borderId="16" xfId="0" applyFont="1" applyFill="1" applyBorder="1" applyAlignment="1">
      <alignment vertical="center"/>
    </xf>
    <xf numFmtId="0" fontId="4" fillId="0" borderId="51" xfId="0" applyFont="1" applyBorder="1" applyAlignment="1">
      <alignment vertical="center"/>
    </xf>
    <xf numFmtId="0" fontId="4" fillId="0" borderId="52" xfId="0" applyFont="1" applyBorder="1" applyAlignment="1">
      <alignment vertical="center"/>
    </xf>
    <xf numFmtId="0" fontId="0" fillId="0" borderId="51" xfId="0" applyBorder="1"/>
    <xf numFmtId="0" fontId="4" fillId="0" borderId="55" xfId="0" applyFont="1" applyBorder="1" applyAlignment="1">
      <alignment vertical="center"/>
    </xf>
    <xf numFmtId="9" fontId="0" fillId="0" borderId="12" xfId="0" applyNumberFormat="1" applyBorder="1" applyAlignment="1">
      <alignment horizontal="left"/>
    </xf>
    <xf numFmtId="9" fontId="0" fillId="0" borderId="18" xfId="0" applyNumberFormat="1" applyBorder="1" applyAlignment="1">
      <alignment horizontal="left"/>
    </xf>
    <xf numFmtId="0" fontId="30" fillId="10" borderId="1" xfId="0" applyFont="1" applyFill="1" applyBorder="1" applyAlignment="1">
      <alignment horizontal="center" vertical="center" wrapText="1"/>
    </xf>
    <xf numFmtId="165" fontId="30" fillId="10" borderId="1" xfId="1" applyNumberFormat="1" applyFont="1" applyFill="1" applyBorder="1" applyAlignment="1">
      <alignment horizontal="center" vertical="center" wrapText="1"/>
    </xf>
    <xf numFmtId="165" fontId="30" fillId="10" borderId="12" xfId="1" applyNumberFormat="1" applyFont="1" applyFill="1" applyBorder="1" applyAlignment="1">
      <alignment horizontal="center" vertical="center"/>
    </xf>
    <xf numFmtId="165" fontId="30" fillId="10" borderId="23" xfId="1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vertical="center"/>
    </xf>
    <xf numFmtId="0" fontId="39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3" fontId="4" fillId="0" borderId="0" xfId="0" applyNumberFormat="1" applyFont="1"/>
    <xf numFmtId="0" fontId="37" fillId="13" borderId="54" xfId="0" applyFont="1" applyFill="1" applyBorder="1" applyAlignment="1">
      <alignment vertical="center"/>
    </xf>
    <xf numFmtId="3" fontId="27" fillId="0" borderId="0" xfId="0" applyNumberFormat="1" applyFont="1"/>
    <xf numFmtId="0" fontId="4" fillId="0" borderId="0" xfId="0" applyFont="1" applyAlignment="1">
      <alignment horizontal="center" vertical="center"/>
    </xf>
    <xf numFmtId="0" fontId="34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30" fillId="10" borderId="20" xfId="0" applyFont="1" applyFill="1" applyBorder="1" applyAlignment="1">
      <alignment horizontal="center" vertical="center" wrapText="1"/>
    </xf>
    <xf numFmtId="17" fontId="4" fillId="0" borderId="54" xfId="0" applyNumberFormat="1" applyFont="1" applyBorder="1" applyAlignment="1">
      <alignment horizontal="left" vertical="top"/>
    </xf>
    <xf numFmtId="0" fontId="27" fillId="10" borderId="4" xfId="0" applyFont="1" applyFill="1" applyBorder="1"/>
    <xf numFmtId="0" fontId="30" fillId="10" borderId="29" xfId="0" applyFont="1" applyFill="1" applyBorder="1" applyAlignment="1">
      <alignment horizontal="center" vertical="center" wrapText="1"/>
    </xf>
    <xf numFmtId="0" fontId="30" fillId="10" borderId="30" xfId="0" applyFont="1" applyFill="1" applyBorder="1" applyAlignment="1">
      <alignment horizontal="center" vertical="center" wrapText="1"/>
    </xf>
    <xf numFmtId="0" fontId="30" fillId="10" borderId="39" xfId="0" applyFont="1" applyFill="1" applyBorder="1" applyAlignment="1">
      <alignment horizontal="center" vertical="center" wrapText="1"/>
    </xf>
    <xf numFmtId="0" fontId="0" fillId="0" borderId="40" xfId="0" applyBorder="1" applyAlignment="1">
      <alignment vertical="center" wrapText="1"/>
    </xf>
    <xf numFmtId="0" fontId="27" fillId="10" borderId="42" xfId="0" applyFont="1" applyFill="1" applyBorder="1"/>
    <xf numFmtId="165" fontId="27" fillId="10" borderId="35" xfId="0" applyNumberFormat="1" applyFont="1" applyFill="1" applyBorder="1"/>
    <xf numFmtId="0" fontId="0" fillId="0" borderId="8" xfId="0" applyBorder="1"/>
    <xf numFmtId="0" fontId="28" fillId="10" borderId="26" xfId="0" applyFont="1" applyFill="1" applyBorder="1"/>
    <xf numFmtId="0" fontId="32" fillId="14" borderId="1" xfId="0" applyFont="1" applyFill="1" applyBorder="1" applyAlignment="1">
      <alignment horizontal="right" vertical="center"/>
    </xf>
    <xf numFmtId="43" fontId="2" fillId="0" borderId="1" xfId="1" applyFont="1" applyBorder="1" applyAlignment="1">
      <alignment vertical="top"/>
    </xf>
    <xf numFmtId="0" fontId="7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43" fontId="0" fillId="0" borderId="0" xfId="1" applyFont="1" applyFill="1"/>
    <xf numFmtId="0" fontId="3" fillId="0" borderId="20" xfId="0" applyFont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43" fontId="41" fillId="0" borderId="1" xfId="1" applyFont="1" applyFill="1" applyBorder="1" applyAlignment="1">
      <alignment horizontal="right"/>
    </xf>
    <xf numFmtId="0" fontId="27" fillId="0" borderId="0" xfId="0" applyFont="1"/>
    <xf numFmtId="165" fontId="30" fillId="10" borderId="11" xfId="1" applyNumberFormat="1" applyFont="1" applyFill="1" applyBorder="1" applyAlignment="1">
      <alignment horizontal="centerContinuous" vertical="center" wrapText="1"/>
    </xf>
    <xf numFmtId="165" fontId="30" fillId="10" borderId="56" xfId="1" applyNumberFormat="1" applyFont="1" applyFill="1" applyBorder="1" applyAlignment="1">
      <alignment horizontal="centerContinuous" vertical="center" wrapText="1"/>
    </xf>
    <xf numFmtId="9" fontId="2" fillId="0" borderId="0" xfId="34691" applyFont="1" applyFill="1" applyBorder="1" applyAlignment="1">
      <alignment horizontal="left"/>
    </xf>
    <xf numFmtId="43" fontId="24" fillId="0" borderId="10" xfId="1" applyFont="1" applyFill="1" applyBorder="1" applyAlignment="1">
      <alignment horizontal="right"/>
    </xf>
    <xf numFmtId="14" fontId="0" fillId="0" borderId="10" xfId="1" applyNumberFormat="1" applyFont="1" applyFill="1" applyBorder="1"/>
    <xf numFmtId="43" fontId="2" fillId="0" borderId="1" xfId="544" applyFont="1" applyBorder="1" applyAlignment="1">
      <alignment horizontal="center"/>
    </xf>
    <xf numFmtId="165" fontId="0" fillId="0" borderId="1" xfId="1" applyNumberFormat="1" applyFont="1" applyBorder="1" applyAlignment="1">
      <alignment horizontal="right" wrapText="1"/>
    </xf>
    <xf numFmtId="43" fontId="0" fillId="0" borderId="1" xfId="1" applyFont="1" applyBorder="1" applyAlignment="1">
      <alignment horizontal="left" wrapText="1"/>
    </xf>
    <xf numFmtId="165" fontId="0" fillId="0" borderId="10" xfId="1" applyNumberFormat="1" applyFont="1" applyFill="1" applyBorder="1" applyAlignment="1">
      <alignment horizontal="right" wrapText="1"/>
    </xf>
    <xf numFmtId="14" fontId="2" fillId="0" borderId="1" xfId="1" applyNumberFormat="1" applyFont="1" applyBorder="1" applyAlignment="1">
      <alignment vertical="top"/>
    </xf>
    <xf numFmtId="0" fontId="2" fillId="0" borderId="4" xfId="0" applyFont="1" applyBorder="1" applyAlignment="1">
      <alignment horizontal="left"/>
    </xf>
    <xf numFmtId="14" fontId="2" fillId="0" borderId="4" xfId="0" applyNumberFormat="1" applyFont="1" applyBorder="1"/>
    <xf numFmtId="43" fontId="2" fillId="0" borderId="1" xfId="1" applyFont="1" applyBorder="1"/>
    <xf numFmtId="165" fontId="0" fillId="0" borderId="19" xfId="1" applyNumberFormat="1" applyFont="1" applyBorder="1"/>
    <xf numFmtId="0" fontId="27" fillId="10" borderId="58" xfId="0" applyFont="1" applyFill="1" applyBorder="1" applyAlignment="1">
      <alignment vertical="center"/>
    </xf>
    <xf numFmtId="165" fontId="44" fillId="0" borderId="18" xfId="0" applyNumberFormat="1" applyFont="1" applyBorder="1"/>
    <xf numFmtId="0" fontId="37" fillId="13" borderId="51" xfId="0" applyFont="1" applyFill="1" applyBorder="1" applyAlignment="1">
      <alignment vertical="center" wrapText="1"/>
    </xf>
    <xf numFmtId="173" fontId="4" fillId="0" borderId="49" xfId="0" applyNumberFormat="1" applyFont="1" applyBorder="1" applyAlignment="1">
      <alignment vertical="center" wrapText="1"/>
    </xf>
    <xf numFmtId="173" fontId="36" fillId="13" borderId="16" xfId="0" applyNumberFormat="1" applyFont="1" applyFill="1" applyBorder="1" applyAlignment="1">
      <alignment wrapText="1"/>
    </xf>
    <xf numFmtId="0" fontId="27" fillId="10" borderId="62" xfId="0" applyFont="1" applyFill="1" applyBorder="1" applyAlignment="1">
      <alignment vertical="center"/>
    </xf>
    <xf numFmtId="14" fontId="2" fillId="0" borderId="4" xfId="1" applyNumberFormat="1" applyFont="1" applyBorder="1" applyAlignment="1">
      <alignment vertical="top"/>
    </xf>
    <xf numFmtId="0" fontId="3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63" xfId="0" applyBorder="1"/>
    <xf numFmtId="0" fontId="0" fillId="0" borderId="23" xfId="0" applyBorder="1"/>
    <xf numFmtId="0" fontId="0" fillId="0" borderId="23" xfId="0" pivotButton="1" applyBorder="1"/>
    <xf numFmtId="0" fontId="28" fillId="10" borderId="16" xfId="0" applyFont="1" applyFill="1" applyBorder="1" applyAlignment="1">
      <alignment horizontal="left" vertical="center"/>
    </xf>
    <xf numFmtId="0" fontId="28" fillId="10" borderId="14" xfId="0" applyFont="1" applyFill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8" fillId="10" borderId="12" xfId="0" applyFont="1" applyFill="1" applyBorder="1" applyAlignment="1">
      <alignment horizontal="left" vertical="center"/>
    </xf>
    <xf numFmtId="0" fontId="0" fillId="0" borderId="16" xfId="0" applyBorder="1"/>
    <xf numFmtId="0" fontId="0" fillId="0" borderId="2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64" xfId="0" applyBorder="1"/>
    <xf numFmtId="0" fontId="0" fillId="0" borderId="22" xfId="0" applyBorder="1"/>
    <xf numFmtId="0" fontId="28" fillId="10" borderId="13" xfId="0" applyFont="1" applyFill="1" applyBorder="1" applyAlignment="1">
      <alignment horizontal="left" vertical="center"/>
    </xf>
    <xf numFmtId="0" fontId="0" fillId="0" borderId="65" xfId="0" applyBorder="1"/>
    <xf numFmtId="0" fontId="0" fillId="0" borderId="38" xfId="0" applyBorder="1"/>
    <xf numFmtId="0" fontId="0" fillId="0" borderId="16" xfId="0" applyBorder="1" applyAlignment="1">
      <alignment horizontal="left" vertical="center"/>
    </xf>
    <xf numFmtId="0" fontId="27" fillId="10" borderId="20" xfId="0" applyFont="1" applyFill="1" applyBorder="1" applyAlignment="1">
      <alignment horizontal="center" vertical="center"/>
    </xf>
    <xf numFmtId="165" fontId="28" fillId="10" borderId="20" xfId="1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165" fontId="27" fillId="0" borderId="0" xfId="1" applyNumberFormat="1" applyFont="1" applyFill="1" applyBorder="1" applyAlignment="1">
      <alignment horizontal="center" vertical="center"/>
    </xf>
    <xf numFmtId="165" fontId="28" fillId="0" borderId="0" xfId="1" applyNumberFormat="1" applyFont="1" applyFill="1" applyBorder="1" applyAlignment="1">
      <alignment horizontal="center" vertical="center"/>
    </xf>
    <xf numFmtId="44" fontId="0" fillId="15" borderId="1" xfId="0" applyNumberFormat="1" applyFill="1" applyBorder="1" applyAlignment="1">
      <alignment horizontal="right" wrapText="1"/>
    </xf>
    <xf numFmtId="165" fontId="0" fillId="15" borderId="1" xfId="1" applyNumberFormat="1" applyFont="1" applyFill="1" applyBorder="1" applyAlignment="1">
      <alignment horizontal="right" wrapText="1"/>
    </xf>
    <xf numFmtId="165" fontId="4" fillId="15" borderId="1" xfId="1" applyNumberFormat="1" applyFont="1" applyFill="1" applyBorder="1" applyAlignment="1">
      <alignment horizontal="right" wrapText="1"/>
    </xf>
    <xf numFmtId="165" fontId="1" fillId="15" borderId="1" xfId="1" applyNumberFormat="1" applyFont="1" applyFill="1" applyBorder="1" applyAlignment="1">
      <alignment horizontal="right" wrapText="1"/>
    </xf>
    <xf numFmtId="44" fontId="0" fillId="16" borderId="1" xfId="0" applyNumberFormat="1" applyFill="1" applyBorder="1" applyAlignment="1">
      <alignment horizontal="right" wrapText="1"/>
    </xf>
    <xf numFmtId="165" fontId="0" fillId="16" borderId="1" xfId="1" applyNumberFormat="1" applyFont="1" applyFill="1" applyBorder="1" applyAlignment="1">
      <alignment horizontal="right" wrapText="1"/>
    </xf>
    <xf numFmtId="165" fontId="4" fillId="16" borderId="1" xfId="1" applyNumberFormat="1" applyFont="1" applyFill="1" applyBorder="1" applyAlignment="1">
      <alignment horizontal="right" wrapText="1"/>
    </xf>
    <xf numFmtId="44" fontId="0" fillId="16" borderId="1" xfId="1" applyNumberFormat="1" applyFont="1" applyFill="1" applyBorder="1" applyAlignment="1">
      <alignment horizontal="right" wrapText="1"/>
    </xf>
    <xf numFmtId="43" fontId="0" fillId="16" borderId="1" xfId="1" applyFont="1" applyFill="1" applyBorder="1" applyAlignment="1">
      <alignment horizontal="right" wrapText="1"/>
    </xf>
    <xf numFmtId="43" fontId="1" fillId="16" borderId="1" xfId="1" applyFont="1" applyFill="1" applyBorder="1" applyAlignment="1">
      <alignment horizontal="right" wrapText="1"/>
    </xf>
    <xf numFmtId="164" fontId="4" fillId="16" borderId="1" xfId="1" applyNumberFormat="1" applyFont="1" applyFill="1" applyBorder="1" applyAlignment="1">
      <alignment horizontal="right" wrapText="1"/>
    </xf>
    <xf numFmtId="165" fontId="4" fillId="16" borderId="21" xfId="1" applyNumberFormat="1" applyFont="1" applyFill="1" applyBorder="1" applyAlignment="1">
      <alignment horizontal="right" wrapText="1"/>
    </xf>
    <xf numFmtId="0" fontId="0" fillId="16" borderId="1" xfId="0" applyFill="1" applyBorder="1" applyAlignment="1">
      <alignment horizontal="center"/>
    </xf>
    <xf numFmtId="171" fontId="8" fillId="16" borderId="1" xfId="0" applyNumberFormat="1" applyFont="1" applyFill="1" applyBorder="1" applyAlignment="1">
      <alignment horizontal="right"/>
    </xf>
    <xf numFmtId="2" fontId="8" fillId="16" borderId="1" xfId="0" applyNumberFormat="1" applyFont="1" applyFill="1" applyBorder="1" applyAlignment="1">
      <alignment horizontal="right"/>
    </xf>
    <xf numFmtId="43" fontId="8" fillId="16" borderId="1" xfId="1" applyFont="1" applyFill="1" applyBorder="1" applyAlignment="1">
      <alignment horizontal="right"/>
    </xf>
    <xf numFmtId="1" fontId="10" fillId="16" borderId="1" xfId="0" applyNumberFormat="1" applyFont="1" applyFill="1" applyBorder="1" applyAlignment="1">
      <alignment horizontal="center" vertical="center"/>
    </xf>
    <xf numFmtId="2" fontId="0" fillId="16" borderId="1" xfId="0" applyNumberFormat="1" applyFill="1" applyBorder="1" applyAlignment="1">
      <alignment horizontal="center"/>
    </xf>
    <xf numFmtId="0" fontId="10" fillId="16" borderId="1" xfId="0" applyFont="1" applyFill="1" applyBorder="1" applyAlignment="1">
      <alignment horizontal="center" vertical="center"/>
    </xf>
    <xf numFmtId="43" fontId="10" fillId="16" borderId="1" xfId="17" applyFont="1" applyFill="1" applyBorder="1" applyAlignment="1">
      <alignment vertical="center" wrapText="1"/>
    </xf>
    <xf numFmtId="43" fontId="10" fillId="16" borderId="1" xfId="17" applyFont="1" applyFill="1" applyBorder="1" applyAlignment="1">
      <alignment vertical="center"/>
    </xf>
    <xf numFmtId="43" fontId="0" fillId="16" borderId="1" xfId="1" applyFont="1" applyFill="1" applyBorder="1"/>
    <xf numFmtId="165" fontId="0" fillId="16" borderId="1" xfId="15" applyNumberFormat="1" applyFont="1" applyFill="1" applyBorder="1" applyAlignment="1">
      <alignment horizontal="right"/>
    </xf>
    <xf numFmtId="3" fontId="0" fillId="16" borderId="1" xfId="0" applyNumberFormat="1" applyFill="1" applyBorder="1"/>
    <xf numFmtId="0" fontId="0" fillId="16" borderId="1" xfId="0" applyFill="1" applyBorder="1"/>
    <xf numFmtId="165" fontId="0" fillId="16" borderId="1" xfId="14" applyNumberFormat="1" applyFont="1" applyFill="1" applyBorder="1" applyAlignment="1">
      <alignment horizontal="right"/>
    </xf>
    <xf numFmtId="3" fontId="4" fillId="16" borderId="1" xfId="0" applyNumberFormat="1" applyFont="1" applyFill="1" applyBorder="1"/>
    <xf numFmtId="165" fontId="0" fillId="16" borderId="1" xfId="1" applyNumberFormat="1" applyFont="1" applyFill="1" applyBorder="1"/>
    <xf numFmtId="165" fontId="4" fillId="16" borderId="1" xfId="0" applyNumberFormat="1" applyFont="1" applyFill="1" applyBorder="1"/>
    <xf numFmtId="0" fontId="6" fillId="16" borderId="1" xfId="0" applyFont="1" applyFill="1" applyBorder="1"/>
    <xf numFmtId="43" fontId="9" fillId="16" borderId="1" xfId="1" applyFont="1" applyFill="1" applyBorder="1"/>
    <xf numFmtId="14" fontId="2" fillId="16" borderId="1" xfId="0" applyNumberFormat="1" applyFont="1" applyFill="1" applyBorder="1"/>
    <xf numFmtId="2" fontId="0" fillId="16" borderId="1" xfId="0" applyNumberFormat="1" applyFill="1" applyBorder="1"/>
    <xf numFmtId="168" fontId="24" fillId="16" borderId="1" xfId="1" applyNumberFormat="1" applyFont="1" applyFill="1" applyBorder="1" applyAlignment="1">
      <alignment horizontal="right"/>
    </xf>
    <xf numFmtId="168" fontId="0" fillId="16" borderId="0" xfId="0" applyNumberFormat="1" applyFill="1" applyAlignment="1">
      <alignment horizontal="right"/>
    </xf>
    <xf numFmtId="43" fontId="0" fillId="16" borderId="1" xfId="0" applyNumberFormat="1" applyFill="1" applyBorder="1"/>
    <xf numFmtId="43" fontId="4" fillId="16" borderId="1" xfId="0" applyNumberFormat="1" applyFont="1" applyFill="1" applyBorder="1"/>
    <xf numFmtId="43" fontId="0" fillId="16" borderId="20" xfId="1" applyFont="1" applyFill="1" applyBorder="1"/>
    <xf numFmtId="165" fontId="0" fillId="16" borderId="12" xfId="1" applyNumberFormat="1" applyFont="1" applyFill="1" applyBorder="1" applyAlignment="1"/>
    <xf numFmtId="165" fontId="0" fillId="16" borderId="18" xfId="0" applyNumberFormat="1" applyFill="1" applyBorder="1"/>
    <xf numFmtId="3" fontId="4" fillId="16" borderId="23" xfId="0" applyNumberFormat="1" applyFont="1" applyFill="1" applyBorder="1" applyAlignment="1">
      <alignment vertical="center"/>
    </xf>
    <xf numFmtId="165" fontId="44" fillId="16" borderId="18" xfId="0" applyNumberFormat="1" applyFont="1" applyFill="1" applyBorder="1"/>
    <xf numFmtId="165" fontId="4" fillId="16" borderId="19" xfId="0" applyNumberFormat="1" applyFont="1" applyFill="1" applyBorder="1"/>
    <xf numFmtId="165" fontId="4" fillId="16" borderId="23" xfId="0" applyNumberFormat="1" applyFont="1" applyFill="1" applyBorder="1"/>
    <xf numFmtId="165" fontId="0" fillId="16" borderId="18" xfId="1" applyNumberFormat="1" applyFont="1" applyFill="1" applyBorder="1"/>
    <xf numFmtId="3" fontId="4" fillId="16" borderId="23" xfId="0" applyNumberFormat="1" applyFont="1" applyFill="1" applyBorder="1"/>
    <xf numFmtId="165" fontId="38" fillId="16" borderId="1" xfId="1" applyNumberFormat="1" applyFont="1" applyFill="1" applyBorder="1" applyAlignment="1">
      <alignment vertical="center"/>
    </xf>
    <xf numFmtId="165" fontId="39" fillId="16" borderId="1" xfId="0" applyNumberFormat="1" applyFont="1" applyFill="1" applyBorder="1" applyAlignment="1">
      <alignment vertical="center"/>
    </xf>
    <xf numFmtId="3" fontId="0" fillId="16" borderId="18" xfId="0" applyNumberFormat="1" applyFill="1" applyBorder="1"/>
    <xf numFmtId="165" fontId="37" fillId="16" borderId="18" xfId="0" applyNumberFormat="1" applyFont="1" applyFill="1" applyBorder="1" applyAlignment="1">
      <alignment vertical="center" wrapText="1"/>
    </xf>
    <xf numFmtId="3" fontId="37" fillId="16" borderId="54" xfId="0" applyNumberFormat="1" applyFont="1" applyFill="1" applyBorder="1"/>
    <xf numFmtId="10" fontId="4" fillId="16" borderId="23" xfId="34691" applyNumberFormat="1" applyFont="1" applyFill="1" applyBorder="1" applyAlignment="1">
      <alignment vertical="center" wrapText="1"/>
    </xf>
    <xf numFmtId="165" fontId="27" fillId="16" borderId="59" xfId="1" applyNumberFormat="1" applyFont="1" applyFill="1" applyBorder="1" applyAlignment="1">
      <alignment vertical="center" wrapText="1"/>
    </xf>
    <xf numFmtId="165" fontId="27" fillId="16" borderId="60" xfId="1" applyNumberFormat="1" applyFont="1" applyFill="1" applyBorder="1" applyAlignment="1">
      <alignment vertical="center" wrapText="1"/>
    </xf>
    <xf numFmtId="165" fontId="4" fillId="16" borderId="53" xfId="1" applyNumberFormat="1" applyFont="1" applyFill="1" applyBorder="1"/>
    <xf numFmtId="165" fontId="0" fillId="16" borderId="24" xfId="1" applyNumberFormat="1" applyFont="1" applyFill="1" applyBorder="1"/>
    <xf numFmtId="165" fontId="4" fillId="16" borderId="61" xfId="1" applyNumberFormat="1" applyFont="1" applyFill="1" applyBorder="1"/>
    <xf numFmtId="165" fontId="0" fillId="16" borderId="41" xfId="1" applyNumberFormat="1" applyFont="1" applyFill="1" applyBorder="1"/>
    <xf numFmtId="14" fontId="0" fillId="16" borderId="1" xfId="0" applyNumberFormat="1" applyFill="1" applyBorder="1" applyAlignment="1">
      <alignment horizontal="center"/>
    </xf>
    <xf numFmtId="3" fontId="27" fillId="16" borderId="4" xfId="0" applyNumberFormat="1" applyFont="1" applyFill="1" applyBorder="1"/>
    <xf numFmtId="174" fontId="0" fillId="16" borderId="1" xfId="0" applyNumberFormat="1" applyFill="1" applyBorder="1" applyAlignment="1">
      <alignment horizontal="center"/>
    </xf>
    <xf numFmtId="165" fontId="27" fillId="16" borderId="20" xfId="1" applyNumberFormat="1" applyFont="1" applyFill="1" applyBorder="1" applyAlignment="1">
      <alignment horizontal="center" vertical="center"/>
    </xf>
    <xf numFmtId="165" fontId="4" fillId="16" borderId="1" xfId="1" applyNumberFormat="1" applyFont="1" applyFill="1" applyBorder="1"/>
    <xf numFmtId="43" fontId="4" fillId="16" borderId="1" xfId="1" applyFont="1" applyFill="1" applyBorder="1"/>
    <xf numFmtId="165" fontId="0" fillId="16" borderId="1" xfId="0" applyNumberFormat="1" applyFill="1" applyBorder="1"/>
    <xf numFmtId="165" fontId="45" fillId="16" borderId="59" xfId="1" applyNumberFormat="1" applyFont="1" applyFill="1" applyBorder="1" applyAlignment="1">
      <alignment vertical="center" wrapText="1"/>
    </xf>
    <xf numFmtId="165" fontId="45" fillId="16" borderId="60" xfId="1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5" fillId="0" borderId="1" xfId="0" applyFont="1" applyBorder="1"/>
    <xf numFmtId="9" fontId="2" fillId="0" borderId="1" xfId="0" applyNumberFormat="1" applyFont="1" applyBorder="1" applyAlignment="1">
      <alignment horizontal="left"/>
    </xf>
    <xf numFmtId="14" fontId="2" fillId="0" borderId="5" xfId="0" applyNumberFormat="1" applyFont="1" applyBorder="1" applyAlignment="1">
      <alignment horizontal="center"/>
    </xf>
    <xf numFmtId="9" fontId="2" fillId="0" borderId="6" xfId="0" applyNumberFormat="1" applyFont="1" applyBorder="1" applyAlignment="1">
      <alignment horizontal="left"/>
    </xf>
    <xf numFmtId="14" fontId="2" fillId="0" borderId="7" xfId="0" applyNumberFormat="1" applyFont="1" applyBorder="1" applyAlignment="1">
      <alignment horizontal="center"/>
    </xf>
    <xf numFmtId="0" fontId="15" fillId="0" borderId="20" xfId="0" applyFont="1" applyBorder="1"/>
    <xf numFmtId="0" fontId="15" fillId="0" borderId="20" xfId="0" applyFont="1" applyBorder="1" applyAlignment="1">
      <alignment horizontal="center"/>
    </xf>
    <xf numFmtId="14" fontId="0" fillId="0" borderId="20" xfId="0" applyNumberFormat="1" applyBorder="1"/>
    <xf numFmtId="0" fontId="0" fillId="0" borderId="20" xfId="0" applyBorder="1" applyAlignment="1">
      <alignment horizontal="center"/>
    </xf>
    <xf numFmtId="0" fontId="2" fillId="0" borderId="20" xfId="0" applyFont="1" applyBorder="1" applyAlignment="1">
      <alignment horizontal="center"/>
    </xf>
    <xf numFmtId="9" fontId="2" fillId="0" borderId="10" xfId="0" applyNumberFormat="1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14" fontId="2" fillId="0" borderId="20" xfId="0" applyNumberFormat="1" applyFont="1" applyBorder="1" applyAlignment="1">
      <alignment horizontal="center"/>
    </xf>
    <xf numFmtId="14" fontId="2" fillId="0" borderId="20" xfId="0" applyNumberFormat="1" applyFont="1" applyBorder="1"/>
    <xf numFmtId="0" fontId="0" fillId="0" borderId="20" xfId="0" applyBorder="1"/>
    <xf numFmtId="0" fontId="15" fillId="0" borderId="44" xfId="0" applyFont="1" applyBorder="1"/>
    <xf numFmtId="0" fontId="15" fillId="0" borderId="45" xfId="0" applyFont="1" applyBorder="1" applyAlignment="1">
      <alignment horizontal="center"/>
    </xf>
    <xf numFmtId="14" fontId="0" fillId="0" borderId="45" xfId="0" applyNumberFormat="1" applyBorder="1"/>
    <xf numFmtId="0" fontId="0" fillId="0" borderId="45" xfId="0" applyBorder="1" applyAlignment="1">
      <alignment horizontal="center"/>
    </xf>
    <xf numFmtId="0" fontId="2" fillId="0" borderId="45" xfId="0" applyFont="1" applyBorder="1" applyAlignment="1">
      <alignment horizontal="center"/>
    </xf>
    <xf numFmtId="14" fontId="2" fillId="0" borderId="45" xfId="0" applyNumberFormat="1" applyFont="1" applyBorder="1" applyAlignment="1">
      <alignment horizontal="center"/>
    </xf>
    <xf numFmtId="9" fontId="2" fillId="0" borderId="45" xfId="34691" applyFont="1" applyFill="1" applyBorder="1" applyAlignment="1">
      <alignment horizontal="left"/>
    </xf>
    <xf numFmtId="0" fontId="2" fillId="0" borderId="45" xfId="0" applyFont="1" applyBorder="1" applyAlignment="1">
      <alignment horizontal="left"/>
    </xf>
    <xf numFmtId="43" fontId="2" fillId="0" borderId="45" xfId="1" applyFont="1" applyFill="1" applyBorder="1"/>
    <xf numFmtId="14" fontId="2" fillId="0" borderId="45" xfId="0" applyNumberFormat="1" applyFont="1" applyBorder="1"/>
    <xf numFmtId="0" fontId="0" fillId="0" borderId="45" xfId="0" applyBorder="1"/>
    <xf numFmtId="14" fontId="0" fillId="0" borderId="2" xfId="0" applyNumberFormat="1" applyBorder="1"/>
    <xf numFmtId="0" fontId="15" fillId="0" borderId="29" xfId="0" applyFont="1" applyBorder="1"/>
    <xf numFmtId="0" fontId="15" fillId="0" borderId="30" xfId="0" applyFont="1" applyBorder="1" applyAlignment="1">
      <alignment horizontal="center"/>
    </xf>
    <xf numFmtId="14" fontId="0" fillId="0" borderId="30" xfId="0" applyNumberFormat="1" applyBorder="1"/>
    <xf numFmtId="0" fontId="0" fillId="0" borderId="30" xfId="0" applyBorder="1" applyAlignment="1">
      <alignment horizontal="center"/>
    </xf>
    <xf numFmtId="0" fontId="2" fillId="0" borderId="30" xfId="0" applyFont="1" applyBorder="1" applyAlignment="1">
      <alignment horizontal="center"/>
    </xf>
    <xf numFmtId="14" fontId="2" fillId="0" borderId="31" xfId="0" applyNumberFormat="1" applyFont="1" applyBorder="1" applyAlignment="1">
      <alignment horizontal="center"/>
    </xf>
    <xf numFmtId="9" fontId="2" fillId="0" borderId="30" xfId="34691" applyFont="1" applyFill="1" applyBorder="1" applyAlignment="1">
      <alignment horizontal="left"/>
    </xf>
    <xf numFmtId="0" fontId="2" fillId="0" borderId="30" xfId="0" applyFont="1" applyBorder="1" applyAlignment="1">
      <alignment horizontal="left"/>
    </xf>
    <xf numFmtId="14" fontId="2" fillId="0" borderId="30" xfId="0" applyNumberFormat="1" applyFont="1" applyBorder="1" applyAlignment="1">
      <alignment horizontal="center"/>
    </xf>
    <xf numFmtId="43" fontId="2" fillId="0" borderId="30" xfId="1" applyFont="1" applyFill="1" applyBorder="1"/>
    <xf numFmtId="14" fontId="2" fillId="0" borderId="30" xfId="0" applyNumberFormat="1" applyFont="1" applyBorder="1"/>
    <xf numFmtId="0" fontId="0" fillId="0" borderId="30" xfId="0" applyBorder="1"/>
    <xf numFmtId="0" fontId="15" fillId="0" borderId="42" xfId="0" applyFont="1" applyBorder="1"/>
    <xf numFmtId="0" fontId="15" fillId="0" borderId="35" xfId="0" applyFont="1" applyBorder="1" applyAlignment="1">
      <alignment horizontal="center"/>
    </xf>
    <xf numFmtId="14" fontId="0" fillId="0" borderId="35" xfId="0" applyNumberFormat="1" applyBorder="1"/>
    <xf numFmtId="0" fontId="0" fillId="0" borderId="35" xfId="0" applyBorder="1" applyAlignment="1">
      <alignment horizontal="center"/>
    </xf>
    <xf numFmtId="0" fontId="2" fillId="0" borderId="35" xfId="0" applyFont="1" applyBorder="1" applyAlignment="1">
      <alignment horizontal="center"/>
    </xf>
    <xf numFmtId="14" fontId="2" fillId="0" borderId="37" xfId="0" applyNumberFormat="1" applyFont="1" applyBorder="1" applyAlignment="1">
      <alignment horizontal="center"/>
    </xf>
    <xf numFmtId="9" fontId="2" fillId="0" borderId="35" xfId="34691" applyFont="1" applyFill="1" applyBorder="1" applyAlignment="1">
      <alignment horizontal="left"/>
    </xf>
    <xf numFmtId="0" fontId="2" fillId="0" borderId="35" xfId="0" applyFont="1" applyBorder="1" applyAlignment="1">
      <alignment horizontal="left"/>
    </xf>
    <xf numFmtId="14" fontId="2" fillId="0" borderId="35" xfId="0" applyNumberFormat="1" applyFont="1" applyBorder="1" applyAlignment="1">
      <alignment horizontal="center"/>
    </xf>
    <xf numFmtId="43" fontId="2" fillId="0" borderId="35" xfId="1" applyFont="1" applyFill="1" applyBorder="1"/>
    <xf numFmtId="14" fontId="2" fillId="0" borderId="35" xfId="0" applyNumberFormat="1" applyFont="1" applyBorder="1"/>
    <xf numFmtId="0" fontId="42" fillId="0" borderId="1" xfId="0" applyFont="1" applyBorder="1"/>
    <xf numFmtId="4" fontId="42" fillId="0" borderId="1" xfId="0" applyNumberFormat="1" applyFont="1" applyBorder="1"/>
    <xf numFmtId="0" fontId="42" fillId="0" borderId="1" xfId="0" applyFont="1" applyBorder="1" applyAlignment="1">
      <alignment vertical="center"/>
    </xf>
    <xf numFmtId="0" fontId="0" fillId="0" borderId="4" xfId="0" applyBorder="1"/>
    <xf numFmtId="0" fontId="15" fillId="0" borderId="40" xfId="0" applyFont="1" applyBorder="1"/>
    <xf numFmtId="9" fontId="2" fillId="0" borderId="1" xfId="34691" applyFont="1" applyFill="1" applyBorder="1" applyAlignment="1">
      <alignment horizontal="left"/>
    </xf>
    <xf numFmtId="43" fontId="2" fillId="0" borderId="34" xfId="1" applyFont="1" applyFill="1" applyBorder="1" applyAlignment="1">
      <alignment vertical="top"/>
    </xf>
    <xf numFmtId="43" fontId="2" fillId="0" borderId="38" xfId="1" applyFont="1" applyFill="1" applyBorder="1" applyAlignment="1">
      <alignment vertical="top"/>
    </xf>
    <xf numFmtId="43" fontId="2" fillId="0" borderId="41" xfId="1" applyFont="1" applyFill="1" applyBorder="1" applyAlignment="1">
      <alignment vertical="top"/>
    </xf>
    <xf numFmtId="0" fontId="15" fillId="0" borderId="47" xfId="0" applyFont="1" applyBorder="1"/>
    <xf numFmtId="9" fontId="2" fillId="0" borderId="20" xfId="34691" applyFont="1" applyFill="1" applyBorder="1" applyAlignment="1">
      <alignment horizontal="left"/>
    </xf>
    <xf numFmtId="43" fontId="2" fillId="0" borderId="48" xfId="1" applyFont="1" applyFill="1" applyBorder="1" applyAlignment="1">
      <alignment vertical="top"/>
    </xf>
    <xf numFmtId="0" fontId="0" fillId="0" borderId="35" xfId="0" applyBorder="1"/>
    <xf numFmtId="0" fontId="0" fillId="0" borderId="10" xfId="0" applyBorder="1"/>
    <xf numFmtId="0" fontId="0" fillId="0" borderId="28" xfId="0" applyBorder="1"/>
    <xf numFmtId="0" fontId="23" fillId="0" borderId="0" xfId="0" applyFont="1"/>
    <xf numFmtId="0" fontId="23" fillId="0" borderId="22" xfId="0" applyFont="1" applyBorder="1" applyAlignment="1">
      <alignment vertical="center"/>
    </xf>
    <xf numFmtId="0" fontId="23" fillId="0" borderId="0" xfId="0" applyFont="1" applyAlignment="1">
      <alignment vertical="center"/>
    </xf>
    <xf numFmtId="14" fontId="0" fillId="0" borderId="4" xfId="0" applyNumberFormat="1" applyBorder="1"/>
    <xf numFmtId="0" fontId="2" fillId="0" borderId="10" xfId="0" applyFont="1" applyBorder="1" applyAlignment="1">
      <alignment horizontal="center"/>
    </xf>
    <xf numFmtId="14" fontId="2" fillId="0" borderId="10" xfId="0" applyNumberFormat="1" applyFont="1" applyBorder="1" applyAlignment="1">
      <alignment horizontal="center"/>
    </xf>
    <xf numFmtId="14" fontId="2" fillId="0" borderId="10" xfId="0" applyNumberFormat="1" applyFont="1" applyBorder="1"/>
    <xf numFmtId="43" fontId="4" fillId="0" borderId="4" xfId="0" applyNumberFormat="1" applyFont="1" applyBorder="1"/>
    <xf numFmtId="43" fontId="4" fillId="0" borderId="1" xfId="0" applyNumberFormat="1" applyFont="1" applyBorder="1" applyAlignment="1">
      <alignment horizontal="left"/>
    </xf>
    <xf numFmtId="43" fontId="0" fillId="15" borderId="0" xfId="0" applyNumberFormat="1" applyFill="1"/>
    <xf numFmtId="0" fontId="0" fillId="15" borderId="30" xfId="0" applyFill="1" applyBorder="1"/>
    <xf numFmtId="43" fontId="2" fillId="15" borderId="1" xfId="1" applyFont="1" applyFill="1" applyBorder="1"/>
    <xf numFmtId="43" fontId="2" fillId="15" borderId="20" xfId="1" applyFont="1" applyFill="1" applyBorder="1"/>
    <xf numFmtId="43" fontId="2" fillId="15" borderId="46" xfId="1" applyFont="1" applyFill="1" applyBorder="1"/>
    <xf numFmtId="43" fontId="2" fillId="15" borderId="39" xfId="1" applyFont="1" applyFill="1" applyBorder="1"/>
    <xf numFmtId="43" fontId="2" fillId="15" borderId="43" xfId="1" applyFont="1" applyFill="1" applyBorder="1"/>
    <xf numFmtId="43" fontId="2" fillId="15" borderId="57" xfId="1" applyFont="1" applyFill="1" applyBorder="1"/>
    <xf numFmtId="43" fontId="2" fillId="15" borderId="33" xfId="1" applyFont="1" applyFill="1" applyBorder="1" applyAlignment="1">
      <alignment vertical="top"/>
    </xf>
    <xf numFmtId="43" fontId="2" fillId="15" borderId="30" xfId="1" applyFont="1" applyFill="1" applyBorder="1"/>
    <xf numFmtId="43" fontId="2" fillId="15" borderId="39" xfId="1" applyFont="1" applyFill="1" applyBorder="1" applyAlignment="1">
      <alignment vertical="top"/>
    </xf>
    <xf numFmtId="0" fontId="0" fillId="15" borderId="45" xfId="0" applyFill="1" applyBorder="1"/>
    <xf numFmtId="43" fontId="0" fillId="15" borderId="1" xfId="1" applyFont="1" applyFill="1" applyBorder="1"/>
    <xf numFmtId="43" fontId="0" fillId="15" borderId="20" xfId="1" applyFont="1" applyFill="1" applyBorder="1"/>
    <xf numFmtId="43" fontId="0" fillId="15" borderId="45" xfId="1" applyFont="1" applyFill="1" applyBorder="1"/>
    <xf numFmtId="43" fontId="0" fillId="15" borderId="30" xfId="1" applyFont="1" applyFill="1" applyBorder="1"/>
    <xf numFmtId="43" fontId="0" fillId="15" borderId="35" xfId="1" applyFont="1" applyFill="1" applyBorder="1"/>
    <xf numFmtId="14" fontId="2" fillId="15" borderId="1" xfId="0" applyNumberFormat="1" applyFont="1" applyFill="1" applyBorder="1"/>
    <xf numFmtId="14" fontId="2" fillId="15" borderId="20" xfId="0" applyNumberFormat="1" applyFont="1" applyFill="1" applyBorder="1"/>
    <xf numFmtId="14" fontId="2" fillId="15" borderId="45" xfId="0" applyNumberFormat="1" applyFont="1" applyFill="1" applyBorder="1"/>
    <xf numFmtId="14" fontId="2" fillId="15" borderId="30" xfId="0" applyNumberFormat="1" applyFont="1" applyFill="1" applyBorder="1"/>
    <xf numFmtId="14" fontId="2" fillId="15" borderId="35" xfId="0" applyNumberFormat="1" applyFont="1" applyFill="1" applyBorder="1"/>
    <xf numFmtId="14" fontId="3" fillId="0" borderId="1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6" fontId="2" fillId="0" borderId="1" xfId="0" applyNumberFormat="1" applyFont="1" applyBorder="1"/>
    <xf numFmtId="14" fontId="2" fillId="0" borderId="5" xfId="0" applyNumberFormat="1" applyFont="1" applyBorder="1"/>
    <xf numFmtId="43" fontId="2" fillId="0" borderId="5" xfId="0" applyNumberFormat="1" applyFont="1" applyBorder="1"/>
    <xf numFmtId="14" fontId="2" fillId="0" borderId="7" xfId="0" applyNumberFormat="1" applyFont="1" applyBorder="1"/>
    <xf numFmtId="14" fontId="2" fillId="0" borderId="5" xfId="0" applyNumberFormat="1" applyFont="1" applyBorder="1" applyAlignment="1">
      <alignment horizontal="left" vertical="center"/>
    </xf>
    <xf numFmtId="14" fontId="2" fillId="0" borderId="10" xfId="0" applyNumberFormat="1" applyFont="1" applyBorder="1" applyAlignment="1">
      <alignment horizontal="left" vertical="center"/>
    </xf>
    <xf numFmtId="0" fontId="33" fillId="0" borderId="0" xfId="0" applyFont="1" applyAlignment="1">
      <alignment horizontal="left"/>
    </xf>
    <xf numFmtId="14" fontId="0" fillId="0" borderId="1" xfId="0" applyNumberFormat="1" applyBorder="1" applyAlignment="1">
      <alignment horizontal="left"/>
    </xf>
    <xf numFmtId="0" fontId="33" fillId="0" borderId="1" xfId="0" applyFont="1" applyBorder="1" applyAlignment="1">
      <alignment horizontal="left"/>
    </xf>
    <xf numFmtId="14" fontId="2" fillId="0" borderId="5" xfId="0" applyNumberFormat="1" applyFont="1" applyBorder="1" applyAlignment="1">
      <alignment horizontal="left"/>
    </xf>
    <xf numFmtId="0" fontId="26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18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43" fontId="43" fillId="0" borderId="1" xfId="1" applyFont="1" applyFill="1" applyBorder="1" applyAlignment="1">
      <alignment horizontal="right"/>
    </xf>
    <xf numFmtId="0" fontId="2" fillId="0" borderId="9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43" fontId="2" fillId="0" borderId="10" xfId="0" applyNumberFormat="1" applyFont="1" applyBorder="1"/>
    <xf numFmtId="166" fontId="2" fillId="0" borderId="10" xfId="0" applyNumberFormat="1" applyFont="1" applyBorder="1"/>
    <xf numFmtId="9" fontId="2" fillId="0" borderId="0" xfId="34691" applyFont="1" applyFill="1" applyAlignment="1">
      <alignment horizontal="left"/>
    </xf>
    <xf numFmtId="172" fontId="2" fillId="0" borderId="10" xfId="0" applyNumberFormat="1" applyFont="1" applyBorder="1"/>
    <xf numFmtId="0" fontId="0" fillId="0" borderId="4" xfId="0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2" xfId="0" applyFont="1" applyBorder="1"/>
    <xf numFmtId="14" fontId="4" fillId="0" borderId="4" xfId="0" applyNumberFormat="1" applyFont="1" applyBorder="1"/>
    <xf numFmtId="14" fontId="4" fillId="0" borderId="1" xfId="0" applyNumberFormat="1" applyFont="1" applyBorder="1"/>
    <xf numFmtId="43" fontId="4" fillId="0" borderId="1" xfId="0" applyNumberFormat="1" applyFont="1" applyBorder="1" applyAlignment="1">
      <alignment horizontal="left" vertical="center"/>
    </xf>
    <xf numFmtId="43" fontId="4" fillId="0" borderId="10" xfId="0" applyNumberFormat="1" applyFont="1" applyBorder="1" applyAlignment="1">
      <alignment horizontal="left" vertical="center"/>
    </xf>
    <xf numFmtId="43" fontId="4" fillId="0" borderId="1" xfId="0" applyNumberFormat="1" applyFont="1" applyBorder="1" applyAlignment="1">
      <alignment horizontal="center"/>
    </xf>
    <xf numFmtId="14" fontId="2" fillId="15" borderId="5" xfId="0" applyNumberFormat="1" applyFont="1" applyFill="1" applyBorder="1"/>
    <xf numFmtId="43" fontId="2" fillId="15" borderId="5" xfId="0" applyNumberFormat="1" applyFont="1" applyFill="1" applyBorder="1"/>
    <xf numFmtId="43" fontId="0" fillId="15" borderId="7" xfId="1" applyFont="1" applyFill="1" applyBorder="1"/>
    <xf numFmtId="43" fontId="2" fillId="15" borderId="6" xfId="2" applyFont="1" applyFill="1" applyBorder="1" applyAlignment="1">
      <alignment horizontal="center"/>
    </xf>
    <xf numFmtId="43" fontId="2" fillId="15" borderId="5" xfId="1" applyFont="1" applyFill="1" applyBorder="1"/>
    <xf numFmtId="43" fontId="2" fillId="15" borderId="7" xfId="0" applyNumberFormat="1" applyFont="1" applyFill="1" applyBorder="1"/>
    <xf numFmtId="43" fontId="4" fillId="15" borderId="1" xfId="0" applyNumberFormat="1" applyFont="1" applyFill="1" applyBorder="1"/>
    <xf numFmtId="0" fontId="4" fillId="0" borderId="1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4" fillId="0" borderId="9" xfId="0" applyFont="1" applyBorder="1" applyAlignment="1">
      <alignment horizontal="left"/>
    </xf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45" xfId="0" applyBorder="1" applyAlignment="1">
      <alignment horizontal="left" vertical="top"/>
    </xf>
    <xf numFmtId="0" fontId="0" fillId="0" borderId="30" xfId="0" applyBorder="1" applyAlignment="1">
      <alignment horizontal="left" vertical="top"/>
    </xf>
    <xf numFmtId="0" fontId="0" fillId="0" borderId="35" xfId="0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0" fontId="18" fillId="0" borderId="1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0" fontId="18" fillId="0" borderId="45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2" fillId="0" borderId="20" xfId="0" applyNumberFormat="1" applyFont="1" applyBorder="1" applyAlignment="1">
      <alignment horizontal="left" vertical="top"/>
    </xf>
    <xf numFmtId="14" fontId="2" fillId="0" borderId="45" xfId="0" applyNumberFormat="1" applyFont="1" applyBorder="1" applyAlignment="1">
      <alignment horizontal="left" vertical="top"/>
    </xf>
    <xf numFmtId="14" fontId="2" fillId="0" borderId="30" xfId="0" applyNumberFormat="1" applyFont="1" applyBorder="1" applyAlignment="1">
      <alignment horizontal="left" vertical="top"/>
    </xf>
    <xf numFmtId="14" fontId="2" fillId="0" borderId="35" xfId="0" applyNumberFormat="1" applyFont="1" applyBorder="1" applyAlignment="1">
      <alignment horizontal="left" vertical="top"/>
    </xf>
    <xf numFmtId="165" fontId="45" fillId="16" borderId="1" xfId="1" applyNumberFormat="1" applyFont="1" applyFill="1" applyBorder="1"/>
    <xf numFmtId="165" fontId="45" fillId="16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43" fontId="2" fillId="0" borderId="30" xfId="1" applyFont="1" applyFill="1" applyBorder="1" applyAlignment="1">
      <alignment horizontal="center" vertical="top"/>
    </xf>
    <xf numFmtId="43" fontId="2" fillId="0" borderId="1" xfId="1" applyFont="1" applyFill="1" applyBorder="1" applyAlignment="1">
      <alignment horizontal="center" vertical="top"/>
    </xf>
    <xf numFmtId="43" fontId="2" fillId="0" borderId="20" xfId="1" applyFont="1" applyFill="1" applyBorder="1" applyAlignment="1">
      <alignment horizontal="center" vertical="top"/>
    </xf>
    <xf numFmtId="43" fontId="2" fillId="15" borderId="39" xfId="1" applyFont="1" applyFill="1" applyBorder="1" applyAlignment="1">
      <alignment horizontal="center" vertical="top"/>
    </xf>
    <xf numFmtId="43" fontId="2" fillId="15" borderId="41" xfId="1" applyFont="1" applyFill="1" applyBorder="1" applyAlignment="1">
      <alignment horizontal="center" vertical="top"/>
    </xf>
    <xf numFmtId="43" fontId="2" fillId="15" borderId="48" xfId="1" applyFont="1" applyFill="1" applyBorder="1" applyAlignment="1">
      <alignment horizontal="center" vertical="top"/>
    </xf>
    <xf numFmtId="43" fontId="2" fillId="0" borderId="33" xfId="1" applyFont="1" applyFill="1" applyBorder="1" applyAlignment="1">
      <alignment horizontal="center" vertical="top"/>
    </xf>
    <xf numFmtId="43" fontId="2" fillId="0" borderId="34" xfId="1" applyFont="1" applyFill="1" applyBorder="1" applyAlignment="1">
      <alignment horizontal="center" vertical="top"/>
    </xf>
    <xf numFmtId="43" fontId="2" fillId="0" borderId="38" xfId="1" applyFont="1" applyFill="1" applyBorder="1" applyAlignment="1">
      <alignment horizontal="center" vertical="top"/>
    </xf>
    <xf numFmtId="43" fontId="2" fillId="0" borderId="32" xfId="1" applyFont="1" applyFill="1" applyBorder="1" applyAlignment="1">
      <alignment horizontal="center" vertical="top"/>
    </xf>
    <xf numFmtId="43" fontId="2" fillId="0" borderId="10" xfId="1" applyFont="1" applyFill="1" applyBorder="1" applyAlignment="1">
      <alignment horizontal="center" vertical="top"/>
    </xf>
    <xf numFmtId="43" fontId="2" fillId="0" borderId="36" xfId="1" applyFont="1" applyFill="1" applyBorder="1" applyAlignment="1">
      <alignment horizontal="center" vertical="top"/>
    </xf>
    <xf numFmtId="43" fontId="2" fillId="15" borderId="33" xfId="1" applyFont="1" applyFill="1" applyBorder="1" applyAlignment="1">
      <alignment horizontal="center" vertical="top"/>
    </xf>
    <xf numFmtId="43" fontId="2" fillId="15" borderId="34" xfId="1" applyFont="1" applyFill="1" applyBorder="1" applyAlignment="1">
      <alignment horizontal="center" vertical="top"/>
    </xf>
    <xf numFmtId="43" fontId="2" fillId="15" borderId="38" xfId="1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7" fontId="0" fillId="0" borderId="8" xfId="0" applyNumberFormat="1" applyBorder="1" applyAlignment="1">
      <alignment horizontal="center"/>
    </xf>
    <xf numFmtId="17" fontId="0" fillId="0" borderId="2" xfId="0" applyNumberFormat="1" applyBorder="1" applyAlignment="1">
      <alignment horizontal="center"/>
    </xf>
    <xf numFmtId="165" fontId="30" fillId="10" borderId="20" xfId="1" applyNumberFormat="1" applyFont="1" applyFill="1" applyBorder="1" applyAlignment="1">
      <alignment horizontal="center" vertical="center" wrapText="1"/>
    </xf>
    <xf numFmtId="165" fontId="30" fillId="10" borderId="4" xfId="1" applyNumberFormat="1" applyFont="1" applyFill="1" applyBorder="1" applyAlignment="1">
      <alignment horizontal="center" vertical="center" wrapText="1"/>
    </xf>
    <xf numFmtId="0" fontId="30" fillId="10" borderId="20" xfId="0" applyFont="1" applyFill="1" applyBorder="1" applyAlignment="1">
      <alignment horizontal="center" vertical="center" wrapText="1"/>
    </xf>
    <xf numFmtId="0" fontId="30" fillId="10" borderId="4" xfId="0" applyFont="1" applyFill="1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43" fontId="10" fillId="16" borderId="20" xfId="17" applyFont="1" applyFill="1" applyBorder="1" applyAlignment="1">
      <alignment horizontal="center" vertical="center" wrapText="1"/>
    </xf>
    <xf numFmtId="43" fontId="10" fillId="16" borderId="10" xfId="17" applyFont="1" applyFill="1" applyBorder="1" applyAlignment="1">
      <alignment horizontal="center" vertical="center" wrapText="1"/>
    </xf>
    <xf numFmtId="43" fontId="10" fillId="16" borderId="4" xfId="17" applyFont="1" applyFill="1" applyBorder="1" applyAlignment="1">
      <alignment horizontal="center" vertical="center" wrapText="1"/>
    </xf>
    <xf numFmtId="14" fontId="10" fillId="0" borderId="20" xfId="0" applyNumberFormat="1" applyFont="1" applyBorder="1" applyAlignment="1">
      <alignment horizontal="center" vertical="center" wrapText="1"/>
    </xf>
    <xf numFmtId="14" fontId="10" fillId="0" borderId="4" xfId="0" applyNumberFormat="1" applyFont="1" applyBorder="1" applyAlignment="1">
      <alignment horizontal="center" vertical="center" wrapText="1"/>
    </xf>
    <xf numFmtId="14" fontId="10" fillId="0" borderId="20" xfId="0" applyNumberFormat="1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</cellXfs>
  <cellStyles count="34698">
    <cellStyle name="Comma" xfId="1" builtinId="3"/>
    <cellStyle name="Comma 10" xfId="18" xr:uid="{017438CD-91B2-4C4F-901F-07E931E69845}"/>
    <cellStyle name="Comma 10 10" xfId="17362" xr:uid="{22E41660-27B6-45F4-AA9F-93D58287EEFE}"/>
    <cellStyle name="Comma 10 2" xfId="79" xr:uid="{E2AA2D86-3556-4702-920B-9B4D7F7FEFC0}"/>
    <cellStyle name="Comma 10 2 2" xfId="201" xr:uid="{AF9D6628-2113-4EB7-9F5D-FBAE5A6A603A}"/>
    <cellStyle name="Comma 10 2 2 2" xfId="471" xr:uid="{DE8448D7-167B-4CFE-ABA9-98700DA8CEBD}"/>
    <cellStyle name="Comma 10 2 2 2 2" xfId="1012" xr:uid="{61F9CF4A-F1A5-4231-968E-00DCE5309F3C}"/>
    <cellStyle name="Comma 10 2 2 2 2 2" xfId="2096" xr:uid="{1BEBCAFD-7CF1-4FA4-B751-C1A13477F802}"/>
    <cellStyle name="Comma 10 2 2 2 2 2 2" xfId="4264" xr:uid="{52A97219-E6D5-4D75-A43F-AFD0BE2FC725}"/>
    <cellStyle name="Comma 10 2 2 2 2 2 2 2" xfId="8600" xr:uid="{C1524EEA-FB39-4C17-AF04-F42F0DFF1A4E}"/>
    <cellStyle name="Comma 10 2 2 2 2 2 2 2 2" xfId="17272" xr:uid="{393A0A94-DCA0-4A85-BCEB-986AE93E3E7A}"/>
    <cellStyle name="Comma 10 2 2 2 2 2 2 2 2 2" xfId="34616" xr:uid="{8A44D1F2-8FB0-47D7-9F95-2B16263FBCA8}"/>
    <cellStyle name="Comma 10 2 2 2 2 2 2 2 3" xfId="25944" xr:uid="{4C389F0D-5F13-4AAE-BE9D-F46B4C70721A}"/>
    <cellStyle name="Comma 10 2 2 2 2 2 2 3" xfId="12936" xr:uid="{292021AF-95E2-44A2-92F2-1C563825E49C}"/>
    <cellStyle name="Comma 10 2 2 2 2 2 2 3 2" xfId="30280" xr:uid="{04AEE592-41BF-44A9-BE93-D4A6D9FFC22D}"/>
    <cellStyle name="Comma 10 2 2 2 2 2 2 4" xfId="21608" xr:uid="{674CC722-9D18-4097-B182-DD1ED4E33D3F}"/>
    <cellStyle name="Comma 10 2 2 2 2 2 3" xfId="6432" xr:uid="{861ACFFF-C2DB-424C-A426-5C0A6F2CB3C8}"/>
    <cellStyle name="Comma 10 2 2 2 2 2 3 2" xfId="15104" xr:uid="{3A63B429-3AC2-4D1A-B034-0E3A4A383467}"/>
    <cellStyle name="Comma 10 2 2 2 2 2 3 2 2" xfId="32448" xr:uid="{8B2BC9A7-E434-4B0A-BCDA-5D2781559BFE}"/>
    <cellStyle name="Comma 10 2 2 2 2 2 3 3" xfId="23776" xr:uid="{D43DF7EF-7C67-4F29-A5BF-85B4488409D6}"/>
    <cellStyle name="Comma 10 2 2 2 2 2 4" xfId="10768" xr:uid="{B4407E0C-9C80-48EA-B139-91D560882BE6}"/>
    <cellStyle name="Comma 10 2 2 2 2 2 4 2" xfId="28112" xr:uid="{5695230B-B743-49A1-AAA3-F22E10E62E9A}"/>
    <cellStyle name="Comma 10 2 2 2 2 2 5" xfId="19440" xr:uid="{DBE905F1-7EDC-4C0E-9D26-348E564B444F}"/>
    <cellStyle name="Comma 10 2 2 2 2 3" xfId="3180" xr:uid="{8F6393BE-C3D6-42C4-A310-B76A6B1BCAEE}"/>
    <cellStyle name="Comma 10 2 2 2 2 3 2" xfId="7516" xr:uid="{9D36FE5B-6995-4003-A8A9-F53E629C13DF}"/>
    <cellStyle name="Comma 10 2 2 2 2 3 2 2" xfId="16188" xr:uid="{EEC3688C-2431-4524-BFF6-4F17846A3883}"/>
    <cellStyle name="Comma 10 2 2 2 2 3 2 2 2" xfId="33532" xr:uid="{82F3CA45-D4B0-4FA1-A8D6-CAE4C9603B6F}"/>
    <cellStyle name="Comma 10 2 2 2 2 3 2 3" xfId="24860" xr:uid="{F8F01624-D142-42D0-946F-5F0E9A710409}"/>
    <cellStyle name="Comma 10 2 2 2 2 3 3" xfId="11852" xr:uid="{87F3A39F-8661-4681-A6A8-44A86DA23C6F}"/>
    <cellStyle name="Comma 10 2 2 2 2 3 3 2" xfId="29196" xr:uid="{B526ACFC-6D1C-4959-904E-DDEDE95A988A}"/>
    <cellStyle name="Comma 10 2 2 2 2 3 4" xfId="20524" xr:uid="{375BE31E-D957-4323-A768-0D87D7D5B636}"/>
    <cellStyle name="Comma 10 2 2 2 2 4" xfId="5348" xr:uid="{3601AEE5-6035-4C08-B444-3550165FA5F4}"/>
    <cellStyle name="Comma 10 2 2 2 2 4 2" xfId="14020" xr:uid="{A0040DF8-C9F8-4160-A3DB-C9089785A14F}"/>
    <cellStyle name="Comma 10 2 2 2 2 4 2 2" xfId="31364" xr:uid="{C2318318-5F85-4CB3-A6AB-985ECC8D8736}"/>
    <cellStyle name="Comma 10 2 2 2 2 4 3" xfId="22692" xr:uid="{17BE773E-236A-44CB-B9EE-40FF5CE4C86F}"/>
    <cellStyle name="Comma 10 2 2 2 2 5" xfId="9684" xr:uid="{9D00E91B-4EA2-4E70-A790-130DEBE05379}"/>
    <cellStyle name="Comma 10 2 2 2 2 5 2" xfId="27028" xr:uid="{486566F9-28D9-4A41-9CF8-DE2CF330E85C}"/>
    <cellStyle name="Comma 10 2 2 2 2 6" xfId="18356" xr:uid="{E9937577-203C-4385-AC18-E297453085C3}"/>
    <cellStyle name="Comma 10 2 2 2 3" xfId="1555" xr:uid="{7B8C99DC-7DB6-4823-91FE-8ED6446201D0}"/>
    <cellStyle name="Comma 10 2 2 2 3 2" xfId="3723" xr:uid="{8B002279-594D-4553-A768-F9F45CAB1D25}"/>
    <cellStyle name="Comma 10 2 2 2 3 2 2" xfId="8059" xr:uid="{EDBF55FD-44F4-4144-ADCB-8A18E2E71FAB}"/>
    <cellStyle name="Comma 10 2 2 2 3 2 2 2" xfId="16731" xr:uid="{A9717DDD-95EA-43B1-BAD0-1F8EB2ACE2C9}"/>
    <cellStyle name="Comma 10 2 2 2 3 2 2 2 2" xfId="34075" xr:uid="{0D6CE90F-7C53-4ABD-9E2A-6C278D2CD874}"/>
    <cellStyle name="Comma 10 2 2 2 3 2 2 3" xfId="25403" xr:uid="{E611DE0D-E83A-4854-9482-3BF1495AE390}"/>
    <cellStyle name="Comma 10 2 2 2 3 2 3" xfId="12395" xr:uid="{EFB78748-66E3-47F6-8E2F-73FB4DC62C7F}"/>
    <cellStyle name="Comma 10 2 2 2 3 2 3 2" xfId="29739" xr:uid="{6FD969CF-B767-4C11-A36F-D6BD16755833}"/>
    <cellStyle name="Comma 10 2 2 2 3 2 4" xfId="21067" xr:uid="{99DF5BA4-8B89-47D2-8F8F-A6EC7C5BF743}"/>
    <cellStyle name="Comma 10 2 2 2 3 3" xfId="5891" xr:uid="{7A7808C6-8034-4890-96AE-64C3C168493B}"/>
    <cellStyle name="Comma 10 2 2 2 3 3 2" xfId="14563" xr:uid="{FA416E26-3464-44D4-B1FD-A17A4E0434F2}"/>
    <cellStyle name="Comma 10 2 2 2 3 3 2 2" xfId="31907" xr:uid="{9D0C45AF-CB89-4340-B49B-E7A0E5A06142}"/>
    <cellStyle name="Comma 10 2 2 2 3 3 3" xfId="23235" xr:uid="{8D430E06-15AE-4533-B58B-B57AC2FE2364}"/>
    <cellStyle name="Comma 10 2 2 2 3 4" xfId="10227" xr:uid="{56125D61-8012-4AEE-A1E0-0CA1A7B09408}"/>
    <cellStyle name="Comma 10 2 2 2 3 4 2" xfId="27571" xr:uid="{7E278616-404B-4FD2-A6DA-4E355DE8F589}"/>
    <cellStyle name="Comma 10 2 2 2 3 5" xfId="18899" xr:uid="{BF5355A6-D91A-412C-BE9C-EA99B06D6AC4}"/>
    <cellStyle name="Comma 10 2 2 2 4" xfId="2639" xr:uid="{0856C239-5A7A-4AD1-9A93-39E7C26083C3}"/>
    <cellStyle name="Comma 10 2 2 2 4 2" xfId="6975" xr:uid="{B6D264E8-A431-4EF8-9F17-7A2116BA69B9}"/>
    <cellStyle name="Comma 10 2 2 2 4 2 2" xfId="15647" xr:uid="{0B6EA741-57A0-4ED0-9561-E367EF1C5041}"/>
    <cellStyle name="Comma 10 2 2 2 4 2 2 2" xfId="32991" xr:uid="{89D57CC2-29D0-4F6A-897D-9730CDFE8929}"/>
    <cellStyle name="Comma 10 2 2 2 4 2 3" xfId="24319" xr:uid="{8BB26E5A-C270-4A28-AA1D-B23A20E74FE6}"/>
    <cellStyle name="Comma 10 2 2 2 4 3" xfId="11311" xr:uid="{E175DE8B-0585-4822-93BF-AC3E71CD5A9E}"/>
    <cellStyle name="Comma 10 2 2 2 4 3 2" xfId="28655" xr:uid="{2BDECC3F-4FF6-4F40-A54D-F65AD24CD267}"/>
    <cellStyle name="Comma 10 2 2 2 4 4" xfId="19983" xr:uid="{ACE3D481-7910-4D8C-B37A-7B01270A0EE6}"/>
    <cellStyle name="Comma 10 2 2 2 5" xfId="4807" xr:uid="{75B2E3D0-D1E8-4092-ACFA-2524674D4866}"/>
    <cellStyle name="Comma 10 2 2 2 5 2" xfId="13479" xr:uid="{991B9DDB-5227-4B52-B262-4B4A2CD81109}"/>
    <cellStyle name="Comma 10 2 2 2 5 2 2" xfId="30823" xr:uid="{449DA7C9-DFCD-41CE-8B56-54845B1ECD38}"/>
    <cellStyle name="Comma 10 2 2 2 5 3" xfId="22151" xr:uid="{73D34C6B-0B87-4A4A-A5FF-27AC77FBE028}"/>
    <cellStyle name="Comma 10 2 2 2 6" xfId="9143" xr:uid="{690AF1FC-4A82-4A39-BA61-3B6759397403}"/>
    <cellStyle name="Comma 10 2 2 2 6 2" xfId="26487" xr:uid="{4CE89337-2EB0-454C-A079-C88AE93B89E4}"/>
    <cellStyle name="Comma 10 2 2 2 7" xfId="17815" xr:uid="{05D43889-7A19-48CB-B86E-0A5A81B3CE4B}"/>
    <cellStyle name="Comma 10 2 2 3" xfId="742" xr:uid="{68EEC881-9F0A-48F5-AA54-CD3F628A47B6}"/>
    <cellStyle name="Comma 10 2 2 3 2" xfId="1826" xr:uid="{E00C9051-5CCA-45C8-AA55-4B0844875DAF}"/>
    <cellStyle name="Comma 10 2 2 3 2 2" xfId="3994" xr:uid="{E2E10E4D-093F-4949-80D4-1491B7BC3D00}"/>
    <cellStyle name="Comma 10 2 2 3 2 2 2" xfId="8330" xr:uid="{99FE8689-8627-441F-B331-0D4D96B2F427}"/>
    <cellStyle name="Comma 10 2 2 3 2 2 2 2" xfId="17002" xr:uid="{1B1AD456-9DAD-42E2-BF13-AD18E648EB7C}"/>
    <cellStyle name="Comma 10 2 2 3 2 2 2 2 2" xfId="34346" xr:uid="{566B0596-C7BD-4617-973D-40E6ADE88F36}"/>
    <cellStyle name="Comma 10 2 2 3 2 2 2 3" xfId="25674" xr:uid="{3A0C7EFF-BD17-492E-94EA-3FC91DD9C5BC}"/>
    <cellStyle name="Comma 10 2 2 3 2 2 3" xfId="12666" xr:uid="{5DFC9C58-A9D8-424D-AA6D-F366EECE38CB}"/>
    <cellStyle name="Comma 10 2 2 3 2 2 3 2" xfId="30010" xr:uid="{9ADD162B-35EB-43F7-A03F-7B25CF428FCA}"/>
    <cellStyle name="Comma 10 2 2 3 2 2 4" xfId="21338" xr:uid="{2163CD4D-D31D-4A77-8D83-AD9F39205F3A}"/>
    <cellStyle name="Comma 10 2 2 3 2 3" xfId="6162" xr:uid="{A74FC2EA-196F-4637-9A5B-A0E204B46882}"/>
    <cellStyle name="Comma 10 2 2 3 2 3 2" xfId="14834" xr:uid="{EFC2F0EA-6903-4CFE-9035-EB494BCDD88D}"/>
    <cellStyle name="Comma 10 2 2 3 2 3 2 2" xfId="32178" xr:uid="{166F8BFB-68F9-4BAA-B1C1-F3A96A0D4F7F}"/>
    <cellStyle name="Comma 10 2 2 3 2 3 3" xfId="23506" xr:uid="{D54FE920-EFEC-4121-AC2F-224EE0C011F4}"/>
    <cellStyle name="Comma 10 2 2 3 2 4" xfId="10498" xr:uid="{FB6F6F0E-0A43-4233-B696-1921507C31C8}"/>
    <cellStyle name="Comma 10 2 2 3 2 4 2" xfId="27842" xr:uid="{80CF263E-92B3-4B37-BFF1-2A0B9365BAE3}"/>
    <cellStyle name="Comma 10 2 2 3 2 5" xfId="19170" xr:uid="{A757D1C0-74A0-41C3-9D1A-1CFD4BF6A8B1}"/>
    <cellStyle name="Comma 10 2 2 3 3" xfId="2910" xr:uid="{03EA9284-4D37-472A-BF6F-AA9A6A75E551}"/>
    <cellStyle name="Comma 10 2 2 3 3 2" xfId="7246" xr:uid="{F5A171ED-B6F0-40F9-AAC5-49AE645EA4DE}"/>
    <cellStyle name="Comma 10 2 2 3 3 2 2" xfId="15918" xr:uid="{1975DB5A-B658-47A4-8C43-DE1073672FFE}"/>
    <cellStyle name="Comma 10 2 2 3 3 2 2 2" xfId="33262" xr:uid="{21227494-EA1B-4186-9F17-AD98F83620D6}"/>
    <cellStyle name="Comma 10 2 2 3 3 2 3" xfId="24590" xr:uid="{56E56F44-E63B-4612-AE33-F9F981EB3ADE}"/>
    <cellStyle name="Comma 10 2 2 3 3 3" xfId="11582" xr:uid="{A5630B32-1043-44FB-874A-E15587358C41}"/>
    <cellStyle name="Comma 10 2 2 3 3 3 2" xfId="28926" xr:uid="{27A3FC52-3FCC-49EE-8236-578C61809228}"/>
    <cellStyle name="Comma 10 2 2 3 3 4" xfId="20254" xr:uid="{05C48A88-6088-4145-AF78-8585BAF32D07}"/>
    <cellStyle name="Comma 10 2 2 3 4" xfId="5078" xr:uid="{204F9B1B-38A1-4095-B993-5E76B3BDEAAF}"/>
    <cellStyle name="Comma 10 2 2 3 4 2" xfId="13750" xr:uid="{1D6F9CC1-8869-4ED3-A56C-B9768970DA84}"/>
    <cellStyle name="Comma 10 2 2 3 4 2 2" xfId="31094" xr:uid="{ECED0FD6-145F-4D98-ABCA-9E65AE3EFB1D}"/>
    <cellStyle name="Comma 10 2 2 3 4 3" xfId="22422" xr:uid="{CBA06A50-925B-44B8-926C-F5ABB70968AD}"/>
    <cellStyle name="Comma 10 2 2 3 5" xfId="9414" xr:uid="{C74AAEEF-6FCE-4831-A974-0C8A826F7B84}"/>
    <cellStyle name="Comma 10 2 2 3 5 2" xfId="26758" xr:uid="{4C0DEFD7-5053-41E5-842E-4DB20F5B6DC8}"/>
    <cellStyle name="Comma 10 2 2 3 6" xfId="18086" xr:uid="{B0F37C6D-FB6F-4D88-95D4-8E2965D11710}"/>
    <cellStyle name="Comma 10 2 2 4" xfId="1285" xr:uid="{A480D945-4375-4FC7-9173-8E1A01FD0E49}"/>
    <cellStyle name="Comma 10 2 2 4 2" xfId="3453" xr:uid="{A99911D0-FBA1-4C26-9638-6A8C261C5A1A}"/>
    <cellStyle name="Comma 10 2 2 4 2 2" xfId="7789" xr:uid="{1975CF51-3AD1-4118-8347-380ABCDC1DA4}"/>
    <cellStyle name="Comma 10 2 2 4 2 2 2" xfId="16461" xr:uid="{CB03F5F7-C68D-487A-A53A-9D26109E2AED}"/>
    <cellStyle name="Comma 10 2 2 4 2 2 2 2" xfId="33805" xr:uid="{5D1F3951-14DE-42FE-9E71-D3CCB8F3B3E2}"/>
    <cellStyle name="Comma 10 2 2 4 2 2 3" xfId="25133" xr:uid="{B387EA51-A41C-4F09-8611-C3F8A53956F0}"/>
    <cellStyle name="Comma 10 2 2 4 2 3" xfId="12125" xr:uid="{D17D4EEA-AED5-490A-8A4C-111E6C6F2FA0}"/>
    <cellStyle name="Comma 10 2 2 4 2 3 2" xfId="29469" xr:uid="{F52B44C2-E976-4471-8630-E9CF4838B76C}"/>
    <cellStyle name="Comma 10 2 2 4 2 4" xfId="20797" xr:uid="{169A81E9-7CDE-424F-8EB1-6FEC360E13E7}"/>
    <cellStyle name="Comma 10 2 2 4 3" xfId="5621" xr:uid="{889E871A-B244-4EA1-B3B8-478747401537}"/>
    <cellStyle name="Comma 10 2 2 4 3 2" xfId="14293" xr:uid="{F5B19FCE-C8B6-4750-B1A4-549C4E1997EB}"/>
    <cellStyle name="Comma 10 2 2 4 3 2 2" xfId="31637" xr:uid="{C54CDE52-4739-4D69-B2E0-C0B6E5D5B7AC}"/>
    <cellStyle name="Comma 10 2 2 4 3 3" xfId="22965" xr:uid="{87DB36E3-D60B-4AFF-B4DF-F382C0380E7B}"/>
    <cellStyle name="Comma 10 2 2 4 4" xfId="9957" xr:uid="{034C0D33-0FD4-43E8-925F-B6837C6A1A13}"/>
    <cellStyle name="Comma 10 2 2 4 4 2" xfId="27301" xr:uid="{CF9A7C62-34BD-4F8B-8CF2-8F3461704206}"/>
    <cellStyle name="Comma 10 2 2 4 5" xfId="18629" xr:uid="{9803F937-18E3-4D34-AFC2-54CD8E5B02FD}"/>
    <cellStyle name="Comma 10 2 2 5" xfId="2369" xr:uid="{A42F4B94-3E52-4284-9811-104678D5BE9D}"/>
    <cellStyle name="Comma 10 2 2 5 2" xfId="6705" xr:uid="{834C44E7-96A8-4B86-84AE-F6CD05C451D9}"/>
    <cellStyle name="Comma 10 2 2 5 2 2" xfId="15377" xr:uid="{80FBEDE4-4BEA-4EC1-AA0D-E79E7601B2E6}"/>
    <cellStyle name="Comma 10 2 2 5 2 2 2" xfId="32721" xr:uid="{BC562658-3A04-4ED8-BA44-648BC57AB601}"/>
    <cellStyle name="Comma 10 2 2 5 2 3" xfId="24049" xr:uid="{F5AD48D6-EDAA-46DE-A407-DF24EBC1D1C9}"/>
    <cellStyle name="Comma 10 2 2 5 3" xfId="11041" xr:uid="{180D0E86-0835-485E-B3B1-F6C749C5E3C6}"/>
    <cellStyle name="Comma 10 2 2 5 3 2" xfId="28385" xr:uid="{32749DFB-B278-422C-9CBA-991ACFCE72EB}"/>
    <cellStyle name="Comma 10 2 2 5 4" xfId="19713" xr:uid="{36980210-7E1F-464B-B542-16BD904462C0}"/>
    <cellStyle name="Comma 10 2 2 6" xfId="4537" xr:uid="{7DAE31DA-2063-4D66-8274-BAA030212081}"/>
    <cellStyle name="Comma 10 2 2 6 2" xfId="13209" xr:uid="{DAE02AB0-7664-4B31-8FDE-251C21C34F6F}"/>
    <cellStyle name="Comma 10 2 2 6 2 2" xfId="30553" xr:uid="{137398CC-4E3A-4440-8DE2-3DA7DB0008B1}"/>
    <cellStyle name="Comma 10 2 2 6 3" xfId="21881" xr:uid="{1AD0390E-30F5-4C3C-A06B-08C589867126}"/>
    <cellStyle name="Comma 10 2 2 7" xfId="8873" xr:uid="{F6AFE5F3-01F5-48AE-9CF4-A53D0408E37B}"/>
    <cellStyle name="Comma 10 2 2 7 2" xfId="26217" xr:uid="{4C6D7110-D6B2-46D6-9683-555CE3EBD63C}"/>
    <cellStyle name="Comma 10 2 2 8" xfId="17545" xr:uid="{28AF8FCC-3DCC-4B07-A4FD-4A7BEB73533C}"/>
    <cellStyle name="Comma 10 2 3" xfId="349" xr:uid="{85E44909-1EC5-4DB2-9DE2-A7A1A06ED3F1}"/>
    <cellStyle name="Comma 10 2 3 2" xfId="890" xr:uid="{44883B3B-9F94-4CE0-BDCE-BE8B3999972C}"/>
    <cellStyle name="Comma 10 2 3 2 2" xfId="1974" xr:uid="{68A7E245-7646-4126-ACF9-42C18AF62E42}"/>
    <cellStyle name="Comma 10 2 3 2 2 2" xfId="4142" xr:uid="{901E6199-1B81-4D2A-8E94-C2926CA3C3FB}"/>
    <cellStyle name="Comma 10 2 3 2 2 2 2" xfId="8478" xr:uid="{B15F6274-695F-42D9-A90E-28DAC3BE5E8D}"/>
    <cellStyle name="Comma 10 2 3 2 2 2 2 2" xfId="17150" xr:uid="{4690749E-85EF-4EDF-8B06-84B54E029D84}"/>
    <cellStyle name="Comma 10 2 3 2 2 2 2 2 2" xfId="34494" xr:uid="{3453EFA5-B554-4508-8165-B3A7C398935B}"/>
    <cellStyle name="Comma 10 2 3 2 2 2 2 3" xfId="25822" xr:uid="{B4DC57F4-F53F-4C72-AFB8-2D88AE5EA792}"/>
    <cellStyle name="Comma 10 2 3 2 2 2 3" xfId="12814" xr:uid="{6337CBD8-DFCA-430E-9D8B-69A49234454F}"/>
    <cellStyle name="Comma 10 2 3 2 2 2 3 2" xfId="30158" xr:uid="{EF4E9E05-8B87-4F16-B424-67A995B05903}"/>
    <cellStyle name="Comma 10 2 3 2 2 2 4" xfId="21486" xr:uid="{6DE669A5-87FD-4CF8-9EBA-5685D95BEC9E}"/>
    <cellStyle name="Comma 10 2 3 2 2 3" xfId="6310" xr:uid="{077F7F60-6951-4055-AB51-545C0AC7DCE5}"/>
    <cellStyle name="Comma 10 2 3 2 2 3 2" xfId="14982" xr:uid="{5FD9D906-9DF3-41CC-95A5-F5C597547A48}"/>
    <cellStyle name="Comma 10 2 3 2 2 3 2 2" xfId="32326" xr:uid="{204D8405-DF91-4854-A30C-961044BF5FE8}"/>
    <cellStyle name="Comma 10 2 3 2 2 3 3" xfId="23654" xr:uid="{60D2D3AA-20BC-4178-8317-70E4BCF060D6}"/>
    <cellStyle name="Comma 10 2 3 2 2 4" xfId="10646" xr:uid="{38110B87-9261-4E27-9239-7BEAF0871E2F}"/>
    <cellStyle name="Comma 10 2 3 2 2 4 2" xfId="27990" xr:uid="{601272E1-E255-4D26-B64D-4F6E8026480B}"/>
    <cellStyle name="Comma 10 2 3 2 2 5" xfId="19318" xr:uid="{C9E7B5AE-54FD-45CA-9A59-4FFFDE49DF4E}"/>
    <cellStyle name="Comma 10 2 3 2 3" xfId="3058" xr:uid="{1099F4FA-E892-433D-88A9-87A28F5917FF}"/>
    <cellStyle name="Comma 10 2 3 2 3 2" xfId="7394" xr:uid="{11320783-FB34-4D39-BF85-33022733EE7C}"/>
    <cellStyle name="Comma 10 2 3 2 3 2 2" xfId="16066" xr:uid="{D3596C30-0A02-40B1-A39B-3E6A0C3E3FED}"/>
    <cellStyle name="Comma 10 2 3 2 3 2 2 2" xfId="33410" xr:uid="{EDBFBDC8-CF9C-4CAF-9BFC-E234F54D12FD}"/>
    <cellStyle name="Comma 10 2 3 2 3 2 3" xfId="24738" xr:uid="{3DA63834-4BEC-4448-BE0B-D8D8307B89D8}"/>
    <cellStyle name="Comma 10 2 3 2 3 3" xfId="11730" xr:uid="{D2171EBF-969E-453D-AD36-F2E4918AF481}"/>
    <cellStyle name="Comma 10 2 3 2 3 3 2" xfId="29074" xr:uid="{E30D1E6A-B4AF-4BC5-81DA-5B849E66BA7B}"/>
    <cellStyle name="Comma 10 2 3 2 3 4" xfId="20402" xr:uid="{6C4143AE-B8C0-4E1D-9D80-EB175C873664}"/>
    <cellStyle name="Comma 10 2 3 2 4" xfId="5226" xr:uid="{6E1367A3-BA17-4656-89B9-2978E10324BB}"/>
    <cellStyle name="Comma 10 2 3 2 4 2" xfId="13898" xr:uid="{5E710799-FE7A-4D6A-BA90-CFEF5CB1832D}"/>
    <cellStyle name="Comma 10 2 3 2 4 2 2" xfId="31242" xr:uid="{09A31500-D3D7-4A68-8932-2FB1EE1408BB}"/>
    <cellStyle name="Comma 10 2 3 2 4 3" xfId="22570" xr:uid="{0957A8C4-6B37-45F1-B129-DBA31043DEBA}"/>
    <cellStyle name="Comma 10 2 3 2 5" xfId="9562" xr:uid="{4C885A13-8980-43F0-A255-E3662DB33718}"/>
    <cellStyle name="Comma 10 2 3 2 5 2" xfId="26906" xr:uid="{BAA79408-C581-4E63-8217-4818FA6E3EBC}"/>
    <cellStyle name="Comma 10 2 3 2 6" xfId="18234" xr:uid="{322F831D-5126-43F5-9A0B-152FA72389FA}"/>
    <cellStyle name="Comma 10 2 3 3" xfId="1433" xr:uid="{E0215952-B80F-42B1-B80A-B374D5DBCEB9}"/>
    <cellStyle name="Comma 10 2 3 3 2" xfId="3601" xr:uid="{50CA8844-79FF-49C3-8F5F-1E51F029B47B}"/>
    <cellStyle name="Comma 10 2 3 3 2 2" xfId="7937" xr:uid="{C8476510-1C04-4C41-BBAD-701364EF2D1B}"/>
    <cellStyle name="Comma 10 2 3 3 2 2 2" xfId="16609" xr:uid="{4800DC53-D074-4526-A39E-BD09AB390671}"/>
    <cellStyle name="Comma 10 2 3 3 2 2 2 2" xfId="33953" xr:uid="{1CC12DFD-1BD9-43F1-B35B-041A4F4B4310}"/>
    <cellStyle name="Comma 10 2 3 3 2 2 3" xfId="25281" xr:uid="{EAEF6DA1-C539-48A8-907D-088D033EA4D6}"/>
    <cellStyle name="Comma 10 2 3 3 2 3" xfId="12273" xr:uid="{62E3F53C-D56A-4B4E-9C28-7FFA292416A7}"/>
    <cellStyle name="Comma 10 2 3 3 2 3 2" xfId="29617" xr:uid="{918030F5-46B1-4BE5-8607-F004F5793CB7}"/>
    <cellStyle name="Comma 10 2 3 3 2 4" xfId="20945" xr:uid="{8A3782D2-6B86-4967-ACDA-9F8CC44E0E47}"/>
    <cellStyle name="Comma 10 2 3 3 3" xfId="5769" xr:uid="{40AA06FF-A035-4197-A7F0-08A0D8716C22}"/>
    <cellStyle name="Comma 10 2 3 3 3 2" xfId="14441" xr:uid="{8087CB2D-A6EC-41F4-8B5B-ED3F1ED0475F}"/>
    <cellStyle name="Comma 10 2 3 3 3 2 2" xfId="31785" xr:uid="{52568BFE-706B-4ACD-889D-24C25F3B428D}"/>
    <cellStyle name="Comma 10 2 3 3 3 3" xfId="23113" xr:uid="{CC49A3A8-F9AE-4117-AAD6-CC8AB931D319}"/>
    <cellStyle name="Comma 10 2 3 3 4" xfId="10105" xr:uid="{2748F896-95FD-4389-B124-5807E97F6165}"/>
    <cellStyle name="Comma 10 2 3 3 4 2" xfId="27449" xr:uid="{C3C35FB2-CC29-4D75-AE7F-66035C3FF1F6}"/>
    <cellStyle name="Comma 10 2 3 3 5" xfId="18777" xr:uid="{08A8231A-8023-42B5-AE12-97E5413E2659}"/>
    <cellStyle name="Comma 10 2 3 4" xfId="2517" xr:uid="{4E741410-3D6A-49DF-A884-35F5CEB4EB55}"/>
    <cellStyle name="Comma 10 2 3 4 2" xfId="6853" xr:uid="{D78AA465-1A95-4C95-8505-DF39DBF35701}"/>
    <cellStyle name="Comma 10 2 3 4 2 2" xfId="15525" xr:uid="{3ACAB2C4-C706-40DC-9F7D-BE3872E3BC36}"/>
    <cellStyle name="Comma 10 2 3 4 2 2 2" xfId="32869" xr:uid="{EE142BBD-BA94-4D1B-A39A-1830392B6721}"/>
    <cellStyle name="Comma 10 2 3 4 2 3" xfId="24197" xr:uid="{90F426E7-7E56-4499-A117-17D28CB5EE1B}"/>
    <cellStyle name="Comma 10 2 3 4 3" xfId="11189" xr:uid="{AE67A5A7-1EAA-44A3-A0D8-E5E2627DD99D}"/>
    <cellStyle name="Comma 10 2 3 4 3 2" xfId="28533" xr:uid="{8EEB3E0B-FC6B-4BD7-B208-D0D606F62BA1}"/>
    <cellStyle name="Comma 10 2 3 4 4" xfId="19861" xr:uid="{1AE58F9E-80B1-4B8A-A717-EC78DCEAF52B}"/>
    <cellStyle name="Comma 10 2 3 5" xfId="4685" xr:uid="{2D8F0514-7C35-4F69-8597-ED8CF18F6662}"/>
    <cellStyle name="Comma 10 2 3 5 2" xfId="13357" xr:uid="{31372014-83BC-4D8A-8E1B-0DFA111165B6}"/>
    <cellStyle name="Comma 10 2 3 5 2 2" xfId="30701" xr:uid="{7283179A-C73F-425C-8B37-87A1A33E600B}"/>
    <cellStyle name="Comma 10 2 3 5 3" xfId="22029" xr:uid="{7E9F6B8E-C46C-4572-8ACB-1A00FF30334B}"/>
    <cellStyle name="Comma 10 2 3 6" xfId="9021" xr:uid="{ADE6A536-2973-4586-B894-9326869D58DA}"/>
    <cellStyle name="Comma 10 2 3 6 2" xfId="26365" xr:uid="{D70E4081-1CC8-416F-A5EF-5D7051A7D56E}"/>
    <cellStyle name="Comma 10 2 3 7" xfId="17693" xr:uid="{32B052F9-08D7-43DC-96D2-D8A9F554524B}"/>
    <cellStyle name="Comma 10 2 4" xfId="620" xr:uid="{D85FACD6-6353-4EB1-BDF2-87D6FEE9A1E7}"/>
    <cellStyle name="Comma 10 2 4 2" xfId="1704" xr:uid="{CDB720E8-8F5D-43F1-A2EA-198A68DC890F}"/>
    <cellStyle name="Comma 10 2 4 2 2" xfId="3872" xr:uid="{08D24ED6-FCFF-41B3-9888-9C6B2A6C1FC0}"/>
    <cellStyle name="Comma 10 2 4 2 2 2" xfId="8208" xr:uid="{CA26FE65-C486-4204-9D10-063D613899D6}"/>
    <cellStyle name="Comma 10 2 4 2 2 2 2" xfId="16880" xr:uid="{25394151-473F-4A82-B0F7-79685EAD327E}"/>
    <cellStyle name="Comma 10 2 4 2 2 2 2 2" xfId="34224" xr:uid="{A4EB0120-F5C5-44FD-A375-C4537C5B6388}"/>
    <cellStyle name="Comma 10 2 4 2 2 2 3" xfId="25552" xr:uid="{E7F6CEDA-1E10-4BDA-94C4-658F344D1658}"/>
    <cellStyle name="Comma 10 2 4 2 2 3" xfId="12544" xr:uid="{7655FB05-1471-47B8-A89D-AB269AC6486E}"/>
    <cellStyle name="Comma 10 2 4 2 2 3 2" xfId="29888" xr:uid="{35626691-A2A0-46D5-9EA5-6D2B941CC857}"/>
    <cellStyle name="Comma 10 2 4 2 2 4" xfId="21216" xr:uid="{2BAE9723-1EBF-48C3-99C3-6958D96ECE09}"/>
    <cellStyle name="Comma 10 2 4 2 3" xfId="6040" xr:uid="{574580F7-1FCF-4669-9453-F7D2CFF564F3}"/>
    <cellStyle name="Comma 10 2 4 2 3 2" xfId="14712" xr:uid="{81E27C8D-F141-4F9A-8309-C9B43C65F345}"/>
    <cellStyle name="Comma 10 2 4 2 3 2 2" xfId="32056" xr:uid="{5D4920A0-4451-4F7C-91FB-5C475C4B0CDC}"/>
    <cellStyle name="Comma 10 2 4 2 3 3" xfId="23384" xr:uid="{3570561F-8A3E-4DBE-B535-546CDE0BC29D}"/>
    <cellStyle name="Comma 10 2 4 2 4" xfId="10376" xr:uid="{A790E8EA-F87C-4644-81F6-2B59CD929EDF}"/>
    <cellStyle name="Comma 10 2 4 2 4 2" xfId="27720" xr:uid="{92A0D3BA-A077-44CD-B25E-5DD546DFEA62}"/>
    <cellStyle name="Comma 10 2 4 2 5" xfId="19048" xr:uid="{EAACCD00-7E72-4BB8-B955-CDDF3819CDC6}"/>
    <cellStyle name="Comma 10 2 4 3" xfId="2788" xr:uid="{768F3E4F-474A-4F65-A07F-5DA3C0E35DA1}"/>
    <cellStyle name="Comma 10 2 4 3 2" xfId="7124" xr:uid="{F8FB5F7F-09E7-415F-BE06-E1A52A95E6C3}"/>
    <cellStyle name="Comma 10 2 4 3 2 2" xfId="15796" xr:uid="{099BAAF4-81F6-4C7A-8A7E-D6EC32ECCAD1}"/>
    <cellStyle name="Comma 10 2 4 3 2 2 2" xfId="33140" xr:uid="{5BBF0D20-ED4D-4AE3-87BE-E3A629D186D1}"/>
    <cellStyle name="Comma 10 2 4 3 2 3" xfId="24468" xr:uid="{ED67DEF4-D05D-419C-A31F-9DDFB16F3D21}"/>
    <cellStyle name="Comma 10 2 4 3 3" xfId="11460" xr:uid="{B862F7B4-B5FA-4EEF-B4D0-C245248EC563}"/>
    <cellStyle name="Comma 10 2 4 3 3 2" xfId="28804" xr:uid="{0BB3421C-9DA6-4A84-9CD2-FB33F02C8469}"/>
    <cellStyle name="Comma 10 2 4 3 4" xfId="20132" xr:uid="{A60A9A0B-99B5-42D7-81A8-035964106D6B}"/>
    <cellStyle name="Comma 10 2 4 4" xfId="4956" xr:uid="{6809BFC6-B8F4-4A92-B98A-BF164CB40AB6}"/>
    <cellStyle name="Comma 10 2 4 4 2" xfId="13628" xr:uid="{C6E1BD95-AC96-4F2A-9411-D07532B8B588}"/>
    <cellStyle name="Comma 10 2 4 4 2 2" xfId="30972" xr:uid="{D6A36D92-1C88-432D-93DA-1BBED49E5061}"/>
    <cellStyle name="Comma 10 2 4 4 3" xfId="22300" xr:uid="{C1E770B1-9B34-483A-AE1F-D2C31774E65D}"/>
    <cellStyle name="Comma 10 2 4 5" xfId="9292" xr:uid="{568A5AAA-400C-433A-82D5-1A4A43AC864D}"/>
    <cellStyle name="Comma 10 2 4 5 2" xfId="26636" xr:uid="{270F3E88-F9EC-4E1F-A557-48A75AC81065}"/>
    <cellStyle name="Comma 10 2 4 6" xfId="17964" xr:uid="{53C06B2E-EDCD-432F-813E-1FF8B150D9A8}"/>
    <cellStyle name="Comma 10 2 5" xfId="1163" xr:uid="{764DF890-7A81-43B6-B669-616F2082E42A}"/>
    <cellStyle name="Comma 10 2 5 2" xfId="3331" xr:uid="{E405703A-32CB-4CD8-A78A-829889F07255}"/>
    <cellStyle name="Comma 10 2 5 2 2" xfId="7667" xr:uid="{2DC4E298-AA71-4D43-B36A-68AF69264C07}"/>
    <cellStyle name="Comma 10 2 5 2 2 2" xfId="16339" xr:uid="{32DD9C9A-4508-44DD-B239-4465D6AB0EF9}"/>
    <cellStyle name="Comma 10 2 5 2 2 2 2" xfId="33683" xr:uid="{F71D02F1-A17E-43BC-B2C4-D5453F04EAE9}"/>
    <cellStyle name="Comma 10 2 5 2 2 3" xfId="25011" xr:uid="{3EF874AB-6BB2-4D87-9DA0-4FE6899C9A51}"/>
    <cellStyle name="Comma 10 2 5 2 3" xfId="12003" xr:uid="{51FC4A24-BA09-43C4-B6C2-740557B6FCD4}"/>
    <cellStyle name="Comma 10 2 5 2 3 2" xfId="29347" xr:uid="{3A17DDD7-18A2-4BA3-8284-0098D2561944}"/>
    <cellStyle name="Comma 10 2 5 2 4" xfId="20675" xr:uid="{E2C33D3C-26FF-4E29-BC1C-EEA3D0C447B6}"/>
    <cellStyle name="Comma 10 2 5 3" xfId="5499" xr:uid="{79F6FFDA-E9A9-4B40-B4F5-EF7329505FD0}"/>
    <cellStyle name="Comma 10 2 5 3 2" xfId="14171" xr:uid="{915E2A8D-BEE7-4767-8E4A-1480C82D5E52}"/>
    <cellStyle name="Comma 10 2 5 3 2 2" xfId="31515" xr:uid="{19CCB4E3-EC67-4041-B98C-975BE388C474}"/>
    <cellStyle name="Comma 10 2 5 3 3" xfId="22843" xr:uid="{7D8596C3-CB8C-4C6C-95DA-BF03DDEA1A7D}"/>
    <cellStyle name="Comma 10 2 5 4" xfId="9835" xr:uid="{EE3E43DC-F6CA-442A-8765-355322F193DB}"/>
    <cellStyle name="Comma 10 2 5 4 2" xfId="27179" xr:uid="{AE381FA1-131E-477B-9D25-D8D4E0EA1521}"/>
    <cellStyle name="Comma 10 2 5 5" xfId="18507" xr:uid="{47D516F9-24DD-4C6E-8316-61B4997593E6}"/>
    <cellStyle name="Comma 10 2 6" xfId="2247" xr:uid="{AB357D11-6747-4998-9B92-67C292217008}"/>
    <cellStyle name="Comma 10 2 6 2" xfId="6583" xr:uid="{2FBFC68E-40CA-4F38-ACD2-C8FAF0A55041}"/>
    <cellStyle name="Comma 10 2 6 2 2" xfId="15255" xr:uid="{A4697511-0422-4E64-A080-F60C520595F7}"/>
    <cellStyle name="Comma 10 2 6 2 2 2" xfId="32599" xr:uid="{4C3BE7DD-E465-48BF-9E47-D11BA9BC6D0F}"/>
    <cellStyle name="Comma 10 2 6 2 3" xfId="23927" xr:uid="{9792353C-9938-485C-90BA-185272467ABB}"/>
    <cellStyle name="Comma 10 2 6 3" xfId="10919" xr:uid="{B1392979-871C-4FD4-992D-1C85CCD02464}"/>
    <cellStyle name="Comma 10 2 6 3 2" xfId="28263" xr:uid="{FE434104-703A-4B61-A050-9A82831DDF6B}"/>
    <cellStyle name="Comma 10 2 6 4" xfId="19591" xr:uid="{02E805A8-A6DD-42FF-990A-7E178EF7FFF8}"/>
    <cellStyle name="Comma 10 2 7" xfId="4415" xr:uid="{27FEABE6-978D-45D0-824C-0FB55994E413}"/>
    <cellStyle name="Comma 10 2 7 2" xfId="13087" xr:uid="{B1D3764E-40C4-4980-9E54-9F91CE383C7F}"/>
    <cellStyle name="Comma 10 2 7 2 2" xfId="30431" xr:uid="{016803ED-90D2-465F-A264-76CCBBE3E6D5}"/>
    <cellStyle name="Comma 10 2 7 3" xfId="21759" xr:uid="{7A075331-0F54-42B7-B0AF-3DB73807117B}"/>
    <cellStyle name="Comma 10 2 8" xfId="8751" xr:uid="{C09961CD-13C4-4F4F-87F6-BC6CDDE2B400}"/>
    <cellStyle name="Comma 10 2 8 2" xfId="26095" xr:uid="{845F7F66-734E-46F4-B1EC-3E674F9681F0}"/>
    <cellStyle name="Comma 10 2 9" xfId="17423" xr:uid="{5E7F337C-0517-466A-8D3D-E91EBAF9B0E2}"/>
    <cellStyle name="Comma 10 3" xfId="140" xr:uid="{B808F392-F9CC-47AB-8491-81849731DA5C}"/>
    <cellStyle name="Comma 10 3 2" xfId="410" xr:uid="{F5BFBA0A-347B-41B5-98A1-E9F4BB2C7919}"/>
    <cellStyle name="Comma 10 3 2 2" xfId="951" xr:uid="{A32B02F8-B714-4F54-ABFA-114F0F687D6E}"/>
    <cellStyle name="Comma 10 3 2 2 2" xfId="2035" xr:uid="{EF9A1AD8-B5B9-4B41-839B-CD0F35870B3A}"/>
    <cellStyle name="Comma 10 3 2 2 2 2" xfId="4203" xr:uid="{AEE581D0-0676-46C7-A75F-DB5A8BC55E1D}"/>
    <cellStyle name="Comma 10 3 2 2 2 2 2" xfId="8539" xr:uid="{C90389F8-3928-4CF1-A35C-CA75C67947E5}"/>
    <cellStyle name="Comma 10 3 2 2 2 2 2 2" xfId="17211" xr:uid="{09181639-7182-4DC1-925E-6134DDED1DBB}"/>
    <cellStyle name="Comma 10 3 2 2 2 2 2 2 2" xfId="34555" xr:uid="{48B225C5-37DE-4E48-A69B-B7C9988B4A4B}"/>
    <cellStyle name="Comma 10 3 2 2 2 2 2 3" xfId="25883" xr:uid="{DE86C76D-CE14-4BDC-9A3B-C2B811BC937D}"/>
    <cellStyle name="Comma 10 3 2 2 2 2 3" xfId="12875" xr:uid="{963E011D-5D0A-4B42-91E4-560F347ED83A}"/>
    <cellStyle name="Comma 10 3 2 2 2 2 3 2" xfId="30219" xr:uid="{43793713-9DB7-45AC-AD64-1CFE65BCA100}"/>
    <cellStyle name="Comma 10 3 2 2 2 2 4" xfId="21547" xr:uid="{0C7BA7D5-AF32-4526-A54B-60FB33E4A965}"/>
    <cellStyle name="Comma 10 3 2 2 2 3" xfId="6371" xr:uid="{5C4A5B40-DF7E-4851-82AE-8EF98FCDE9F3}"/>
    <cellStyle name="Comma 10 3 2 2 2 3 2" xfId="15043" xr:uid="{89C87739-B0AA-4AA5-ADF5-F23949FE9F25}"/>
    <cellStyle name="Comma 10 3 2 2 2 3 2 2" xfId="32387" xr:uid="{BDC7F65E-F3E7-4655-A190-86A85F3381F2}"/>
    <cellStyle name="Comma 10 3 2 2 2 3 3" xfId="23715" xr:uid="{67B3595F-9679-4B31-B5F6-7D1254FBE094}"/>
    <cellStyle name="Comma 10 3 2 2 2 4" xfId="10707" xr:uid="{75044B47-7815-4F82-9C86-046A9E807992}"/>
    <cellStyle name="Comma 10 3 2 2 2 4 2" xfId="28051" xr:uid="{47D923E6-0BDB-4C66-84F3-58C1A694686A}"/>
    <cellStyle name="Comma 10 3 2 2 2 5" xfId="19379" xr:uid="{572A9E27-3E01-4002-A17A-921033C76197}"/>
    <cellStyle name="Comma 10 3 2 2 3" xfId="3119" xr:uid="{6C369666-6D2D-4A57-824D-347F5A3FA88D}"/>
    <cellStyle name="Comma 10 3 2 2 3 2" xfId="7455" xr:uid="{834EDA1D-99AC-4061-8B63-BBF0E799A420}"/>
    <cellStyle name="Comma 10 3 2 2 3 2 2" xfId="16127" xr:uid="{267B212D-D009-43DE-9ECA-D3F80C3C7469}"/>
    <cellStyle name="Comma 10 3 2 2 3 2 2 2" xfId="33471" xr:uid="{54DFD323-3363-471D-B37D-78C7D7008C08}"/>
    <cellStyle name="Comma 10 3 2 2 3 2 3" xfId="24799" xr:uid="{4447FEEF-19A9-4480-B490-223EFEFCD855}"/>
    <cellStyle name="Comma 10 3 2 2 3 3" xfId="11791" xr:uid="{A7B2D778-0BF5-4332-93AA-ECFE99E102B0}"/>
    <cellStyle name="Comma 10 3 2 2 3 3 2" xfId="29135" xr:uid="{EE64DCB6-CC91-42E9-854F-3E461ADAE178}"/>
    <cellStyle name="Comma 10 3 2 2 3 4" xfId="20463" xr:uid="{0E55DA82-A37C-47BD-8F5B-82981595A69F}"/>
    <cellStyle name="Comma 10 3 2 2 4" xfId="5287" xr:uid="{01DA9D85-B865-41A2-851E-BBC3F7F7EDA6}"/>
    <cellStyle name="Comma 10 3 2 2 4 2" xfId="13959" xr:uid="{BC7FFA71-0DC6-4544-9EF8-4458723CB076}"/>
    <cellStyle name="Comma 10 3 2 2 4 2 2" xfId="31303" xr:uid="{290BFA2F-3878-4ED3-9B69-15738C8304DB}"/>
    <cellStyle name="Comma 10 3 2 2 4 3" xfId="22631" xr:uid="{BD7F19F2-83D3-49B1-9879-D847A05A18D4}"/>
    <cellStyle name="Comma 10 3 2 2 5" xfId="9623" xr:uid="{14F02ABF-60B1-48AA-B730-A641CBDAB390}"/>
    <cellStyle name="Comma 10 3 2 2 5 2" xfId="26967" xr:uid="{9EB49E4C-9F04-4366-9145-953760A77A03}"/>
    <cellStyle name="Comma 10 3 2 2 6" xfId="18295" xr:uid="{B867982D-4A97-4C96-9F52-67317C8C4331}"/>
    <cellStyle name="Comma 10 3 2 3" xfId="1494" xr:uid="{0C6925AB-78AA-447E-AF2D-9694BD317962}"/>
    <cellStyle name="Comma 10 3 2 3 2" xfId="3662" xr:uid="{1F40B4EF-1D6C-4EFC-8CDC-F658DA052B79}"/>
    <cellStyle name="Comma 10 3 2 3 2 2" xfId="7998" xr:uid="{6D38F4B1-120B-481E-A7FF-8338EE9D8FF7}"/>
    <cellStyle name="Comma 10 3 2 3 2 2 2" xfId="16670" xr:uid="{4C743EBB-3CF9-4289-8074-51263A2AB76F}"/>
    <cellStyle name="Comma 10 3 2 3 2 2 2 2" xfId="34014" xr:uid="{BFB7A413-EB84-4D86-8E92-0DAE6E006316}"/>
    <cellStyle name="Comma 10 3 2 3 2 2 3" xfId="25342" xr:uid="{BD7C6CD9-F5E8-45FE-869F-1D54F0B7242B}"/>
    <cellStyle name="Comma 10 3 2 3 2 3" xfId="12334" xr:uid="{87BA3A43-C66D-4E57-9DCE-A290B569DC87}"/>
    <cellStyle name="Comma 10 3 2 3 2 3 2" xfId="29678" xr:uid="{56A4B0FE-7E08-4108-AD95-7611B626A250}"/>
    <cellStyle name="Comma 10 3 2 3 2 4" xfId="21006" xr:uid="{7991E351-384A-443C-AD4D-B1D67887CC30}"/>
    <cellStyle name="Comma 10 3 2 3 3" xfId="5830" xr:uid="{1D8E891B-8F4F-42AD-82FC-1B168BE4ADFE}"/>
    <cellStyle name="Comma 10 3 2 3 3 2" xfId="14502" xr:uid="{91D96A43-BF60-40F5-88AD-97E53621016D}"/>
    <cellStyle name="Comma 10 3 2 3 3 2 2" xfId="31846" xr:uid="{9A16211A-6EBD-42B0-B871-2DF18F3889F2}"/>
    <cellStyle name="Comma 10 3 2 3 3 3" xfId="23174" xr:uid="{519C3579-A241-449D-A680-0E67BCB95CE7}"/>
    <cellStyle name="Comma 10 3 2 3 4" xfId="10166" xr:uid="{2D8A0CCA-7A6B-46DB-A33D-1873F85C0D55}"/>
    <cellStyle name="Comma 10 3 2 3 4 2" xfId="27510" xr:uid="{C578877D-773D-483D-B8DC-A0A1B4E150B2}"/>
    <cellStyle name="Comma 10 3 2 3 5" xfId="18838" xr:uid="{8308CFB6-3708-4C55-8A60-C5E22B5C5C77}"/>
    <cellStyle name="Comma 10 3 2 4" xfId="2578" xr:uid="{511D3AB8-240F-4528-BAC8-A085220BFA78}"/>
    <cellStyle name="Comma 10 3 2 4 2" xfId="6914" xr:uid="{6BA50F49-7063-4F49-8E5F-B70B86194162}"/>
    <cellStyle name="Comma 10 3 2 4 2 2" xfId="15586" xr:uid="{8AD131C4-2129-4344-A5C7-02988689FADE}"/>
    <cellStyle name="Comma 10 3 2 4 2 2 2" xfId="32930" xr:uid="{9C791554-71CE-4C8E-B790-927AA75791E4}"/>
    <cellStyle name="Comma 10 3 2 4 2 3" xfId="24258" xr:uid="{88459F9F-4F7C-42A6-8D6F-8C435A99EBF3}"/>
    <cellStyle name="Comma 10 3 2 4 3" xfId="11250" xr:uid="{E65E9CBC-09D6-4C7C-9C58-6A19A8A5F635}"/>
    <cellStyle name="Comma 10 3 2 4 3 2" xfId="28594" xr:uid="{A3753C53-7B15-45E4-9086-3A274EBF8F54}"/>
    <cellStyle name="Comma 10 3 2 4 4" xfId="19922" xr:uid="{6EAAADF2-B8C0-4E2B-B385-76D75C427149}"/>
    <cellStyle name="Comma 10 3 2 5" xfId="4746" xr:uid="{F1C9EFAB-E34C-418C-A4A1-3EB6CF7AE4F8}"/>
    <cellStyle name="Comma 10 3 2 5 2" xfId="13418" xr:uid="{B30CFC81-E49E-45BB-9FB8-6E238675EFF7}"/>
    <cellStyle name="Comma 10 3 2 5 2 2" xfId="30762" xr:uid="{7E1462A3-0CE2-4F08-9ADB-25A8572AB8CA}"/>
    <cellStyle name="Comma 10 3 2 5 3" xfId="22090" xr:uid="{3D44E4CC-0FB8-4E0B-A01A-18C6B05F6778}"/>
    <cellStyle name="Comma 10 3 2 6" xfId="9082" xr:uid="{E118FCAD-4600-4C9D-9D86-BAB0777E00BC}"/>
    <cellStyle name="Comma 10 3 2 6 2" xfId="26426" xr:uid="{7A7DC29D-B2C7-443E-AAFB-B00DA2648CBE}"/>
    <cellStyle name="Comma 10 3 2 7" xfId="17754" xr:uid="{A9B86169-3E78-4460-B1B0-10A4AF04405F}"/>
    <cellStyle name="Comma 10 3 3" xfId="681" xr:uid="{878AF991-294F-4B49-830E-BD80A85481A0}"/>
    <cellStyle name="Comma 10 3 3 2" xfId="1765" xr:uid="{9337ED72-23FE-47B9-B6E7-355D9CC148A9}"/>
    <cellStyle name="Comma 10 3 3 2 2" xfId="3933" xr:uid="{43E9F629-CB38-4310-BA2D-CD49FA8D5FB8}"/>
    <cellStyle name="Comma 10 3 3 2 2 2" xfId="8269" xr:uid="{B44F17AE-F841-4C4D-80F8-D3F0552B615A}"/>
    <cellStyle name="Comma 10 3 3 2 2 2 2" xfId="16941" xr:uid="{41AFBB9C-CFE8-4CD8-80C8-B1151178937C}"/>
    <cellStyle name="Comma 10 3 3 2 2 2 2 2" xfId="34285" xr:uid="{C164C0EA-CDEC-4893-B601-E352E9B7669D}"/>
    <cellStyle name="Comma 10 3 3 2 2 2 3" xfId="25613" xr:uid="{75984528-67A0-4C99-92B2-199CB300B92D}"/>
    <cellStyle name="Comma 10 3 3 2 2 3" xfId="12605" xr:uid="{32240BD0-1927-4949-8D43-3BA50D15B564}"/>
    <cellStyle name="Comma 10 3 3 2 2 3 2" xfId="29949" xr:uid="{7890A762-CD80-4E18-B36E-430875FA8C78}"/>
    <cellStyle name="Comma 10 3 3 2 2 4" xfId="21277" xr:uid="{51266904-B851-4D41-8F43-7809FD85C19D}"/>
    <cellStyle name="Comma 10 3 3 2 3" xfId="6101" xr:uid="{7AA2A139-C67E-42FB-A202-6844F4FC10D7}"/>
    <cellStyle name="Comma 10 3 3 2 3 2" xfId="14773" xr:uid="{5F91E3D3-3AAA-4D36-869A-B4CE12AD658E}"/>
    <cellStyle name="Comma 10 3 3 2 3 2 2" xfId="32117" xr:uid="{F08F6F5F-7824-4948-8BB8-7061B40D0F58}"/>
    <cellStyle name="Comma 10 3 3 2 3 3" xfId="23445" xr:uid="{88EFAE1E-F602-4EA0-93F1-3495272AD8E5}"/>
    <cellStyle name="Comma 10 3 3 2 4" xfId="10437" xr:uid="{D832A1E0-F8F8-4E58-B032-6D6EB67A99E0}"/>
    <cellStyle name="Comma 10 3 3 2 4 2" xfId="27781" xr:uid="{C62E2A8A-73F5-43F9-BA0B-E8E437C9637E}"/>
    <cellStyle name="Comma 10 3 3 2 5" xfId="19109" xr:uid="{AAD331D8-87A5-46F2-8184-45F695F77F63}"/>
    <cellStyle name="Comma 10 3 3 3" xfId="2849" xr:uid="{E2E46551-8DCB-4703-842D-3D9A85CC97C9}"/>
    <cellStyle name="Comma 10 3 3 3 2" xfId="7185" xr:uid="{A3319058-FFF8-48FB-A306-0D1F7125DE74}"/>
    <cellStyle name="Comma 10 3 3 3 2 2" xfId="15857" xr:uid="{0B3387A3-E5B4-44EE-B467-69F15941BB9A}"/>
    <cellStyle name="Comma 10 3 3 3 2 2 2" xfId="33201" xr:uid="{2DBF2C80-363C-4C8A-AA4B-C287F96EAD8F}"/>
    <cellStyle name="Comma 10 3 3 3 2 3" xfId="24529" xr:uid="{D079B6BD-AD09-41B9-BFE5-10C083A11A95}"/>
    <cellStyle name="Comma 10 3 3 3 3" xfId="11521" xr:uid="{8B284E27-D30A-404A-8E15-3483D3E16D0B}"/>
    <cellStyle name="Comma 10 3 3 3 3 2" xfId="28865" xr:uid="{FAAE6DC5-3C6F-4D0A-A049-C0D5A7DB0183}"/>
    <cellStyle name="Comma 10 3 3 3 4" xfId="20193" xr:uid="{2AD4E64B-9EF4-48CC-9750-C3DCA45EC778}"/>
    <cellStyle name="Comma 10 3 3 4" xfId="5017" xr:uid="{8B65E20C-9ED1-48B8-9D88-CFB67F06BA6D}"/>
    <cellStyle name="Comma 10 3 3 4 2" xfId="13689" xr:uid="{1D2C925A-A57D-4865-BF76-A8122CA84484}"/>
    <cellStyle name="Comma 10 3 3 4 2 2" xfId="31033" xr:uid="{83103944-A12E-4055-968A-AA97989D7680}"/>
    <cellStyle name="Comma 10 3 3 4 3" xfId="22361" xr:uid="{40DAEFF5-49E8-4D7B-A93B-868D29EC48F5}"/>
    <cellStyle name="Comma 10 3 3 5" xfId="9353" xr:uid="{9B02CA20-7C58-4D1F-A6C7-4BF16F9E27F7}"/>
    <cellStyle name="Comma 10 3 3 5 2" xfId="26697" xr:uid="{3FAFCEE0-4126-4F1D-997D-310974FBD60E}"/>
    <cellStyle name="Comma 10 3 3 6" xfId="18025" xr:uid="{B3DC9E0E-2127-4245-980B-FAECB845C549}"/>
    <cellStyle name="Comma 10 3 4" xfId="1224" xr:uid="{1E78BBB1-ABB0-46AB-AFA4-3545EBFA9CD0}"/>
    <cellStyle name="Comma 10 3 4 2" xfId="3392" xr:uid="{FBB6A0B4-4F75-4078-A583-8A8B56B5C8F2}"/>
    <cellStyle name="Comma 10 3 4 2 2" xfId="7728" xr:uid="{DD512A9D-7D87-466E-8CDC-57825B57C6C5}"/>
    <cellStyle name="Comma 10 3 4 2 2 2" xfId="16400" xr:uid="{AC6AECBF-C4A8-4FAD-BB8F-C833E7960B66}"/>
    <cellStyle name="Comma 10 3 4 2 2 2 2" xfId="33744" xr:uid="{6722BF96-7D31-4DBD-923E-610282AF15DC}"/>
    <cellStyle name="Comma 10 3 4 2 2 3" xfId="25072" xr:uid="{ACE0D6B3-69B7-403D-9534-84A067E7019C}"/>
    <cellStyle name="Comma 10 3 4 2 3" xfId="12064" xr:uid="{E94BC3A1-0846-4792-B6B4-F72DA63F913E}"/>
    <cellStyle name="Comma 10 3 4 2 3 2" xfId="29408" xr:uid="{A9BF1939-6F70-4647-8ED2-B0F6CB0091B8}"/>
    <cellStyle name="Comma 10 3 4 2 4" xfId="20736" xr:uid="{BD918B2B-3B9B-4133-ACFC-8A57D8AB46BC}"/>
    <cellStyle name="Comma 10 3 4 3" xfId="5560" xr:uid="{06E7B4E0-EFA9-476C-997A-DA314A2A7B9D}"/>
    <cellStyle name="Comma 10 3 4 3 2" xfId="14232" xr:uid="{B68AAAF2-E24F-42ED-9C24-DA758B1783CA}"/>
    <cellStyle name="Comma 10 3 4 3 2 2" xfId="31576" xr:uid="{800AC966-CC7A-45DA-BE19-348FAF4E0C37}"/>
    <cellStyle name="Comma 10 3 4 3 3" xfId="22904" xr:uid="{855F5BB7-ADFC-483F-B6A4-CDB178620555}"/>
    <cellStyle name="Comma 10 3 4 4" xfId="9896" xr:uid="{A7FEF777-EC16-4286-9370-65448DD0215B}"/>
    <cellStyle name="Comma 10 3 4 4 2" xfId="27240" xr:uid="{47B91C14-DB38-43AB-B532-65EAAE390FB6}"/>
    <cellStyle name="Comma 10 3 4 5" xfId="18568" xr:uid="{DC897022-DD2F-42C6-AD98-7DCC501CC279}"/>
    <cellStyle name="Comma 10 3 5" xfId="2308" xr:uid="{D80BD300-09A1-428F-9D90-6CC7B2E70402}"/>
    <cellStyle name="Comma 10 3 5 2" xfId="6644" xr:uid="{2D81D8E1-0A0E-4684-A450-4BA8825C205D}"/>
    <cellStyle name="Comma 10 3 5 2 2" xfId="15316" xr:uid="{BB549F8D-0038-4540-B48B-D0BDB4CCDBEA}"/>
    <cellStyle name="Comma 10 3 5 2 2 2" xfId="32660" xr:uid="{2CA32C0D-5C70-4032-868F-152C4C28E55F}"/>
    <cellStyle name="Comma 10 3 5 2 3" xfId="23988" xr:uid="{7E429DC1-A6DC-46AC-A74A-C60297A698AD}"/>
    <cellStyle name="Comma 10 3 5 3" xfId="10980" xr:uid="{E6A3D211-F7E5-40F0-BDD3-664DCF653AE9}"/>
    <cellStyle name="Comma 10 3 5 3 2" xfId="28324" xr:uid="{7E508DC3-0542-4600-98A7-3FA8B3FFFE82}"/>
    <cellStyle name="Comma 10 3 5 4" xfId="19652" xr:uid="{1F4550C9-C81F-40BC-82E4-A63B01B4BCDC}"/>
    <cellStyle name="Comma 10 3 6" xfId="4476" xr:uid="{FA8D7415-9957-49BE-AC2E-8BB478D36D4A}"/>
    <cellStyle name="Comma 10 3 6 2" xfId="13148" xr:uid="{E0F31AF8-1AD0-4A9A-BDC2-F570EAF0548A}"/>
    <cellStyle name="Comma 10 3 6 2 2" xfId="30492" xr:uid="{503BEF23-BDD0-4533-9C0C-3B666E18168D}"/>
    <cellStyle name="Comma 10 3 6 3" xfId="21820" xr:uid="{5A688688-B894-4B8B-8E08-A61841CA151C}"/>
    <cellStyle name="Comma 10 3 7" xfId="8812" xr:uid="{D6F49383-7EDF-4AD1-BAA9-83EA6337A403}"/>
    <cellStyle name="Comma 10 3 7 2" xfId="26156" xr:uid="{63F77804-6B04-4585-B45B-41043B8D06CF}"/>
    <cellStyle name="Comma 10 3 8" xfId="17484" xr:uid="{AB664CB7-2A96-4F1A-B4F7-4686E1F3D096}"/>
    <cellStyle name="Comma 10 4" xfId="288" xr:uid="{2263F528-E73E-4D7B-94D7-95FC1183817D}"/>
    <cellStyle name="Comma 10 4 2" xfId="829" xr:uid="{F689F049-15F9-4A16-BF5E-F2E782B4C65F}"/>
    <cellStyle name="Comma 10 4 2 2" xfId="1913" xr:uid="{1C72CE0A-E98D-448A-BA10-0FCBCF03FE88}"/>
    <cellStyle name="Comma 10 4 2 2 2" xfId="4081" xr:uid="{41BCDF8E-9DB1-4840-9C36-FD67C94BBD00}"/>
    <cellStyle name="Comma 10 4 2 2 2 2" xfId="8417" xr:uid="{26D55ED4-74AD-455E-A46B-2E691B05E464}"/>
    <cellStyle name="Comma 10 4 2 2 2 2 2" xfId="17089" xr:uid="{A53D5E2E-E033-46E5-B99A-4E916F3F9581}"/>
    <cellStyle name="Comma 10 4 2 2 2 2 2 2" xfId="34433" xr:uid="{41978D20-A7BA-47AD-B461-2A4E107454EF}"/>
    <cellStyle name="Comma 10 4 2 2 2 2 3" xfId="25761" xr:uid="{92D09EF6-32B2-4237-ABAB-2D0F72D6C090}"/>
    <cellStyle name="Comma 10 4 2 2 2 3" xfId="12753" xr:uid="{184CFFC7-568E-4816-A37E-E983392FF9C5}"/>
    <cellStyle name="Comma 10 4 2 2 2 3 2" xfId="30097" xr:uid="{3FDB1F26-9C4E-4C94-BC23-ED45EDAF4F57}"/>
    <cellStyle name="Comma 10 4 2 2 2 4" xfId="21425" xr:uid="{7137613E-786B-45AD-BE65-62CB33B435CD}"/>
    <cellStyle name="Comma 10 4 2 2 3" xfId="6249" xr:uid="{EEEB7F5C-9BCF-4898-BF23-4F17229CDE7F}"/>
    <cellStyle name="Comma 10 4 2 2 3 2" xfId="14921" xr:uid="{3F07E3A9-21A4-45C1-A71F-C46393B66466}"/>
    <cellStyle name="Comma 10 4 2 2 3 2 2" xfId="32265" xr:uid="{9BD25E34-16F0-447E-A463-91275C4D56FD}"/>
    <cellStyle name="Comma 10 4 2 2 3 3" xfId="23593" xr:uid="{82274FC0-0F65-453E-B2D7-B61747756CF2}"/>
    <cellStyle name="Comma 10 4 2 2 4" xfId="10585" xr:uid="{3551D74D-E6B8-43EE-B8A7-D844AFE67728}"/>
    <cellStyle name="Comma 10 4 2 2 4 2" xfId="27929" xr:uid="{3EB1A4E0-520A-4C4A-AA44-1B041A800800}"/>
    <cellStyle name="Comma 10 4 2 2 5" xfId="19257" xr:uid="{10FB86F7-2FC4-4D2E-80CA-30CEDAED9E81}"/>
    <cellStyle name="Comma 10 4 2 3" xfId="2997" xr:uid="{EB702752-DAC2-40D0-B568-45519E6FB861}"/>
    <cellStyle name="Comma 10 4 2 3 2" xfId="7333" xr:uid="{034F173D-346B-4032-888C-F34B1B197E84}"/>
    <cellStyle name="Comma 10 4 2 3 2 2" xfId="16005" xr:uid="{721B05AF-C60D-487B-A99C-2E0994346FA4}"/>
    <cellStyle name="Comma 10 4 2 3 2 2 2" xfId="33349" xr:uid="{63E937C5-20D0-4AB3-A272-00B60E4E3941}"/>
    <cellStyle name="Comma 10 4 2 3 2 3" xfId="24677" xr:uid="{960047DD-D0E8-4CCF-B510-5EA6DC17E4FB}"/>
    <cellStyle name="Comma 10 4 2 3 3" xfId="11669" xr:uid="{CA47F82F-3FAF-44D3-8026-36912E1905A9}"/>
    <cellStyle name="Comma 10 4 2 3 3 2" xfId="29013" xr:uid="{3884D194-3814-44F2-86E2-49574D5C49CC}"/>
    <cellStyle name="Comma 10 4 2 3 4" xfId="20341" xr:uid="{FCDE3BF2-AFD4-45AD-B00B-F3009683B2B3}"/>
    <cellStyle name="Comma 10 4 2 4" xfId="5165" xr:uid="{7B6F56E0-061B-4D75-9E94-9667D6EE2A18}"/>
    <cellStyle name="Comma 10 4 2 4 2" xfId="13837" xr:uid="{1B6B61F3-7AB0-465C-8863-1218233E3233}"/>
    <cellStyle name="Comma 10 4 2 4 2 2" xfId="31181" xr:uid="{7F470E92-DCC2-4254-87C5-392650D7C361}"/>
    <cellStyle name="Comma 10 4 2 4 3" xfId="22509" xr:uid="{12AB5F42-41EE-4867-AAC8-111559E098F7}"/>
    <cellStyle name="Comma 10 4 2 5" xfId="9501" xr:uid="{676062F4-BD2D-4310-8F22-3FBBEB331408}"/>
    <cellStyle name="Comma 10 4 2 5 2" xfId="26845" xr:uid="{ED4B21A1-3B41-4EA0-B4FA-065AA493D839}"/>
    <cellStyle name="Comma 10 4 2 6" xfId="18173" xr:uid="{5D72E545-F7CF-4BD4-AB74-25E7CE93CBB1}"/>
    <cellStyle name="Comma 10 4 3" xfId="1372" xr:uid="{A6EFA04B-BCFF-4334-B7F9-58C8A8E8150B}"/>
    <cellStyle name="Comma 10 4 3 2" xfId="3540" xr:uid="{97417FFB-C13E-451B-8E3A-378A2D8B3FC0}"/>
    <cellStyle name="Comma 10 4 3 2 2" xfId="7876" xr:uid="{211101D2-B4BF-4303-8549-8305468BA03B}"/>
    <cellStyle name="Comma 10 4 3 2 2 2" xfId="16548" xr:uid="{7167065D-B116-4276-8325-4CF9655C1586}"/>
    <cellStyle name="Comma 10 4 3 2 2 2 2" xfId="33892" xr:uid="{94BF6559-C5FC-4FAE-BA92-390C80BB2864}"/>
    <cellStyle name="Comma 10 4 3 2 2 3" xfId="25220" xr:uid="{7D000404-1DC4-4984-9D50-7987A92C37A7}"/>
    <cellStyle name="Comma 10 4 3 2 3" xfId="12212" xr:uid="{F882CA6B-774F-4093-8496-B254C21D20D2}"/>
    <cellStyle name="Comma 10 4 3 2 3 2" xfId="29556" xr:uid="{0352DBD3-787D-40F7-8A41-05C92CB0E1DE}"/>
    <cellStyle name="Comma 10 4 3 2 4" xfId="20884" xr:uid="{1B6B1ED3-32B7-4A12-8496-D9625BBD4779}"/>
    <cellStyle name="Comma 10 4 3 3" xfId="5708" xr:uid="{BFF39644-99D4-4FB0-A333-EB708B7F0F4B}"/>
    <cellStyle name="Comma 10 4 3 3 2" xfId="14380" xr:uid="{506489D8-A164-422E-AD20-64B4D53951E7}"/>
    <cellStyle name="Comma 10 4 3 3 2 2" xfId="31724" xr:uid="{EC5D9BF1-6CFB-49C7-B4F0-EF9B7F5013B3}"/>
    <cellStyle name="Comma 10 4 3 3 3" xfId="23052" xr:uid="{ED72EE62-E0FA-41F7-9119-E354FAED228C}"/>
    <cellStyle name="Comma 10 4 3 4" xfId="10044" xr:uid="{4A169201-17B0-450F-ABE3-13611E8DF0A3}"/>
    <cellStyle name="Comma 10 4 3 4 2" xfId="27388" xr:uid="{4DA74B05-90D6-4C70-94FF-C692EEAE6843}"/>
    <cellStyle name="Comma 10 4 3 5" xfId="18716" xr:uid="{C8E4788F-D0F9-4081-A809-DAD82998D399}"/>
    <cellStyle name="Comma 10 4 4" xfId="2456" xr:uid="{74EF919B-3B1C-48A9-A4B0-2ABB65544A68}"/>
    <cellStyle name="Comma 10 4 4 2" xfId="6792" xr:uid="{64634B55-1758-40CA-9C40-EA30255EF577}"/>
    <cellStyle name="Comma 10 4 4 2 2" xfId="15464" xr:uid="{1CD4C200-8772-435C-B600-967C93B02112}"/>
    <cellStyle name="Comma 10 4 4 2 2 2" xfId="32808" xr:uid="{3E09F40B-AD05-4B95-96AD-8155EC60A3E3}"/>
    <cellStyle name="Comma 10 4 4 2 3" xfId="24136" xr:uid="{9635A26D-FB08-4277-B380-E5FD7EECE6CB}"/>
    <cellStyle name="Comma 10 4 4 3" xfId="11128" xr:uid="{85468D23-E5F2-42AD-AF5C-6C4575BA01CE}"/>
    <cellStyle name="Comma 10 4 4 3 2" xfId="28472" xr:uid="{84E34A4E-03AF-44D8-8071-4782E99AD3E5}"/>
    <cellStyle name="Comma 10 4 4 4" xfId="19800" xr:uid="{A3901032-683E-427C-8087-ECA7590CCFE9}"/>
    <cellStyle name="Comma 10 4 5" xfId="4624" xr:uid="{8615167F-CA9A-45B2-BD99-306CB81DAEC1}"/>
    <cellStyle name="Comma 10 4 5 2" xfId="13296" xr:uid="{358AF952-1AF2-4604-B3E1-9E0D5A156594}"/>
    <cellStyle name="Comma 10 4 5 2 2" xfId="30640" xr:uid="{E3CC6A6A-F2DE-44B1-9C94-3C6482117D79}"/>
    <cellStyle name="Comma 10 4 5 3" xfId="21968" xr:uid="{3DAE3284-FEE6-45DF-A1F7-5EB719EFFD6D}"/>
    <cellStyle name="Comma 10 4 6" xfId="8960" xr:uid="{5663D0FC-A763-49B4-AD28-636AF468342C}"/>
    <cellStyle name="Comma 10 4 6 2" xfId="26304" xr:uid="{2703C62F-01CE-45FA-92D5-CAB86BCAADA5}"/>
    <cellStyle name="Comma 10 4 7" xfId="17632" xr:uid="{B35F3F3E-E870-4725-8173-118FC04A0B10}"/>
    <cellStyle name="Comma 10 5" xfId="559" xr:uid="{B8226DE7-8E06-4DDE-A50C-D0F98ECAA67C}"/>
    <cellStyle name="Comma 10 5 2" xfId="1643" xr:uid="{8D52D67F-4200-4DAB-8237-9BD310759473}"/>
    <cellStyle name="Comma 10 5 2 2" xfId="3811" xr:uid="{024CB388-F417-438E-AC00-92EE72973851}"/>
    <cellStyle name="Comma 10 5 2 2 2" xfId="8147" xr:uid="{C5FD98FC-0EE2-4BCD-A0A7-B4E66D007ABB}"/>
    <cellStyle name="Comma 10 5 2 2 2 2" xfId="16819" xr:uid="{C1490349-CE22-48B1-9603-4C8C9F74E270}"/>
    <cellStyle name="Comma 10 5 2 2 2 2 2" xfId="34163" xr:uid="{3FF5E818-CFF2-43CE-9666-0DF9F89C44E6}"/>
    <cellStyle name="Comma 10 5 2 2 2 3" xfId="25491" xr:uid="{334D9087-6B00-44F1-9C96-CBD84C25CE18}"/>
    <cellStyle name="Comma 10 5 2 2 3" xfId="12483" xr:uid="{C8A173EA-F763-4366-A7E9-5347AE22A113}"/>
    <cellStyle name="Comma 10 5 2 2 3 2" xfId="29827" xr:uid="{B74555A7-0773-4C9B-8ECB-83EBECE7E0DD}"/>
    <cellStyle name="Comma 10 5 2 2 4" xfId="21155" xr:uid="{B7C9E913-B6F6-4F3E-B63A-BC44177BB856}"/>
    <cellStyle name="Comma 10 5 2 3" xfId="5979" xr:uid="{C9EF60CD-5B0D-4758-B67D-8D29D0958F85}"/>
    <cellStyle name="Comma 10 5 2 3 2" xfId="14651" xr:uid="{ED4B50B7-2545-4374-8BD2-71A92917883D}"/>
    <cellStyle name="Comma 10 5 2 3 2 2" xfId="31995" xr:uid="{CB97CC3B-094E-4371-9D33-7B666D0CBBA9}"/>
    <cellStyle name="Comma 10 5 2 3 3" xfId="23323" xr:uid="{D9573379-FADB-45D3-92BD-BFE7E388A041}"/>
    <cellStyle name="Comma 10 5 2 4" xfId="10315" xr:uid="{F66F3B9C-CF04-4FB5-9EDB-7EFAB1E394A7}"/>
    <cellStyle name="Comma 10 5 2 4 2" xfId="27659" xr:uid="{61FE2A75-5262-4E2A-8DE5-AAE38E500C1B}"/>
    <cellStyle name="Comma 10 5 2 5" xfId="18987" xr:uid="{D0BC43B0-2567-41A6-99A0-86BB8DC8FEBC}"/>
    <cellStyle name="Comma 10 5 3" xfId="2727" xr:uid="{1AE3C40C-A897-4F8D-8B1B-0A3AEB60B1D3}"/>
    <cellStyle name="Comma 10 5 3 2" xfId="7063" xr:uid="{C6291AC4-B73E-4392-A15C-F9D1A4297CD5}"/>
    <cellStyle name="Comma 10 5 3 2 2" xfId="15735" xr:uid="{DA9565C5-8059-4E5E-8AA1-7B6E04B6DE46}"/>
    <cellStyle name="Comma 10 5 3 2 2 2" xfId="33079" xr:uid="{7EC9B52C-6BF7-44BB-9FAD-D376DB9DAF12}"/>
    <cellStyle name="Comma 10 5 3 2 3" xfId="24407" xr:uid="{A24DABB5-4E4E-4D6E-8C27-587F2E6DA8B5}"/>
    <cellStyle name="Comma 10 5 3 3" xfId="11399" xr:uid="{1A55FF8B-3592-4D9A-B05C-BC10864BA7D3}"/>
    <cellStyle name="Comma 10 5 3 3 2" xfId="28743" xr:uid="{A5D0F969-BEDB-4BB5-AC15-EF19600FC819}"/>
    <cellStyle name="Comma 10 5 3 4" xfId="20071" xr:uid="{648B44C9-AF6C-4C5B-9A2F-3CD2323F0681}"/>
    <cellStyle name="Comma 10 5 4" xfId="4895" xr:uid="{67F7BECA-8799-4FD3-B50F-B436FAC490F7}"/>
    <cellStyle name="Comma 10 5 4 2" xfId="13567" xr:uid="{D514BD24-B198-4BA6-AADB-B6684DC0D0A4}"/>
    <cellStyle name="Comma 10 5 4 2 2" xfId="30911" xr:uid="{B77EBC59-C23D-4EA5-A14C-86025967E871}"/>
    <cellStyle name="Comma 10 5 4 3" xfId="22239" xr:uid="{23AB872C-4842-459B-A369-A1AA84270830}"/>
    <cellStyle name="Comma 10 5 5" xfId="9231" xr:uid="{3189D35C-E4CA-4EB1-80F1-778EC3C222D8}"/>
    <cellStyle name="Comma 10 5 5 2" xfId="26575" xr:uid="{91943F06-B52F-4FB3-A8EF-14C0076EF55A}"/>
    <cellStyle name="Comma 10 5 6" xfId="17903" xr:uid="{03FFEDBA-565B-490F-97AB-2B7490AB7D33}"/>
    <cellStyle name="Comma 10 6" xfId="1102" xr:uid="{327723C9-8EF0-44A8-9F09-26906C32FE53}"/>
    <cellStyle name="Comma 10 6 2" xfId="3270" xr:uid="{929AF63F-474E-425D-BF3E-1C2C51BCB103}"/>
    <cellStyle name="Comma 10 6 2 2" xfId="7606" xr:uid="{BDF51EB1-74E0-49DE-ABD9-DFCB3CE40918}"/>
    <cellStyle name="Comma 10 6 2 2 2" xfId="16278" xr:uid="{11934E8C-D0B2-485F-8463-C2346638310D}"/>
    <cellStyle name="Comma 10 6 2 2 2 2" xfId="33622" xr:uid="{1983A370-555C-40ED-A0A8-E669B11EF7A1}"/>
    <cellStyle name="Comma 10 6 2 2 3" xfId="24950" xr:uid="{FBDAD4E4-5DD6-4CE9-A572-588A0823EB8A}"/>
    <cellStyle name="Comma 10 6 2 3" xfId="11942" xr:uid="{5791D16A-337A-4854-9529-53817F6950D7}"/>
    <cellStyle name="Comma 10 6 2 3 2" xfId="29286" xr:uid="{5E302A01-5E27-4FE9-BECB-2E1505564E8C}"/>
    <cellStyle name="Comma 10 6 2 4" xfId="20614" xr:uid="{9DDFD87E-684E-4C65-91EB-E57BC2FED853}"/>
    <cellStyle name="Comma 10 6 3" xfId="5438" xr:uid="{8A03769B-12A3-47D6-A0A2-A42C75217601}"/>
    <cellStyle name="Comma 10 6 3 2" xfId="14110" xr:uid="{B0A4CBA2-D68C-48BE-8125-0CFF35C81041}"/>
    <cellStyle name="Comma 10 6 3 2 2" xfId="31454" xr:uid="{B28F630C-AE14-4D59-BC70-62C93BB12921}"/>
    <cellStyle name="Comma 10 6 3 3" xfId="22782" xr:uid="{F5D8BBDA-6EC9-4882-96C3-9B19F5BF8CAF}"/>
    <cellStyle name="Comma 10 6 4" xfId="9774" xr:uid="{B84C0E03-AC86-46FC-AA78-AA53380C5722}"/>
    <cellStyle name="Comma 10 6 4 2" xfId="27118" xr:uid="{D7BAD53E-6D5E-40D3-B04D-87204BF7BE43}"/>
    <cellStyle name="Comma 10 6 5" xfId="18446" xr:uid="{9C2C6E0B-C0FA-4B4A-A992-BE08CFED8C27}"/>
    <cellStyle name="Comma 10 7" xfId="2186" xr:uid="{54F482A2-3A84-448D-8376-9495038F4F5F}"/>
    <cellStyle name="Comma 10 7 2" xfId="6522" xr:uid="{FEC99048-4738-4535-AC3B-D9CFA938EA92}"/>
    <cellStyle name="Comma 10 7 2 2" xfId="15194" xr:uid="{65688F7D-3749-443B-96BB-AD68D13EE346}"/>
    <cellStyle name="Comma 10 7 2 2 2" xfId="32538" xr:uid="{8C7AAA6F-DB02-4865-A723-1812FF8729C8}"/>
    <cellStyle name="Comma 10 7 2 3" xfId="23866" xr:uid="{B28841AB-EEE6-4C54-B675-2B80FC97784C}"/>
    <cellStyle name="Comma 10 7 3" xfId="10858" xr:uid="{1A916613-1799-4BEE-B10D-D61EF80F0FE4}"/>
    <cellStyle name="Comma 10 7 3 2" xfId="28202" xr:uid="{AF51B8BF-98F8-4010-8257-BDA76F9FE83E}"/>
    <cellStyle name="Comma 10 7 4" xfId="19530" xr:uid="{42ED6193-8A32-4BEF-AD23-6F100F4568C5}"/>
    <cellStyle name="Comma 10 8" xfId="4354" xr:uid="{CC74E4C4-092D-48CD-AA9D-5A8BBFCE9A26}"/>
    <cellStyle name="Comma 10 8 2" xfId="13026" xr:uid="{CD92FBB6-8C87-4DC1-B75B-8C984DC0E0E2}"/>
    <cellStyle name="Comma 10 8 2 2" xfId="30370" xr:uid="{E9BC65B0-CA01-4BDB-A676-88E5621F1A11}"/>
    <cellStyle name="Comma 10 8 3" xfId="21698" xr:uid="{55FF3A0D-71B0-4BE9-B593-732D9C1E278B}"/>
    <cellStyle name="Comma 10 9" xfId="8690" xr:uid="{797E75B3-7997-4BCD-A927-8F4BF88ED98F}"/>
    <cellStyle name="Comma 10 9 2" xfId="26034" xr:uid="{FAA6F7DD-97E5-4FB0-925C-2C86C844890A}"/>
    <cellStyle name="Comma 11" xfId="34" xr:uid="{ED9D7627-D564-4B09-A87D-9690B2B0A855}"/>
    <cellStyle name="Comma 11 10" xfId="8706" xr:uid="{358400C6-E737-4E1D-BA11-5D0EEDFD448A}"/>
    <cellStyle name="Comma 11 10 2" xfId="26050" xr:uid="{626E9798-57D5-4333-9EDC-2DAA54FF5D2A}"/>
    <cellStyle name="Comma 11 11" xfId="17378" xr:uid="{C1B90D3D-0179-4BDE-A6E8-33A7209E95F9}"/>
    <cellStyle name="Comma 11 2" xfId="95" xr:uid="{E9866577-D8E3-4FD2-AF3D-A04077CD0785}"/>
    <cellStyle name="Comma 11 2 2" xfId="217" xr:uid="{5B5F20CE-EF0E-4AF8-AC2C-8487421C83B5}"/>
    <cellStyle name="Comma 11 2 2 2" xfId="487" xr:uid="{7E40966B-A10E-4041-92E6-53B95175A50A}"/>
    <cellStyle name="Comma 11 2 2 2 2" xfId="1028" xr:uid="{221A8DE3-C88D-4699-9082-F007F2BAD876}"/>
    <cellStyle name="Comma 11 2 2 2 2 2" xfId="2112" xr:uid="{53037371-5892-4AC0-8750-B2A89DFA3B18}"/>
    <cellStyle name="Comma 11 2 2 2 2 2 2" xfId="4280" xr:uid="{BA4467CC-BEBB-4DA8-B430-99564EC962A2}"/>
    <cellStyle name="Comma 11 2 2 2 2 2 2 2" xfId="8616" xr:uid="{54DA6622-666D-4ECC-8162-3064842F5FBE}"/>
    <cellStyle name="Comma 11 2 2 2 2 2 2 2 2" xfId="17288" xr:uid="{E9151F0B-3647-44D7-98E5-2D0D2B61E7F9}"/>
    <cellStyle name="Comma 11 2 2 2 2 2 2 2 2 2" xfId="34632" xr:uid="{2057306B-CF38-4DA6-AEC0-6DE6C7ACC799}"/>
    <cellStyle name="Comma 11 2 2 2 2 2 2 2 3" xfId="25960" xr:uid="{5E19FF59-56D5-4268-8525-12874E644CC0}"/>
    <cellStyle name="Comma 11 2 2 2 2 2 2 3" xfId="12952" xr:uid="{BDE68B6A-38DC-4D2D-9D2C-8439706F139E}"/>
    <cellStyle name="Comma 11 2 2 2 2 2 2 3 2" xfId="30296" xr:uid="{D04D25C7-616D-44DE-9DEE-771A301A8399}"/>
    <cellStyle name="Comma 11 2 2 2 2 2 2 4" xfId="21624" xr:uid="{65753A66-02F0-426D-932B-90A01BC67A12}"/>
    <cellStyle name="Comma 11 2 2 2 2 2 3" xfId="6448" xr:uid="{8F39C2F7-2E30-4803-BEDE-2287C6B095E9}"/>
    <cellStyle name="Comma 11 2 2 2 2 2 3 2" xfId="15120" xr:uid="{A88A005A-99FF-47B7-93AA-8739006D1B16}"/>
    <cellStyle name="Comma 11 2 2 2 2 2 3 2 2" xfId="32464" xr:uid="{5D217583-BCE3-43D1-958E-07324C142A46}"/>
    <cellStyle name="Comma 11 2 2 2 2 2 3 3" xfId="23792" xr:uid="{5660A97C-C1CD-4857-8476-0F2341830388}"/>
    <cellStyle name="Comma 11 2 2 2 2 2 4" xfId="10784" xr:uid="{2BF485CB-638B-42DE-8F4E-F064F6509EF1}"/>
    <cellStyle name="Comma 11 2 2 2 2 2 4 2" xfId="28128" xr:uid="{B366CF7B-8168-433A-A3C6-376299D9ED39}"/>
    <cellStyle name="Comma 11 2 2 2 2 2 5" xfId="19456" xr:uid="{A0ED6278-3053-4079-BBAA-B17CE1748FB0}"/>
    <cellStyle name="Comma 11 2 2 2 2 3" xfId="3196" xr:uid="{353F744C-39DD-44BF-9378-BD7329879640}"/>
    <cellStyle name="Comma 11 2 2 2 2 3 2" xfId="7532" xr:uid="{7AFB9508-CDB4-42BD-837E-8C97E3BBD840}"/>
    <cellStyle name="Comma 11 2 2 2 2 3 2 2" xfId="16204" xr:uid="{2F65C78F-D177-48D9-9D25-D8EAF28A94CF}"/>
    <cellStyle name="Comma 11 2 2 2 2 3 2 2 2" xfId="33548" xr:uid="{7F8D3F72-3793-4F2E-B0C2-F29F5C0B80AD}"/>
    <cellStyle name="Comma 11 2 2 2 2 3 2 3" xfId="24876" xr:uid="{2550EE66-3D49-4DD9-A37F-CEB5092E5883}"/>
    <cellStyle name="Comma 11 2 2 2 2 3 3" xfId="11868" xr:uid="{E8742408-1F7F-4A74-B2AD-77C66281F723}"/>
    <cellStyle name="Comma 11 2 2 2 2 3 3 2" xfId="29212" xr:uid="{C27EAB4A-1A6E-4082-B611-96A55312C7BC}"/>
    <cellStyle name="Comma 11 2 2 2 2 3 4" xfId="20540" xr:uid="{C0CE61C3-FDA8-4DD4-98B3-B217ABE23CD4}"/>
    <cellStyle name="Comma 11 2 2 2 2 4" xfId="5364" xr:uid="{35819E4C-584C-45B0-A6E7-C89EF09ED905}"/>
    <cellStyle name="Comma 11 2 2 2 2 4 2" xfId="14036" xr:uid="{76F0A784-020D-497A-A632-463ACD09A897}"/>
    <cellStyle name="Comma 11 2 2 2 2 4 2 2" xfId="31380" xr:uid="{6BD9D61F-7805-415E-BC4A-B76A67129CAA}"/>
    <cellStyle name="Comma 11 2 2 2 2 4 3" xfId="22708" xr:uid="{EF4F5664-44CD-40FF-A45F-BE3529CAD275}"/>
    <cellStyle name="Comma 11 2 2 2 2 5" xfId="9700" xr:uid="{367244BD-C7DB-4A96-A1F5-D03494855519}"/>
    <cellStyle name="Comma 11 2 2 2 2 5 2" xfId="27044" xr:uid="{9B9FA2BE-486C-403C-AF7D-CF5AAE3EEA90}"/>
    <cellStyle name="Comma 11 2 2 2 2 6" xfId="18372" xr:uid="{013DC743-619C-45EB-B3F5-B83416C7581E}"/>
    <cellStyle name="Comma 11 2 2 2 3" xfId="1571" xr:uid="{E29AAC41-E0A3-45B9-9A59-653307B7B9C8}"/>
    <cellStyle name="Comma 11 2 2 2 3 2" xfId="3739" xr:uid="{639622C2-251C-480A-8037-99E16E3F8C80}"/>
    <cellStyle name="Comma 11 2 2 2 3 2 2" xfId="8075" xr:uid="{BD9BF937-7E18-4525-BC4A-165DE3F4FD9C}"/>
    <cellStyle name="Comma 11 2 2 2 3 2 2 2" xfId="16747" xr:uid="{34796615-7B97-4403-B7D1-F2F524024BDE}"/>
    <cellStyle name="Comma 11 2 2 2 3 2 2 2 2" xfId="34091" xr:uid="{045CDCD3-3FA0-4797-8D0D-28ECE0B9F46D}"/>
    <cellStyle name="Comma 11 2 2 2 3 2 2 3" xfId="25419" xr:uid="{DFF0F03E-4393-415C-872C-F25C49A65067}"/>
    <cellStyle name="Comma 11 2 2 2 3 2 3" xfId="12411" xr:uid="{3D9C367B-8E22-45A6-9DF8-6AFAA6BBF7D3}"/>
    <cellStyle name="Comma 11 2 2 2 3 2 3 2" xfId="29755" xr:uid="{F041ABD0-1119-4287-8D00-8DC3F7A18BAE}"/>
    <cellStyle name="Comma 11 2 2 2 3 2 4" xfId="21083" xr:uid="{EFC94C77-60F2-4C66-BD72-49C0D58B9902}"/>
    <cellStyle name="Comma 11 2 2 2 3 3" xfId="5907" xr:uid="{FB62C022-DD90-4C62-8D5E-CDE497D48198}"/>
    <cellStyle name="Comma 11 2 2 2 3 3 2" xfId="14579" xr:uid="{519C826A-4C62-41E7-8FA4-FDEA94AB2457}"/>
    <cellStyle name="Comma 11 2 2 2 3 3 2 2" xfId="31923" xr:uid="{A10FA398-6964-4DB0-98D8-73370B185535}"/>
    <cellStyle name="Comma 11 2 2 2 3 3 3" xfId="23251" xr:uid="{5203239B-905F-40B1-97E6-F0F612FAED00}"/>
    <cellStyle name="Comma 11 2 2 2 3 4" xfId="10243" xr:uid="{D32AC063-A850-4BA7-8C48-A85EB7E65849}"/>
    <cellStyle name="Comma 11 2 2 2 3 4 2" xfId="27587" xr:uid="{253E1816-CF3C-4483-A2F3-549703318B7C}"/>
    <cellStyle name="Comma 11 2 2 2 3 5" xfId="18915" xr:uid="{651B2C11-F7A8-4572-8761-CBF103FFE252}"/>
    <cellStyle name="Comma 11 2 2 2 4" xfId="2655" xr:uid="{B53E4CA6-17B4-408A-A51C-DECBF72BC4E8}"/>
    <cellStyle name="Comma 11 2 2 2 4 2" xfId="6991" xr:uid="{0FC0EF07-C5E3-43CB-A976-E74CCEB767F3}"/>
    <cellStyle name="Comma 11 2 2 2 4 2 2" xfId="15663" xr:uid="{25685087-3AC7-4F69-8386-ADAB5CADD274}"/>
    <cellStyle name="Comma 11 2 2 2 4 2 2 2" xfId="33007" xr:uid="{C5FBF26A-B1F5-4C8A-9ED1-628A81914F4A}"/>
    <cellStyle name="Comma 11 2 2 2 4 2 3" xfId="24335" xr:uid="{70807D4A-CC39-4E9C-86CA-7CC3793C4EBB}"/>
    <cellStyle name="Comma 11 2 2 2 4 3" xfId="11327" xr:uid="{F5BD3391-FB1B-452C-A8CB-6461DBA4426E}"/>
    <cellStyle name="Comma 11 2 2 2 4 3 2" xfId="28671" xr:uid="{7FDF58EE-F8BF-46AD-89BD-ADE5E299CA6A}"/>
    <cellStyle name="Comma 11 2 2 2 4 4" xfId="19999" xr:uid="{4AD9D625-ECAA-410B-8101-4D094F8CA6FB}"/>
    <cellStyle name="Comma 11 2 2 2 5" xfId="4823" xr:uid="{BBEBB889-C737-4898-B792-12EA873726CF}"/>
    <cellStyle name="Comma 11 2 2 2 5 2" xfId="13495" xr:uid="{60CD19DE-8E36-4E1E-8E3B-C40C2C9BDBA0}"/>
    <cellStyle name="Comma 11 2 2 2 5 2 2" xfId="30839" xr:uid="{44C14C39-ACEA-4F88-A9F6-0F105A162243}"/>
    <cellStyle name="Comma 11 2 2 2 5 3" xfId="22167" xr:uid="{DC5714F2-8EE6-4967-8606-217766512DBD}"/>
    <cellStyle name="Comma 11 2 2 2 6" xfId="9159" xr:uid="{2A3CE6C3-7E3A-40A7-BE2B-266BC402E5FE}"/>
    <cellStyle name="Comma 11 2 2 2 6 2" xfId="26503" xr:uid="{B8375BA5-7A94-47E3-8126-50D17E020A50}"/>
    <cellStyle name="Comma 11 2 2 2 7" xfId="17831" xr:uid="{44BD3A53-9804-46FA-9034-8F21E46FB531}"/>
    <cellStyle name="Comma 11 2 2 3" xfId="758" xr:uid="{2F95A193-27B0-4C57-B1A0-5A5CDD0758EA}"/>
    <cellStyle name="Comma 11 2 2 3 2" xfId="1842" xr:uid="{F97DECBB-AC76-4CFB-AD22-81FB6B3F34C0}"/>
    <cellStyle name="Comma 11 2 2 3 2 2" xfId="4010" xr:uid="{779484A2-7070-4FE7-92C7-664FDFE107D4}"/>
    <cellStyle name="Comma 11 2 2 3 2 2 2" xfId="8346" xr:uid="{6CB7B65F-3D54-4033-94ED-6A572929F1DD}"/>
    <cellStyle name="Comma 11 2 2 3 2 2 2 2" xfId="17018" xr:uid="{B1AC6B7A-7FDA-4993-B4B8-1CBC526DD464}"/>
    <cellStyle name="Comma 11 2 2 3 2 2 2 2 2" xfId="34362" xr:uid="{8D1D37F3-719D-4307-9E2E-DC65D8F4B79C}"/>
    <cellStyle name="Comma 11 2 2 3 2 2 2 3" xfId="25690" xr:uid="{EDAAFC97-528C-4893-8BE6-9FB73A03F272}"/>
    <cellStyle name="Comma 11 2 2 3 2 2 3" xfId="12682" xr:uid="{F0A21244-16BB-4C1C-ADF6-389879A3E9DA}"/>
    <cellStyle name="Comma 11 2 2 3 2 2 3 2" xfId="30026" xr:uid="{2C92ABD0-1225-4FE6-A61C-1B6C7D06F97D}"/>
    <cellStyle name="Comma 11 2 2 3 2 2 4" xfId="21354" xr:uid="{8A904608-8A98-4679-AAE1-45AE75C9E006}"/>
    <cellStyle name="Comma 11 2 2 3 2 3" xfId="6178" xr:uid="{F02186FC-472D-43C8-8409-2E60D3D7EE54}"/>
    <cellStyle name="Comma 11 2 2 3 2 3 2" xfId="14850" xr:uid="{DE6767C9-74F1-4ACF-A766-5F56CC1524C6}"/>
    <cellStyle name="Comma 11 2 2 3 2 3 2 2" xfId="32194" xr:uid="{AFF2D497-D5D1-4344-9A79-2C5538920740}"/>
    <cellStyle name="Comma 11 2 2 3 2 3 3" xfId="23522" xr:uid="{829D220A-8ED2-417C-AD6B-701F2D386220}"/>
    <cellStyle name="Comma 11 2 2 3 2 4" xfId="10514" xr:uid="{4FD6C227-6455-427C-A1E1-F32F57144A88}"/>
    <cellStyle name="Comma 11 2 2 3 2 4 2" xfId="27858" xr:uid="{E02F4E62-79C0-4579-8589-5CE1C557DD53}"/>
    <cellStyle name="Comma 11 2 2 3 2 5" xfId="19186" xr:uid="{36038850-D87F-4029-916A-88F57504B1B1}"/>
    <cellStyle name="Comma 11 2 2 3 3" xfId="2926" xr:uid="{D3CE7A77-197B-4676-B2E5-BC6D52295668}"/>
    <cellStyle name="Comma 11 2 2 3 3 2" xfId="7262" xr:uid="{4ED6C4BC-A8F8-4DF3-8AEE-A21E853B9BAA}"/>
    <cellStyle name="Comma 11 2 2 3 3 2 2" xfId="15934" xr:uid="{595666D2-81EE-47B0-A8D7-A3DF0BFD585D}"/>
    <cellStyle name="Comma 11 2 2 3 3 2 2 2" xfId="33278" xr:uid="{A579752C-389E-4989-B102-E52168121666}"/>
    <cellStyle name="Comma 11 2 2 3 3 2 3" xfId="24606" xr:uid="{781EBBAE-CF5D-479D-A4EA-D0DFD170B5FF}"/>
    <cellStyle name="Comma 11 2 2 3 3 3" xfId="11598" xr:uid="{7A5E3128-99A5-41B0-9538-AC609ED694AE}"/>
    <cellStyle name="Comma 11 2 2 3 3 3 2" xfId="28942" xr:uid="{8EEB60F6-4823-4DEC-AF8B-798946D90E27}"/>
    <cellStyle name="Comma 11 2 2 3 3 4" xfId="20270" xr:uid="{74EDF88D-A155-40DE-B406-FA3902926524}"/>
    <cellStyle name="Comma 11 2 2 3 4" xfId="5094" xr:uid="{9F6D8B29-E028-48FA-968C-6A185DC4C058}"/>
    <cellStyle name="Comma 11 2 2 3 4 2" xfId="13766" xr:uid="{C482555C-04EA-4993-A3F2-7D601903D1C9}"/>
    <cellStyle name="Comma 11 2 2 3 4 2 2" xfId="31110" xr:uid="{FB9F25BF-97AB-4063-8DFD-9826DCB1C50C}"/>
    <cellStyle name="Comma 11 2 2 3 4 3" xfId="22438" xr:uid="{3D09EF41-2D92-481D-A008-0D911942D37B}"/>
    <cellStyle name="Comma 11 2 2 3 5" xfId="9430" xr:uid="{18392055-C587-4EAD-BBBD-9A393E30E2A8}"/>
    <cellStyle name="Comma 11 2 2 3 5 2" xfId="26774" xr:uid="{1C59C331-0F01-4259-802D-5A85D1202AD6}"/>
    <cellStyle name="Comma 11 2 2 3 6" xfId="18102" xr:uid="{60E6E4E6-5B75-4B2F-BAE2-28D3430E9EA9}"/>
    <cellStyle name="Comma 11 2 2 4" xfId="1301" xr:uid="{D66F8C74-4727-4AE1-BE73-3316BE844CF0}"/>
    <cellStyle name="Comma 11 2 2 4 2" xfId="3469" xr:uid="{D70EBADD-B491-4321-9209-CFE1E6ADDADA}"/>
    <cellStyle name="Comma 11 2 2 4 2 2" xfId="7805" xr:uid="{F3B5EAD6-3729-4BF7-B8AE-2AC960FD16EA}"/>
    <cellStyle name="Comma 11 2 2 4 2 2 2" xfId="16477" xr:uid="{C9621E21-5EA1-4261-8A29-2068DDBFA57C}"/>
    <cellStyle name="Comma 11 2 2 4 2 2 2 2" xfId="33821" xr:uid="{EEA05F65-AB49-4269-A9A8-333ADE4383BD}"/>
    <cellStyle name="Comma 11 2 2 4 2 2 3" xfId="25149" xr:uid="{1C0CAC7F-267D-4854-9180-EE9ED239D6CE}"/>
    <cellStyle name="Comma 11 2 2 4 2 3" xfId="12141" xr:uid="{B235F73C-8376-431A-858C-83531E066EA4}"/>
    <cellStyle name="Comma 11 2 2 4 2 3 2" xfId="29485" xr:uid="{5E4CCDF6-9179-4BB6-97D2-64852D2AB5C6}"/>
    <cellStyle name="Comma 11 2 2 4 2 4" xfId="20813" xr:uid="{35F54138-37F3-4A26-A25A-C51C8F1E7895}"/>
    <cellStyle name="Comma 11 2 2 4 3" xfId="5637" xr:uid="{95312148-3B7C-4481-8AA0-C397BD3A6BD2}"/>
    <cellStyle name="Comma 11 2 2 4 3 2" xfId="14309" xr:uid="{49315739-A69B-4BD9-85EB-991C252FAEBE}"/>
    <cellStyle name="Comma 11 2 2 4 3 2 2" xfId="31653" xr:uid="{C76C8B7A-EBBA-4AFE-979C-4C0EC9C31425}"/>
    <cellStyle name="Comma 11 2 2 4 3 3" xfId="22981" xr:uid="{3F8C383F-AC12-407B-B1A5-EFB5AE457C0E}"/>
    <cellStyle name="Comma 11 2 2 4 4" xfId="9973" xr:uid="{C263AA31-9348-4232-B814-F8CBE94252FE}"/>
    <cellStyle name="Comma 11 2 2 4 4 2" xfId="27317" xr:uid="{7CA49B9D-F950-4E39-87BB-6EB6F5F79452}"/>
    <cellStyle name="Comma 11 2 2 4 5" xfId="18645" xr:uid="{F080EC43-3FB8-45F0-895C-70501369A2B6}"/>
    <cellStyle name="Comma 11 2 2 5" xfId="2385" xr:uid="{3C209B8B-C5ED-4473-869A-7243B12FF145}"/>
    <cellStyle name="Comma 11 2 2 5 2" xfId="6721" xr:uid="{A2AFBA90-A419-46AA-B0A5-88ED0BD5CA51}"/>
    <cellStyle name="Comma 11 2 2 5 2 2" xfId="15393" xr:uid="{AEA8250E-6EFD-4494-AEFC-FF8BE2A12356}"/>
    <cellStyle name="Comma 11 2 2 5 2 2 2" xfId="32737" xr:uid="{646EE07F-313A-4E12-8B4C-B1C157E692EC}"/>
    <cellStyle name="Comma 11 2 2 5 2 3" xfId="24065" xr:uid="{046E311D-404A-45C5-B918-1EC97057A3ED}"/>
    <cellStyle name="Comma 11 2 2 5 3" xfId="11057" xr:uid="{20423956-5B80-42F5-B4BF-548974840008}"/>
    <cellStyle name="Comma 11 2 2 5 3 2" xfId="28401" xr:uid="{0BA843D5-1C18-4A58-B77A-96FE53005E60}"/>
    <cellStyle name="Comma 11 2 2 5 4" xfId="19729" xr:uid="{0EEC9DBF-8FE7-4216-AEF8-6553C4CF26B7}"/>
    <cellStyle name="Comma 11 2 2 6" xfId="4553" xr:uid="{135796C8-A29E-443F-A271-1515DC487204}"/>
    <cellStyle name="Comma 11 2 2 6 2" xfId="13225" xr:uid="{60AD02B3-E6F0-402B-A6AE-1A6A196F3C96}"/>
    <cellStyle name="Comma 11 2 2 6 2 2" xfId="30569" xr:uid="{4341D0CE-472F-4E45-B08C-1F037ADD9E82}"/>
    <cellStyle name="Comma 11 2 2 6 3" xfId="21897" xr:uid="{4CCBFAFA-4A9E-4F0C-8110-53195260CB31}"/>
    <cellStyle name="Comma 11 2 2 7" xfId="8889" xr:uid="{170B7ECA-0DA3-4197-93C0-5BE614DC6DDB}"/>
    <cellStyle name="Comma 11 2 2 7 2" xfId="26233" xr:uid="{334C5912-961E-4099-A2DD-83D8F4C3ABE5}"/>
    <cellStyle name="Comma 11 2 2 8" xfId="17561" xr:uid="{FA3195D9-AD28-4F25-A2E3-AEEC1E3210EE}"/>
    <cellStyle name="Comma 11 2 3" xfId="365" xr:uid="{49EFF7AD-558D-4C60-9CA6-96DB87EFEAD9}"/>
    <cellStyle name="Comma 11 2 3 2" xfId="906" xr:uid="{8BEB9CC6-197D-4A3C-ACF3-64C4C874257B}"/>
    <cellStyle name="Comma 11 2 3 2 2" xfId="1990" xr:uid="{F94FCE0D-C0BE-4356-B6AB-36D67F6EFCDC}"/>
    <cellStyle name="Comma 11 2 3 2 2 2" xfId="4158" xr:uid="{A8C65727-7AD7-46C8-8F98-0B40D29B9936}"/>
    <cellStyle name="Comma 11 2 3 2 2 2 2" xfId="8494" xr:uid="{AADFC314-7B96-41D1-B115-3F35FC546C99}"/>
    <cellStyle name="Comma 11 2 3 2 2 2 2 2" xfId="17166" xr:uid="{E22E136E-DFD4-4DB1-98FD-4A386D9C14D5}"/>
    <cellStyle name="Comma 11 2 3 2 2 2 2 2 2" xfId="34510" xr:uid="{F50F0D61-C244-4B39-B354-F753D2C09AA2}"/>
    <cellStyle name="Comma 11 2 3 2 2 2 2 3" xfId="25838" xr:uid="{CB8C6E3B-B1C9-48BA-AB27-B550764B9342}"/>
    <cellStyle name="Comma 11 2 3 2 2 2 3" xfId="12830" xr:uid="{BB147D14-436C-454F-8EBE-072ACCD5444F}"/>
    <cellStyle name="Comma 11 2 3 2 2 2 3 2" xfId="30174" xr:uid="{6094DB2D-4E28-4D3B-B7EA-6C1A6071138E}"/>
    <cellStyle name="Comma 11 2 3 2 2 2 4" xfId="21502" xr:uid="{B88FAD98-9C83-48C3-A09C-9E303C382DD0}"/>
    <cellStyle name="Comma 11 2 3 2 2 3" xfId="6326" xr:uid="{401C685F-2FDC-44EA-BC0B-24F1AE7B354D}"/>
    <cellStyle name="Comma 11 2 3 2 2 3 2" xfId="14998" xr:uid="{5C10617C-CD7E-442C-A335-5C09912B5AF1}"/>
    <cellStyle name="Comma 11 2 3 2 2 3 2 2" xfId="32342" xr:uid="{1C5A5BAD-2AD2-4464-8877-746869F34D9C}"/>
    <cellStyle name="Comma 11 2 3 2 2 3 3" xfId="23670" xr:uid="{EC84FCD4-2368-44D9-99C6-5ED8E8CA1226}"/>
    <cellStyle name="Comma 11 2 3 2 2 4" xfId="10662" xr:uid="{EEEC8398-EBB5-49B2-9DF0-9AE1755DAB69}"/>
    <cellStyle name="Comma 11 2 3 2 2 4 2" xfId="28006" xr:uid="{153CDF99-08F1-434B-8D01-25234BA0BDD7}"/>
    <cellStyle name="Comma 11 2 3 2 2 5" xfId="19334" xr:uid="{27A8BAB1-68A4-442A-A073-7E93C07A7D05}"/>
    <cellStyle name="Comma 11 2 3 2 3" xfId="3074" xr:uid="{AA8A8837-A61A-471A-A01C-FE19AF47E44D}"/>
    <cellStyle name="Comma 11 2 3 2 3 2" xfId="7410" xr:uid="{5A65CA8A-4B2F-46E0-B2EF-7F07CF7AAC53}"/>
    <cellStyle name="Comma 11 2 3 2 3 2 2" xfId="16082" xr:uid="{2E26028B-586B-4821-ACDB-750C1FAD9899}"/>
    <cellStyle name="Comma 11 2 3 2 3 2 2 2" xfId="33426" xr:uid="{E5413770-532E-442A-AB56-242225C0E4CD}"/>
    <cellStyle name="Comma 11 2 3 2 3 2 3" xfId="24754" xr:uid="{BABBF55C-0A1E-41CD-96DB-2DDB80343BCB}"/>
    <cellStyle name="Comma 11 2 3 2 3 3" xfId="11746" xr:uid="{0E351176-3C21-4FBB-BB61-5B09F3B6EC86}"/>
    <cellStyle name="Comma 11 2 3 2 3 3 2" xfId="29090" xr:uid="{CE90C74E-E0EA-4C2E-A1AB-4FB6D877A6D8}"/>
    <cellStyle name="Comma 11 2 3 2 3 4" xfId="20418" xr:uid="{FF232109-2CE3-4808-AE31-AE3A63A6FF70}"/>
    <cellStyle name="Comma 11 2 3 2 4" xfId="5242" xr:uid="{2E3B2E9B-5D65-4984-851E-3A413839164B}"/>
    <cellStyle name="Comma 11 2 3 2 4 2" xfId="13914" xr:uid="{152A45A4-56BE-4E24-B7F4-A5BFF00E289F}"/>
    <cellStyle name="Comma 11 2 3 2 4 2 2" xfId="31258" xr:uid="{91246295-3717-48AD-B113-31CA907B5C89}"/>
    <cellStyle name="Comma 11 2 3 2 4 3" xfId="22586" xr:uid="{D0736BB7-D770-4789-9D77-70D7E085A361}"/>
    <cellStyle name="Comma 11 2 3 2 5" xfId="9578" xr:uid="{FC7D4D71-D6BD-4744-97C7-1EB97D948DFC}"/>
    <cellStyle name="Comma 11 2 3 2 5 2" xfId="26922" xr:uid="{21A974CB-B312-4D7C-A39F-841DA3C2269D}"/>
    <cellStyle name="Comma 11 2 3 2 6" xfId="18250" xr:uid="{4E5703B9-11FC-4BA2-B2EF-AC4BA1BD543F}"/>
    <cellStyle name="Comma 11 2 3 3" xfId="1449" xr:uid="{73BC5865-FC2D-46DB-87AA-E7D0FB98B918}"/>
    <cellStyle name="Comma 11 2 3 3 2" xfId="3617" xr:uid="{AB502944-C732-481F-9C39-7F1ACB4DE997}"/>
    <cellStyle name="Comma 11 2 3 3 2 2" xfId="7953" xr:uid="{08307303-57CF-4907-823D-5DF003EC1268}"/>
    <cellStyle name="Comma 11 2 3 3 2 2 2" xfId="16625" xr:uid="{FE079922-557B-4B91-A63B-32EBFC49696D}"/>
    <cellStyle name="Comma 11 2 3 3 2 2 2 2" xfId="33969" xr:uid="{395C1BAE-277B-42E2-81A4-462D52239E61}"/>
    <cellStyle name="Comma 11 2 3 3 2 2 3" xfId="25297" xr:uid="{7BE89A6E-4556-4C0F-AA7A-D704A0E5C8CE}"/>
    <cellStyle name="Comma 11 2 3 3 2 3" xfId="12289" xr:uid="{418BE770-7269-43CF-8DAA-D6AF4DBD432C}"/>
    <cellStyle name="Comma 11 2 3 3 2 3 2" xfId="29633" xr:uid="{437ABB5F-7894-4B3F-9B8B-17971B9BCC6F}"/>
    <cellStyle name="Comma 11 2 3 3 2 4" xfId="20961" xr:uid="{0D941300-3B80-474C-9423-58B12607D97F}"/>
    <cellStyle name="Comma 11 2 3 3 3" xfId="5785" xr:uid="{A435E667-522E-4343-A869-035339A0F293}"/>
    <cellStyle name="Comma 11 2 3 3 3 2" xfId="14457" xr:uid="{81876A21-F190-4E15-858D-BD1EEA326485}"/>
    <cellStyle name="Comma 11 2 3 3 3 2 2" xfId="31801" xr:uid="{B09E3A59-223A-4D7F-8FC5-715563DC0B11}"/>
    <cellStyle name="Comma 11 2 3 3 3 3" xfId="23129" xr:uid="{585E5587-B9C6-4532-B778-FA87CCE096F4}"/>
    <cellStyle name="Comma 11 2 3 3 4" xfId="10121" xr:uid="{AE289037-596E-4FAF-AA7D-F6BEE1528193}"/>
    <cellStyle name="Comma 11 2 3 3 4 2" xfId="27465" xr:uid="{D0C72D89-B560-473F-B965-99B20BB37FCC}"/>
    <cellStyle name="Comma 11 2 3 3 5" xfId="18793" xr:uid="{912E4897-94DA-4D70-8040-BEDDF98414B2}"/>
    <cellStyle name="Comma 11 2 3 4" xfId="2533" xr:uid="{0E9A7305-3881-472E-A7AB-FEB52CCA639E}"/>
    <cellStyle name="Comma 11 2 3 4 2" xfId="6869" xr:uid="{B2C86A13-C633-4067-9463-50A4C191B5C4}"/>
    <cellStyle name="Comma 11 2 3 4 2 2" xfId="15541" xr:uid="{7D418C4C-317F-4440-AEF4-1BC6C45B7368}"/>
    <cellStyle name="Comma 11 2 3 4 2 2 2" xfId="32885" xr:uid="{293C8719-9F00-45A5-8347-4F625A0749D8}"/>
    <cellStyle name="Comma 11 2 3 4 2 3" xfId="24213" xr:uid="{8AB92670-A866-4B6C-9B3E-FCA1115599D0}"/>
    <cellStyle name="Comma 11 2 3 4 3" xfId="11205" xr:uid="{1D1128C2-4558-44A4-AEDE-58969D0DA0C8}"/>
    <cellStyle name="Comma 11 2 3 4 3 2" xfId="28549" xr:uid="{8EF924F7-B585-4201-83CB-D61A7C4B89AD}"/>
    <cellStyle name="Comma 11 2 3 4 4" xfId="19877" xr:uid="{A6331804-F70A-4DA0-97A9-13CD922C1E3E}"/>
    <cellStyle name="Comma 11 2 3 5" xfId="4701" xr:uid="{69F6D96C-E589-4816-BB74-6EDC54F5B1B2}"/>
    <cellStyle name="Comma 11 2 3 5 2" xfId="13373" xr:uid="{8EEB9C39-B343-4C20-8767-6B5FE958635A}"/>
    <cellStyle name="Comma 11 2 3 5 2 2" xfId="30717" xr:uid="{138118F8-E051-41C3-9908-6E509A0269FF}"/>
    <cellStyle name="Comma 11 2 3 5 3" xfId="22045" xr:uid="{0E1AF229-35D5-411B-BB89-8316293653E7}"/>
    <cellStyle name="Comma 11 2 3 6" xfId="9037" xr:uid="{787300B1-A98B-40E5-8AA8-637069B68135}"/>
    <cellStyle name="Comma 11 2 3 6 2" xfId="26381" xr:uid="{EDFFBCD9-86E4-4D39-818F-34E45DE5E75E}"/>
    <cellStyle name="Comma 11 2 3 7" xfId="17709" xr:uid="{0AB2354A-EEBA-45FC-A632-34296BB9A2F9}"/>
    <cellStyle name="Comma 11 2 4" xfId="636" xr:uid="{26BC7A72-D64D-46F6-9F64-9385BFD29C63}"/>
    <cellStyle name="Comma 11 2 4 2" xfId="1720" xr:uid="{606D7428-23CD-47E0-8AA6-370A0729B084}"/>
    <cellStyle name="Comma 11 2 4 2 2" xfId="3888" xr:uid="{F0BB8F65-27E2-4FDF-A1DE-6CF7631649DA}"/>
    <cellStyle name="Comma 11 2 4 2 2 2" xfId="8224" xr:uid="{36F45779-DAFE-49F6-9318-C7C91E9EB7FE}"/>
    <cellStyle name="Comma 11 2 4 2 2 2 2" xfId="16896" xr:uid="{2914AB23-2A6A-4C6F-B3CA-D077A04E575F}"/>
    <cellStyle name="Comma 11 2 4 2 2 2 2 2" xfId="34240" xr:uid="{5A45E79D-FBD2-4578-BB63-FF4A504AC4A9}"/>
    <cellStyle name="Comma 11 2 4 2 2 2 3" xfId="25568" xr:uid="{88060440-D1BE-4E53-AC85-DB8FE356D728}"/>
    <cellStyle name="Comma 11 2 4 2 2 3" xfId="12560" xr:uid="{9930F9C1-AC92-48FE-B24F-6EF976F819CC}"/>
    <cellStyle name="Comma 11 2 4 2 2 3 2" xfId="29904" xr:uid="{D196CEF3-9574-44A1-A279-32717F0A8EC2}"/>
    <cellStyle name="Comma 11 2 4 2 2 4" xfId="21232" xr:uid="{8C914AB0-DD45-4168-A4AA-8C9B7762BF3A}"/>
    <cellStyle name="Comma 11 2 4 2 3" xfId="6056" xr:uid="{D8445D8C-3752-4C4D-9680-252B2B64A641}"/>
    <cellStyle name="Comma 11 2 4 2 3 2" xfId="14728" xr:uid="{EF243F12-BCAF-41E5-93D5-CE1DB819BB1A}"/>
    <cellStyle name="Comma 11 2 4 2 3 2 2" xfId="32072" xr:uid="{52414C1B-F786-44C8-88BD-DB09DAAC3C20}"/>
    <cellStyle name="Comma 11 2 4 2 3 3" xfId="23400" xr:uid="{F8E30C90-1500-47E3-8D47-23A9ACB7AF87}"/>
    <cellStyle name="Comma 11 2 4 2 4" xfId="10392" xr:uid="{6A0C4592-F905-4B22-830C-1789C3888A7C}"/>
    <cellStyle name="Comma 11 2 4 2 4 2" xfId="27736" xr:uid="{1A1DC300-CDAD-4CFD-8C56-6404A66B2B85}"/>
    <cellStyle name="Comma 11 2 4 2 5" xfId="19064" xr:uid="{CA91DC57-7ABE-4831-ADF2-DE2B33C7DF86}"/>
    <cellStyle name="Comma 11 2 4 3" xfId="2804" xr:uid="{7612C346-490E-4A4A-9A70-584C77BC3297}"/>
    <cellStyle name="Comma 11 2 4 3 2" xfId="7140" xr:uid="{4157A439-4A5A-45EB-93AA-E985F465FC9C}"/>
    <cellStyle name="Comma 11 2 4 3 2 2" xfId="15812" xr:uid="{BBFEE1EF-FE8F-4796-B2CE-B58CEE3582E2}"/>
    <cellStyle name="Comma 11 2 4 3 2 2 2" xfId="33156" xr:uid="{9101E481-5919-4180-A8C7-F7B75011F76B}"/>
    <cellStyle name="Comma 11 2 4 3 2 3" xfId="24484" xr:uid="{F7EC4911-DAEA-4127-9589-308E7370069A}"/>
    <cellStyle name="Comma 11 2 4 3 3" xfId="11476" xr:uid="{AE4C97A3-CFCF-4820-9CB9-59B75EC9CC78}"/>
    <cellStyle name="Comma 11 2 4 3 3 2" xfId="28820" xr:uid="{40A1BB51-AB73-44E6-AA4E-C6FCA2803C2E}"/>
    <cellStyle name="Comma 11 2 4 3 4" xfId="20148" xr:uid="{E59D563C-9E23-40A1-B875-BD81CB1B10CD}"/>
    <cellStyle name="Comma 11 2 4 4" xfId="4972" xr:uid="{069ACAC4-3832-44E5-A236-068E3F4BAE76}"/>
    <cellStyle name="Comma 11 2 4 4 2" xfId="13644" xr:uid="{5FA6A1DA-5934-4CB6-B2D7-0DE81CB09D7B}"/>
    <cellStyle name="Comma 11 2 4 4 2 2" xfId="30988" xr:uid="{D98C3240-802A-47D2-B4FC-356D2C77F6A3}"/>
    <cellStyle name="Comma 11 2 4 4 3" xfId="22316" xr:uid="{78A8A1E0-3F95-4216-BCEC-60E9AD8F9BE5}"/>
    <cellStyle name="Comma 11 2 4 5" xfId="9308" xr:uid="{8FFC0B0B-8D16-4A56-B0CF-8D42F474A682}"/>
    <cellStyle name="Comma 11 2 4 5 2" xfId="26652" xr:uid="{3F954BCC-8BB0-4C65-9797-FE9BBF5DD999}"/>
    <cellStyle name="Comma 11 2 4 6" xfId="17980" xr:uid="{15B8E891-3174-4428-8865-32256DD68415}"/>
    <cellStyle name="Comma 11 2 5" xfId="1179" xr:uid="{315CB555-4840-4298-8F2B-EEE145769CA3}"/>
    <cellStyle name="Comma 11 2 5 2" xfId="3347" xr:uid="{1DAC95D7-85F8-4689-987B-627AD16FBB68}"/>
    <cellStyle name="Comma 11 2 5 2 2" xfId="7683" xr:uid="{8C1B8813-7CBC-45A7-A567-B5BA86FB0231}"/>
    <cellStyle name="Comma 11 2 5 2 2 2" xfId="16355" xr:uid="{754723EB-3ABF-4006-AE94-ABCC0058A2DC}"/>
    <cellStyle name="Comma 11 2 5 2 2 2 2" xfId="33699" xr:uid="{17E4F88E-62CF-4EC1-B38D-CB78F6C8D669}"/>
    <cellStyle name="Comma 11 2 5 2 2 3" xfId="25027" xr:uid="{C30A3F3C-0E2C-467A-B618-46CBFC1F0B38}"/>
    <cellStyle name="Comma 11 2 5 2 3" xfId="12019" xr:uid="{32DFF002-1818-42FD-8278-7EE688A30B36}"/>
    <cellStyle name="Comma 11 2 5 2 3 2" xfId="29363" xr:uid="{0EC8B1CA-2C14-47DD-ACDF-E0C4C5545D4F}"/>
    <cellStyle name="Comma 11 2 5 2 4" xfId="20691" xr:uid="{F1E92665-2326-45BF-8936-170BE70C0D90}"/>
    <cellStyle name="Comma 11 2 5 3" xfId="5515" xr:uid="{F155E9F1-9526-49A7-AF81-FC232DD13F49}"/>
    <cellStyle name="Comma 11 2 5 3 2" xfId="14187" xr:uid="{C1EC27A4-3609-43B1-9EFB-BDB383DDB17B}"/>
    <cellStyle name="Comma 11 2 5 3 2 2" xfId="31531" xr:uid="{19144FFE-31A1-43C8-910B-88CDE3026B2A}"/>
    <cellStyle name="Comma 11 2 5 3 3" xfId="22859" xr:uid="{57FC87EE-9B9A-4E85-83DF-44249E187E25}"/>
    <cellStyle name="Comma 11 2 5 4" xfId="9851" xr:uid="{AE563D7B-6E1A-4DA0-AB59-511C18B2925C}"/>
    <cellStyle name="Comma 11 2 5 4 2" xfId="27195" xr:uid="{E525AE0A-691B-49E4-B7BF-E66EED378D00}"/>
    <cellStyle name="Comma 11 2 5 5" xfId="18523" xr:uid="{0B6E3F70-9B23-4754-81DE-FB34240D71C4}"/>
    <cellStyle name="Comma 11 2 6" xfId="2263" xr:uid="{03F4D536-1ED6-43F5-AB17-5D910938A88C}"/>
    <cellStyle name="Comma 11 2 6 2" xfId="6599" xr:uid="{D24E3E3B-4B34-4A81-B1A0-2468C6EB5817}"/>
    <cellStyle name="Comma 11 2 6 2 2" xfId="15271" xr:uid="{719296B0-9298-4803-829F-FFF6CA014073}"/>
    <cellStyle name="Comma 11 2 6 2 2 2" xfId="32615" xr:uid="{27ACC22E-9067-4634-B648-F52574E27EEA}"/>
    <cellStyle name="Comma 11 2 6 2 3" xfId="23943" xr:uid="{AE526EAB-40C2-407B-8694-AC6CCB629996}"/>
    <cellStyle name="Comma 11 2 6 3" xfId="10935" xr:uid="{24E266FB-1C58-4345-9CEA-05342B71F9E2}"/>
    <cellStyle name="Comma 11 2 6 3 2" xfId="28279" xr:uid="{AC157B13-62B7-4AE2-A5E1-A8B1A44A99C4}"/>
    <cellStyle name="Comma 11 2 6 4" xfId="19607" xr:uid="{54B9B902-FA86-41D7-A651-FF55B512231B}"/>
    <cellStyle name="Comma 11 2 7" xfId="4431" xr:uid="{78ADDC5B-ABA2-4C91-98C9-C5A4486A453D}"/>
    <cellStyle name="Comma 11 2 7 2" xfId="13103" xr:uid="{8973B734-AAD3-49B9-B697-71AB88422716}"/>
    <cellStyle name="Comma 11 2 7 2 2" xfId="30447" xr:uid="{037F5EA3-22EB-40B5-A32A-0B2A741735B9}"/>
    <cellStyle name="Comma 11 2 7 3" xfId="21775" xr:uid="{14866A3E-5C1F-4735-9390-F013BF9F9DAD}"/>
    <cellStyle name="Comma 11 2 8" xfId="8767" xr:uid="{6E88DE8A-3A4A-4808-89C8-BC8A7C20C3F8}"/>
    <cellStyle name="Comma 11 2 8 2" xfId="26111" xr:uid="{04D3C82C-7DA8-423E-A51B-75BA324EA056}"/>
    <cellStyle name="Comma 11 2 9" xfId="17439" xr:uid="{6CAF24F5-13F4-49CE-BA21-C5E11CACCE7D}"/>
    <cellStyle name="Comma 11 3" xfId="156" xr:uid="{150B6300-1374-456E-94EA-BF6AEF43F213}"/>
    <cellStyle name="Comma 11 3 2" xfId="426" xr:uid="{C892C360-AEC6-4987-8D4D-D8A387522E83}"/>
    <cellStyle name="Comma 11 3 2 2" xfId="967" xr:uid="{6FBC872B-1E01-4043-A38B-41D2E7E26481}"/>
    <cellStyle name="Comma 11 3 2 2 2" xfId="2051" xr:uid="{BC162300-80E6-4DAD-8A9A-8B80CFA71950}"/>
    <cellStyle name="Comma 11 3 2 2 2 2" xfId="4219" xr:uid="{23A8911D-A3B7-4F4D-A297-48A07A124BAC}"/>
    <cellStyle name="Comma 11 3 2 2 2 2 2" xfId="8555" xr:uid="{9F960E0F-1FFD-4ECF-97CB-33822F593FD9}"/>
    <cellStyle name="Comma 11 3 2 2 2 2 2 2" xfId="17227" xr:uid="{C30FA7EC-EA77-4B05-9016-DCADB865A981}"/>
    <cellStyle name="Comma 11 3 2 2 2 2 2 2 2" xfId="34571" xr:uid="{EA42F7A1-31AD-45AB-95D2-868D07F03679}"/>
    <cellStyle name="Comma 11 3 2 2 2 2 2 3" xfId="25899" xr:uid="{507E9654-3C77-4A1F-AE4A-F4CA433CBC9A}"/>
    <cellStyle name="Comma 11 3 2 2 2 2 3" xfId="12891" xr:uid="{D5704512-1F68-44A7-8493-EBC65FCF45FD}"/>
    <cellStyle name="Comma 11 3 2 2 2 2 3 2" xfId="30235" xr:uid="{E0351E3B-3223-461F-AA98-48527B421FAC}"/>
    <cellStyle name="Comma 11 3 2 2 2 2 4" xfId="21563" xr:uid="{1DBDD259-6AA3-433A-B1EB-2AD2ACECA5FA}"/>
    <cellStyle name="Comma 11 3 2 2 2 3" xfId="6387" xr:uid="{2F3F0437-A27A-46A5-A097-466A6FF33B4A}"/>
    <cellStyle name="Comma 11 3 2 2 2 3 2" xfId="15059" xr:uid="{0440CF83-F905-453E-96FC-2B98050288BF}"/>
    <cellStyle name="Comma 11 3 2 2 2 3 2 2" xfId="32403" xr:uid="{60464CC1-DFF6-4E01-941A-3C9A11154D75}"/>
    <cellStyle name="Comma 11 3 2 2 2 3 3" xfId="23731" xr:uid="{01203B29-66A7-41B7-A265-05D55D239644}"/>
    <cellStyle name="Comma 11 3 2 2 2 4" xfId="10723" xr:uid="{01214888-D003-43E4-B141-9817D283E18B}"/>
    <cellStyle name="Comma 11 3 2 2 2 4 2" xfId="28067" xr:uid="{22D2AE65-1865-4DE4-80E4-7724C3F41290}"/>
    <cellStyle name="Comma 11 3 2 2 2 5" xfId="19395" xr:uid="{4E5F3F6F-91FD-4A09-B0B8-E7C99BE39F2A}"/>
    <cellStyle name="Comma 11 3 2 2 3" xfId="3135" xr:uid="{834FE119-ED42-4397-824D-DF73E943EEE6}"/>
    <cellStyle name="Comma 11 3 2 2 3 2" xfId="7471" xr:uid="{24E57F48-523E-4B57-A83E-4A6ADF6146D2}"/>
    <cellStyle name="Comma 11 3 2 2 3 2 2" xfId="16143" xr:uid="{F923B3A5-D34D-44DE-937E-9EED12A11857}"/>
    <cellStyle name="Comma 11 3 2 2 3 2 2 2" xfId="33487" xr:uid="{EAA278D1-6FB4-4725-B523-D0E5F71D18C9}"/>
    <cellStyle name="Comma 11 3 2 2 3 2 3" xfId="24815" xr:uid="{161D8BEE-0DF7-4693-8925-9370BA437108}"/>
    <cellStyle name="Comma 11 3 2 2 3 3" xfId="11807" xr:uid="{09EB7BB6-2759-45D7-B750-5289F314471A}"/>
    <cellStyle name="Comma 11 3 2 2 3 3 2" xfId="29151" xr:uid="{4A7CD7A4-04CD-4E84-9D2D-C2B2BC9B788D}"/>
    <cellStyle name="Comma 11 3 2 2 3 4" xfId="20479" xr:uid="{AE0905BC-DFD3-476B-9E1B-400D14BE8F2D}"/>
    <cellStyle name="Comma 11 3 2 2 4" xfId="5303" xr:uid="{55445146-57F3-4067-BAC5-9F5A00712F6B}"/>
    <cellStyle name="Comma 11 3 2 2 4 2" xfId="13975" xr:uid="{4BCA8E3B-18CB-4D24-828E-FA735C4D9EDC}"/>
    <cellStyle name="Comma 11 3 2 2 4 2 2" xfId="31319" xr:uid="{CDA122F9-550B-42E2-A2BB-DFA7E29D686C}"/>
    <cellStyle name="Comma 11 3 2 2 4 3" xfId="22647" xr:uid="{E4220B7E-7974-4353-8ACB-25209D6ADB6C}"/>
    <cellStyle name="Comma 11 3 2 2 5" xfId="9639" xr:uid="{5CC20B99-561F-418E-A81D-6FB317150259}"/>
    <cellStyle name="Comma 11 3 2 2 5 2" xfId="26983" xr:uid="{C94714B0-1B01-4F83-898C-EC6D8AD6A2BD}"/>
    <cellStyle name="Comma 11 3 2 2 6" xfId="18311" xr:uid="{C7C48276-BE1E-408A-A850-7D0E980024E3}"/>
    <cellStyle name="Comma 11 3 2 3" xfId="1510" xr:uid="{7735F5C3-5B87-4EE8-A5F3-129C38F4A755}"/>
    <cellStyle name="Comma 11 3 2 3 2" xfId="3678" xr:uid="{0DF499EA-ABAA-4A23-9FE4-E40656E9AA6E}"/>
    <cellStyle name="Comma 11 3 2 3 2 2" xfId="8014" xr:uid="{A2A94B7F-3D01-4EC2-ABB6-8F547A1F369B}"/>
    <cellStyle name="Comma 11 3 2 3 2 2 2" xfId="16686" xr:uid="{1B0E1310-7426-4FF4-9497-004CF23E6BE9}"/>
    <cellStyle name="Comma 11 3 2 3 2 2 2 2" xfId="34030" xr:uid="{34FC84B2-3DD8-49D9-BB06-8D59B91D40B1}"/>
    <cellStyle name="Comma 11 3 2 3 2 2 3" xfId="25358" xr:uid="{ABE10A1A-041A-4575-9135-7700849E53D3}"/>
    <cellStyle name="Comma 11 3 2 3 2 3" xfId="12350" xr:uid="{2FB93DA3-19E5-42F8-AB64-FEBF8BF46217}"/>
    <cellStyle name="Comma 11 3 2 3 2 3 2" xfId="29694" xr:uid="{D4E4C493-2AE7-49C0-9CB7-3180E026FEF8}"/>
    <cellStyle name="Comma 11 3 2 3 2 4" xfId="21022" xr:uid="{BF131DDB-62EA-4045-AA7A-A941EBF7188B}"/>
    <cellStyle name="Comma 11 3 2 3 3" xfId="5846" xr:uid="{55C5045A-0C42-4B66-ACCD-5E84B1A2F767}"/>
    <cellStyle name="Comma 11 3 2 3 3 2" xfId="14518" xr:uid="{37477EEC-AF26-41B0-A57C-0A3487FCC5D2}"/>
    <cellStyle name="Comma 11 3 2 3 3 2 2" xfId="31862" xr:uid="{5A1CB383-B683-4A4E-9857-A84A7772A7AE}"/>
    <cellStyle name="Comma 11 3 2 3 3 3" xfId="23190" xr:uid="{160B1935-CDCF-4451-9918-67FBADB32C5A}"/>
    <cellStyle name="Comma 11 3 2 3 4" xfId="10182" xr:uid="{39F762F9-D0C4-4B2D-A11E-3F81D9F95C08}"/>
    <cellStyle name="Comma 11 3 2 3 4 2" xfId="27526" xr:uid="{44A5EEFE-19BE-4293-A28E-B5F2A7185EE3}"/>
    <cellStyle name="Comma 11 3 2 3 5" xfId="18854" xr:uid="{DDD68DD0-BD75-48DB-B8A1-F1D18A4CF542}"/>
    <cellStyle name="Comma 11 3 2 4" xfId="2594" xr:uid="{DD70E496-C9BF-47EA-8367-1A41B5E0F145}"/>
    <cellStyle name="Comma 11 3 2 4 2" xfId="6930" xr:uid="{AB0BF1EF-9305-4771-83F3-8672C8FC686E}"/>
    <cellStyle name="Comma 11 3 2 4 2 2" xfId="15602" xr:uid="{04849C2E-E499-4A4F-ACDB-17EF6A56EB4D}"/>
    <cellStyle name="Comma 11 3 2 4 2 2 2" xfId="32946" xr:uid="{75C5E615-6C43-41EE-8D43-944F8BF11CC9}"/>
    <cellStyle name="Comma 11 3 2 4 2 3" xfId="24274" xr:uid="{4EC5B9EC-6975-4715-8B15-A3C4A69CC49A}"/>
    <cellStyle name="Comma 11 3 2 4 3" xfId="11266" xr:uid="{FF973E39-02A6-41EB-AA0B-7220A2695442}"/>
    <cellStyle name="Comma 11 3 2 4 3 2" xfId="28610" xr:uid="{4D94CB6D-AE45-405F-A01A-116018E3793D}"/>
    <cellStyle name="Comma 11 3 2 4 4" xfId="19938" xr:uid="{2E1DCF64-D524-4C88-81F1-7B14E36788DF}"/>
    <cellStyle name="Comma 11 3 2 5" xfId="4762" xr:uid="{3D835721-4895-457A-8248-AB640076A49A}"/>
    <cellStyle name="Comma 11 3 2 5 2" xfId="13434" xr:uid="{7E0DAE4C-9859-47DF-999D-5974B1D046C6}"/>
    <cellStyle name="Comma 11 3 2 5 2 2" xfId="30778" xr:uid="{760D61A4-7CBB-4367-9520-EF2644AB9690}"/>
    <cellStyle name="Comma 11 3 2 5 3" xfId="22106" xr:uid="{046DB43B-C2FD-42CF-BD03-5FB978F997B4}"/>
    <cellStyle name="Comma 11 3 2 6" xfId="9098" xr:uid="{6998A656-C493-4EC3-BFDC-B7E7E841BC81}"/>
    <cellStyle name="Comma 11 3 2 6 2" xfId="26442" xr:uid="{82C01D0D-43B5-4DA2-80F3-493793BAADA5}"/>
    <cellStyle name="Comma 11 3 2 7" xfId="17770" xr:uid="{19485BB5-778A-402D-A96F-2B7FFAD2AB8A}"/>
    <cellStyle name="Comma 11 3 3" xfId="697" xr:uid="{BF4152CC-0E54-46F4-9739-6A25AB2535FA}"/>
    <cellStyle name="Comma 11 3 3 2" xfId="1781" xr:uid="{7B156DFE-BD15-4351-9C47-BB95B9A52942}"/>
    <cellStyle name="Comma 11 3 3 2 2" xfId="3949" xr:uid="{0445C773-C3DB-44F6-A944-32E9264CE85F}"/>
    <cellStyle name="Comma 11 3 3 2 2 2" xfId="8285" xr:uid="{5E906242-49FE-4AE4-946A-C19CB46A17F9}"/>
    <cellStyle name="Comma 11 3 3 2 2 2 2" xfId="16957" xr:uid="{C264C5CA-FF68-42FC-B10D-DC3421BA5F46}"/>
    <cellStyle name="Comma 11 3 3 2 2 2 2 2" xfId="34301" xr:uid="{EC07B48D-3A6C-4D53-87F6-79A8097A3A47}"/>
    <cellStyle name="Comma 11 3 3 2 2 2 3" xfId="25629" xr:uid="{891C8172-CA26-485B-A348-E2989DF25ADB}"/>
    <cellStyle name="Comma 11 3 3 2 2 3" xfId="12621" xr:uid="{02C358E0-D5C6-42D8-B9B1-1EBBEE5303F5}"/>
    <cellStyle name="Comma 11 3 3 2 2 3 2" xfId="29965" xr:uid="{D0142C94-B006-4736-ADC8-75732C0A887B}"/>
    <cellStyle name="Comma 11 3 3 2 2 4" xfId="21293" xr:uid="{04FC3E1B-6B9D-450A-BD20-30D9203F5FF5}"/>
    <cellStyle name="Comma 11 3 3 2 3" xfId="6117" xr:uid="{5E33E53F-0E2D-4977-A659-D1730A8AA7CD}"/>
    <cellStyle name="Comma 11 3 3 2 3 2" xfId="14789" xr:uid="{EDBA758C-EE83-413C-A7BA-5535CCAB40DC}"/>
    <cellStyle name="Comma 11 3 3 2 3 2 2" xfId="32133" xr:uid="{DA43F194-85DB-4B3F-BA50-5AFA007238A6}"/>
    <cellStyle name="Comma 11 3 3 2 3 3" xfId="23461" xr:uid="{C973C27A-920C-425E-B430-D4FD1D5F9DFF}"/>
    <cellStyle name="Comma 11 3 3 2 4" xfId="10453" xr:uid="{65564596-6B2E-4062-BBB5-A9EE3465B382}"/>
    <cellStyle name="Comma 11 3 3 2 4 2" xfId="27797" xr:uid="{114A6FD7-AB12-42EB-9DA5-1A6EE29FC595}"/>
    <cellStyle name="Comma 11 3 3 2 5" xfId="19125" xr:uid="{0FF50929-AE1F-4729-BA59-0A405660057B}"/>
    <cellStyle name="Comma 11 3 3 3" xfId="2865" xr:uid="{BB94A73B-E19E-4591-BFE7-ECAF5D21D658}"/>
    <cellStyle name="Comma 11 3 3 3 2" xfId="7201" xr:uid="{A043BE5D-3C52-437B-8B4C-9A4BED92AB82}"/>
    <cellStyle name="Comma 11 3 3 3 2 2" xfId="15873" xr:uid="{3B2FA4B7-7120-4F00-B5A5-87F458BFB9CD}"/>
    <cellStyle name="Comma 11 3 3 3 2 2 2" xfId="33217" xr:uid="{84CFE8D5-C6BC-47E7-9156-9F836C37E507}"/>
    <cellStyle name="Comma 11 3 3 3 2 3" xfId="24545" xr:uid="{32AD8477-C118-439F-B1A0-639FEC0C06E5}"/>
    <cellStyle name="Comma 11 3 3 3 3" xfId="11537" xr:uid="{674AADF9-4761-4F29-91D3-0214F23979C9}"/>
    <cellStyle name="Comma 11 3 3 3 3 2" xfId="28881" xr:uid="{551AF900-FB4B-4C52-A822-7C0E666BEE69}"/>
    <cellStyle name="Comma 11 3 3 3 4" xfId="20209" xr:uid="{69A78315-DDAE-47EF-B0FF-61FA438F7861}"/>
    <cellStyle name="Comma 11 3 3 4" xfId="5033" xr:uid="{9B0050C6-B189-4BCF-A2BA-66985B545556}"/>
    <cellStyle name="Comma 11 3 3 4 2" xfId="13705" xr:uid="{58EC2494-0EC9-49B3-AEF5-8804B1EBA89E}"/>
    <cellStyle name="Comma 11 3 3 4 2 2" xfId="31049" xr:uid="{CA002060-01EC-4EF5-B1E7-D8836F14524E}"/>
    <cellStyle name="Comma 11 3 3 4 3" xfId="22377" xr:uid="{F6B8D4A0-9C24-4DA3-AA8B-8E79980F65F6}"/>
    <cellStyle name="Comma 11 3 3 5" xfId="9369" xr:uid="{D7C78CA3-BAE5-49AC-8BEC-2D3181FC6746}"/>
    <cellStyle name="Comma 11 3 3 5 2" xfId="26713" xr:uid="{C1632B5A-6288-4F4C-9D48-7716B3D71630}"/>
    <cellStyle name="Comma 11 3 3 6" xfId="18041" xr:uid="{585FBD44-E7E6-4F4E-9D04-54A555EC6467}"/>
    <cellStyle name="Comma 11 3 4" xfId="1240" xr:uid="{707453DB-462D-4576-9176-E61F15936BAF}"/>
    <cellStyle name="Comma 11 3 4 2" xfId="3408" xr:uid="{AB0813BE-94F1-41A8-A776-1BBB4112E48C}"/>
    <cellStyle name="Comma 11 3 4 2 2" xfId="7744" xr:uid="{15920E88-E5FA-4C2C-9AE6-7CC82EEBB4B7}"/>
    <cellStyle name="Comma 11 3 4 2 2 2" xfId="16416" xr:uid="{1076B5D7-3E5C-40CA-9CAD-5012B5A497D3}"/>
    <cellStyle name="Comma 11 3 4 2 2 2 2" xfId="33760" xr:uid="{D147A6AC-9DBB-4F13-86BD-E47EA75EBE30}"/>
    <cellStyle name="Comma 11 3 4 2 2 3" xfId="25088" xr:uid="{842A4311-92F1-449F-998B-CEE115FA5250}"/>
    <cellStyle name="Comma 11 3 4 2 3" xfId="12080" xr:uid="{10F33FF0-FE42-4D42-A990-8D45A31C1CAF}"/>
    <cellStyle name="Comma 11 3 4 2 3 2" xfId="29424" xr:uid="{269852B0-F915-4C08-8E09-425FAA805412}"/>
    <cellStyle name="Comma 11 3 4 2 4" xfId="20752" xr:uid="{DAFFC9FB-D928-4B0D-90DD-2A965A15FEF6}"/>
    <cellStyle name="Comma 11 3 4 3" xfId="5576" xr:uid="{A8B7ED35-63CD-4F45-B498-2F901F481743}"/>
    <cellStyle name="Comma 11 3 4 3 2" xfId="14248" xr:uid="{15D198B3-44BF-4B2A-9640-1B3085B354B6}"/>
    <cellStyle name="Comma 11 3 4 3 2 2" xfId="31592" xr:uid="{4599961E-D0DF-41CC-AE89-4D6A9E698B97}"/>
    <cellStyle name="Comma 11 3 4 3 3" xfId="22920" xr:uid="{03C76E69-8C84-40FF-8E4A-C748B9E8ED49}"/>
    <cellStyle name="Comma 11 3 4 4" xfId="9912" xr:uid="{1C6F83CA-6081-416C-9DE3-1C86FC7D0433}"/>
    <cellStyle name="Comma 11 3 4 4 2" xfId="27256" xr:uid="{A475D3C4-482D-4193-9765-28516F6F0A49}"/>
    <cellStyle name="Comma 11 3 4 5" xfId="18584" xr:uid="{C24FCE54-DC45-45BA-B4E8-1DC5E2984E93}"/>
    <cellStyle name="Comma 11 3 5" xfId="2324" xr:uid="{DEA99C6A-4E39-478F-BABB-D365341EC573}"/>
    <cellStyle name="Comma 11 3 5 2" xfId="6660" xr:uid="{F8DD435E-C413-43EF-BEB4-AA65E664C305}"/>
    <cellStyle name="Comma 11 3 5 2 2" xfId="15332" xr:uid="{27B5ADCD-73C6-46A3-9CD5-EEB76291C563}"/>
    <cellStyle name="Comma 11 3 5 2 2 2" xfId="32676" xr:uid="{1FBAA16E-13EC-4C95-9A67-5B6073165DF0}"/>
    <cellStyle name="Comma 11 3 5 2 3" xfId="24004" xr:uid="{D54372D7-F8D6-476F-98ED-0F6008C36BAB}"/>
    <cellStyle name="Comma 11 3 5 3" xfId="10996" xr:uid="{4D3DFA8E-7858-421C-949C-E14532A8F8B4}"/>
    <cellStyle name="Comma 11 3 5 3 2" xfId="28340" xr:uid="{E48E76E1-730C-481D-A93E-8A239043B5C4}"/>
    <cellStyle name="Comma 11 3 5 4" xfId="19668" xr:uid="{DF9820A2-8301-45D0-BF3C-C03A90F0CD08}"/>
    <cellStyle name="Comma 11 3 6" xfId="4492" xr:uid="{08664ABC-4A0E-4932-A15B-408F2D2FECAB}"/>
    <cellStyle name="Comma 11 3 6 2" xfId="13164" xr:uid="{A5745BA3-2FFC-4F71-AF35-95FEE60EA3DC}"/>
    <cellStyle name="Comma 11 3 6 2 2" xfId="30508" xr:uid="{D9CF0654-DB71-4004-8083-6496973270FC}"/>
    <cellStyle name="Comma 11 3 6 3" xfId="21836" xr:uid="{D5F8A05B-D009-45DC-B33A-04B39B0A56DC}"/>
    <cellStyle name="Comma 11 3 7" xfId="8828" xr:uid="{A10285A3-35DE-469A-A12D-42A7F3C1D688}"/>
    <cellStyle name="Comma 11 3 7 2" xfId="26172" xr:uid="{C1F25E87-7B9E-4151-9EC3-07F4D861630D}"/>
    <cellStyle name="Comma 11 3 8" xfId="17500" xr:uid="{0E9DBEBA-80D5-4395-8712-C24A123D96AB}"/>
    <cellStyle name="Comma 11 4" xfId="271" xr:uid="{68D18AFE-9890-4176-97B3-EB8EF2DD869F}"/>
    <cellStyle name="Comma 11 4 2" xfId="541" xr:uid="{4DF709DB-BD78-4FC6-B6E9-326521B6626C}"/>
    <cellStyle name="Comma 11 4 2 2" xfId="1082" xr:uid="{54DFAB61-56F4-4791-B82E-00C7CA2FC977}"/>
    <cellStyle name="Comma 11 4 2 2 2" xfId="2166" xr:uid="{90C6A6A8-0B49-41CF-9B88-A3763C2D25BB}"/>
    <cellStyle name="Comma 11 4 2 2 2 2" xfId="4334" xr:uid="{BDE1A5D9-785F-4EF3-86D9-7AB31479D512}"/>
    <cellStyle name="Comma 11 4 2 2 2 2 2" xfId="8670" xr:uid="{12350608-6655-499C-81B1-9AD4DAD19F28}"/>
    <cellStyle name="Comma 11 4 2 2 2 2 2 2" xfId="17342" xr:uid="{7E5E2A95-156F-443A-986C-4A654E01E4FE}"/>
    <cellStyle name="Comma 11 4 2 2 2 2 2 2 2" xfId="34686" xr:uid="{495CB5E1-5925-4F86-B8C1-DA1EF41AA57F}"/>
    <cellStyle name="Comma 11 4 2 2 2 2 2 3" xfId="26014" xr:uid="{93B0A990-8127-45E5-AB17-A598AC3D4BC4}"/>
    <cellStyle name="Comma 11 4 2 2 2 2 3" xfId="13006" xr:uid="{C79377C3-D592-4E47-99CD-A9BE0C9026BC}"/>
    <cellStyle name="Comma 11 4 2 2 2 2 3 2" xfId="30350" xr:uid="{7849594C-F380-4A9B-ADFF-693CA626042E}"/>
    <cellStyle name="Comma 11 4 2 2 2 2 4" xfId="21678" xr:uid="{B3994E23-1316-4F0B-804C-50B76D273ECB}"/>
    <cellStyle name="Comma 11 4 2 2 2 3" xfId="6502" xr:uid="{A999BA82-496B-42EA-A991-58F81A91A101}"/>
    <cellStyle name="Comma 11 4 2 2 2 3 2" xfId="15174" xr:uid="{2BAF28E1-437F-4FA7-93C3-D217C428E3B8}"/>
    <cellStyle name="Comma 11 4 2 2 2 3 2 2" xfId="32518" xr:uid="{0384AD36-8D94-4576-9954-695EB7A6EEC8}"/>
    <cellStyle name="Comma 11 4 2 2 2 3 3" xfId="23846" xr:uid="{6044237C-2D6C-44AE-B74A-96355772350D}"/>
    <cellStyle name="Comma 11 4 2 2 2 4" xfId="10838" xr:uid="{4B83848C-602F-4D82-8EA2-05AB68816770}"/>
    <cellStyle name="Comma 11 4 2 2 2 4 2" xfId="28182" xr:uid="{E554EF60-F7B2-4DE5-AD00-41AFFC4A5FCB}"/>
    <cellStyle name="Comma 11 4 2 2 2 5" xfId="19510" xr:uid="{5651217D-8FD3-47DB-88CD-5278D41D8DA4}"/>
    <cellStyle name="Comma 11 4 2 2 3" xfId="3250" xr:uid="{800F8C57-D9D1-4312-81AC-179231B3D3B3}"/>
    <cellStyle name="Comma 11 4 2 2 3 2" xfId="7586" xr:uid="{BD2728A3-249B-4C21-8FF8-BBF662CC8CE9}"/>
    <cellStyle name="Comma 11 4 2 2 3 2 2" xfId="16258" xr:uid="{AB6EAC13-2ABC-4F0F-B680-110190E8AF8F}"/>
    <cellStyle name="Comma 11 4 2 2 3 2 2 2" xfId="33602" xr:uid="{A3BDF00E-8E8E-4906-9856-4C987A8CF7F9}"/>
    <cellStyle name="Comma 11 4 2 2 3 2 3" xfId="24930" xr:uid="{B1FB6315-F5C9-4A88-B377-D85786744AEB}"/>
    <cellStyle name="Comma 11 4 2 2 3 3" xfId="11922" xr:uid="{AF4EB86F-0541-48C1-B45D-700855887E87}"/>
    <cellStyle name="Comma 11 4 2 2 3 3 2" xfId="29266" xr:uid="{AE8F059E-7D81-493D-9217-766A4803547A}"/>
    <cellStyle name="Comma 11 4 2 2 3 4" xfId="20594" xr:uid="{49E957D6-C560-4FAE-914A-C140B1769DE2}"/>
    <cellStyle name="Comma 11 4 2 2 4" xfId="5418" xr:uid="{E35A0228-C6A3-4570-9CBC-AA096C3596D2}"/>
    <cellStyle name="Comma 11 4 2 2 4 2" xfId="14090" xr:uid="{5F97A8A9-6E84-4A2A-8C62-9EB91F6E0206}"/>
    <cellStyle name="Comma 11 4 2 2 4 2 2" xfId="31434" xr:uid="{F6A89709-5A64-4160-9DAB-E78DC42A634D}"/>
    <cellStyle name="Comma 11 4 2 2 4 3" xfId="22762" xr:uid="{A001DA63-74B1-4C81-B717-400D0E638F35}"/>
    <cellStyle name="Comma 11 4 2 2 5" xfId="9754" xr:uid="{AB47DA9A-D6AD-4CC8-A01D-07E56DE901E3}"/>
    <cellStyle name="Comma 11 4 2 2 5 2" xfId="27098" xr:uid="{E31E5609-AA3A-436A-881E-93E1729C978A}"/>
    <cellStyle name="Comma 11 4 2 2 6" xfId="18426" xr:uid="{45F18250-690A-42DF-AB7A-255A6D8F84A6}"/>
    <cellStyle name="Comma 11 4 2 3" xfId="1625" xr:uid="{BA137161-7ECC-454D-8B94-30B871949063}"/>
    <cellStyle name="Comma 11 4 2 3 2" xfId="3793" xr:uid="{B13E6108-247A-465D-9F19-3D6AF1428370}"/>
    <cellStyle name="Comma 11 4 2 3 2 2" xfId="8129" xr:uid="{A650226E-424F-4D96-BF66-6ECE124D9209}"/>
    <cellStyle name="Comma 11 4 2 3 2 2 2" xfId="16801" xr:uid="{68716691-12CA-4CFF-93CE-B1DE34E5923F}"/>
    <cellStyle name="Comma 11 4 2 3 2 2 2 2" xfId="34145" xr:uid="{6F477364-8F90-4FD2-95DF-0746ACB5D566}"/>
    <cellStyle name="Comma 11 4 2 3 2 2 3" xfId="25473" xr:uid="{4FF06C7C-9844-4E98-A15F-E83D46F22535}"/>
    <cellStyle name="Comma 11 4 2 3 2 3" xfId="12465" xr:uid="{EEB9B85A-1794-447E-8010-7B81445214A8}"/>
    <cellStyle name="Comma 11 4 2 3 2 3 2" xfId="29809" xr:uid="{72F26119-1149-45E6-8CC8-89C4239BB1DD}"/>
    <cellStyle name="Comma 11 4 2 3 2 4" xfId="21137" xr:uid="{BBE50A0E-58D8-460B-A6C5-078EC0AB6F4C}"/>
    <cellStyle name="Comma 11 4 2 3 3" xfId="5961" xr:uid="{46FA8603-5032-4BDC-8B4E-82BA8AE33AF4}"/>
    <cellStyle name="Comma 11 4 2 3 3 2" xfId="14633" xr:uid="{497731EA-AE3F-4BA0-9535-FC762353F298}"/>
    <cellStyle name="Comma 11 4 2 3 3 2 2" xfId="31977" xr:uid="{EA4DBD2E-5705-440D-83BE-7DB8D8CB9FE1}"/>
    <cellStyle name="Comma 11 4 2 3 3 3" xfId="23305" xr:uid="{80C6B036-32CB-4BBF-897D-A2F54B63F4BD}"/>
    <cellStyle name="Comma 11 4 2 3 4" xfId="10297" xr:uid="{B759697F-2A02-4330-9076-4F20C69E8565}"/>
    <cellStyle name="Comma 11 4 2 3 4 2" xfId="27641" xr:uid="{02FA0C29-8043-42A8-A2C0-1F81758B04C3}"/>
    <cellStyle name="Comma 11 4 2 3 5" xfId="18969" xr:uid="{0CCEC529-E706-4CF0-9CBD-553E7179EFDB}"/>
    <cellStyle name="Comma 11 4 2 4" xfId="2709" xr:uid="{EA94D3FA-F64D-4C0C-ACD8-DD749160377D}"/>
    <cellStyle name="Comma 11 4 2 4 2" xfId="7045" xr:uid="{841AB1B1-D671-4804-BEF9-F3F494AEDD06}"/>
    <cellStyle name="Comma 11 4 2 4 2 2" xfId="15717" xr:uid="{2124EF70-5FB3-43AE-B844-599F6BAD4E35}"/>
    <cellStyle name="Comma 11 4 2 4 2 2 2" xfId="33061" xr:uid="{6F7C1DF9-2839-4963-B2A7-71524013C026}"/>
    <cellStyle name="Comma 11 4 2 4 2 3" xfId="24389" xr:uid="{3FE5CF6D-8AF6-42C4-B1BB-93B9544D1F40}"/>
    <cellStyle name="Comma 11 4 2 4 3" xfId="11381" xr:uid="{1C542ED4-36E9-4E35-B8EA-ACF55341E39E}"/>
    <cellStyle name="Comma 11 4 2 4 3 2" xfId="28725" xr:uid="{4B2BC462-62B7-413C-BE99-733401C59019}"/>
    <cellStyle name="Comma 11 4 2 4 4" xfId="20053" xr:uid="{1D862439-633D-4D38-9FD7-4968EA53EAC7}"/>
    <cellStyle name="Comma 11 4 2 5" xfId="4877" xr:uid="{FEFD26C5-6541-4D57-9F67-87C7629C6AC0}"/>
    <cellStyle name="Comma 11 4 2 5 2" xfId="13549" xr:uid="{97DF2E80-1781-4335-A95B-D9F011884A01}"/>
    <cellStyle name="Comma 11 4 2 5 2 2" xfId="30893" xr:uid="{356CFBB2-77BC-4833-AB52-D2FD91B924C4}"/>
    <cellStyle name="Comma 11 4 2 5 3" xfId="22221" xr:uid="{6E5DF0C7-670A-4CB3-80FB-94EF5CB761F9}"/>
    <cellStyle name="Comma 11 4 2 6" xfId="9213" xr:uid="{10EAC83F-D988-49B3-A5E7-F5D213418663}"/>
    <cellStyle name="Comma 11 4 2 6 2" xfId="26557" xr:uid="{8D8F6F19-0528-4801-8497-80A5C6C16853}"/>
    <cellStyle name="Comma 11 4 2 7" xfId="17885" xr:uid="{F3548E52-6945-4982-A18A-AD17EB9E64E9}"/>
    <cellStyle name="Comma 11 4 3" xfId="812" xr:uid="{767C4884-A361-47A7-AA29-688EE1FDEA7C}"/>
    <cellStyle name="Comma 11 4 3 2" xfId="1896" xr:uid="{F0C2160B-5683-4C0D-82BD-07C9D13EAA36}"/>
    <cellStyle name="Comma 11 4 3 2 2" xfId="4064" xr:uid="{5E8CD2C6-950F-47F6-9E67-23C1748699B8}"/>
    <cellStyle name="Comma 11 4 3 2 2 2" xfId="8400" xr:uid="{567D886C-9C8E-4A72-BE0E-6A4035046933}"/>
    <cellStyle name="Comma 11 4 3 2 2 2 2" xfId="17072" xr:uid="{87024B35-72BA-46C4-9043-D5A680AC70B6}"/>
    <cellStyle name="Comma 11 4 3 2 2 2 2 2" xfId="34416" xr:uid="{5F7CBEAC-409F-4CA3-8C6F-800AB9CF6FF4}"/>
    <cellStyle name="Comma 11 4 3 2 2 2 3" xfId="25744" xr:uid="{32670E81-524E-4128-9362-B2D994E59FF0}"/>
    <cellStyle name="Comma 11 4 3 2 2 3" xfId="12736" xr:uid="{DAFDEC50-6DB9-4476-B78B-B97CB2C6661D}"/>
    <cellStyle name="Comma 11 4 3 2 2 3 2" xfId="30080" xr:uid="{1E6B4BE7-5445-4785-9C6D-643AC009B15C}"/>
    <cellStyle name="Comma 11 4 3 2 2 4" xfId="21408" xr:uid="{E3CF6AF2-2C00-45C6-A59F-FA57946752B6}"/>
    <cellStyle name="Comma 11 4 3 2 3" xfId="6232" xr:uid="{7DA815C9-DB15-4B4D-90D6-F4409B7D4DB9}"/>
    <cellStyle name="Comma 11 4 3 2 3 2" xfId="14904" xr:uid="{B0B8BEAA-55AB-419B-871B-B02756D6493C}"/>
    <cellStyle name="Comma 11 4 3 2 3 2 2" xfId="32248" xr:uid="{21E00008-B72F-4CD3-8D25-4D2AE264AA31}"/>
    <cellStyle name="Comma 11 4 3 2 3 3" xfId="23576" xr:uid="{A67D9CE0-2CF3-4513-A596-577E7B4616F6}"/>
    <cellStyle name="Comma 11 4 3 2 4" xfId="10568" xr:uid="{34C7EC9B-CF58-4403-A28F-DAF5CA27253B}"/>
    <cellStyle name="Comma 11 4 3 2 4 2" xfId="27912" xr:uid="{3AE6CC4D-97A5-4DC6-995E-AEA23F6A40E8}"/>
    <cellStyle name="Comma 11 4 3 2 5" xfId="19240" xr:uid="{FFDD8DC7-D86A-4627-93A2-BA049283937F}"/>
    <cellStyle name="Comma 11 4 3 3" xfId="2980" xr:uid="{77E98164-CBCD-4F27-8292-F388BD035A1B}"/>
    <cellStyle name="Comma 11 4 3 3 2" xfId="7316" xr:uid="{01080B5A-70D1-48E2-B165-7EC84672E89D}"/>
    <cellStyle name="Comma 11 4 3 3 2 2" xfId="15988" xr:uid="{46501EFC-3247-46F5-98BF-3F3667AAE87D}"/>
    <cellStyle name="Comma 11 4 3 3 2 2 2" xfId="33332" xr:uid="{0DDE2E0B-4905-4841-A6C9-2BF32A2555ED}"/>
    <cellStyle name="Comma 11 4 3 3 2 3" xfId="24660" xr:uid="{C750E28E-E278-4E41-991F-A30EE22098EA}"/>
    <cellStyle name="Comma 11 4 3 3 3" xfId="11652" xr:uid="{1EF687C6-BBE2-4451-AE41-D4BE0A3FABBC}"/>
    <cellStyle name="Comma 11 4 3 3 3 2" xfId="28996" xr:uid="{6F61B28C-3A50-4901-B102-366AE42EEE8D}"/>
    <cellStyle name="Comma 11 4 3 3 4" xfId="20324" xr:uid="{E39E8791-3BBD-4549-B03A-17C4C3035691}"/>
    <cellStyle name="Comma 11 4 3 4" xfId="5148" xr:uid="{88442D40-9DBF-430E-B8C2-1C2827D5FB96}"/>
    <cellStyle name="Comma 11 4 3 4 2" xfId="13820" xr:uid="{1D3D87A5-B711-41A9-9AD5-EFBA931FB2D1}"/>
    <cellStyle name="Comma 11 4 3 4 2 2" xfId="31164" xr:uid="{FA20333B-29C4-4CD1-A05F-3C4D35AE82F4}"/>
    <cellStyle name="Comma 11 4 3 4 3" xfId="22492" xr:uid="{9E458655-6C91-44B6-9CF5-8914FF4AC5B9}"/>
    <cellStyle name="Comma 11 4 3 5" xfId="9484" xr:uid="{1AA0130B-E7B0-4507-B3FF-82DD8E2F4712}"/>
    <cellStyle name="Comma 11 4 3 5 2" xfId="26828" xr:uid="{9EFAD361-A57C-466E-BF65-F0A6C84E8FD5}"/>
    <cellStyle name="Comma 11 4 3 6" xfId="18156" xr:uid="{D2B30518-27C5-4620-BEBF-16E1523F97AF}"/>
    <cellStyle name="Comma 11 4 4" xfId="1355" xr:uid="{53AAEA51-B61B-4E2B-A6E5-7288E6F910D6}"/>
    <cellStyle name="Comma 11 4 4 2" xfId="3523" xr:uid="{14735C53-0101-4C67-A1D6-2527027B3E9C}"/>
    <cellStyle name="Comma 11 4 4 2 2" xfId="7859" xr:uid="{B75062E0-7357-4F84-9E30-01748838854F}"/>
    <cellStyle name="Comma 11 4 4 2 2 2" xfId="16531" xr:uid="{56BBA797-B776-4A16-9EB0-7D077D118C77}"/>
    <cellStyle name="Comma 11 4 4 2 2 2 2" xfId="33875" xr:uid="{4435510E-F64B-4211-BD35-9ACFF440F059}"/>
    <cellStyle name="Comma 11 4 4 2 2 3" xfId="25203" xr:uid="{E88787A1-5625-47DD-8E52-CC1826245B8F}"/>
    <cellStyle name="Comma 11 4 4 2 3" xfId="12195" xr:uid="{D193EB36-E73A-4567-B7AF-126735CD60A5}"/>
    <cellStyle name="Comma 11 4 4 2 3 2" xfId="29539" xr:uid="{784EDBB7-7D28-4E8B-AF55-B5D973FA72A5}"/>
    <cellStyle name="Comma 11 4 4 2 4" xfId="20867" xr:uid="{1FDA11E7-7C14-4789-AF1E-33ABD682B0CE}"/>
    <cellStyle name="Comma 11 4 4 3" xfId="5691" xr:uid="{EE9A9543-8791-42BA-9954-3F8E70887C14}"/>
    <cellStyle name="Comma 11 4 4 3 2" xfId="14363" xr:uid="{79A5D8DE-7066-4435-8E81-A4351A3EBF82}"/>
    <cellStyle name="Comma 11 4 4 3 2 2" xfId="31707" xr:uid="{F3798D1E-7D37-40B7-84A3-B75F3BD0B048}"/>
    <cellStyle name="Comma 11 4 4 3 3" xfId="23035" xr:uid="{C43F3230-C529-4833-A84F-59253F4DEE08}"/>
    <cellStyle name="Comma 11 4 4 4" xfId="10027" xr:uid="{3CF936F0-43D2-44B0-A74E-E6F699888D3C}"/>
    <cellStyle name="Comma 11 4 4 4 2" xfId="27371" xr:uid="{9ED178B8-C650-41DE-A262-1B5EE9056A1B}"/>
    <cellStyle name="Comma 11 4 4 5" xfId="18699" xr:uid="{3AEBA7F2-45F6-4291-BD2F-ABE34D7D194C}"/>
    <cellStyle name="Comma 11 4 5" xfId="2439" xr:uid="{64BF9A36-16BC-4249-9DB7-27AC4DEE1695}"/>
    <cellStyle name="Comma 11 4 5 2" xfId="6775" xr:uid="{8CDAC2A5-4AB6-417A-ABFF-BA0FE4402DA3}"/>
    <cellStyle name="Comma 11 4 5 2 2" xfId="15447" xr:uid="{C59B8FEA-0DFF-4666-ACD7-AC08CA57DC9E}"/>
    <cellStyle name="Comma 11 4 5 2 2 2" xfId="32791" xr:uid="{915E1205-B3A5-410B-AC1D-D6B8F2B44D75}"/>
    <cellStyle name="Comma 11 4 5 2 3" xfId="24119" xr:uid="{B88D03F5-DE9B-466F-AFFE-801CF9C96981}"/>
    <cellStyle name="Comma 11 4 5 3" xfId="11111" xr:uid="{40576C04-702D-40B5-858A-F9140840D051}"/>
    <cellStyle name="Comma 11 4 5 3 2" xfId="28455" xr:uid="{4EA0FC7A-948F-4F59-9C16-ADBBFD8E7871}"/>
    <cellStyle name="Comma 11 4 5 4" xfId="19783" xr:uid="{66846ED4-AD9C-46CB-906E-08B99926AECE}"/>
    <cellStyle name="Comma 11 4 6" xfId="4607" xr:uid="{876955B6-2937-46EE-9C19-5F2A2C75C416}"/>
    <cellStyle name="Comma 11 4 6 2" xfId="13279" xr:uid="{BBC8AA3C-74C9-460F-8634-09E8E7923044}"/>
    <cellStyle name="Comma 11 4 6 2 2" xfId="30623" xr:uid="{DD64F9CA-99E3-4A9B-9D04-2653B32A656F}"/>
    <cellStyle name="Comma 11 4 6 3" xfId="21951" xr:uid="{5240AEE3-00E4-4B63-A7FA-19D9558E6686}"/>
    <cellStyle name="Comma 11 4 7" xfId="8943" xr:uid="{EB4092BD-751D-4A70-9E36-4428AB9D1FFB}"/>
    <cellStyle name="Comma 11 4 7 2" xfId="26287" xr:uid="{56BC61E5-F4D5-4015-93BE-EAD96A0F4A1D}"/>
    <cellStyle name="Comma 11 4 8" xfId="17615" xr:uid="{3BB827A8-05E4-4860-AC5A-D1CFA2136093}"/>
    <cellStyle name="Comma 11 5" xfId="304" xr:uid="{079EB43A-2198-47E8-954C-16C90060B254}"/>
    <cellStyle name="Comma 11 5 2" xfId="845" xr:uid="{7536A101-E95B-44A6-9B84-4E1E0837BA11}"/>
    <cellStyle name="Comma 11 5 2 2" xfId="1929" xr:uid="{1A3E8459-DAD4-4AA2-9EFE-F72B9376B861}"/>
    <cellStyle name="Comma 11 5 2 2 2" xfId="4097" xr:uid="{F867F06F-5A7B-4156-AF06-5451DB699969}"/>
    <cellStyle name="Comma 11 5 2 2 2 2" xfId="8433" xr:uid="{1B829036-EAA9-44D0-8C26-C3C17239ECD7}"/>
    <cellStyle name="Comma 11 5 2 2 2 2 2" xfId="17105" xr:uid="{4272D21E-3F54-41B2-822F-808A1E497FC7}"/>
    <cellStyle name="Comma 11 5 2 2 2 2 2 2" xfId="34449" xr:uid="{1290B175-9A5F-42B4-B718-CEE9E6DEF3A8}"/>
    <cellStyle name="Comma 11 5 2 2 2 2 3" xfId="25777" xr:uid="{53760695-7D2C-4C1F-8D90-CE199A7ED23B}"/>
    <cellStyle name="Comma 11 5 2 2 2 3" xfId="12769" xr:uid="{CFE01788-A401-49AE-ACE1-5E3C488B255C}"/>
    <cellStyle name="Comma 11 5 2 2 2 3 2" xfId="30113" xr:uid="{B1634DD3-6E0C-4427-A540-B0F89563BB16}"/>
    <cellStyle name="Comma 11 5 2 2 2 4" xfId="21441" xr:uid="{DC345B66-21F9-4D59-8B4F-BACF571F014E}"/>
    <cellStyle name="Comma 11 5 2 2 3" xfId="6265" xr:uid="{C207DF21-953F-40BD-993A-DBBE9B2F72F7}"/>
    <cellStyle name="Comma 11 5 2 2 3 2" xfId="14937" xr:uid="{9B5A4C57-B4C5-40E6-BACC-9D8EE1D895D5}"/>
    <cellStyle name="Comma 11 5 2 2 3 2 2" xfId="32281" xr:uid="{DDDE34E6-5D03-4017-BD2C-A48E6D57EBC8}"/>
    <cellStyle name="Comma 11 5 2 2 3 3" xfId="23609" xr:uid="{90C7B6A1-810F-4BDB-B9A1-6AD2A25EA807}"/>
    <cellStyle name="Comma 11 5 2 2 4" xfId="10601" xr:uid="{D8593625-B756-41C1-8076-ADB5C7755FF5}"/>
    <cellStyle name="Comma 11 5 2 2 4 2" xfId="27945" xr:uid="{61B34705-9CCF-44D6-AB44-D952A65B53C6}"/>
    <cellStyle name="Comma 11 5 2 2 5" xfId="19273" xr:uid="{97E8847E-DF1A-479A-BB9B-0C48F6A8FE57}"/>
    <cellStyle name="Comma 11 5 2 3" xfId="3013" xr:uid="{8BB429E4-F3FC-4A03-A921-DEADB4F3154B}"/>
    <cellStyle name="Comma 11 5 2 3 2" xfId="7349" xr:uid="{E0DE0262-DE85-40D6-BA77-29388D46B3C3}"/>
    <cellStyle name="Comma 11 5 2 3 2 2" xfId="16021" xr:uid="{A4946DC0-A5A9-4528-9807-1F13FFEBC362}"/>
    <cellStyle name="Comma 11 5 2 3 2 2 2" xfId="33365" xr:uid="{8E260A4F-D789-4E9B-B4C6-37602AAFA893}"/>
    <cellStyle name="Comma 11 5 2 3 2 3" xfId="24693" xr:uid="{A9FA488E-CD23-455F-94D0-8EE47812DB73}"/>
    <cellStyle name="Comma 11 5 2 3 3" xfId="11685" xr:uid="{F4AE375C-96AD-4143-8B66-0EBC681C16E7}"/>
    <cellStyle name="Comma 11 5 2 3 3 2" xfId="29029" xr:uid="{ECC19682-6906-4108-BFCE-AC9490662814}"/>
    <cellStyle name="Comma 11 5 2 3 4" xfId="20357" xr:uid="{F78E26CD-A919-4BAB-B711-D450E26689E7}"/>
    <cellStyle name="Comma 11 5 2 4" xfId="5181" xr:uid="{20A3462B-1EC5-4B4F-8448-74BC887EC47C}"/>
    <cellStyle name="Comma 11 5 2 4 2" xfId="13853" xr:uid="{83BDC7E3-3E26-4CAD-B6C1-702ED257745E}"/>
    <cellStyle name="Comma 11 5 2 4 2 2" xfId="31197" xr:uid="{61BB89C2-8374-47B4-A7F1-920FB5D6449E}"/>
    <cellStyle name="Comma 11 5 2 4 3" xfId="22525" xr:uid="{9F75609F-8F99-44F5-A221-E925D06A4C3B}"/>
    <cellStyle name="Comma 11 5 2 5" xfId="9517" xr:uid="{0918C7BE-D37E-4714-BAC2-814275A48EC2}"/>
    <cellStyle name="Comma 11 5 2 5 2" xfId="26861" xr:uid="{68E4F37F-C84E-4D4C-A4C3-F8930E7D4E0F}"/>
    <cellStyle name="Comma 11 5 2 6" xfId="18189" xr:uid="{58E39604-3289-4904-A1B0-F68BEE0E3654}"/>
    <cellStyle name="Comma 11 5 3" xfId="1388" xr:uid="{2497DF5A-481A-4455-A121-6C10661C0BC9}"/>
    <cellStyle name="Comma 11 5 3 2" xfId="3556" xr:uid="{6A13F620-1562-400E-B987-DDB695F18966}"/>
    <cellStyle name="Comma 11 5 3 2 2" xfId="7892" xr:uid="{36340254-1B59-4D86-9C19-813E4C447CF9}"/>
    <cellStyle name="Comma 11 5 3 2 2 2" xfId="16564" xr:uid="{7102079A-A2FC-4242-927B-A03EB7514E8A}"/>
    <cellStyle name="Comma 11 5 3 2 2 2 2" xfId="33908" xr:uid="{F508EF8B-5BB8-4DC5-BDB5-3D8948C771B2}"/>
    <cellStyle name="Comma 11 5 3 2 2 3" xfId="25236" xr:uid="{504A0251-5549-43E4-86A8-A81D3FBABDBB}"/>
    <cellStyle name="Comma 11 5 3 2 3" xfId="12228" xr:uid="{1B1DAF39-6D14-4FCB-A27D-A64626E19767}"/>
    <cellStyle name="Comma 11 5 3 2 3 2" xfId="29572" xr:uid="{09E9DB84-A03C-4C1A-8E45-CA468A782D4C}"/>
    <cellStyle name="Comma 11 5 3 2 4" xfId="20900" xr:uid="{491C128E-CFF0-46C5-A5B3-C9F7EAAB34B1}"/>
    <cellStyle name="Comma 11 5 3 3" xfId="5724" xr:uid="{0CD3245F-8502-410C-9DE3-F2CD589F9E08}"/>
    <cellStyle name="Comma 11 5 3 3 2" xfId="14396" xr:uid="{C660ED20-5786-4495-92C0-0A7D72A8E69A}"/>
    <cellStyle name="Comma 11 5 3 3 2 2" xfId="31740" xr:uid="{9857901E-EAA8-4009-AB08-9731CBE7955A}"/>
    <cellStyle name="Comma 11 5 3 3 3" xfId="23068" xr:uid="{AE6F5656-F259-431D-8A54-9BBBE7F4F682}"/>
    <cellStyle name="Comma 11 5 3 4" xfId="10060" xr:uid="{31FB1557-A2B0-46AD-8F48-F16AFB8DD6C4}"/>
    <cellStyle name="Comma 11 5 3 4 2" xfId="27404" xr:uid="{9EBE8940-07C2-4501-B1E8-5BE7DF702736}"/>
    <cellStyle name="Comma 11 5 3 5" xfId="18732" xr:uid="{2A9C1E46-0315-4FAB-AB66-F3CFC5A007B8}"/>
    <cellStyle name="Comma 11 5 4" xfId="2472" xr:uid="{6DE6A7E7-3587-47B2-9283-A8E4273819A5}"/>
    <cellStyle name="Comma 11 5 4 2" xfId="6808" xr:uid="{8551750C-8726-4B66-BB18-79FD8DB70406}"/>
    <cellStyle name="Comma 11 5 4 2 2" xfId="15480" xr:uid="{DE79B29B-071E-4D19-A0EA-1001B177B341}"/>
    <cellStyle name="Comma 11 5 4 2 2 2" xfId="32824" xr:uid="{9AA6E80A-AF45-4F73-BDB1-D54953F85FC7}"/>
    <cellStyle name="Comma 11 5 4 2 3" xfId="24152" xr:uid="{8E67D549-1716-46A3-A8E4-FF5A8A034130}"/>
    <cellStyle name="Comma 11 5 4 3" xfId="11144" xr:uid="{959F0BAF-4A7B-4269-B8F5-61CD8EC7C9AF}"/>
    <cellStyle name="Comma 11 5 4 3 2" xfId="28488" xr:uid="{89123EA8-1EC8-4E20-AB68-713BD929D1A3}"/>
    <cellStyle name="Comma 11 5 4 4" xfId="19816" xr:uid="{56B553DC-B9A7-43DE-A0CC-0D800684088F}"/>
    <cellStyle name="Comma 11 5 5" xfId="4640" xr:uid="{F06289E1-FE19-493D-86DD-5E7A1369D716}"/>
    <cellStyle name="Comma 11 5 5 2" xfId="13312" xr:uid="{68594A93-0067-48E8-ABA0-9B17A9376BC1}"/>
    <cellStyle name="Comma 11 5 5 2 2" xfId="30656" xr:uid="{04035121-4CF2-4549-84A3-B7F547C827D0}"/>
    <cellStyle name="Comma 11 5 5 3" xfId="21984" xr:uid="{88C04A19-E7E5-4B32-857A-6AA9D4981286}"/>
    <cellStyle name="Comma 11 5 6" xfId="8976" xr:uid="{FAD1B6DA-8D94-4413-ABA1-B65613DD861C}"/>
    <cellStyle name="Comma 11 5 6 2" xfId="26320" xr:uid="{7DB48FDD-2866-40EF-B55E-3BD057121981}"/>
    <cellStyle name="Comma 11 5 7" xfId="17648" xr:uid="{C29C0CFA-86CC-4E7A-9B4A-EFE16E88E08C}"/>
    <cellStyle name="Comma 11 6" xfId="575" xr:uid="{3F720E3B-7845-445C-B6C5-0A5A791D0D94}"/>
    <cellStyle name="Comma 11 6 2" xfId="1659" xr:uid="{CA4E8242-C79E-4FB3-B7BD-FA410C76BDE0}"/>
    <cellStyle name="Comma 11 6 2 2" xfId="3827" xr:uid="{317AF918-1620-4645-999A-362FB5B9A904}"/>
    <cellStyle name="Comma 11 6 2 2 2" xfId="8163" xr:uid="{9F392519-A629-45BA-BB53-6B90C1063DD0}"/>
    <cellStyle name="Comma 11 6 2 2 2 2" xfId="16835" xr:uid="{58ADE54B-6088-4C4D-9190-01A0CD7D392C}"/>
    <cellStyle name="Comma 11 6 2 2 2 2 2" xfId="34179" xr:uid="{DBEF4E69-A38A-4CC9-826C-8ED50C8DDD7C}"/>
    <cellStyle name="Comma 11 6 2 2 2 3" xfId="25507" xr:uid="{40A2ECB8-D005-4913-BF46-8CB751787E66}"/>
    <cellStyle name="Comma 11 6 2 2 3" xfId="12499" xr:uid="{9E32153D-9FE8-48F0-8754-4ED16876451D}"/>
    <cellStyle name="Comma 11 6 2 2 3 2" xfId="29843" xr:uid="{15A8F9E9-4CE5-4E3E-A156-3E36A0A8401B}"/>
    <cellStyle name="Comma 11 6 2 2 4" xfId="21171" xr:uid="{DBDF602B-538D-4D25-828D-1C229021ABDE}"/>
    <cellStyle name="Comma 11 6 2 3" xfId="5995" xr:uid="{61A6A5D8-C7B2-4507-ABD3-C4EFC9EF3DDA}"/>
    <cellStyle name="Comma 11 6 2 3 2" xfId="14667" xr:uid="{3B228DD5-3381-4BFF-86F7-3F6E2902DB7A}"/>
    <cellStyle name="Comma 11 6 2 3 2 2" xfId="32011" xr:uid="{7D85A170-43BE-47E9-9B92-B40379ADBD73}"/>
    <cellStyle name="Comma 11 6 2 3 3" xfId="23339" xr:uid="{CABFCB38-0E0D-4760-9861-F00AE5D13858}"/>
    <cellStyle name="Comma 11 6 2 4" xfId="10331" xr:uid="{1B24D168-D90E-46AA-8A11-92C8E7C83FF4}"/>
    <cellStyle name="Comma 11 6 2 4 2" xfId="27675" xr:uid="{8D25627A-6C59-433D-8613-FB4DF98E7B5E}"/>
    <cellStyle name="Comma 11 6 2 5" xfId="19003" xr:uid="{85A41CDD-6D65-43A6-AD7A-08128993C2CA}"/>
    <cellStyle name="Comma 11 6 3" xfId="2743" xr:uid="{DA5E439B-A0E0-4981-A966-C397D0300977}"/>
    <cellStyle name="Comma 11 6 3 2" xfId="7079" xr:uid="{36065BB0-B32A-494F-97D5-FDE4572273C0}"/>
    <cellStyle name="Comma 11 6 3 2 2" xfId="15751" xr:uid="{511D7D09-5B74-46E3-8D9A-5CC1F4728074}"/>
    <cellStyle name="Comma 11 6 3 2 2 2" xfId="33095" xr:uid="{FF0EAB95-1100-4B42-BB99-3BB263E6A3D9}"/>
    <cellStyle name="Comma 11 6 3 2 3" xfId="24423" xr:uid="{F2CFF03D-0CFA-403A-B4E6-D32DD3ECCB24}"/>
    <cellStyle name="Comma 11 6 3 3" xfId="11415" xr:uid="{F76854AF-46EF-4050-8267-5FCB6E8E2EE2}"/>
    <cellStyle name="Comma 11 6 3 3 2" xfId="28759" xr:uid="{27B9B4D5-80E0-4D93-8D85-7BA91CA1E244}"/>
    <cellStyle name="Comma 11 6 3 4" xfId="20087" xr:uid="{609AC85B-E39C-4AEC-BBAD-23B9315CEDB8}"/>
    <cellStyle name="Comma 11 6 4" xfId="4911" xr:uid="{DA533AC8-AE56-4AF4-9305-9199F62E7DED}"/>
    <cellStyle name="Comma 11 6 4 2" xfId="13583" xr:uid="{4F31FED9-293D-4ED4-ABFA-62A3B9EC4D7B}"/>
    <cellStyle name="Comma 11 6 4 2 2" xfId="30927" xr:uid="{86D5D042-2CE3-43F3-8A01-7F441BD14EAE}"/>
    <cellStyle name="Comma 11 6 4 3" xfId="22255" xr:uid="{C48FB6AD-650D-4690-9725-D02D49A161B0}"/>
    <cellStyle name="Comma 11 6 5" xfId="9247" xr:uid="{1AC75659-7B0C-42EC-9E2A-9007F6998C12}"/>
    <cellStyle name="Comma 11 6 5 2" xfId="26591" xr:uid="{4702418C-8184-4795-B67B-4C486FD24DEE}"/>
    <cellStyle name="Comma 11 6 6" xfId="17919" xr:uid="{C7673243-7720-4BA6-AA14-C7DA51FB8471}"/>
    <cellStyle name="Comma 11 7" xfId="1118" xr:uid="{45CA3F23-06CB-45F1-9D29-C07543AFC399}"/>
    <cellStyle name="Comma 11 7 2" xfId="3286" xr:uid="{429D468E-4910-42A9-9963-C0B7B0B7CECA}"/>
    <cellStyle name="Comma 11 7 2 2" xfId="7622" xr:uid="{F5AACEFA-9E46-4C64-891B-4926C49AD766}"/>
    <cellStyle name="Comma 11 7 2 2 2" xfId="16294" xr:uid="{BFA43827-B792-47DF-8A6B-C009C2AEA603}"/>
    <cellStyle name="Comma 11 7 2 2 2 2" xfId="33638" xr:uid="{C09063EF-4EA3-4D97-87DC-DD0C58C4EBBF}"/>
    <cellStyle name="Comma 11 7 2 2 3" xfId="24966" xr:uid="{AECE16E2-61B2-4602-9087-7BAC817838E8}"/>
    <cellStyle name="Comma 11 7 2 3" xfId="11958" xr:uid="{47F42FBA-1037-4AD0-92C8-46B958F42E8E}"/>
    <cellStyle name="Comma 11 7 2 3 2" xfId="29302" xr:uid="{011271C4-3926-475D-A5CD-133279AF1D7E}"/>
    <cellStyle name="Comma 11 7 2 4" xfId="20630" xr:uid="{1E9E5636-B4CA-471C-A8AF-BDD593023FAC}"/>
    <cellStyle name="Comma 11 7 3" xfId="5454" xr:uid="{8C02CD12-73BF-4FBB-B335-ACB4AE295C90}"/>
    <cellStyle name="Comma 11 7 3 2" xfId="14126" xr:uid="{EB3650B4-7725-40A3-8F2F-4DD4F2B410C3}"/>
    <cellStyle name="Comma 11 7 3 2 2" xfId="31470" xr:uid="{B1E4C691-D666-4BCD-B67C-D2E7FF4CF433}"/>
    <cellStyle name="Comma 11 7 3 3" xfId="22798" xr:uid="{0A11966A-1044-4CB2-83BD-9226C3E8BA14}"/>
    <cellStyle name="Comma 11 7 4" xfId="9790" xr:uid="{9E49D795-9E1C-444B-BDC9-BDC838D98B0C}"/>
    <cellStyle name="Comma 11 7 4 2" xfId="27134" xr:uid="{C1C522E9-9E9C-400F-885C-D937D678E494}"/>
    <cellStyle name="Comma 11 7 5" xfId="18462" xr:uid="{0659FB7F-9667-4B4F-B56C-CA08EE0FB325}"/>
    <cellStyle name="Comma 11 8" xfId="2202" xr:uid="{5DB011FF-8C6C-4826-A7A1-84DF73A1EE81}"/>
    <cellStyle name="Comma 11 8 2" xfId="6538" xr:uid="{53321515-0A46-4447-8860-1A30D6F3AA9F}"/>
    <cellStyle name="Comma 11 8 2 2" xfId="15210" xr:uid="{6189871F-ECDE-4DAD-9AD3-F4BDE0C4BCFA}"/>
    <cellStyle name="Comma 11 8 2 2 2" xfId="32554" xr:uid="{D615C499-DFDD-448D-9B5B-A0070CDE6ACB}"/>
    <cellStyle name="Comma 11 8 2 3" xfId="23882" xr:uid="{31B6B90E-0BB8-4EFC-A5E4-3C8D5ADF4335}"/>
    <cellStyle name="Comma 11 8 3" xfId="10874" xr:uid="{8A92475F-6EF8-4182-9DB9-44CC1E935833}"/>
    <cellStyle name="Comma 11 8 3 2" xfId="28218" xr:uid="{B8C59DF6-DA00-4731-99CA-480FD2ECE337}"/>
    <cellStyle name="Comma 11 8 4" xfId="19546" xr:uid="{A262642B-A4B7-43E4-9A24-030AD87CDDB8}"/>
    <cellStyle name="Comma 11 9" xfId="4370" xr:uid="{EE8EEDE8-C3DD-4B1F-8456-07BAF14CFDF9}"/>
    <cellStyle name="Comma 11 9 2" xfId="13042" xr:uid="{F4D85FF8-700D-4D90-AEF8-2D02A06E4264}"/>
    <cellStyle name="Comma 11 9 2 2" xfId="30386" xr:uid="{C9ADE2FE-F1F9-4A50-98BE-D53E25A8FCE0}"/>
    <cellStyle name="Comma 11 9 3" xfId="21714" xr:uid="{AEAF22F5-B54B-44F5-9079-855A1368141A}"/>
    <cellStyle name="Comma 12" xfId="42" xr:uid="{41451450-619C-432A-B590-F81E4CFA787C}"/>
    <cellStyle name="Comma 12 10" xfId="17386" xr:uid="{1DD044F8-C635-44A7-9BE8-4BF873354DA0}"/>
    <cellStyle name="Comma 12 2" xfId="103" xr:uid="{FF5B0A06-AC73-40CD-942F-0FD80A1F9CA5}"/>
    <cellStyle name="Comma 12 2 2" xfId="225" xr:uid="{F259FF7D-CD6A-4831-A9C8-BE034989B554}"/>
    <cellStyle name="Comma 12 2 2 2" xfId="495" xr:uid="{ABA2D117-FFCB-45D2-962E-862406E1B87A}"/>
    <cellStyle name="Comma 12 2 2 2 2" xfId="1036" xr:uid="{B4CCB228-9536-4710-91F9-AF0A8C1922FB}"/>
    <cellStyle name="Comma 12 2 2 2 2 2" xfId="2120" xr:uid="{A1711360-E294-4A67-AFC9-9CB31218B917}"/>
    <cellStyle name="Comma 12 2 2 2 2 2 2" xfId="4288" xr:uid="{44B14CC7-EDC8-4E94-ACAD-856E2B3B1669}"/>
    <cellStyle name="Comma 12 2 2 2 2 2 2 2" xfId="8624" xr:uid="{8843B8D8-8521-41C6-AAD1-9B75C953425E}"/>
    <cellStyle name="Comma 12 2 2 2 2 2 2 2 2" xfId="17296" xr:uid="{B73ED6CA-59C2-40D4-8192-7DCB6452CE82}"/>
    <cellStyle name="Comma 12 2 2 2 2 2 2 2 2 2" xfId="34640" xr:uid="{65F077BD-7A89-44DD-8303-88FF74CA3A79}"/>
    <cellStyle name="Comma 12 2 2 2 2 2 2 2 3" xfId="25968" xr:uid="{4D2267F0-EA4D-469F-893E-7C2751EFDB73}"/>
    <cellStyle name="Comma 12 2 2 2 2 2 2 3" xfId="12960" xr:uid="{6E10EC8A-B392-4390-8207-65C6B3093EBD}"/>
    <cellStyle name="Comma 12 2 2 2 2 2 2 3 2" xfId="30304" xr:uid="{89976E75-9242-42BD-8643-34E6CDCF51B0}"/>
    <cellStyle name="Comma 12 2 2 2 2 2 2 4" xfId="21632" xr:uid="{BC9C3AC0-BA8B-480E-9FF1-D07F4A40BE79}"/>
    <cellStyle name="Comma 12 2 2 2 2 2 3" xfId="6456" xr:uid="{50CB7231-1C3C-454C-85B9-279B65AFA1BD}"/>
    <cellStyle name="Comma 12 2 2 2 2 2 3 2" xfId="15128" xr:uid="{EA3AE5FF-4A0E-481D-B24E-52EAFCCE4571}"/>
    <cellStyle name="Comma 12 2 2 2 2 2 3 2 2" xfId="32472" xr:uid="{8B1012EF-56D3-4800-B6B4-9069327AF5E6}"/>
    <cellStyle name="Comma 12 2 2 2 2 2 3 3" xfId="23800" xr:uid="{CF4EF6F3-86C5-4150-8773-BCF56A9C4CC5}"/>
    <cellStyle name="Comma 12 2 2 2 2 2 4" xfId="10792" xr:uid="{200F51DA-6C7C-4C74-86D8-F1608835BE10}"/>
    <cellStyle name="Comma 12 2 2 2 2 2 4 2" xfId="28136" xr:uid="{ADB9C3C7-6898-4255-A00C-CF6312F2CCEB}"/>
    <cellStyle name="Comma 12 2 2 2 2 2 5" xfId="19464" xr:uid="{66FCFCB9-82A5-46F2-8C2E-0FF8D6ABDA2A}"/>
    <cellStyle name="Comma 12 2 2 2 2 3" xfId="3204" xr:uid="{733FB8BA-9A98-453D-BBF2-F80699605EDE}"/>
    <cellStyle name="Comma 12 2 2 2 2 3 2" xfId="7540" xr:uid="{441C4068-B47C-484F-8352-BA1B616ACB87}"/>
    <cellStyle name="Comma 12 2 2 2 2 3 2 2" xfId="16212" xr:uid="{1706CEA0-9CDF-4D35-82D4-47A233A42ACB}"/>
    <cellStyle name="Comma 12 2 2 2 2 3 2 2 2" xfId="33556" xr:uid="{31271D68-DC85-4775-B087-B785E7EB9D6A}"/>
    <cellStyle name="Comma 12 2 2 2 2 3 2 3" xfId="24884" xr:uid="{D499CC17-8FC1-4D68-8948-B1C090B85D1B}"/>
    <cellStyle name="Comma 12 2 2 2 2 3 3" xfId="11876" xr:uid="{D9C616F3-D9DE-475B-B3BF-EB3C12F89A34}"/>
    <cellStyle name="Comma 12 2 2 2 2 3 3 2" xfId="29220" xr:uid="{860651BB-88C1-498F-B444-9D5792712C33}"/>
    <cellStyle name="Comma 12 2 2 2 2 3 4" xfId="20548" xr:uid="{C1637859-1D4A-4E83-A1BC-0ED7AEFCE10B}"/>
    <cellStyle name="Comma 12 2 2 2 2 4" xfId="5372" xr:uid="{74BFC0E4-D3D0-4263-8BC7-F1F745CB4202}"/>
    <cellStyle name="Comma 12 2 2 2 2 4 2" xfId="14044" xr:uid="{0DE399FE-2712-48EA-8492-BFA1E7F50923}"/>
    <cellStyle name="Comma 12 2 2 2 2 4 2 2" xfId="31388" xr:uid="{53E7CB3E-A57A-464F-9D60-FA52DF704E83}"/>
    <cellStyle name="Comma 12 2 2 2 2 4 3" xfId="22716" xr:uid="{BC04C979-58BB-4B47-8E2F-0018211D2181}"/>
    <cellStyle name="Comma 12 2 2 2 2 5" xfId="9708" xr:uid="{3CBE2092-F662-4F86-B543-0DC7C1A52CCA}"/>
    <cellStyle name="Comma 12 2 2 2 2 5 2" xfId="27052" xr:uid="{663319FD-5306-4068-B6FF-577EB1257690}"/>
    <cellStyle name="Comma 12 2 2 2 2 6" xfId="18380" xr:uid="{1AB2C530-3B05-4CE7-B169-938E975A0AD8}"/>
    <cellStyle name="Comma 12 2 2 2 3" xfId="1579" xr:uid="{FADCD1AE-723B-4BB8-847C-C9D1230BAB2C}"/>
    <cellStyle name="Comma 12 2 2 2 3 2" xfId="3747" xr:uid="{8DC71C71-63CA-4A9D-96C2-CFAB0C2D1FE8}"/>
    <cellStyle name="Comma 12 2 2 2 3 2 2" xfId="8083" xr:uid="{FDF157F1-286E-405E-B642-D88F073A307C}"/>
    <cellStyle name="Comma 12 2 2 2 3 2 2 2" xfId="16755" xr:uid="{DED200E8-6DA0-4590-8010-3A97BB13ACCA}"/>
    <cellStyle name="Comma 12 2 2 2 3 2 2 2 2" xfId="34099" xr:uid="{4D654DAD-A263-4A9E-BD9E-A683762CC9F6}"/>
    <cellStyle name="Comma 12 2 2 2 3 2 2 3" xfId="25427" xr:uid="{F843E451-C88A-44F2-A529-DC337128DE4E}"/>
    <cellStyle name="Comma 12 2 2 2 3 2 3" xfId="12419" xr:uid="{EB8D8E1C-C980-4602-B3D2-CC6BEC51AA0A}"/>
    <cellStyle name="Comma 12 2 2 2 3 2 3 2" xfId="29763" xr:uid="{C1213286-2B82-4EE7-AD50-45E3C5E8C231}"/>
    <cellStyle name="Comma 12 2 2 2 3 2 4" xfId="21091" xr:uid="{09C16AEB-BA0D-44A9-9FF4-8E579345F080}"/>
    <cellStyle name="Comma 12 2 2 2 3 3" xfId="5915" xr:uid="{2F5F3B83-2E75-417F-B223-B913CA1C6370}"/>
    <cellStyle name="Comma 12 2 2 2 3 3 2" xfId="14587" xr:uid="{2287AC47-BD30-40F7-AAB6-5051B9D63EED}"/>
    <cellStyle name="Comma 12 2 2 2 3 3 2 2" xfId="31931" xr:uid="{83FEBCAB-57E1-402E-B8F1-1B62DF1B2539}"/>
    <cellStyle name="Comma 12 2 2 2 3 3 3" xfId="23259" xr:uid="{60C144EE-8154-49D6-ACAA-F4C6856324B7}"/>
    <cellStyle name="Comma 12 2 2 2 3 4" xfId="10251" xr:uid="{C7A0F4B6-FA5E-41AF-B944-4F3C16A8E907}"/>
    <cellStyle name="Comma 12 2 2 2 3 4 2" xfId="27595" xr:uid="{1CFF3B75-03FD-4D48-BD38-394C416EF935}"/>
    <cellStyle name="Comma 12 2 2 2 3 5" xfId="18923" xr:uid="{D6013C90-AEF5-41A8-A0EC-2BD061EE6E33}"/>
    <cellStyle name="Comma 12 2 2 2 4" xfId="2663" xr:uid="{946EB701-50D1-469B-A6CD-BCB44EB69995}"/>
    <cellStyle name="Comma 12 2 2 2 4 2" xfId="6999" xr:uid="{EFC3C95E-480E-4C0C-9850-8D7B6561200C}"/>
    <cellStyle name="Comma 12 2 2 2 4 2 2" xfId="15671" xr:uid="{588ED272-0A8C-4A80-88B9-36D05B5ABCFB}"/>
    <cellStyle name="Comma 12 2 2 2 4 2 2 2" xfId="33015" xr:uid="{1E4879A6-5D8E-4C56-908E-236C44104646}"/>
    <cellStyle name="Comma 12 2 2 2 4 2 3" xfId="24343" xr:uid="{4A678288-F6BB-4E7F-B5D5-9A6DBC7F1186}"/>
    <cellStyle name="Comma 12 2 2 2 4 3" xfId="11335" xr:uid="{648BBE61-B595-48A9-982C-0FD46146130A}"/>
    <cellStyle name="Comma 12 2 2 2 4 3 2" xfId="28679" xr:uid="{521C2241-73AF-48D2-8654-6FB02CE4143A}"/>
    <cellStyle name="Comma 12 2 2 2 4 4" xfId="20007" xr:uid="{F7C3D461-86F8-414B-BADF-2469EDC957F5}"/>
    <cellStyle name="Comma 12 2 2 2 5" xfId="4831" xr:uid="{45CC12BD-BFE5-4C96-91A9-B12934938BA5}"/>
    <cellStyle name="Comma 12 2 2 2 5 2" xfId="13503" xr:uid="{CB760177-854B-4117-AF34-3DB7F2EAB449}"/>
    <cellStyle name="Comma 12 2 2 2 5 2 2" xfId="30847" xr:uid="{DDEB9943-C078-4F89-83F0-90E16E3CC5E8}"/>
    <cellStyle name="Comma 12 2 2 2 5 3" xfId="22175" xr:uid="{ED67587B-C1F2-49DA-AB8D-37A395F29937}"/>
    <cellStyle name="Comma 12 2 2 2 6" xfId="9167" xr:uid="{EBABAE16-9FB7-417C-A047-1AC2331F92F0}"/>
    <cellStyle name="Comma 12 2 2 2 6 2" xfId="26511" xr:uid="{14A771FE-6F37-4F9B-AA7F-B9A492A11C1B}"/>
    <cellStyle name="Comma 12 2 2 2 7" xfId="17839" xr:uid="{C29EB260-A7D3-450F-9644-C830E5AF8BE4}"/>
    <cellStyle name="Comma 12 2 2 3" xfId="766" xr:uid="{52B27BE9-51B2-42EB-B4A4-4A6AEAD9CE5E}"/>
    <cellStyle name="Comma 12 2 2 3 2" xfId="1850" xr:uid="{28A8B063-8238-4B13-A122-472FE0937823}"/>
    <cellStyle name="Comma 12 2 2 3 2 2" xfId="4018" xr:uid="{3F9834FB-FD48-4ACB-9EF0-166A2CAD897C}"/>
    <cellStyle name="Comma 12 2 2 3 2 2 2" xfId="8354" xr:uid="{5F5B356D-3AC4-4D26-B60F-1D6B868A4604}"/>
    <cellStyle name="Comma 12 2 2 3 2 2 2 2" xfId="17026" xr:uid="{5B9D25AA-89B6-49C6-A513-B4C98CC2CF08}"/>
    <cellStyle name="Comma 12 2 2 3 2 2 2 2 2" xfId="34370" xr:uid="{38D91938-AF44-4B75-82B3-3E3DE4BA3304}"/>
    <cellStyle name="Comma 12 2 2 3 2 2 2 3" xfId="25698" xr:uid="{CA09F837-31FB-4C1E-82CE-01AE250502CC}"/>
    <cellStyle name="Comma 12 2 2 3 2 2 3" xfId="12690" xr:uid="{F31E39E1-400E-4817-9FC0-4D48132FFAF4}"/>
    <cellStyle name="Comma 12 2 2 3 2 2 3 2" xfId="30034" xr:uid="{8797F4BF-CC33-431F-8628-88D806CF6DA9}"/>
    <cellStyle name="Comma 12 2 2 3 2 2 4" xfId="21362" xr:uid="{459AFD14-9682-46C3-BB82-12991783C19D}"/>
    <cellStyle name="Comma 12 2 2 3 2 3" xfId="6186" xr:uid="{FCF5A411-806F-4AC9-AAD3-6E603796E357}"/>
    <cellStyle name="Comma 12 2 2 3 2 3 2" xfId="14858" xr:uid="{6741A994-C374-4E98-BC35-474537BA3D5A}"/>
    <cellStyle name="Comma 12 2 2 3 2 3 2 2" xfId="32202" xr:uid="{FFD5A577-F81E-4EC1-9547-DE1DA4FDA84F}"/>
    <cellStyle name="Comma 12 2 2 3 2 3 3" xfId="23530" xr:uid="{B8C0EA0C-45C7-4583-A693-0233E935E165}"/>
    <cellStyle name="Comma 12 2 2 3 2 4" xfId="10522" xr:uid="{BA4C47EA-8CA4-4E17-8CD3-B256092FA683}"/>
    <cellStyle name="Comma 12 2 2 3 2 4 2" xfId="27866" xr:uid="{21EED163-2E9D-4F1A-A021-0594F952FD81}"/>
    <cellStyle name="Comma 12 2 2 3 2 5" xfId="19194" xr:uid="{768FC222-FD93-4C41-8E37-9A46802E7094}"/>
    <cellStyle name="Comma 12 2 2 3 3" xfId="2934" xr:uid="{FDECAB4E-738C-49B3-8355-992D90DB1BC6}"/>
    <cellStyle name="Comma 12 2 2 3 3 2" xfId="7270" xr:uid="{5D3E47C1-7F4E-4FE9-BAA0-FE9786FA7399}"/>
    <cellStyle name="Comma 12 2 2 3 3 2 2" xfId="15942" xr:uid="{64B0CFF7-007A-4F8C-9DBD-1ADE51EFB0EE}"/>
    <cellStyle name="Comma 12 2 2 3 3 2 2 2" xfId="33286" xr:uid="{0A11C912-FA91-4463-B626-291A97DB538D}"/>
    <cellStyle name="Comma 12 2 2 3 3 2 3" xfId="24614" xr:uid="{8AEBDC22-4E69-4702-8A7F-329449895406}"/>
    <cellStyle name="Comma 12 2 2 3 3 3" xfId="11606" xr:uid="{913D16BB-D173-4AD4-A6FC-316329E49EF2}"/>
    <cellStyle name="Comma 12 2 2 3 3 3 2" xfId="28950" xr:uid="{92858689-F888-4B1B-8ACB-E66FAC5EBF18}"/>
    <cellStyle name="Comma 12 2 2 3 3 4" xfId="20278" xr:uid="{C23C1AE6-5338-431A-A599-61B05E120649}"/>
    <cellStyle name="Comma 12 2 2 3 4" xfId="5102" xr:uid="{1D842235-75E0-4F80-96CB-DE5702DA51B3}"/>
    <cellStyle name="Comma 12 2 2 3 4 2" xfId="13774" xr:uid="{D4FDFD3F-806E-4BE3-842E-F87C341BD08C}"/>
    <cellStyle name="Comma 12 2 2 3 4 2 2" xfId="31118" xr:uid="{570EC0BB-C5EE-494E-9483-B636E64BEC5E}"/>
    <cellStyle name="Comma 12 2 2 3 4 3" xfId="22446" xr:uid="{CA3552AC-3040-4EFF-B872-8D1EC77279EB}"/>
    <cellStyle name="Comma 12 2 2 3 5" xfId="9438" xr:uid="{636BFF32-8EEF-425B-BDE1-CC233106AB86}"/>
    <cellStyle name="Comma 12 2 2 3 5 2" xfId="26782" xr:uid="{DE9F4EAC-93FD-4DA8-B551-4FFB6B8D1DD8}"/>
    <cellStyle name="Comma 12 2 2 3 6" xfId="18110" xr:uid="{79A21194-39C0-477B-8EC2-B99B81C7F005}"/>
    <cellStyle name="Comma 12 2 2 4" xfId="1309" xr:uid="{35C5E4B7-9581-487A-8C01-DE0A2E36426C}"/>
    <cellStyle name="Comma 12 2 2 4 2" xfId="3477" xr:uid="{0BBAEBF4-AE36-4F0B-9F49-F9050A44848A}"/>
    <cellStyle name="Comma 12 2 2 4 2 2" xfId="7813" xr:uid="{816AC830-E02B-4626-8BA8-36585E4C324C}"/>
    <cellStyle name="Comma 12 2 2 4 2 2 2" xfId="16485" xr:uid="{8343A17D-EFA1-4A2F-BF3B-9D336CB49CDE}"/>
    <cellStyle name="Comma 12 2 2 4 2 2 2 2" xfId="33829" xr:uid="{2053FB05-F3BD-46C3-BCF9-4B1EFD84EFBC}"/>
    <cellStyle name="Comma 12 2 2 4 2 2 3" xfId="25157" xr:uid="{13C88E26-454B-4424-B4B9-40B61E8B0B90}"/>
    <cellStyle name="Comma 12 2 2 4 2 3" xfId="12149" xr:uid="{0874F7C8-B69D-4653-8C66-D35FA18C24C0}"/>
    <cellStyle name="Comma 12 2 2 4 2 3 2" xfId="29493" xr:uid="{810F6670-8B04-4A3F-BDEF-4E00897DC08B}"/>
    <cellStyle name="Comma 12 2 2 4 2 4" xfId="20821" xr:uid="{EE43D0A5-9380-4FD8-8879-90322D116422}"/>
    <cellStyle name="Comma 12 2 2 4 3" xfId="5645" xr:uid="{5493E9C3-054F-4C93-9ED8-DF71D72DEE8A}"/>
    <cellStyle name="Comma 12 2 2 4 3 2" xfId="14317" xr:uid="{8FBFF8D3-102A-4E88-BE44-1E9B11B48B80}"/>
    <cellStyle name="Comma 12 2 2 4 3 2 2" xfId="31661" xr:uid="{24BD33EF-638A-46FF-8522-41F86B0E97A5}"/>
    <cellStyle name="Comma 12 2 2 4 3 3" xfId="22989" xr:uid="{A4506B64-08F7-4CC7-847C-DC3BB526956B}"/>
    <cellStyle name="Comma 12 2 2 4 4" xfId="9981" xr:uid="{6917FD17-3DCB-47F8-86DB-54F23ED96FFF}"/>
    <cellStyle name="Comma 12 2 2 4 4 2" xfId="27325" xr:uid="{F9FA8095-EC9D-43FF-B7E8-0B29C1F7482C}"/>
    <cellStyle name="Comma 12 2 2 4 5" xfId="18653" xr:uid="{969CB00A-B0F0-4B00-9BBA-A1070AB992AA}"/>
    <cellStyle name="Comma 12 2 2 5" xfId="2393" xr:uid="{D0A91822-D237-4C2A-82B8-33EF408F7D26}"/>
    <cellStyle name="Comma 12 2 2 5 2" xfId="6729" xr:uid="{B1B6A2FD-1A6B-4AB2-AD43-B5BE6FCA3663}"/>
    <cellStyle name="Comma 12 2 2 5 2 2" xfId="15401" xr:uid="{2D86BF7F-867F-4A34-85CC-198819FC80D0}"/>
    <cellStyle name="Comma 12 2 2 5 2 2 2" xfId="32745" xr:uid="{1C43111C-6ED2-4047-81EA-A5D0849B4DC2}"/>
    <cellStyle name="Comma 12 2 2 5 2 3" xfId="24073" xr:uid="{21CD0ADF-B629-4C0C-84F6-8E6B79CF0954}"/>
    <cellStyle name="Comma 12 2 2 5 3" xfId="11065" xr:uid="{7D2C496D-2B71-466E-BB4F-1BBE06A0D3A8}"/>
    <cellStyle name="Comma 12 2 2 5 3 2" xfId="28409" xr:uid="{CC996DA9-7DD1-4561-BB20-55A05EC67F42}"/>
    <cellStyle name="Comma 12 2 2 5 4" xfId="19737" xr:uid="{913339AF-2939-4E4C-B16E-7DEA53B06259}"/>
    <cellStyle name="Comma 12 2 2 6" xfId="4561" xr:uid="{D318C4F5-EEFC-4A93-B7D8-4DCB51576A81}"/>
    <cellStyle name="Comma 12 2 2 6 2" xfId="13233" xr:uid="{0D400739-23FE-4455-A062-6A5820FA7542}"/>
    <cellStyle name="Comma 12 2 2 6 2 2" xfId="30577" xr:uid="{B2D71377-A69E-4076-9AD4-941CC4901BB2}"/>
    <cellStyle name="Comma 12 2 2 6 3" xfId="21905" xr:uid="{1941FBA5-F49C-4F6A-B120-3E9BDDC853A3}"/>
    <cellStyle name="Comma 12 2 2 7" xfId="8897" xr:uid="{2C3D5A82-E221-4A97-9DDB-B22589D44E01}"/>
    <cellStyle name="Comma 12 2 2 7 2" xfId="26241" xr:uid="{8AC262D7-CBAD-4A06-ACD8-263951CE9A52}"/>
    <cellStyle name="Comma 12 2 2 8" xfId="17569" xr:uid="{29E27036-DD54-4C05-9F42-EF77B619DAE5}"/>
    <cellStyle name="Comma 12 2 3" xfId="373" xr:uid="{4CD7D9FA-AC95-4303-A136-36B75A99D143}"/>
    <cellStyle name="Comma 12 2 3 2" xfId="914" xr:uid="{0231B803-903D-4B69-AC07-E3C111BD4000}"/>
    <cellStyle name="Comma 12 2 3 2 2" xfId="1998" xr:uid="{C042F172-D3DB-4B0E-8FEE-BC1B1F6F2491}"/>
    <cellStyle name="Comma 12 2 3 2 2 2" xfId="4166" xr:uid="{6DD7809B-6B32-4BA6-ADE4-70EEB50A00F5}"/>
    <cellStyle name="Comma 12 2 3 2 2 2 2" xfId="8502" xr:uid="{A6A6122B-3DBA-4F94-830E-39FE8671F1CD}"/>
    <cellStyle name="Comma 12 2 3 2 2 2 2 2" xfId="17174" xr:uid="{EB91FFE9-9E0B-4F69-8D53-2FD69DE8A4BA}"/>
    <cellStyle name="Comma 12 2 3 2 2 2 2 2 2" xfId="34518" xr:uid="{68DEAF62-6A3B-4024-B114-4657F5A7719D}"/>
    <cellStyle name="Comma 12 2 3 2 2 2 2 3" xfId="25846" xr:uid="{912BB739-0C74-404D-9858-23AC1610F352}"/>
    <cellStyle name="Comma 12 2 3 2 2 2 3" xfId="12838" xr:uid="{C873A6C0-A6C1-4C82-9929-1FFBF8608A1D}"/>
    <cellStyle name="Comma 12 2 3 2 2 2 3 2" xfId="30182" xr:uid="{91B113E8-5F9E-4801-AF25-5B0B386F7BFC}"/>
    <cellStyle name="Comma 12 2 3 2 2 2 4" xfId="21510" xr:uid="{7065AF27-4C52-4EFE-9FF0-6CF8464D0C0B}"/>
    <cellStyle name="Comma 12 2 3 2 2 3" xfId="6334" xr:uid="{FC0ACC9E-78D8-417F-9AF6-26960398A015}"/>
    <cellStyle name="Comma 12 2 3 2 2 3 2" xfId="15006" xr:uid="{7C4CB3C9-C83C-4C73-A723-196E1EE54690}"/>
    <cellStyle name="Comma 12 2 3 2 2 3 2 2" xfId="32350" xr:uid="{43553E7E-4EAB-4850-B159-E2DC061AED5A}"/>
    <cellStyle name="Comma 12 2 3 2 2 3 3" xfId="23678" xr:uid="{521A3CE3-9169-43BF-9CE6-23C4EEA5E4D6}"/>
    <cellStyle name="Comma 12 2 3 2 2 4" xfId="10670" xr:uid="{4C2E32E9-2BF4-4C96-BDC4-95D372D4C65C}"/>
    <cellStyle name="Comma 12 2 3 2 2 4 2" xfId="28014" xr:uid="{CD078214-3228-425F-BB87-0FEEBB241714}"/>
    <cellStyle name="Comma 12 2 3 2 2 5" xfId="19342" xr:uid="{C80C251D-5772-4FE3-828E-5F6FA5771F7A}"/>
    <cellStyle name="Comma 12 2 3 2 3" xfId="3082" xr:uid="{B06D4308-B886-47D9-91FD-4B9F0249F540}"/>
    <cellStyle name="Comma 12 2 3 2 3 2" xfId="7418" xr:uid="{CC2CC5B2-FE8B-4E8C-A921-F9C8269DA9C8}"/>
    <cellStyle name="Comma 12 2 3 2 3 2 2" xfId="16090" xr:uid="{0F372DAF-7667-492C-8BC5-D661CC8D603A}"/>
    <cellStyle name="Comma 12 2 3 2 3 2 2 2" xfId="33434" xr:uid="{BCF5AFE3-8392-4F93-9070-00B7D6661308}"/>
    <cellStyle name="Comma 12 2 3 2 3 2 3" xfId="24762" xr:uid="{12BAE0BA-5C8D-4D27-8FD0-A2699A214B4C}"/>
    <cellStyle name="Comma 12 2 3 2 3 3" xfId="11754" xr:uid="{A0AE6C61-5CFE-4F2D-B78F-755284E9302C}"/>
    <cellStyle name="Comma 12 2 3 2 3 3 2" xfId="29098" xr:uid="{6E7CFDFC-CDB2-4987-B41A-F006978AB13F}"/>
    <cellStyle name="Comma 12 2 3 2 3 4" xfId="20426" xr:uid="{2778BDFF-6CD2-4CD4-B5B5-10EA33152096}"/>
    <cellStyle name="Comma 12 2 3 2 4" xfId="5250" xr:uid="{161056B7-7A8D-4852-8F73-D7D718BD8239}"/>
    <cellStyle name="Comma 12 2 3 2 4 2" xfId="13922" xr:uid="{96AF4AAA-4A32-4CA1-870C-EA9869A96901}"/>
    <cellStyle name="Comma 12 2 3 2 4 2 2" xfId="31266" xr:uid="{8E9E6B1E-0CDD-45AF-9AC7-2185134D746F}"/>
    <cellStyle name="Comma 12 2 3 2 4 3" xfId="22594" xr:uid="{745AF761-6440-4E5C-8280-A8B47BBA9D6D}"/>
    <cellStyle name="Comma 12 2 3 2 5" xfId="9586" xr:uid="{9780B951-FB3D-4FC2-B349-2FE62E8A5CAB}"/>
    <cellStyle name="Comma 12 2 3 2 5 2" xfId="26930" xr:uid="{D114D803-DCD4-43BF-A02C-F253FC9F83FC}"/>
    <cellStyle name="Comma 12 2 3 2 6" xfId="18258" xr:uid="{88964029-C555-40FE-BACC-5CE6898FD203}"/>
    <cellStyle name="Comma 12 2 3 3" xfId="1457" xr:uid="{CBE7F0BE-C3A1-4694-9021-7C8A7115F8E9}"/>
    <cellStyle name="Comma 12 2 3 3 2" xfId="3625" xr:uid="{319ED4DF-619B-4452-9B9B-D70C6635B858}"/>
    <cellStyle name="Comma 12 2 3 3 2 2" xfId="7961" xr:uid="{B4A30766-6E61-4F1B-A9D5-E8C247AB83CF}"/>
    <cellStyle name="Comma 12 2 3 3 2 2 2" xfId="16633" xr:uid="{88D27D69-E085-4CA8-A68C-5AB8748D6135}"/>
    <cellStyle name="Comma 12 2 3 3 2 2 2 2" xfId="33977" xr:uid="{7A60C00F-76CA-4A35-9806-F8B5A714D020}"/>
    <cellStyle name="Comma 12 2 3 3 2 2 3" xfId="25305" xr:uid="{43451D2D-CF5F-49DB-B985-09828D73A69E}"/>
    <cellStyle name="Comma 12 2 3 3 2 3" xfId="12297" xr:uid="{B1E5BB9B-5CC3-4700-BB4A-7FC04CA105CA}"/>
    <cellStyle name="Comma 12 2 3 3 2 3 2" xfId="29641" xr:uid="{4441BD21-2871-4A45-9CE3-3471F83C8717}"/>
    <cellStyle name="Comma 12 2 3 3 2 4" xfId="20969" xr:uid="{766A5D1A-46B8-438A-BB39-4CA606297A82}"/>
    <cellStyle name="Comma 12 2 3 3 3" xfId="5793" xr:uid="{2E7F897D-90F2-4E51-B490-93EF437DCC57}"/>
    <cellStyle name="Comma 12 2 3 3 3 2" xfId="14465" xr:uid="{064131C3-74FC-4981-BB91-0B441E13EBA5}"/>
    <cellStyle name="Comma 12 2 3 3 3 2 2" xfId="31809" xr:uid="{49D1D89C-140A-4C95-BFF5-3D9149170EBC}"/>
    <cellStyle name="Comma 12 2 3 3 3 3" xfId="23137" xr:uid="{B6E05613-DEA4-43D0-811E-66A6D2FFF751}"/>
    <cellStyle name="Comma 12 2 3 3 4" xfId="10129" xr:uid="{5E8ADA53-0E7F-486B-AFE7-6388099B3A23}"/>
    <cellStyle name="Comma 12 2 3 3 4 2" xfId="27473" xr:uid="{9FC47F38-69A0-4557-8F0E-DB0C405F864A}"/>
    <cellStyle name="Comma 12 2 3 3 5" xfId="18801" xr:uid="{AC96056E-238C-4F02-879F-D689C4CC12F1}"/>
    <cellStyle name="Comma 12 2 3 4" xfId="2541" xr:uid="{33F9EF18-D6E5-457D-B793-6AC1FAF5F530}"/>
    <cellStyle name="Comma 12 2 3 4 2" xfId="6877" xr:uid="{E5D98999-AF09-44A3-9D08-43B5509CF542}"/>
    <cellStyle name="Comma 12 2 3 4 2 2" xfId="15549" xr:uid="{325F10D5-B9AB-411A-88C7-B3A19C9F8DB3}"/>
    <cellStyle name="Comma 12 2 3 4 2 2 2" xfId="32893" xr:uid="{73FBA117-EF58-4886-9017-7920A85E5D12}"/>
    <cellStyle name="Comma 12 2 3 4 2 3" xfId="24221" xr:uid="{936F0C73-8B26-474C-B166-44675BA8B766}"/>
    <cellStyle name="Comma 12 2 3 4 3" xfId="11213" xr:uid="{8935D816-B5BE-4A79-A57A-661C23AA06FF}"/>
    <cellStyle name="Comma 12 2 3 4 3 2" xfId="28557" xr:uid="{6556D862-758A-409B-831B-1968D253BA94}"/>
    <cellStyle name="Comma 12 2 3 4 4" xfId="19885" xr:uid="{4099AE3C-6389-4CCE-9595-16EB6522E924}"/>
    <cellStyle name="Comma 12 2 3 5" xfId="4709" xr:uid="{BAA512DB-9CCC-4080-8421-3F4C1D0E31A9}"/>
    <cellStyle name="Comma 12 2 3 5 2" xfId="13381" xr:uid="{A87C244B-CEB4-4020-A90D-EE4D3034A5C4}"/>
    <cellStyle name="Comma 12 2 3 5 2 2" xfId="30725" xr:uid="{7C9CC1E6-BBD8-4891-8526-800A1BDEEDAC}"/>
    <cellStyle name="Comma 12 2 3 5 3" xfId="22053" xr:uid="{67DBFBD1-6262-4464-BECC-98E6D5A54532}"/>
    <cellStyle name="Comma 12 2 3 6" xfId="9045" xr:uid="{99724F63-555D-429F-9BD9-5A998A4018B5}"/>
    <cellStyle name="Comma 12 2 3 6 2" xfId="26389" xr:uid="{44829610-60FA-4D06-9B15-5A2B5C6CA840}"/>
    <cellStyle name="Comma 12 2 3 7" xfId="17717" xr:uid="{292EE598-807D-40BC-934E-C3E9BC66EF5C}"/>
    <cellStyle name="Comma 12 2 4" xfId="644" xr:uid="{F728A3EB-B89A-4138-9AFC-1C252A9CDF89}"/>
    <cellStyle name="Comma 12 2 4 2" xfId="1728" xr:uid="{4294F0E9-7D94-4912-9D14-F9447B497CB5}"/>
    <cellStyle name="Comma 12 2 4 2 2" xfId="3896" xr:uid="{E955E94E-546B-4930-9A14-C8D659E060A0}"/>
    <cellStyle name="Comma 12 2 4 2 2 2" xfId="8232" xr:uid="{B838DF10-A249-4AFC-A582-2170F448FB17}"/>
    <cellStyle name="Comma 12 2 4 2 2 2 2" xfId="16904" xr:uid="{FA8D3905-966E-4246-A8C5-43AB30541A4D}"/>
    <cellStyle name="Comma 12 2 4 2 2 2 2 2" xfId="34248" xr:uid="{1BA4CD57-A011-4453-A870-F52F1A3F0755}"/>
    <cellStyle name="Comma 12 2 4 2 2 2 3" xfId="25576" xr:uid="{189F4640-09A4-45B0-A727-3BD5A9E8EC1E}"/>
    <cellStyle name="Comma 12 2 4 2 2 3" xfId="12568" xr:uid="{A1AE44DE-3143-499A-A1CE-BF827A411023}"/>
    <cellStyle name="Comma 12 2 4 2 2 3 2" xfId="29912" xr:uid="{661AEA35-4035-4AF6-9542-4F6FEF4A6E70}"/>
    <cellStyle name="Comma 12 2 4 2 2 4" xfId="21240" xr:uid="{B4D1A6FC-7E27-48F6-8D81-56CB74D40E26}"/>
    <cellStyle name="Comma 12 2 4 2 3" xfId="6064" xr:uid="{BF4CBBBC-6F73-49F5-8596-361E1A4EF0B8}"/>
    <cellStyle name="Comma 12 2 4 2 3 2" xfId="14736" xr:uid="{8C20EFF5-3DE3-487A-B719-3D068EF6C6CD}"/>
    <cellStyle name="Comma 12 2 4 2 3 2 2" xfId="32080" xr:uid="{9A9B11A3-F5B7-4067-837C-79B8E089E95E}"/>
    <cellStyle name="Comma 12 2 4 2 3 3" xfId="23408" xr:uid="{ADF41B72-A838-44D4-9631-D440225ECB0C}"/>
    <cellStyle name="Comma 12 2 4 2 4" xfId="10400" xr:uid="{C4C7142C-B7C7-467B-A634-9FB7CB6CDB60}"/>
    <cellStyle name="Comma 12 2 4 2 4 2" xfId="27744" xr:uid="{FD14C7FF-67F6-4CD0-A7C5-9EA58F113657}"/>
    <cellStyle name="Comma 12 2 4 2 5" xfId="19072" xr:uid="{6D9A46AC-16EA-4234-8F9E-DDB353CFFDBA}"/>
    <cellStyle name="Comma 12 2 4 3" xfId="2812" xr:uid="{2FEC1338-34BA-4CDD-875B-AB397D3CE12C}"/>
    <cellStyle name="Comma 12 2 4 3 2" xfId="7148" xr:uid="{41F5D447-E47F-496E-8D69-E0BC5B55F600}"/>
    <cellStyle name="Comma 12 2 4 3 2 2" xfId="15820" xr:uid="{2854D5E1-697F-4889-8725-8969E3E26D0B}"/>
    <cellStyle name="Comma 12 2 4 3 2 2 2" xfId="33164" xr:uid="{4DDDAF9E-67FD-4C7A-984E-5A950AF74653}"/>
    <cellStyle name="Comma 12 2 4 3 2 3" xfId="24492" xr:uid="{7DCD422C-C8E4-4952-A95F-651A842EE6BC}"/>
    <cellStyle name="Comma 12 2 4 3 3" xfId="11484" xr:uid="{F1A8CA5B-17E7-4C75-8BB9-C3990F9247BF}"/>
    <cellStyle name="Comma 12 2 4 3 3 2" xfId="28828" xr:uid="{A8C1709C-959E-4123-9E52-040E99959043}"/>
    <cellStyle name="Comma 12 2 4 3 4" xfId="20156" xr:uid="{2D4BC67D-C471-48EA-B5B1-33EB8508E505}"/>
    <cellStyle name="Comma 12 2 4 4" xfId="4980" xr:uid="{4128F8E7-1ED6-49E7-9591-56A27B20793C}"/>
    <cellStyle name="Comma 12 2 4 4 2" xfId="13652" xr:uid="{C11A6C9A-77B8-4169-B753-C2591B70153D}"/>
    <cellStyle name="Comma 12 2 4 4 2 2" xfId="30996" xr:uid="{3A52B598-E44E-4CF0-BEC3-77869B24FB42}"/>
    <cellStyle name="Comma 12 2 4 4 3" xfId="22324" xr:uid="{68D4228F-8016-455A-ABE4-40012B071EB4}"/>
    <cellStyle name="Comma 12 2 4 5" xfId="9316" xr:uid="{159F1977-9B26-411F-97B8-95057A582D2E}"/>
    <cellStyle name="Comma 12 2 4 5 2" xfId="26660" xr:uid="{B41CB3D9-D3D5-497E-AE73-948EC8B7293F}"/>
    <cellStyle name="Comma 12 2 4 6" xfId="17988" xr:uid="{1C423010-16A4-4293-987D-B186295B3395}"/>
    <cellStyle name="Comma 12 2 5" xfId="1187" xr:uid="{AD57C36C-4DA0-4597-B27F-6F5C8070DA0D}"/>
    <cellStyle name="Comma 12 2 5 2" xfId="3355" xr:uid="{72FC8F2B-5051-448A-8D6F-0A441915905D}"/>
    <cellStyle name="Comma 12 2 5 2 2" xfId="7691" xr:uid="{B480C430-4EAF-4095-8ABC-C1550C77E92D}"/>
    <cellStyle name="Comma 12 2 5 2 2 2" xfId="16363" xr:uid="{97083E09-B70B-4CB6-AB01-E3C214BFF441}"/>
    <cellStyle name="Comma 12 2 5 2 2 2 2" xfId="33707" xr:uid="{0B5B82FE-33DD-456A-9ADF-476CDB1D331B}"/>
    <cellStyle name="Comma 12 2 5 2 2 3" xfId="25035" xr:uid="{EC0E2BE3-2C84-441A-A02A-9677032C0C82}"/>
    <cellStyle name="Comma 12 2 5 2 3" xfId="12027" xr:uid="{655873B3-718C-4EB7-A45F-D2D57A7C026F}"/>
    <cellStyle name="Comma 12 2 5 2 3 2" xfId="29371" xr:uid="{58A00F34-472E-4F1A-9DAF-86CE60825386}"/>
    <cellStyle name="Comma 12 2 5 2 4" xfId="20699" xr:uid="{A50C9F6A-2199-44AF-8CEA-A8E87C3741AA}"/>
    <cellStyle name="Comma 12 2 5 3" xfId="5523" xr:uid="{D2324A11-D2F8-4646-9476-94D24DD56636}"/>
    <cellStyle name="Comma 12 2 5 3 2" xfId="14195" xr:uid="{15031864-CECA-4050-9E5C-628837A64DE3}"/>
    <cellStyle name="Comma 12 2 5 3 2 2" xfId="31539" xr:uid="{9CA753A4-49E0-459F-A2C1-7570B02B4064}"/>
    <cellStyle name="Comma 12 2 5 3 3" xfId="22867" xr:uid="{C67A254D-1EB6-4F96-ACE9-B06A0D321142}"/>
    <cellStyle name="Comma 12 2 5 4" xfId="9859" xr:uid="{02096A0E-7365-4AE5-BAD3-1793661893DA}"/>
    <cellStyle name="Comma 12 2 5 4 2" xfId="27203" xr:uid="{C059084E-A8C1-4045-BF97-DB30E247EF74}"/>
    <cellStyle name="Comma 12 2 5 5" xfId="18531" xr:uid="{DC0937C2-9EAE-488A-9B62-31AD2804A8C2}"/>
    <cellStyle name="Comma 12 2 6" xfId="2271" xr:uid="{EC315E39-3FC4-485D-A069-1FFA37EC3368}"/>
    <cellStyle name="Comma 12 2 6 2" xfId="6607" xr:uid="{AFA909A7-7EDA-4EA8-B075-2AE2B30B10DA}"/>
    <cellStyle name="Comma 12 2 6 2 2" xfId="15279" xr:uid="{B3EB8BB7-9A93-4A55-B077-FDCB6848CB25}"/>
    <cellStyle name="Comma 12 2 6 2 2 2" xfId="32623" xr:uid="{C1AD9F80-66AC-4C33-89E1-D2C1F5102B3A}"/>
    <cellStyle name="Comma 12 2 6 2 3" xfId="23951" xr:uid="{8FCAF0DC-742A-44A1-B4F3-1713F5B37E1D}"/>
    <cellStyle name="Comma 12 2 6 3" xfId="10943" xr:uid="{4D4ECAE6-F914-4DF9-BBDC-36D03497071F}"/>
    <cellStyle name="Comma 12 2 6 3 2" xfId="28287" xr:uid="{06689CD1-9FC4-43F3-A017-D5815DC25109}"/>
    <cellStyle name="Comma 12 2 6 4" xfId="19615" xr:uid="{12307AEB-636D-4DFC-AFA0-C8E899E27909}"/>
    <cellStyle name="Comma 12 2 7" xfId="4439" xr:uid="{0ED8D3E6-EC37-48F3-B5B7-72245BD5E7EB}"/>
    <cellStyle name="Comma 12 2 7 2" xfId="13111" xr:uid="{1EC8827D-E58A-4EEE-A48C-1F15C0266C5F}"/>
    <cellStyle name="Comma 12 2 7 2 2" xfId="30455" xr:uid="{A7F48F19-CA29-49A7-93ED-25813A1CDDCE}"/>
    <cellStyle name="Comma 12 2 7 3" xfId="21783" xr:uid="{6810CCE6-13A3-4B67-B450-3EABCBC47D9B}"/>
    <cellStyle name="Comma 12 2 8" xfId="8775" xr:uid="{B75FC48A-DCD5-45A4-B8A0-D68D434E9D44}"/>
    <cellStyle name="Comma 12 2 8 2" xfId="26119" xr:uid="{D009452D-EC1F-489E-92C0-3852B4E236BC}"/>
    <cellStyle name="Comma 12 2 9" xfId="17447" xr:uid="{84BD7F09-108E-45A8-9283-3764B8DDEDCB}"/>
    <cellStyle name="Comma 12 3" xfId="164" xr:uid="{CF840CCE-A830-4528-9B72-D3990A0AA82C}"/>
    <cellStyle name="Comma 12 3 2" xfId="434" xr:uid="{85ECBF23-D9A3-4F7C-8F76-B00A3BCEFEB3}"/>
    <cellStyle name="Comma 12 3 2 2" xfId="975" xr:uid="{16E04A11-E2FC-4E11-8868-73392FA03EE2}"/>
    <cellStyle name="Comma 12 3 2 2 2" xfId="2059" xr:uid="{A4D8261B-F5DF-4476-97CE-E2FD0417D90C}"/>
    <cellStyle name="Comma 12 3 2 2 2 2" xfId="4227" xr:uid="{81EC9A53-E366-414F-BF80-A2A437BDBB02}"/>
    <cellStyle name="Comma 12 3 2 2 2 2 2" xfId="8563" xr:uid="{C0DBE3B0-1B72-4461-B0AB-1A95D23DF14C}"/>
    <cellStyle name="Comma 12 3 2 2 2 2 2 2" xfId="17235" xr:uid="{D032ED46-A28F-48FB-80AE-CDC32038DC37}"/>
    <cellStyle name="Comma 12 3 2 2 2 2 2 2 2" xfId="34579" xr:uid="{3117C2E6-94CC-4FB5-A88C-5B4814E1E3D0}"/>
    <cellStyle name="Comma 12 3 2 2 2 2 2 3" xfId="25907" xr:uid="{1645E820-188D-4344-AA13-DDDFA733932D}"/>
    <cellStyle name="Comma 12 3 2 2 2 2 3" xfId="12899" xr:uid="{37EADF24-37C8-455C-92D5-E2A8B7591F0C}"/>
    <cellStyle name="Comma 12 3 2 2 2 2 3 2" xfId="30243" xr:uid="{711B7C98-3633-4BC1-B86E-A2C58535D1FA}"/>
    <cellStyle name="Comma 12 3 2 2 2 2 4" xfId="21571" xr:uid="{A49B13E3-D82D-4323-BCA0-CA8572B20AC9}"/>
    <cellStyle name="Comma 12 3 2 2 2 3" xfId="6395" xr:uid="{7E2ADEA9-A5E1-4C58-AEE3-A839A3AEA367}"/>
    <cellStyle name="Comma 12 3 2 2 2 3 2" xfId="15067" xr:uid="{0D003EDC-0842-4298-98FF-C17EA6FA5C13}"/>
    <cellStyle name="Comma 12 3 2 2 2 3 2 2" xfId="32411" xr:uid="{BF7FB288-D672-46DC-A1D4-030A445F3795}"/>
    <cellStyle name="Comma 12 3 2 2 2 3 3" xfId="23739" xr:uid="{AC0DD6C6-8B9E-4E65-8AEC-E0A436D2984D}"/>
    <cellStyle name="Comma 12 3 2 2 2 4" xfId="10731" xr:uid="{6D23B8A6-4D6B-4C8E-A39C-B42CC8683537}"/>
    <cellStyle name="Comma 12 3 2 2 2 4 2" xfId="28075" xr:uid="{D09D40B9-1209-48FF-89E1-ED2E01252FC5}"/>
    <cellStyle name="Comma 12 3 2 2 2 5" xfId="19403" xr:uid="{31EAFFF2-1D80-4539-B62C-520D33C23EB3}"/>
    <cellStyle name="Comma 12 3 2 2 3" xfId="3143" xr:uid="{BD58F1B0-F9AD-494E-A976-1D9C7D45E6C1}"/>
    <cellStyle name="Comma 12 3 2 2 3 2" xfId="7479" xr:uid="{582744CF-EBDD-4EBE-AD60-06F380F1BFB8}"/>
    <cellStyle name="Comma 12 3 2 2 3 2 2" xfId="16151" xr:uid="{12CCC9FC-0BCE-465C-ADBC-B814D2DB71C4}"/>
    <cellStyle name="Comma 12 3 2 2 3 2 2 2" xfId="33495" xr:uid="{86E9C9E5-C7B0-411A-AF0A-B12AC4F9613C}"/>
    <cellStyle name="Comma 12 3 2 2 3 2 3" xfId="24823" xr:uid="{EBC9C9B0-47C1-421B-BA62-0B681F2B9012}"/>
    <cellStyle name="Comma 12 3 2 2 3 3" xfId="11815" xr:uid="{5BC2662A-D96C-4762-8DD5-1133E98F4972}"/>
    <cellStyle name="Comma 12 3 2 2 3 3 2" xfId="29159" xr:uid="{FDEDBA7C-D0F0-4F9A-A8C5-5E50E9E37DF6}"/>
    <cellStyle name="Comma 12 3 2 2 3 4" xfId="20487" xr:uid="{7E2AC5A5-CE97-4539-B782-F456E3320281}"/>
    <cellStyle name="Comma 12 3 2 2 4" xfId="5311" xr:uid="{A67CEF37-214A-4931-864E-F0D8F3863282}"/>
    <cellStyle name="Comma 12 3 2 2 4 2" xfId="13983" xr:uid="{CB279A2B-E4CF-43B9-922D-F9572E3C77E5}"/>
    <cellStyle name="Comma 12 3 2 2 4 2 2" xfId="31327" xr:uid="{A8B9127E-9C49-42DE-9F60-806C9B6B272D}"/>
    <cellStyle name="Comma 12 3 2 2 4 3" xfId="22655" xr:uid="{A381051C-1943-4239-8EA7-D13598926E76}"/>
    <cellStyle name="Comma 12 3 2 2 5" xfId="9647" xr:uid="{DD0E1276-C6E2-4901-B4BB-D7CC9BC6673B}"/>
    <cellStyle name="Comma 12 3 2 2 5 2" xfId="26991" xr:uid="{73AD8CBD-DEB1-41B7-A223-E1A108E097DB}"/>
    <cellStyle name="Comma 12 3 2 2 6" xfId="18319" xr:uid="{EDCB4254-A13E-49E9-8306-930FA91E53CD}"/>
    <cellStyle name="Comma 12 3 2 3" xfId="1518" xr:uid="{40815B4F-EBC9-4320-A0B6-17045C2322FC}"/>
    <cellStyle name="Comma 12 3 2 3 2" xfId="3686" xr:uid="{AB2E3A67-09B0-4ECA-B297-2CC8A79FFD6D}"/>
    <cellStyle name="Comma 12 3 2 3 2 2" xfId="8022" xr:uid="{77FC3CEB-3F45-4601-BABF-EFA75A639631}"/>
    <cellStyle name="Comma 12 3 2 3 2 2 2" xfId="16694" xr:uid="{6CAD9A68-01B5-4C3F-9327-5050A81687BE}"/>
    <cellStyle name="Comma 12 3 2 3 2 2 2 2" xfId="34038" xr:uid="{30F182E6-C94A-4DFD-85C8-D1EEA21C3BD8}"/>
    <cellStyle name="Comma 12 3 2 3 2 2 3" xfId="25366" xr:uid="{57B62B84-1764-46A8-BEB6-82E119B81D6D}"/>
    <cellStyle name="Comma 12 3 2 3 2 3" xfId="12358" xr:uid="{8EA0A707-6200-4CDD-AB42-0E90E2C49E79}"/>
    <cellStyle name="Comma 12 3 2 3 2 3 2" xfId="29702" xr:uid="{3D57117D-B3AE-4121-89DB-C9B352362BE0}"/>
    <cellStyle name="Comma 12 3 2 3 2 4" xfId="21030" xr:uid="{DD0D67BF-1140-4200-8B35-6B4CDE259897}"/>
    <cellStyle name="Comma 12 3 2 3 3" xfId="5854" xr:uid="{607BA793-7BAC-4441-AAE8-C6D47E98BA8B}"/>
    <cellStyle name="Comma 12 3 2 3 3 2" xfId="14526" xr:uid="{86C1AEF1-B5A8-4FD3-87DF-C980454BC2A3}"/>
    <cellStyle name="Comma 12 3 2 3 3 2 2" xfId="31870" xr:uid="{1245323F-7223-4072-A756-D0DC48CD8130}"/>
    <cellStyle name="Comma 12 3 2 3 3 3" xfId="23198" xr:uid="{042AC504-0EAF-4C51-A09E-FFE2126CE9A6}"/>
    <cellStyle name="Comma 12 3 2 3 4" xfId="10190" xr:uid="{AB9F9CE4-880C-4CDF-A5AD-41CEBECBBB8E}"/>
    <cellStyle name="Comma 12 3 2 3 4 2" xfId="27534" xr:uid="{88DE9264-EF3C-4878-82DA-2ED85B25F5AB}"/>
    <cellStyle name="Comma 12 3 2 3 5" xfId="18862" xr:uid="{32808A80-166F-47A2-89A9-4350F7A8157F}"/>
    <cellStyle name="Comma 12 3 2 4" xfId="2602" xr:uid="{9A5D74C0-FD62-40C8-AF70-0C076A24ED1D}"/>
    <cellStyle name="Comma 12 3 2 4 2" xfId="6938" xr:uid="{21A6E32C-E6DC-47DE-B970-3AEC71C0DF91}"/>
    <cellStyle name="Comma 12 3 2 4 2 2" xfId="15610" xr:uid="{8F377865-D18D-401D-A558-D7A609ED2203}"/>
    <cellStyle name="Comma 12 3 2 4 2 2 2" xfId="32954" xr:uid="{D5DBF64E-6CF9-4E48-840A-5D1098EE0054}"/>
    <cellStyle name="Comma 12 3 2 4 2 3" xfId="24282" xr:uid="{73572494-D568-41C5-96F8-704C2DBCEA82}"/>
    <cellStyle name="Comma 12 3 2 4 3" xfId="11274" xr:uid="{F8915F64-3EC7-4763-A895-4269FE014517}"/>
    <cellStyle name="Comma 12 3 2 4 3 2" xfId="28618" xr:uid="{4172A050-C1DD-499C-A5E6-85F6F0ED7852}"/>
    <cellStyle name="Comma 12 3 2 4 4" xfId="19946" xr:uid="{C5BA67C9-FC70-42E8-B8EC-C6CFA8B291E3}"/>
    <cellStyle name="Comma 12 3 2 5" xfId="4770" xr:uid="{0311EE91-8728-4452-8529-C6EFC1CAA1E9}"/>
    <cellStyle name="Comma 12 3 2 5 2" xfId="13442" xr:uid="{DD57D255-F1D9-47B5-B477-AE43EA2FBF62}"/>
    <cellStyle name="Comma 12 3 2 5 2 2" xfId="30786" xr:uid="{57D81A45-B48F-411E-9515-56876F1F3960}"/>
    <cellStyle name="Comma 12 3 2 5 3" xfId="22114" xr:uid="{E2840B0D-913F-41C2-A133-8937A77059ED}"/>
    <cellStyle name="Comma 12 3 2 6" xfId="9106" xr:uid="{388F4E37-64AB-4551-A253-D5CB15006C5D}"/>
    <cellStyle name="Comma 12 3 2 6 2" xfId="26450" xr:uid="{C64BFD78-0892-4FA2-8CF7-13D49829121D}"/>
    <cellStyle name="Comma 12 3 2 7" xfId="17778" xr:uid="{87A9866E-E268-42DD-A059-9B4D08EFA8BF}"/>
    <cellStyle name="Comma 12 3 3" xfId="705" xr:uid="{B1D4214A-FFFD-4415-86B9-C41E9C43FA7E}"/>
    <cellStyle name="Comma 12 3 3 2" xfId="1789" xr:uid="{400D90F9-4A64-4795-B762-717084D4F497}"/>
    <cellStyle name="Comma 12 3 3 2 2" xfId="3957" xr:uid="{6B7C1F99-55A2-4F84-ABB4-338A77C47227}"/>
    <cellStyle name="Comma 12 3 3 2 2 2" xfId="8293" xr:uid="{2A7D876E-83BB-4AB2-BFEC-50A5A53C96F1}"/>
    <cellStyle name="Comma 12 3 3 2 2 2 2" xfId="16965" xr:uid="{3E42A2DC-EC09-4263-9BCC-81C35DB0909C}"/>
    <cellStyle name="Comma 12 3 3 2 2 2 2 2" xfId="34309" xr:uid="{40CADCB2-CE98-4309-80CD-6C0725E47792}"/>
    <cellStyle name="Comma 12 3 3 2 2 2 3" xfId="25637" xr:uid="{82293962-E1CE-458F-BA2C-47F74D011E76}"/>
    <cellStyle name="Comma 12 3 3 2 2 3" xfId="12629" xr:uid="{92D2156B-E3AB-4E4F-A01E-59C30081EA14}"/>
    <cellStyle name="Comma 12 3 3 2 2 3 2" xfId="29973" xr:uid="{AFC6D5B3-4DB8-478B-938C-04A8F64A7E0B}"/>
    <cellStyle name="Comma 12 3 3 2 2 4" xfId="21301" xr:uid="{C0B1E1F6-980D-4207-A602-AD0FC4C9CDCB}"/>
    <cellStyle name="Comma 12 3 3 2 3" xfId="6125" xr:uid="{CBD8BC76-CFDE-413C-816E-7B33D0E6B73E}"/>
    <cellStyle name="Comma 12 3 3 2 3 2" xfId="14797" xr:uid="{BB0965BC-D8E6-4AA6-8C9F-2CCD93499328}"/>
    <cellStyle name="Comma 12 3 3 2 3 2 2" xfId="32141" xr:uid="{50537BE5-4E49-4D86-889E-3CCD82001786}"/>
    <cellStyle name="Comma 12 3 3 2 3 3" xfId="23469" xr:uid="{261C7F4C-B7F8-4E8B-ADD9-C0520C2009A8}"/>
    <cellStyle name="Comma 12 3 3 2 4" xfId="10461" xr:uid="{827233E4-B6F7-4DB0-B203-302B6C3B23C2}"/>
    <cellStyle name="Comma 12 3 3 2 4 2" xfId="27805" xr:uid="{8D61EDE9-8487-4ED8-AB0F-61659E4F0193}"/>
    <cellStyle name="Comma 12 3 3 2 5" xfId="19133" xr:uid="{48CDCBB9-49D4-4EF8-92C5-721268304238}"/>
    <cellStyle name="Comma 12 3 3 3" xfId="2873" xr:uid="{569B2450-E776-4957-A377-11D5D64690E8}"/>
    <cellStyle name="Comma 12 3 3 3 2" xfId="7209" xr:uid="{950FB6D2-24E9-47BA-B457-7CFE0731BE54}"/>
    <cellStyle name="Comma 12 3 3 3 2 2" xfId="15881" xr:uid="{0FFDEEB1-BCA3-4374-AD31-C1C26EB232FB}"/>
    <cellStyle name="Comma 12 3 3 3 2 2 2" xfId="33225" xr:uid="{A40F7100-32B2-48D8-BACE-8B6EFB462864}"/>
    <cellStyle name="Comma 12 3 3 3 2 3" xfId="24553" xr:uid="{3F4275C8-E44F-42ED-A227-A0A6E156F0A8}"/>
    <cellStyle name="Comma 12 3 3 3 3" xfId="11545" xr:uid="{A8E479A9-76CA-4AD6-88B7-2708F164DE91}"/>
    <cellStyle name="Comma 12 3 3 3 3 2" xfId="28889" xr:uid="{C92A9437-A5CF-4732-A4B1-93ED86E0332D}"/>
    <cellStyle name="Comma 12 3 3 3 4" xfId="20217" xr:uid="{0326867E-E909-431D-ACD1-76E959C4671F}"/>
    <cellStyle name="Comma 12 3 3 4" xfId="5041" xr:uid="{A86638E7-1201-4605-A11F-9E348DB61394}"/>
    <cellStyle name="Comma 12 3 3 4 2" xfId="13713" xr:uid="{6D1C2028-CCBD-49F2-99C0-3F7A38475B29}"/>
    <cellStyle name="Comma 12 3 3 4 2 2" xfId="31057" xr:uid="{258499EF-A4F6-4D32-90CC-083C6408F039}"/>
    <cellStyle name="Comma 12 3 3 4 3" xfId="22385" xr:uid="{218AA9D4-88D2-4519-A27D-EDBD676D957B}"/>
    <cellStyle name="Comma 12 3 3 5" xfId="9377" xr:uid="{CCB3654C-E20A-4975-9689-A8BAF28391DA}"/>
    <cellStyle name="Comma 12 3 3 5 2" xfId="26721" xr:uid="{ECF7A928-329E-4D96-A251-7DD8D3061686}"/>
    <cellStyle name="Comma 12 3 3 6" xfId="18049" xr:uid="{556A37C8-9FCD-45FD-9F34-C13DF5F01038}"/>
    <cellStyle name="Comma 12 3 4" xfId="1248" xr:uid="{0041F8A6-431B-4188-A4F1-638A8E477563}"/>
    <cellStyle name="Comma 12 3 4 2" xfId="3416" xr:uid="{558C61BA-BBF5-4E5A-B952-C8140AC75BCB}"/>
    <cellStyle name="Comma 12 3 4 2 2" xfId="7752" xr:uid="{9D598DB5-47E1-49D2-97CE-EA0B256D39A3}"/>
    <cellStyle name="Comma 12 3 4 2 2 2" xfId="16424" xr:uid="{380CC118-1010-4509-BDFD-3AF241D45EAB}"/>
    <cellStyle name="Comma 12 3 4 2 2 2 2" xfId="33768" xr:uid="{AA8E3986-AD37-45B0-B575-F89F0FC03FDF}"/>
    <cellStyle name="Comma 12 3 4 2 2 3" xfId="25096" xr:uid="{CE82DCF2-55EE-4BEA-BB29-54395D1B5F79}"/>
    <cellStyle name="Comma 12 3 4 2 3" xfId="12088" xr:uid="{2F6B345F-C346-485F-8FFA-7EE21DD66CA4}"/>
    <cellStyle name="Comma 12 3 4 2 3 2" xfId="29432" xr:uid="{E01B846B-BCD7-4402-92FE-5BF39B9ADF72}"/>
    <cellStyle name="Comma 12 3 4 2 4" xfId="20760" xr:uid="{23641B77-1E76-46B6-9D54-9AD3140B9A41}"/>
    <cellStyle name="Comma 12 3 4 3" xfId="5584" xr:uid="{EE582B1D-6F42-49F9-A44B-35329C35025C}"/>
    <cellStyle name="Comma 12 3 4 3 2" xfId="14256" xr:uid="{58EE17D0-6757-4B27-86DD-B6A2CA021BCB}"/>
    <cellStyle name="Comma 12 3 4 3 2 2" xfId="31600" xr:uid="{CF460B88-5000-4BFD-83A0-A64D41DB0D97}"/>
    <cellStyle name="Comma 12 3 4 3 3" xfId="22928" xr:uid="{0F63BB6A-88BE-4A45-AB0D-4957F5EC26F3}"/>
    <cellStyle name="Comma 12 3 4 4" xfId="9920" xr:uid="{6772DF71-3032-4A0B-8339-3FB69F2FE2C5}"/>
    <cellStyle name="Comma 12 3 4 4 2" xfId="27264" xr:uid="{3D0739C9-25D9-4845-96EA-6B5EC70F1096}"/>
    <cellStyle name="Comma 12 3 4 5" xfId="18592" xr:uid="{B2457D14-47C5-456E-99C6-1650CF0F3471}"/>
    <cellStyle name="Comma 12 3 5" xfId="2332" xr:uid="{F50E853E-176C-438F-97A0-9A61576800C6}"/>
    <cellStyle name="Comma 12 3 5 2" xfId="6668" xr:uid="{2F17FCE2-085B-40B8-A54F-056B3FB2A9BC}"/>
    <cellStyle name="Comma 12 3 5 2 2" xfId="15340" xr:uid="{F3E8F19F-441C-4FB0-8793-B4DCFF54505F}"/>
    <cellStyle name="Comma 12 3 5 2 2 2" xfId="32684" xr:uid="{31EECD92-CF92-402D-85FB-DF4A93E317CC}"/>
    <cellStyle name="Comma 12 3 5 2 3" xfId="24012" xr:uid="{6AF6A25A-1065-44A1-B8FA-FA39FC0B4D38}"/>
    <cellStyle name="Comma 12 3 5 3" xfId="11004" xr:uid="{DC7EFD3A-6634-40E4-BC92-93042BC8649F}"/>
    <cellStyle name="Comma 12 3 5 3 2" xfId="28348" xr:uid="{997075AE-3394-4224-A0FF-3B804D701EB3}"/>
    <cellStyle name="Comma 12 3 5 4" xfId="19676" xr:uid="{7BF6352B-25FF-46B6-BAB9-878096710864}"/>
    <cellStyle name="Comma 12 3 6" xfId="4500" xr:uid="{58B75CCE-DB41-4AFB-8494-DA269F5370D2}"/>
    <cellStyle name="Comma 12 3 6 2" xfId="13172" xr:uid="{F00F7236-1857-49C5-92F7-A14CDBF986E9}"/>
    <cellStyle name="Comma 12 3 6 2 2" xfId="30516" xr:uid="{5A6076B1-F09C-42A5-A596-34ADE057019F}"/>
    <cellStyle name="Comma 12 3 6 3" xfId="21844" xr:uid="{CB9F2976-DB0E-4616-8AC2-79BF4B890FF4}"/>
    <cellStyle name="Comma 12 3 7" xfId="8836" xr:uid="{E7A299E6-B081-469E-B013-902DB7E6BFCF}"/>
    <cellStyle name="Comma 12 3 7 2" xfId="26180" xr:uid="{B1F1D496-12D1-449C-8580-E418066904A7}"/>
    <cellStyle name="Comma 12 3 8" xfId="17508" xr:uid="{240169AF-CE7C-426E-BCA3-445794893881}"/>
    <cellStyle name="Comma 12 4" xfId="312" xr:uid="{964805BF-2606-4F22-A5A3-150D59560A4E}"/>
    <cellStyle name="Comma 12 4 2" xfId="853" xr:uid="{4476A521-C57B-430B-8221-9E30DEF72602}"/>
    <cellStyle name="Comma 12 4 2 2" xfId="1937" xr:uid="{C97D61B4-9543-40E5-8DF9-5628B99070B6}"/>
    <cellStyle name="Comma 12 4 2 2 2" xfId="4105" xr:uid="{CF540954-F29D-4257-804A-DA85CF3DA84F}"/>
    <cellStyle name="Comma 12 4 2 2 2 2" xfId="8441" xr:uid="{0A75057D-79B0-42FC-958C-80D4EB0A3861}"/>
    <cellStyle name="Comma 12 4 2 2 2 2 2" xfId="17113" xr:uid="{3D706802-9963-4D2B-B270-B8551BE386D6}"/>
    <cellStyle name="Comma 12 4 2 2 2 2 2 2" xfId="34457" xr:uid="{6C7F8CA7-7D98-47BB-838A-E3C33E50CD65}"/>
    <cellStyle name="Comma 12 4 2 2 2 2 3" xfId="25785" xr:uid="{5F18D738-450D-4D58-86D3-1A2AAB7E5DB9}"/>
    <cellStyle name="Comma 12 4 2 2 2 3" xfId="12777" xr:uid="{54A1FF3B-E885-42FE-9A7F-D1C6610E48CC}"/>
    <cellStyle name="Comma 12 4 2 2 2 3 2" xfId="30121" xr:uid="{F795AAB0-0433-46EC-8C71-6A5182C35F48}"/>
    <cellStyle name="Comma 12 4 2 2 2 4" xfId="21449" xr:uid="{39818CCC-6A5D-4341-BF59-A014A51C2E48}"/>
    <cellStyle name="Comma 12 4 2 2 3" xfId="6273" xr:uid="{0C32B491-A5E4-4E84-9111-0190AAFB73B4}"/>
    <cellStyle name="Comma 12 4 2 2 3 2" xfId="14945" xr:uid="{AFAF3DEC-7CB0-4078-BF96-0E7FE44EB0C1}"/>
    <cellStyle name="Comma 12 4 2 2 3 2 2" xfId="32289" xr:uid="{A060E341-87AF-45D8-9D91-09CA6CCCFE41}"/>
    <cellStyle name="Comma 12 4 2 2 3 3" xfId="23617" xr:uid="{13EE3EDD-6E69-4FA2-93B9-2F4B2A433A4B}"/>
    <cellStyle name="Comma 12 4 2 2 4" xfId="10609" xr:uid="{21FB5EF1-5E15-43C9-B63F-F8CE0FD34368}"/>
    <cellStyle name="Comma 12 4 2 2 4 2" xfId="27953" xr:uid="{4ACCD16D-42A1-48F2-93A0-8E3917CBD30B}"/>
    <cellStyle name="Comma 12 4 2 2 5" xfId="19281" xr:uid="{AABFD8AA-34D1-44A4-9642-90482DC32F9D}"/>
    <cellStyle name="Comma 12 4 2 3" xfId="3021" xr:uid="{457A3895-F18B-47B4-B39C-9366E7B85DBA}"/>
    <cellStyle name="Comma 12 4 2 3 2" xfId="7357" xr:uid="{B4AA0A31-7C5A-4554-A3FC-9B56B9E31804}"/>
    <cellStyle name="Comma 12 4 2 3 2 2" xfId="16029" xr:uid="{A0028064-6069-42B1-872B-F9E13BEC57B0}"/>
    <cellStyle name="Comma 12 4 2 3 2 2 2" xfId="33373" xr:uid="{638B47E4-6714-4E09-A0CF-0469861BEC13}"/>
    <cellStyle name="Comma 12 4 2 3 2 3" xfId="24701" xr:uid="{A0309779-1E3D-42F0-8B22-D2C6E3DC7675}"/>
    <cellStyle name="Comma 12 4 2 3 3" xfId="11693" xr:uid="{8D73211A-0717-4198-9AB2-767A567BB568}"/>
    <cellStyle name="Comma 12 4 2 3 3 2" xfId="29037" xr:uid="{E8706029-07FD-4714-96C8-BF02435A6C78}"/>
    <cellStyle name="Comma 12 4 2 3 4" xfId="20365" xr:uid="{7B6D3587-D2E8-4318-B599-FEB6947DDC5F}"/>
    <cellStyle name="Comma 12 4 2 4" xfId="5189" xr:uid="{49FDAFC5-794A-42AC-840C-22CFAA7107AD}"/>
    <cellStyle name="Comma 12 4 2 4 2" xfId="13861" xr:uid="{2D9F9C08-EF3B-43BF-8498-56666F60B76C}"/>
    <cellStyle name="Comma 12 4 2 4 2 2" xfId="31205" xr:uid="{42CCCFCF-F7E3-43EA-872B-A8A22CA1C51D}"/>
    <cellStyle name="Comma 12 4 2 4 3" xfId="22533" xr:uid="{CE442124-F527-49F9-A090-D1385B47C273}"/>
    <cellStyle name="Comma 12 4 2 5" xfId="9525" xr:uid="{61150613-68D7-475C-9C0C-B473C9C8ECE7}"/>
    <cellStyle name="Comma 12 4 2 5 2" xfId="26869" xr:uid="{9A3BDD01-3722-4415-A7EB-1B9233728915}"/>
    <cellStyle name="Comma 12 4 2 6" xfId="18197" xr:uid="{8F5796E8-B86A-4524-A713-1E2EA9F0DF45}"/>
    <cellStyle name="Comma 12 4 3" xfId="1396" xr:uid="{8F9DFBCC-0034-41FA-8949-4C66B463F8E0}"/>
    <cellStyle name="Comma 12 4 3 2" xfId="3564" xr:uid="{420A7EC9-3A74-4271-A171-F0D43C480EC3}"/>
    <cellStyle name="Comma 12 4 3 2 2" xfId="7900" xr:uid="{2937CCA4-9F45-432F-8600-FC12D45D0673}"/>
    <cellStyle name="Comma 12 4 3 2 2 2" xfId="16572" xr:uid="{128569C2-0827-4E65-9831-B06531ED3618}"/>
    <cellStyle name="Comma 12 4 3 2 2 2 2" xfId="33916" xr:uid="{FCCA88E4-252A-4E7E-9628-0278852E0D52}"/>
    <cellStyle name="Comma 12 4 3 2 2 3" xfId="25244" xr:uid="{9D97A3BE-ED8B-4F3C-B0EF-FC1D5E041E4A}"/>
    <cellStyle name="Comma 12 4 3 2 3" xfId="12236" xr:uid="{17DD0BD5-E170-414F-9CD7-0C3DD0AFF16C}"/>
    <cellStyle name="Comma 12 4 3 2 3 2" xfId="29580" xr:uid="{A3580230-99BA-427C-88E5-54A32A2A2A57}"/>
    <cellStyle name="Comma 12 4 3 2 4" xfId="20908" xr:uid="{C3C20231-3674-495B-8353-28D3BA2F247E}"/>
    <cellStyle name="Comma 12 4 3 3" xfId="5732" xr:uid="{0A83AD26-08C4-4EB3-87F2-D76210CDA2EF}"/>
    <cellStyle name="Comma 12 4 3 3 2" xfId="14404" xr:uid="{713F0679-01E8-4687-995B-520882A22D22}"/>
    <cellStyle name="Comma 12 4 3 3 2 2" xfId="31748" xr:uid="{CF2F47F4-D8BD-435F-A718-005DFCB234C0}"/>
    <cellStyle name="Comma 12 4 3 3 3" xfId="23076" xr:uid="{0E0B2E97-508F-42E7-B10A-93A4A00A6D14}"/>
    <cellStyle name="Comma 12 4 3 4" xfId="10068" xr:uid="{A1D16035-8AE9-4252-949C-358ADBC1FAF2}"/>
    <cellStyle name="Comma 12 4 3 4 2" xfId="27412" xr:uid="{BBF2B3EB-6809-4078-A1DC-9A2FECBF2BD8}"/>
    <cellStyle name="Comma 12 4 3 5" xfId="18740" xr:uid="{F39E97E6-5C34-445E-908B-20186F8C4A8C}"/>
    <cellStyle name="Comma 12 4 4" xfId="2480" xr:uid="{2CFC3582-7AEE-4FE2-AF38-A36509E31DAB}"/>
    <cellStyle name="Comma 12 4 4 2" xfId="6816" xr:uid="{4F7DFB1C-D776-47B2-9FBA-BD83BB54A01B}"/>
    <cellStyle name="Comma 12 4 4 2 2" xfId="15488" xr:uid="{12AFFF69-C661-46D9-98E5-DBDE7C7A17FC}"/>
    <cellStyle name="Comma 12 4 4 2 2 2" xfId="32832" xr:uid="{7252DF00-B851-4ACC-9BCF-CC9AFAADFD49}"/>
    <cellStyle name="Comma 12 4 4 2 3" xfId="24160" xr:uid="{BDF4873A-7367-46BE-A217-254D0E5A3237}"/>
    <cellStyle name="Comma 12 4 4 3" xfId="11152" xr:uid="{EDD027CB-6EF3-49B6-97AD-474D07D2536C}"/>
    <cellStyle name="Comma 12 4 4 3 2" xfId="28496" xr:uid="{A558BA51-05B5-466E-B294-B4D478B85147}"/>
    <cellStyle name="Comma 12 4 4 4" xfId="19824" xr:uid="{335F4038-ABF5-4F54-8414-FB0C39C3C22D}"/>
    <cellStyle name="Comma 12 4 5" xfId="4648" xr:uid="{36416BA9-0301-40D2-A5DB-08C50713DBB2}"/>
    <cellStyle name="Comma 12 4 5 2" xfId="13320" xr:uid="{A3C8CBA6-5EFE-426F-8E02-2B14549D90EB}"/>
    <cellStyle name="Comma 12 4 5 2 2" xfId="30664" xr:uid="{4C1773A4-6C37-4FD5-A6E9-38802FA386E5}"/>
    <cellStyle name="Comma 12 4 5 3" xfId="21992" xr:uid="{1BE76614-570E-4E9E-9261-2D294418E11D}"/>
    <cellStyle name="Comma 12 4 6" xfId="8984" xr:uid="{B2F11D37-F4E2-4ACE-90ED-99D61C226F55}"/>
    <cellStyle name="Comma 12 4 6 2" xfId="26328" xr:uid="{1D4CCAC5-F65F-4E6D-9CAA-DB79E46FD377}"/>
    <cellStyle name="Comma 12 4 7" xfId="17656" xr:uid="{5D8656F3-ADFB-4E23-807D-969D82AA657E}"/>
    <cellStyle name="Comma 12 5" xfId="583" xr:uid="{64530ADC-574F-4DCE-B688-EC040A776111}"/>
    <cellStyle name="Comma 12 5 2" xfId="1667" xr:uid="{9A84CE7B-0023-4CE6-A709-2DA166B3DE1A}"/>
    <cellStyle name="Comma 12 5 2 2" xfId="3835" xr:uid="{F29276C2-3C86-40FC-AADF-1A474CA097CE}"/>
    <cellStyle name="Comma 12 5 2 2 2" xfId="8171" xr:uid="{63CE9084-50DA-4BAE-9274-F6B9A0CCD69D}"/>
    <cellStyle name="Comma 12 5 2 2 2 2" xfId="16843" xr:uid="{E8391EED-B476-4A07-8A98-B83AD6F0C372}"/>
    <cellStyle name="Comma 12 5 2 2 2 2 2" xfId="34187" xr:uid="{1A4DDCF7-178B-405B-9365-2A3E106DDF9D}"/>
    <cellStyle name="Comma 12 5 2 2 2 3" xfId="25515" xr:uid="{8BDAB42C-0D54-496F-B451-136C6BE7A510}"/>
    <cellStyle name="Comma 12 5 2 2 3" xfId="12507" xr:uid="{FFFA64F0-1EB1-4645-87EE-EFE2F7FA3578}"/>
    <cellStyle name="Comma 12 5 2 2 3 2" xfId="29851" xr:uid="{5D15A840-1804-4B46-B89D-84C734E1C038}"/>
    <cellStyle name="Comma 12 5 2 2 4" xfId="21179" xr:uid="{8AE54512-56B0-4214-8860-D73F12F3F4E4}"/>
    <cellStyle name="Comma 12 5 2 3" xfId="6003" xr:uid="{F92DBB81-23F2-42A0-8ACE-921E883B99B0}"/>
    <cellStyle name="Comma 12 5 2 3 2" xfId="14675" xr:uid="{129D451E-718E-4088-B8B0-78A120F70B5E}"/>
    <cellStyle name="Comma 12 5 2 3 2 2" xfId="32019" xr:uid="{33CEA9D6-420E-4D75-8517-DD2F6E77BF5C}"/>
    <cellStyle name="Comma 12 5 2 3 3" xfId="23347" xr:uid="{C32DED92-27A1-4E7F-AB82-5F71FDFC819B}"/>
    <cellStyle name="Comma 12 5 2 4" xfId="10339" xr:uid="{29353708-D1DE-43FB-944A-2C975022ECB7}"/>
    <cellStyle name="Comma 12 5 2 4 2" xfId="27683" xr:uid="{B9E827D4-75A0-491C-840B-3A67668E9C01}"/>
    <cellStyle name="Comma 12 5 2 5" xfId="19011" xr:uid="{32809732-13B4-4282-B1B1-5CC9863C2490}"/>
    <cellStyle name="Comma 12 5 3" xfId="2751" xr:uid="{87FF89EF-1F6E-4222-8307-64490FC0C067}"/>
    <cellStyle name="Comma 12 5 3 2" xfId="7087" xr:uid="{DA5A07B4-CCAB-4CCA-B569-CBC14288C13A}"/>
    <cellStyle name="Comma 12 5 3 2 2" xfId="15759" xr:uid="{3E4DD068-5C6B-42C0-AB9F-412DB8D7652E}"/>
    <cellStyle name="Comma 12 5 3 2 2 2" xfId="33103" xr:uid="{0A0385BC-E481-457E-9AA6-24F94AF4CE9C}"/>
    <cellStyle name="Comma 12 5 3 2 3" xfId="24431" xr:uid="{9AFE8AD5-75DF-43A9-B588-15A5636D9ABA}"/>
    <cellStyle name="Comma 12 5 3 3" xfId="11423" xr:uid="{0F518C59-1DA6-463B-B063-72E2CFA8E830}"/>
    <cellStyle name="Comma 12 5 3 3 2" xfId="28767" xr:uid="{BA43CC31-62B1-469D-9E85-BE943EEA7FE6}"/>
    <cellStyle name="Comma 12 5 3 4" xfId="20095" xr:uid="{F693D225-3E45-4647-858C-4017BAE95CDC}"/>
    <cellStyle name="Comma 12 5 4" xfId="4919" xr:uid="{E8C1CD03-3D1B-48A1-A3CF-D9B194C2DDD8}"/>
    <cellStyle name="Comma 12 5 4 2" xfId="13591" xr:uid="{8F87201D-A6F9-4DF5-92F3-E27316A9EFED}"/>
    <cellStyle name="Comma 12 5 4 2 2" xfId="30935" xr:uid="{5506B688-C444-4948-85EF-EAF956E2760E}"/>
    <cellStyle name="Comma 12 5 4 3" xfId="22263" xr:uid="{C04DA543-80DA-4823-BB1B-657C7420D6B9}"/>
    <cellStyle name="Comma 12 5 5" xfId="9255" xr:uid="{19A746A5-FE96-4A5A-8BBC-4B4C05F9EFA2}"/>
    <cellStyle name="Comma 12 5 5 2" xfId="26599" xr:uid="{51222705-576E-473B-899F-57DE3EEDF146}"/>
    <cellStyle name="Comma 12 5 6" xfId="17927" xr:uid="{48709826-B69D-4FD2-A228-0D24F1446262}"/>
    <cellStyle name="Comma 12 6" xfId="1126" xr:uid="{FD70E330-DF6D-4F53-9C53-E8147CD50AAB}"/>
    <cellStyle name="Comma 12 6 2" xfId="3294" xr:uid="{62EC59E7-3A90-43E7-989E-7138E46C0F0B}"/>
    <cellStyle name="Comma 12 6 2 2" xfId="7630" xr:uid="{3338AE19-8C4C-4329-B785-79123C30020B}"/>
    <cellStyle name="Comma 12 6 2 2 2" xfId="16302" xr:uid="{BDA54E10-F981-465B-9553-B8BE6D1A0806}"/>
    <cellStyle name="Comma 12 6 2 2 2 2" xfId="33646" xr:uid="{BD573DEA-7301-45DB-A840-9C24B9522515}"/>
    <cellStyle name="Comma 12 6 2 2 3" xfId="24974" xr:uid="{2CE70354-EB9D-4652-898F-C8D392B7B825}"/>
    <cellStyle name="Comma 12 6 2 3" xfId="11966" xr:uid="{BEFF4CFC-5A6E-416D-94E7-21460F035A7C}"/>
    <cellStyle name="Comma 12 6 2 3 2" xfId="29310" xr:uid="{A1489108-99A0-410F-8B72-5031F31E00E5}"/>
    <cellStyle name="Comma 12 6 2 4" xfId="20638" xr:uid="{617874E3-A60C-4B30-BC28-76B9822AE85A}"/>
    <cellStyle name="Comma 12 6 3" xfId="5462" xr:uid="{952F515E-3ACB-4552-811B-071CC08BB787}"/>
    <cellStyle name="Comma 12 6 3 2" xfId="14134" xr:uid="{8B07EFE2-6E75-4708-9AD3-F22F14DDE3BC}"/>
    <cellStyle name="Comma 12 6 3 2 2" xfId="31478" xr:uid="{E2F5EF66-E30A-4958-B78A-83CDEE1CFA53}"/>
    <cellStyle name="Comma 12 6 3 3" xfId="22806" xr:uid="{B523484C-E411-4877-A77B-503BC749EFE4}"/>
    <cellStyle name="Comma 12 6 4" xfId="9798" xr:uid="{A26F3438-B031-4F7A-A1D9-411352DCCC01}"/>
    <cellStyle name="Comma 12 6 4 2" xfId="27142" xr:uid="{B4656E48-D4D1-4C3F-BE23-1A21AAD5BF0E}"/>
    <cellStyle name="Comma 12 6 5" xfId="18470" xr:uid="{FF41B3B4-A8E8-41F6-85F4-A46B87CC1019}"/>
    <cellStyle name="Comma 12 7" xfId="2210" xr:uid="{F295D52A-25BE-4DF1-84FA-0A5DF7605AD8}"/>
    <cellStyle name="Comma 12 7 2" xfId="6546" xr:uid="{ED56150C-AA63-4CA2-B3E1-E680DC6DD005}"/>
    <cellStyle name="Comma 12 7 2 2" xfId="15218" xr:uid="{EDA337B2-0418-489D-B6D5-41C62D559548}"/>
    <cellStyle name="Comma 12 7 2 2 2" xfId="32562" xr:uid="{FC2E3691-C37B-4EE2-A103-5D578D533C2E}"/>
    <cellStyle name="Comma 12 7 2 3" xfId="23890" xr:uid="{1B6EE7CB-E738-47FE-8DF6-55BF1B0A58BB}"/>
    <cellStyle name="Comma 12 7 3" xfId="10882" xr:uid="{BD44F9B1-6314-424A-8F4E-24E02DC783E5}"/>
    <cellStyle name="Comma 12 7 3 2" xfId="28226" xr:uid="{00733CAB-3FAD-4ED1-9090-9CCAE65AF0DD}"/>
    <cellStyle name="Comma 12 7 4" xfId="19554" xr:uid="{58802F4A-3B64-4CAA-B03F-AC5D10FA8411}"/>
    <cellStyle name="Comma 12 8" xfId="4378" xr:uid="{FBCD62DE-9955-422A-A3E0-234C1DE44189}"/>
    <cellStyle name="Comma 12 8 2" xfId="13050" xr:uid="{61F4EA11-B30E-4B79-98C0-96D277626BDB}"/>
    <cellStyle name="Comma 12 8 2 2" xfId="30394" xr:uid="{5DA2BB18-9D69-457F-9EC8-9548C4F5962E}"/>
    <cellStyle name="Comma 12 8 3" xfId="21722" xr:uid="{1195A2D5-1916-42A3-B859-6C526E143434}"/>
    <cellStyle name="Comma 12 9" xfId="8714" xr:uid="{7394CD40-761D-41B6-9F6D-DEFFDCBA40E0}"/>
    <cellStyle name="Comma 12 9 2" xfId="26058" xr:uid="{1342CC81-0144-4DED-9F6E-3E710A9BEB2A}"/>
    <cellStyle name="Comma 13" xfId="49" xr:uid="{A526F527-3A20-49FB-ADE4-5EA8980F6BFD}"/>
    <cellStyle name="Comma 13 10" xfId="17393" xr:uid="{88C37448-F376-4B64-9BA7-276A8EE8A379}"/>
    <cellStyle name="Comma 13 2" xfId="110" xr:uid="{1D7B50AC-3E3D-4BA6-B66E-9C362EA000E0}"/>
    <cellStyle name="Comma 13 2 2" xfId="232" xr:uid="{5F05ED36-AE0B-4C4D-9CCC-71223DCBB4E0}"/>
    <cellStyle name="Comma 13 2 2 2" xfId="502" xr:uid="{7B996D63-14E4-4FE6-936F-0808A1C43579}"/>
    <cellStyle name="Comma 13 2 2 2 2" xfId="1043" xr:uid="{556C3129-1A99-40CF-883E-DAE558E1C911}"/>
    <cellStyle name="Comma 13 2 2 2 2 2" xfId="2127" xr:uid="{527F38EC-8B2D-41C7-A4DE-AC85B4C788DB}"/>
    <cellStyle name="Comma 13 2 2 2 2 2 2" xfId="4295" xr:uid="{D64F304C-1221-4BEC-A044-98DC44145CC9}"/>
    <cellStyle name="Comma 13 2 2 2 2 2 2 2" xfId="8631" xr:uid="{ED1600A3-2207-4882-9B56-31170BD82F52}"/>
    <cellStyle name="Comma 13 2 2 2 2 2 2 2 2" xfId="17303" xr:uid="{BAD7E919-2324-4B74-AA84-F02A87CAE97F}"/>
    <cellStyle name="Comma 13 2 2 2 2 2 2 2 2 2" xfId="34647" xr:uid="{C948AB4D-5AF8-4CA6-98EC-118D52DB81D8}"/>
    <cellStyle name="Comma 13 2 2 2 2 2 2 2 3" xfId="25975" xr:uid="{BA4EFD5C-3C61-463A-BE4F-78913211A17B}"/>
    <cellStyle name="Comma 13 2 2 2 2 2 2 3" xfId="12967" xr:uid="{34D5DB53-E81F-41FF-848F-5C9E535C9ED5}"/>
    <cellStyle name="Comma 13 2 2 2 2 2 2 3 2" xfId="30311" xr:uid="{39F5C25A-5667-420E-9CD1-6F1CF2E65CE7}"/>
    <cellStyle name="Comma 13 2 2 2 2 2 2 4" xfId="21639" xr:uid="{5623D48E-2AA4-42DE-B3CA-D81EFB437243}"/>
    <cellStyle name="Comma 13 2 2 2 2 2 3" xfId="6463" xr:uid="{BE927C18-FBBF-4C11-8AC1-083CEDA4099C}"/>
    <cellStyle name="Comma 13 2 2 2 2 2 3 2" xfId="15135" xr:uid="{B28A8119-A17E-4940-801C-9F54B3114151}"/>
    <cellStyle name="Comma 13 2 2 2 2 2 3 2 2" xfId="32479" xr:uid="{5AB4EE97-75A6-4A9F-AAFA-4CA12B3929DE}"/>
    <cellStyle name="Comma 13 2 2 2 2 2 3 3" xfId="23807" xr:uid="{38DDDC1F-E474-4CD3-9981-2C91870D6123}"/>
    <cellStyle name="Comma 13 2 2 2 2 2 4" xfId="10799" xr:uid="{9BC6279E-D4AE-4A39-B397-5221FBF697E3}"/>
    <cellStyle name="Comma 13 2 2 2 2 2 4 2" xfId="28143" xr:uid="{3F54485E-EA39-4E82-B736-7709A43D4FFC}"/>
    <cellStyle name="Comma 13 2 2 2 2 2 5" xfId="19471" xr:uid="{CA197397-93ED-4D65-A9F1-A746BECC72B8}"/>
    <cellStyle name="Comma 13 2 2 2 2 3" xfId="3211" xr:uid="{78C28FD1-099C-443C-B897-92F8868741CA}"/>
    <cellStyle name="Comma 13 2 2 2 2 3 2" xfId="7547" xr:uid="{9A9319A3-EBC8-48C2-B55A-2B0B74F6D83F}"/>
    <cellStyle name="Comma 13 2 2 2 2 3 2 2" xfId="16219" xr:uid="{9882D896-49C2-4F7E-ACCF-8689269C0F70}"/>
    <cellStyle name="Comma 13 2 2 2 2 3 2 2 2" xfId="33563" xr:uid="{41AFAD16-735C-41F3-9CD8-64FF80AB0C21}"/>
    <cellStyle name="Comma 13 2 2 2 2 3 2 3" xfId="24891" xr:uid="{BEDDD8E0-F8E2-408F-B2E0-171BB0DD7219}"/>
    <cellStyle name="Comma 13 2 2 2 2 3 3" xfId="11883" xr:uid="{54AA51E6-2D64-4DA6-9421-575E4DE2F674}"/>
    <cellStyle name="Comma 13 2 2 2 2 3 3 2" xfId="29227" xr:uid="{B7BDFF54-7F89-4740-8C58-F231920C3E0D}"/>
    <cellStyle name="Comma 13 2 2 2 2 3 4" xfId="20555" xr:uid="{B9B075EA-E29F-47C6-89E0-B42A5DA34F63}"/>
    <cellStyle name="Comma 13 2 2 2 2 4" xfId="5379" xr:uid="{CFC36E9E-5FE9-4450-AEBD-7C8BF1CA091B}"/>
    <cellStyle name="Comma 13 2 2 2 2 4 2" xfId="14051" xr:uid="{1890248A-F7AB-4885-B3C9-C983E1E84BE6}"/>
    <cellStyle name="Comma 13 2 2 2 2 4 2 2" xfId="31395" xr:uid="{25169B34-0CB6-4637-80D4-456D8B563E64}"/>
    <cellStyle name="Comma 13 2 2 2 2 4 3" xfId="22723" xr:uid="{EE1444FB-D7D2-4130-9B05-0CA897B5C5EF}"/>
    <cellStyle name="Comma 13 2 2 2 2 5" xfId="9715" xr:uid="{6A55709B-80EF-44A4-A957-A6CFAC0F6DD5}"/>
    <cellStyle name="Comma 13 2 2 2 2 5 2" xfId="27059" xr:uid="{07910506-4978-431D-8079-FB9302006535}"/>
    <cellStyle name="Comma 13 2 2 2 2 6" xfId="18387" xr:uid="{6E8914A6-6BC8-4710-A8F6-E2122E1BC5E9}"/>
    <cellStyle name="Comma 13 2 2 2 3" xfId="1586" xr:uid="{924E0267-ABCC-498C-9049-35E5BA0FACEF}"/>
    <cellStyle name="Comma 13 2 2 2 3 2" xfId="3754" xr:uid="{E0CF0A3C-8536-4F8A-9A17-F893660FE997}"/>
    <cellStyle name="Comma 13 2 2 2 3 2 2" xfId="8090" xr:uid="{4DD03083-9147-4711-AD79-11C50E7BA473}"/>
    <cellStyle name="Comma 13 2 2 2 3 2 2 2" xfId="16762" xr:uid="{33692CFD-9BC7-43AC-BBBD-4221A39906F3}"/>
    <cellStyle name="Comma 13 2 2 2 3 2 2 2 2" xfId="34106" xr:uid="{880323D4-0E09-42CB-B9DD-78B71D213D90}"/>
    <cellStyle name="Comma 13 2 2 2 3 2 2 3" xfId="25434" xr:uid="{8F2C43BB-172C-402B-A297-7C8F9FC2B8B3}"/>
    <cellStyle name="Comma 13 2 2 2 3 2 3" xfId="12426" xr:uid="{0C0E5B4B-7832-4DC3-8AC9-2FBDD3EC3CE1}"/>
    <cellStyle name="Comma 13 2 2 2 3 2 3 2" xfId="29770" xr:uid="{553B06B6-EB83-40A0-929B-549F4604E61B}"/>
    <cellStyle name="Comma 13 2 2 2 3 2 4" xfId="21098" xr:uid="{69E8AD8A-D194-42B4-8CC6-ED8F6C024C43}"/>
    <cellStyle name="Comma 13 2 2 2 3 3" xfId="5922" xr:uid="{291DA473-692C-4BBB-8621-5103C59194D5}"/>
    <cellStyle name="Comma 13 2 2 2 3 3 2" xfId="14594" xr:uid="{1495A883-6C0A-404B-9D0D-67419CC6C489}"/>
    <cellStyle name="Comma 13 2 2 2 3 3 2 2" xfId="31938" xr:uid="{1B41AB91-F0CF-4FC6-9B5F-508DBDDA2B1E}"/>
    <cellStyle name="Comma 13 2 2 2 3 3 3" xfId="23266" xr:uid="{8F933C6C-0341-41DF-979A-95ED9B2374F3}"/>
    <cellStyle name="Comma 13 2 2 2 3 4" xfId="10258" xr:uid="{E9295ECB-7493-4ED9-934B-D6F66A815F3E}"/>
    <cellStyle name="Comma 13 2 2 2 3 4 2" xfId="27602" xr:uid="{B2A749EC-378C-4707-92A4-1D72761C7118}"/>
    <cellStyle name="Comma 13 2 2 2 3 5" xfId="18930" xr:uid="{07ADDD75-F675-47A5-991E-1D880DCA2C77}"/>
    <cellStyle name="Comma 13 2 2 2 4" xfId="2670" xr:uid="{B1111B18-4A9B-4273-84D3-8C1F81CB1ABB}"/>
    <cellStyle name="Comma 13 2 2 2 4 2" xfId="7006" xr:uid="{C988A61F-B073-432D-8621-CC0BB8233AAC}"/>
    <cellStyle name="Comma 13 2 2 2 4 2 2" xfId="15678" xr:uid="{E3C09E73-C339-40FA-9AAD-81976C3906D4}"/>
    <cellStyle name="Comma 13 2 2 2 4 2 2 2" xfId="33022" xr:uid="{D03B44F8-804C-492A-A401-5C660F4FB52E}"/>
    <cellStyle name="Comma 13 2 2 2 4 2 3" xfId="24350" xr:uid="{2008BF00-FC6A-457E-AC0F-1FBEE556C3F6}"/>
    <cellStyle name="Comma 13 2 2 2 4 3" xfId="11342" xr:uid="{698AC84B-E0EC-436A-B4DB-AA563D9EF984}"/>
    <cellStyle name="Comma 13 2 2 2 4 3 2" xfId="28686" xr:uid="{E4ACCF78-8708-4928-9C7C-202A751108A3}"/>
    <cellStyle name="Comma 13 2 2 2 4 4" xfId="20014" xr:uid="{0B089FD7-45C4-43FF-A8DE-C7F6793C58CB}"/>
    <cellStyle name="Comma 13 2 2 2 5" xfId="4838" xr:uid="{D08B4956-98CF-49B2-836C-EA24122FA7A1}"/>
    <cellStyle name="Comma 13 2 2 2 5 2" xfId="13510" xr:uid="{A91E0F1D-2988-4047-AA3D-94D918200178}"/>
    <cellStyle name="Comma 13 2 2 2 5 2 2" xfId="30854" xr:uid="{65F69041-2BC2-4368-8FA3-89C52D1CB15E}"/>
    <cellStyle name="Comma 13 2 2 2 5 3" xfId="22182" xr:uid="{FDCED64A-AA43-4A6E-9210-2F9CB40E8F9C}"/>
    <cellStyle name="Comma 13 2 2 2 6" xfId="9174" xr:uid="{DD4A485F-BABB-46CC-9569-42CDF44B0EC8}"/>
    <cellStyle name="Comma 13 2 2 2 6 2" xfId="26518" xr:uid="{C8E83651-200A-42F2-8796-5461053EC1AB}"/>
    <cellStyle name="Comma 13 2 2 2 7" xfId="17846" xr:uid="{BAE8FAA4-86A4-4756-B9B3-E4075F6CC7B8}"/>
    <cellStyle name="Comma 13 2 2 3" xfId="773" xr:uid="{E77344D3-9479-4BF9-B2E0-8C2395DFE2DE}"/>
    <cellStyle name="Comma 13 2 2 3 2" xfId="1857" xr:uid="{43989EB2-68E3-4122-BEBD-63F00142896C}"/>
    <cellStyle name="Comma 13 2 2 3 2 2" xfId="4025" xr:uid="{D737D755-E974-480D-8E8B-42631FBA3E7B}"/>
    <cellStyle name="Comma 13 2 2 3 2 2 2" xfId="8361" xr:uid="{F9EF6870-8610-4752-9CE3-6828251BEBA1}"/>
    <cellStyle name="Comma 13 2 2 3 2 2 2 2" xfId="17033" xr:uid="{A8477D51-3122-4BAF-93A6-A972E34DFE0F}"/>
    <cellStyle name="Comma 13 2 2 3 2 2 2 2 2" xfId="34377" xr:uid="{B63ED07F-BCE4-424E-8E6B-1F68FA01DD0C}"/>
    <cellStyle name="Comma 13 2 2 3 2 2 2 3" xfId="25705" xr:uid="{3C2DCA94-A111-43D6-8E3E-6F2A4E1C69D5}"/>
    <cellStyle name="Comma 13 2 2 3 2 2 3" xfId="12697" xr:uid="{0FEC1EC0-4A81-40EC-8F31-648C4D700E88}"/>
    <cellStyle name="Comma 13 2 2 3 2 2 3 2" xfId="30041" xr:uid="{6A5B70CC-5F34-4A94-AA6C-363A30449578}"/>
    <cellStyle name="Comma 13 2 2 3 2 2 4" xfId="21369" xr:uid="{8E15CAA3-B846-4978-9EB7-847D1E562CB6}"/>
    <cellStyle name="Comma 13 2 2 3 2 3" xfId="6193" xr:uid="{4A6994CE-01EE-4C20-8CC4-DAA885B092D4}"/>
    <cellStyle name="Comma 13 2 2 3 2 3 2" xfId="14865" xr:uid="{033375D0-36A7-48DA-8B39-5530D3624398}"/>
    <cellStyle name="Comma 13 2 2 3 2 3 2 2" xfId="32209" xr:uid="{D830AB19-6354-4B80-800A-624BFE37D37B}"/>
    <cellStyle name="Comma 13 2 2 3 2 3 3" xfId="23537" xr:uid="{696E490C-6823-4797-BC6D-4041062633F3}"/>
    <cellStyle name="Comma 13 2 2 3 2 4" xfId="10529" xr:uid="{4A7D0F5C-395A-40F0-8EA3-EFCB4C76F25F}"/>
    <cellStyle name="Comma 13 2 2 3 2 4 2" xfId="27873" xr:uid="{6461A44E-4497-494A-96EA-BD9ADD68B585}"/>
    <cellStyle name="Comma 13 2 2 3 2 5" xfId="19201" xr:uid="{62636574-FB90-4562-B9DC-BAE464F25617}"/>
    <cellStyle name="Comma 13 2 2 3 3" xfId="2941" xr:uid="{38941116-DDF8-4DD0-ABE0-1DDF03AABFAF}"/>
    <cellStyle name="Comma 13 2 2 3 3 2" xfId="7277" xr:uid="{B5974A23-2C45-4180-BF8E-3A0400344062}"/>
    <cellStyle name="Comma 13 2 2 3 3 2 2" xfId="15949" xr:uid="{15801A6D-13AC-4ED7-A69C-C777693081B9}"/>
    <cellStyle name="Comma 13 2 2 3 3 2 2 2" xfId="33293" xr:uid="{DFB050CB-22B3-4BD8-89C0-F1EDC41C52BA}"/>
    <cellStyle name="Comma 13 2 2 3 3 2 3" xfId="24621" xr:uid="{7FF72D33-4BFD-4D6A-8442-6088AEA8BDA1}"/>
    <cellStyle name="Comma 13 2 2 3 3 3" xfId="11613" xr:uid="{34803765-D160-4766-953E-7F56B8BCECE7}"/>
    <cellStyle name="Comma 13 2 2 3 3 3 2" xfId="28957" xr:uid="{6223BD29-6405-415E-8CA5-819163AF487B}"/>
    <cellStyle name="Comma 13 2 2 3 3 4" xfId="20285" xr:uid="{6860D5C3-D819-4D42-8010-8015F07CD839}"/>
    <cellStyle name="Comma 13 2 2 3 4" xfId="5109" xr:uid="{D39E84C6-35EB-4A9F-AADC-4ABD443A781B}"/>
    <cellStyle name="Comma 13 2 2 3 4 2" xfId="13781" xr:uid="{E18FC3E7-AFCD-4279-B6F6-F58FBDECCEB4}"/>
    <cellStyle name="Comma 13 2 2 3 4 2 2" xfId="31125" xr:uid="{A8BDB225-CFE9-4E58-A08A-E15DC2CFED82}"/>
    <cellStyle name="Comma 13 2 2 3 4 3" xfId="22453" xr:uid="{D142829A-7A26-4F18-8FC1-AF883D5D31A6}"/>
    <cellStyle name="Comma 13 2 2 3 5" xfId="9445" xr:uid="{6F39A307-9667-4043-AB18-EDEC7DFF47A3}"/>
    <cellStyle name="Comma 13 2 2 3 5 2" xfId="26789" xr:uid="{FC0380E5-8B27-49DD-A5F7-14C8541EFBAF}"/>
    <cellStyle name="Comma 13 2 2 3 6" xfId="18117" xr:uid="{2AC26584-8F41-4795-84BE-65C3AF2B37D1}"/>
    <cellStyle name="Comma 13 2 2 4" xfId="1316" xr:uid="{F32F1BF0-9F3A-4FF1-9DA6-407958DC5D47}"/>
    <cellStyle name="Comma 13 2 2 4 2" xfId="3484" xr:uid="{22225AAF-6B49-408E-9528-D72388BAF2AE}"/>
    <cellStyle name="Comma 13 2 2 4 2 2" xfId="7820" xr:uid="{055BEFCF-A236-4A1E-9C53-6312E91F2884}"/>
    <cellStyle name="Comma 13 2 2 4 2 2 2" xfId="16492" xr:uid="{C94CB3AF-730D-4FA4-A3C6-0A67CC94F9D1}"/>
    <cellStyle name="Comma 13 2 2 4 2 2 2 2" xfId="33836" xr:uid="{78CD4D5B-C999-4380-A8E4-2B39F792AAF4}"/>
    <cellStyle name="Comma 13 2 2 4 2 2 3" xfId="25164" xr:uid="{C8F01D24-3175-490F-95A6-6F1EB18F35AC}"/>
    <cellStyle name="Comma 13 2 2 4 2 3" xfId="12156" xr:uid="{5513A3AD-CA85-4BCA-A608-0AD34DB2B815}"/>
    <cellStyle name="Comma 13 2 2 4 2 3 2" xfId="29500" xr:uid="{46F33413-FF38-4B1A-977B-524E2FB6B730}"/>
    <cellStyle name="Comma 13 2 2 4 2 4" xfId="20828" xr:uid="{6B5FBE9E-2E9E-4E78-8553-AC8BABE70857}"/>
    <cellStyle name="Comma 13 2 2 4 3" xfId="5652" xr:uid="{AD826C4E-15B5-4DE2-BEC3-6156D3272D21}"/>
    <cellStyle name="Comma 13 2 2 4 3 2" xfId="14324" xr:uid="{7E43B0EA-C9C1-4738-B242-9CF740CFB0AF}"/>
    <cellStyle name="Comma 13 2 2 4 3 2 2" xfId="31668" xr:uid="{0CF21C19-61BF-4C3B-9B26-F411F906AA44}"/>
    <cellStyle name="Comma 13 2 2 4 3 3" xfId="22996" xr:uid="{9C8C58FD-154C-435B-9C04-48C5A44AFBBD}"/>
    <cellStyle name="Comma 13 2 2 4 4" xfId="9988" xr:uid="{19A13EBD-156C-476A-8ECD-9FB593D2CDC5}"/>
    <cellStyle name="Comma 13 2 2 4 4 2" xfId="27332" xr:uid="{475DD9DF-B0D5-463F-86CD-3A8929944116}"/>
    <cellStyle name="Comma 13 2 2 4 5" xfId="18660" xr:uid="{862C311C-D36D-47C1-B940-FC00EDC06A27}"/>
    <cellStyle name="Comma 13 2 2 5" xfId="2400" xr:uid="{E6565CB7-4837-4460-8C68-1E085EF21539}"/>
    <cellStyle name="Comma 13 2 2 5 2" xfId="6736" xr:uid="{9AA6F508-1839-44D0-965C-5F60AD4BDC12}"/>
    <cellStyle name="Comma 13 2 2 5 2 2" xfId="15408" xr:uid="{1FFE234B-2E8A-45F1-8F6D-2B30D001B65C}"/>
    <cellStyle name="Comma 13 2 2 5 2 2 2" xfId="32752" xr:uid="{F773304D-6613-4AE7-9DC0-3581C23F12E7}"/>
    <cellStyle name="Comma 13 2 2 5 2 3" xfId="24080" xr:uid="{6CD95ECF-C0E9-4938-91EF-DB3D18CA2123}"/>
    <cellStyle name="Comma 13 2 2 5 3" xfId="11072" xr:uid="{72AD1EC3-9CD7-4C36-84D6-9BF70F468746}"/>
    <cellStyle name="Comma 13 2 2 5 3 2" xfId="28416" xr:uid="{F076AE2D-5E37-431F-9F27-00932D5F1C6D}"/>
    <cellStyle name="Comma 13 2 2 5 4" xfId="19744" xr:uid="{AB47D9CB-7A1A-4302-A1C9-960EA6B75BA4}"/>
    <cellStyle name="Comma 13 2 2 6" xfId="4568" xr:uid="{2CD9CF16-8A50-4EAC-B01F-2C64F2360DAD}"/>
    <cellStyle name="Comma 13 2 2 6 2" xfId="13240" xr:uid="{DFAC215B-E175-4856-BAC0-4F3EBED3CF39}"/>
    <cellStyle name="Comma 13 2 2 6 2 2" xfId="30584" xr:uid="{1FDAE5F8-6F1A-41D0-ABB2-3FC90014ACC6}"/>
    <cellStyle name="Comma 13 2 2 6 3" xfId="21912" xr:uid="{33AAC860-E2A8-495E-B769-CF98911BE77A}"/>
    <cellStyle name="Comma 13 2 2 7" xfId="8904" xr:uid="{C44F6929-4B6B-4C04-B607-7A2539BDB884}"/>
    <cellStyle name="Comma 13 2 2 7 2" xfId="26248" xr:uid="{214D663B-4CA0-4962-AECC-6A3500397FD4}"/>
    <cellStyle name="Comma 13 2 2 8" xfId="17576" xr:uid="{BF4F14CD-5E72-4321-8C60-252FEDA185F0}"/>
    <cellStyle name="Comma 13 2 3" xfId="380" xr:uid="{9ADDDFF8-2E7D-41FA-8674-0EAE69E363E0}"/>
    <cellStyle name="Comma 13 2 3 2" xfId="921" xr:uid="{936E6C5B-C971-487C-A4CB-A32C3B006EE6}"/>
    <cellStyle name="Comma 13 2 3 2 2" xfId="2005" xr:uid="{FE53FBD8-5DF4-4113-A8DE-F2E2176CA9A9}"/>
    <cellStyle name="Comma 13 2 3 2 2 2" xfId="4173" xr:uid="{05F653A1-DEAD-4AC6-A177-CB9C85B17549}"/>
    <cellStyle name="Comma 13 2 3 2 2 2 2" xfId="8509" xr:uid="{482CC95D-B585-49AA-8DAD-29DDEAB41EA4}"/>
    <cellStyle name="Comma 13 2 3 2 2 2 2 2" xfId="17181" xr:uid="{D98B8C96-BE9B-4EB0-B1FD-6B08D0C87F23}"/>
    <cellStyle name="Comma 13 2 3 2 2 2 2 2 2" xfId="34525" xr:uid="{8E6C93FB-22FC-4416-B79E-0A28286DED2A}"/>
    <cellStyle name="Comma 13 2 3 2 2 2 2 3" xfId="25853" xr:uid="{D60A126A-6D40-4B92-99EA-770C483EC3ED}"/>
    <cellStyle name="Comma 13 2 3 2 2 2 3" xfId="12845" xr:uid="{B6ED3DA6-57AA-49F9-A642-66D7E5F3E6E0}"/>
    <cellStyle name="Comma 13 2 3 2 2 2 3 2" xfId="30189" xr:uid="{57758AD3-0CD7-4746-B1EE-B08124557208}"/>
    <cellStyle name="Comma 13 2 3 2 2 2 4" xfId="21517" xr:uid="{DCAAC173-2AA7-4B76-9BD7-AB96630A668B}"/>
    <cellStyle name="Comma 13 2 3 2 2 3" xfId="6341" xr:uid="{B6B654D9-F987-4115-AD76-BE9C0867520E}"/>
    <cellStyle name="Comma 13 2 3 2 2 3 2" xfId="15013" xr:uid="{EF5E89CE-E027-46E3-B93D-9597948804F1}"/>
    <cellStyle name="Comma 13 2 3 2 2 3 2 2" xfId="32357" xr:uid="{7157EF31-5F19-4AF9-BEA5-B01F849DC0F0}"/>
    <cellStyle name="Comma 13 2 3 2 2 3 3" xfId="23685" xr:uid="{BAF0AD52-E6B4-437E-BA2C-A143EDF439D6}"/>
    <cellStyle name="Comma 13 2 3 2 2 4" xfId="10677" xr:uid="{2CC9A920-352A-42CF-81BC-2251EAB2A3D2}"/>
    <cellStyle name="Comma 13 2 3 2 2 4 2" xfId="28021" xr:uid="{7C204122-692F-453F-9948-8E02B743254B}"/>
    <cellStyle name="Comma 13 2 3 2 2 5" xfId="19349" xr:uid="{0CA86D97-8870-4AD4-A1F0-C53D86A760F9}"/>
    <cellStyle name="Comma 13 2 3 2 3" xfId="3089" xr:uid="{C63613A2-1726-49A0-890C-E10F9BDD2BA2}"/>
    <cellStyle name="Comma 13 2 3 2 3 2" xfId="7425" xr:uid="{082A9917-11B5-4726-B9BA-489CB3630918}"/>
    <cellStyle name="Comma 13 2 3 2 3 2 2" xfId="16097" xr:uid="{F65EE852-84D8-4CC4-846D-C5E5D4849F32}"/>
    <cellStyle name="Comma 13 2 3 2 3 2 2 2" xfId="33441" xr:uid="{807623E7-E673-4C13-A92D-88F5F45583CF}"/>
    <cellStyle name="Comma 13 2 3 2 3 2 3" xfId="24769" xr:uid="{36277971-80BB-4CAD-B748-23E3F54FB544}"/>
    <cellStyle name="Comma 13 2 3 2 3 3" xfId="11761" xr:uid="{BC797F78-CFE7-449C-8456-18BC5D2EF24C}"/>
    <cellStyle name="Comma 13 2 3 2 3 3 2" xfId="29105" xr:uid="{863D39AC-0291-446B-877F-80247559126B}"/>
    <cellStyle name="Comma 13 2 3 2 3 4" xfId="20433" xr:uid="{B6DFAE52-3931-4346-A8A2-B9E12DBCDF2D}"/>
    <cellStyle name="Comma 13 2 3 2 4" xfId="5257" xr:uid="{E611A844-9757-4523-AC93-88175B0BD6FB}"/>
    <cellStyle name="Comma 13 2 3 2 4 2" xfId="13929" xr:uid="{DD48BD21-B6D4-4A65-B558-D779F32FF98D}"/>
    <cellStyle name="Comma 13 2 3 2 4 2 2" xfId="31273" xr:uid="{E72811CF-4EA8-467B-B539-19FE21B1B2EC}"/>
    <cellStyle name="Comma 13 2 3 2 4 3" xfId="22601" xr:uid="{39EF2157-9B95-4A46-88F1-08EABF885BCC}"/>
    <cellStyle name="Comma 13 2 3 2 5" xfId="9593" xr:uid="{3E8C3BE3-F233-494F-BBC2-9EB87F0672ED}"/>
    <cellStyle name="Comma 13 2 3 2 5 2" xfId="26937" xr:uid="{DED54B14-7DAC-405F-BADB-DF05D396E7CB}"/>
    <cellStyle name="Comma 13 2 3 2 6" xfId="18265" xr:uid="{56EAA08F-56AF-4F67-94C2-ABC40B725CC0}"/>
    <cellStyle name="Comma 13 2 3 3" xfId="1464" xr:uid="{6B281A61-B79D-4D81-8005-B36F35A364AE}"/>
    <cellStyle name="Comma 13 2 3 3 2" xfId="3632" xr:uid="{2BD66B4A-6B8D-4A0E-835B-D3412B703CEC}"/>
    <cellStyle name="Comma 13 2 3 3 2 2" xfId="7968" xr:uid="{FACBB537-554B-442E-9DF3-836B346D8146}"/>
    <cellStyle name="Comma 13 2 3 3 2 2 2" xfId="16640" xr:uid="{8CDE2409-D08F-4EE9-ABA8-9707E5E2AF67}"/>
    <cellStyle name="Comma 13 2 3 3 2 2 2 2" xfId="33984" xr:uid="{076D1506-2620-475D-ABFA-F0125D0387D8}"/>
    <cellStyle name="Comma 13 2 3 3 2 2 3" xfId="25312" xr:uid="{6EC2665B-4FB8-4E79-991A-B75A9BA8BC4D}"/>
    <cellStyle name="Comma 13 2 3 3 2 3" xfId="12304" xr:uid="{34359BA2-135D-452B-8D35-F3D9AFAF1FF2}"/>
    <cellStyle name="Comma 13 2 3 3 2 3 2" xfId="29648" xr:uid="{F3FAF750-975C-4B5D-965A-ED2EB2E693A2}"/>
    <cellStyle name="Comma 13 2 3 3 2 4" xfId="20976" xr:uid="{C093C36B-FE1B-4AE3-A805-33FADD1F9A05}"/>
    <cellStyle name="Comma 13 2 3 3 3" xfId="5800" xr:uid="{E2712338-341C-4BDC-A960-E4C8C2DF5804}"/>
    <cellStyle name="Comma 13 2 3 3 3 2" xfId="14472" xr:uid="{2554E519-F65B-452B-8A81-4824F4098E00}"/>
    <cellStyle name="Comma 13 2 3 3 3 2 2" xfId="31816" xr:uid="{2C04A910-4A8A-40C5-AFEC-93D0529A5AB5}"/>
    <cellStyle name="Comma 13 2 3 3 3 3" xfId="23144" xr:uid="{9ACD4C1D-48D0-430E-BB77-65BA502C9A33}"/>
    <cellStyle name="Comma 13 2 3 3 4" xfId="10136" xr:uid="{693A638F-EBAA-4B98-B319-4A8A9501EA91}"/>
    <cellStyle name="Comma 13 2 3 3 4 2" xfId="27480" xr:uid="{278648EA-62A9-4F9A-95C5-65BB30331EBE}"/>
    <cellStyle name="Comma 13 2 3 3 5" xfId="18808" xr:uid="{B735560E-91A7-42A7-A9C2-221233DADDC0}"/>
    <cellStyle name="Comma 13 2 3 4" xfId="2548" xr:uid="{96C72902-F6AD-4D70-A406-FF7A25AB8792}"/>
    <cellStyle name="Comma 13 2 3 4 2" xfId="6884" xr:uid="{648CD60E-2637-41A2-8E65-98B85AB212A6}"/>
    <cellStyle name="Comma 13 2 3 4 2 2" xfId="15556" xr:uid="{03C2CDFD-D7C3-458B-B264-47327B466ADB}"/>
    <cellStyle name="Comma 13 2 3 4 2 2 2" xfId="32900" xr:uid="{BBBBE63C-853B-4742-8366-797A31634B22}"/>
    <cellStyle name="Comma 13 2 3 4 2 3" xfId="24228" xr:uid="{A696A1EA-3B51-416B-B42C-E824CBE8FE19}"/>
    <cellStyle name="Comma 13 2 3 4 3" xfId="11220" xr:uid="{509CEA8A-2A12-4E1C-A274-FDDBCDC81593}"/>
    <cellStyle name="Comma 13 2 3 4 3 2" xfId="28564" xr:uid="{168C3972-B610-48CF-8276-190085CB5F11}"/>
    <cellStyle name="Comma 13 2 3 4 4" xfId="19892" xr:uid="{F0C87695-5152-4146-B86B-5DEED3197555}"/>
    <cellStyle name="Comma 13 2 3 5" xfId="4716" xr:uid="{73C3B8AB-53D4-4767-96B1-F6C5E4BAFA6F}"/>
    <cellStyle name="Comma 13 2 3 5 2" xfId="13388" xr:uid="{5D3FDE30-85DE-4D3E-8DAF-EAB8DA6E121C}"/>
    <cellStyle name="Comma 13 2 3 5 2 2" xfId="30732" xr:uid="{BA43D0FA-8281-41AE-846A-87B8AC507286}"/>
    <cellStyle name="Comma 13 2 3 5 3" xfId="22060" xr:uid="{6C7B7B55-B959-44E2-8E40-4CB9AD7F118B}"/>
    <cellStyle name="Comma 13 2 3 6" xfId="9052" xr:uid="{AB492B4C-677F-4B3E-8ED2-6C64A5EBDDBB}"/>
    <cellStyle name="Comma 13 2 3 6 2" xfId="26396" xr:uid="{D41AA609-43D1-430A-A1BF-BB3016C91242}"/>
    <cellStyle name="Comma 13 2 3 7" xfId="17724" xr:uid="{A325DB3A-6E7C-42E1-8FB8-DB95D41E9351}"/>
    <cellStyle name="Comma 13 2 4" xfId="651" xr:uid="{319B87CB-C46B-434F-A23A-0CD317001D89}"/>
    <cellStyle name="Comma 13 2 4 2" xfId="1735" xr:uid="{12C7B505-CB5D-4472-A283-B433AD44E706}"/>
    <cellStyle name="Comma 13 2 4 2 2" xfId="3903" xr:uid="{27852096-0915-4065-9BD0-65CE3B24CFAF}"/>
    <cellStyle name="Comma 13 2 4 2 2 2" xfId="8239" xr:uid="{BBCD4A2A-C0D1-41F7-9AEB-5C0CA5902EE7}"/>
    <cellStyle name="Comma 13 2 4 2 2 2 2" xfId="16911" xr:uid="{ED9650BD-8502-4E8C-ABC0-B9500AB53472}"/>
    <cellStyle name="Comma 13 2 4 2 2 2 2 2" xfId="34255" xr:uid="{56844968-AD8D-4671-90A4-0DECFA482D0A}"/>
    <cellStyle name="Comma 13 2 4 2 2 2 3" xfId="25583" xr:uid="{38918323-C92D-4971-BEB5-093A69D5DFAB}"/>
    <cellStyle name="Comma 13 2 4 2 2 3" xfId="12575" xr:uid="{8040787E-5095-43B8-AC13-0BA9557958B5}"/>
    <cellStyle name="Comma 13 2 4 2 2 3 2" xfId="29919" xr:uid="{91F47701-2F5F-4206-B8AC-E1BEBD7B7018}"/>
    <cellStyle name="Comma 13 2 4 2 2 4" xfId="21247" xr:uid="{E397C055-133B-48DD-BEAB-D899F1881F8F}"/>
    <cellStyle name="Comma 13 2 4 2 3" xfId="6071" xr:uid="{853774E6-02C9-4A70-83D3-1DFF8C0662BD}"/>
    <cellStyle name="Comma 13 2 4 2 3 2" xfId="14743" xr:uid="{6208ADF4-21A1-4FA6-81B2-D64DA882DC6B}"/>
    <cellStyle name="Comma 13 2 4 2 3 2 2" xfId="32087" xr:uid="{9F043EA0-5EE6-4430-AA9F-41FA7DEB29E3}"/>
    <cellStyle name="Comma 13 2 4 2 3 3" xfId="23415" xr:uid="{2DC51C7B-EA48-4690-A94A-D8B17585190D}"/>
    <cellStyle name="Comma 13 2 4 2 4" xfId="10407" xr:uid="{D3B81254-9182-48A5-909B-D9FBADD20918}"/>
    <cellStyle name="Comma 13 2 4 2 4 2" xfId="27751" xr:uid="{17715225-9FC0-4B1E-AB74-288678EF159A}"/>
    <cellStyle name="Comma 13 2 4 2 5" xfId="19079" xr:uid="{DA45119D-0FB4-4AA2-8D90-1AEE156F60E6}"/>
    <cellStyle name="Comma 13 2 4 3" xfId="2819" xr:uid="{05B0E879-6E8E-4C2E-BB68-4A4191E08B5D}"/>
    <cellStyle name="Comma 13 2 4 3 2" xfId="7155" xr:uid="{C6EDB909-725A-49E4-99BA-3E1FDC05B723}"/>
    <cellStyle name="Comma 13 2 4 3 2 2" xfId="15827" xr:uid="{17CEE3B0-F3E0-47F0-BA78-7352C053A978}"/>
    <cellStyle name="Comma 13 2 4 3 2 2 2" xfId="33171" xr:uid="{5D175579-F28E-4784-BEEB-5EEFEC667E00}"/>
    <cellStyle name="Comma 13 2 4 3 2 3" xfId="24499" xr:uid="{E4339DF2-DA60-470E-8B54-3ACC51C41B77}"/>
    <cellStyle name="Comma 13 2 4 3 3" xfId="11491" xr:uid="{E8C1FEA4-40A8-43BE-A7B9-AC5D7DB7DE01}"/>
    <cellStyle name="Comma 13 2 4 3 3 2" xfId="28835" xr:uid="{8E90C709-4076-4933-9C12-480098C16339}"/>
    <cellStyle name="Comma 13 2 4 3 4" xfId="20163" xr:uid="{E1EC67C2-A79F-4D13-AB10-6D678772C41B}"/>
    <cellStyle name="Comma 13 2 4 4" xfId="4987" xr:uid="{5D6A5EA5-69FD-4D64-88D0-5E978E7D22C5}"/>
    <cellStyle name="Comma 13 2 4 4 2" xfId="13659" xr:uid="{0D78B3B1-D44E-45E6-9386-1C31434F16EF}"/>
    <cellStyle name="Comma 13 2 4 4 2 2" xfId="31003" xr:uid="{0CE71855-B7F6-4438-871F-4BB80DFD1ABF}"/>
    <cellStyle name="Comma 13 2 4 4 3" xfId="22331" xr:uid="{6F4073F8-ED91-4710-AF8F-6FF4C125A5E8}"/>
    <cellStyle name="Comma 13 2 4 5" xfId="9323" xr:uid="{7FB03DAF-EE34-4AB7-AFF0-2ADC9AF71D84}"/>
    <cellStyle name="Comma 13 2 4 5 2" xfId="26667" xr:uid="{71708323-CBA6-414E-88ED-4C7744611A95}"/>
    <cellStyle name="Comma 13 2 4 6" xfId="17995" xr:uid="{2A715EF7-ABF3-4B62-ACC0-4CA595B7FEEF}"/>
    <cellStyle name="Comma 13 2 5" xfId="1194" xr:uid="{E126F872-76C5-403F-A298-A879F8514BD0}"/>
    <cellStyle name="Comma 13 2 5 2" xfId="3362" xr:uid="{C561EA38-2EDF-4478-9713-59790EB8E6E8}"/>
    <cellStyle name="Comma 13 2 5 2 2" xfId="7698" xr:uid="{790D6800-A2B2-4076-961E-B5F5ADF43B04}"/>
    <cellStyle name="Comma 13 2 5 2 2 2" xfId="16370" xr:uid="{B012E976-241C-4570-96BC-D76FA16D34CE}"/>
    <cellStyle name="Comma 13 2 5 2 2 2 2" xfId="33714" xr:uid="{0FE56EC7-4A2E-4E2D-B0F8-1657CA65AD6D}"/>
    <cellStyle name="Comma 13 2 5 2 2 3" xfId="25042" xr:uid="{EB239C78-C3CD-4A70-8F25-3EE115E11474}"/>
    <cellStyle name="Comma 13 2 5 2 3" xfId="12034" xr:uid="{37B68F37-7AEA-42EC-8118-43DE3F39B441}"/>
    <cellStyle name="Comma 13 2 5 2 3 2" xfId="29378" xr:uid="{725C3420-3EAB-4C68-A03A-5EEC71965A46}"/>
    <cellStyle name="Comma 13 2 5 2 4" xfId="20706" xr:uid="{720F67C7-5361-44D0-A6F7-C17852895F62}"/>
    <cellStyle name="Comma 13 2 5 3" xfId="5530" xr:uid="{04158EAA-AEDE-4129-B3FE-F5A019750DE2}"/>
    <cellStyle name="Comma 13 2 5 3 2" xfId="14202" xr:uid="{ED9E2E54-B4A5-424C-A5DA-6C687F05E790}"/>
    <cellStyle name="Comma 13 2 5 3 2 2" xfId="31546" xr:uid="{9AF3AF5C-C9C3-4970-B38E-B019BA70A60D}"/>
    <cellStyle name="Comma 13 2 5 3 3" xfId="22874" xr:uid="{07E6F908-EE49-4E51-B777-06E266097927}"/>
    <cellStyle name="Comma 13 2 5 4" xfId="9866" xr:uid="{8A460BD8-FFFA-462A-8C60-A9D13CC297B6}"/>
    <cellStyle name="Comma 13 2 5 4 2" xfId="27210" xr:uid="{FB3A29CE-3D39-45DD-9881-40C0B66EDDA8}"/>
    <cellStyle name="Comma 13 2 5 5" xfId="18538" xr:uid="{8B69D5D9-71D9-4FA5-8902-EF06F56AA0D9}"/>
    <cellStyle name="Comma 13 2 6" xfId="2278" xr:uid="{880D3F07-AAE6-4952-BF18-104BF6CCCF8E}"/>
    <cellStyle name="Comma 13 2 6 2" xfId="6614" xr:uid="{FFC37700-A304-478E-8D60-53ADE2CD9902}"/>
    <cellStyle name="Comma 13 2 6 2 2" xfId="15286" xr:uid="{D42DEAD9-1A6F-47A1-BBA5-25CEE9EB258F}"/>
    <cellStyle name="Comma 13 2 6 2 2 2" xfId="32630" xr:uid="{07617C3F-9E93-4385-A39E-C9365A85FBE9}"/>
    <cellStyle name="Comma 13 2 6 2 3" xfId="23958" xr:uid="{EBF084E1-4EFF-467F-BF14-8CE79BB1441D}"/>
    <cellStyle name="Comma 13 2 6 3" xfId="10950" xr:uid="{D1FB8A53-125F-41EA-A04C-8980AC43ED0B}"/>
    <cellStyle name="Comma 13 2 6 3 2" xfId="28294" xr:uid="{4C464A29-5688-436E-B89C-DEB104A9AFA3}"/>
    <cellStyle name="Comma 13 2 6 4" xfId="19622" xr:uid="{40FB7232-6AC3-4CD8-936B-B90E8549CF35}"/>
    <cellStyle name="Comma 13 2 7" xfId="4446" xr:uid="{C3756AF6-AD19-401E-80B9-715A2C4B40B1}"/>
    <cellStyle name="Comma 13 2 7 2" xfId="13118" xr:uid="{141A04E9-24A2-4A81-858B-5B4ACA7EF96F}"/>
    <cellStyle name="Comma 13 2 7 2 2" xfId="30462" xr:uid="{C02A1424-6988-4E93-91BE-17C5E01CBA19}"/>
    <cellStyle name="Comma 13 2 7 3" xfId="21790" xr:uid="{FE3EBCBB-5D09-462E-9F47-AF2839D55027}"/>
    <cellStyle name="Comma 13 2 8" xfId="8782" xr:uid="{6A9CA276-1FF2-4A82-A88A-257B8F8AB47C}"/>
    <cellStyle name="Comma 13 2 8 2" xfId="26126" xr:uid="{2EC41687-F54A-40D3-970A-1F225FC44BDD}"/>
    <cellStyle name="Comma 13 2 9" xfId="17454" xr:uid="{D5FD5CA1-D41F-4252-A24C-7CF4598A82D7}"/>
    <cellStyle name="Comma 13 3" xfId="171" xr:uid="{CDDD9D69-4584-45A6-BD50-E1D3C805B931}"/>
    <cellStyle name="Comma 13 3 2" xfId="441" xr:uid="{5327A5C9-A943-458E-9CC8-954036E91DFE}"/>
    <cellStyle name="Comma 13 3 2 2" xfId="982" xr:uid="{C8733380-8443-4A84-8A2D-27C5495DA87C}"/>
    <cellStyle name="Comma 13 3 2 2 2" xfId="2066" xr:uid="{F31CDB4F-8559-4D8D-BC02-1A7522F8ABA5}"/>
    <cellStyle name="Comma 13 3 2 2 2 2" xfId="4234" xr:uid="{E278E4C9-1E3D-444A-91EF-B242AB225A97}"/>
    <cellStyle name="Comma 13 3 2 2 2 2 2" xfId="8570" xr:uid="{E7B6CAEA-9068-40CB-BB6C-C1D7C44E57E8}"/>
    <cellStyle name="Comma 13 3 2 2 2 2 2 2" xfId="17242" xr:uid="{5B209F8C-FA75-43BB-A52A-CEDC27D2B6CB}"/>
    <cellStyle name="Comma 13 3 2 2 2 2 2 2 2" xfId="34586" xr:uid="{40764379-8459-4EDD-A27D-F30155BCECC5}"/>
    <cellStyle name="Comma 13 3 2 2 2 2 2 3" xfId="25914" xr:uid="{0A103677-3873-48B7-B31D-8ECD6DEC4E3A}"/>
    <cellStyle name="Comma 13 3 2 2 2 2 3" xfId="12906" xr:uid="{45BDEC66-D2F6-4BD6-975B-23A006122135}"/>
    <cellStyle name="Comma 13 3 2 2 2 2 3 2" xfId="30250" xr:uid="{CE650EC6-E7C8-46C8-AD07-A82492232322}"/>
    <cellStyle name="Comma 13 3 2 2 2 2 4" xfId="21578" xr:uid="{6C71D55C-284A-449E-ADFF-52A924BFD228}"/>
    <cellStyle name="Comma 13 3 2 2 2 3" xfId="6402" xr:uid="{C8247266-42E9-48B5-AE12-BA2A8AF3E236}"/>
    <cellStyle name="Comma 13 3 2 2 2 3 2" xfId="15074" xr:uid="{A5B8DCB4-CDDE-433B-B447-0FBBEBF33948}"/>
    <cellStyle name="Comma 13 3 2 2 2 3 2 2" xfId="32418" xr:uid="{B7C19DBF-1E58-4446-AF01-77FAA0B8C2EC}"/>
    <cellStyle name="Comma 13 3 2 2 2 3 3" xfId="23746" xr:uid="{90584A46-3DC4-4ECE-9424-6C1A1B51D7B7}"/>
    <cellStyle name="Comma 13 3 2 2 2 4" xfId="10738" xr:uid="{30F6EEDF-0223-4A00-A922-49DD287E46F4}"/>
    <cellStyle name="Comma 13 3 2 2 2 4 2" xfId="28082" xr:uid="{74BB121D-4316-44AD-B838-492101041B22}"/>
    <cellStyle name="Comma 13 3 2 2 2 5" xfId="19410" xr:uid="{46350EAE-F454-47DE-9125-85EE18A01D7C}"/>
    <cellStyle name="Comma 13 3 2 2 3" xfId="3150" xr:uid="{6BE42F68-0F0D-432B-9911-20D323FFB8D7}"/>
    <cellStyle name="Comma 13 3 2 2 3 2" xfId="7486" xr:uid="{8D4ABCE1-CAB3-460D-983E-E152700C78C6}"/>
    <cellStyle name="Comma 13 3 2 2 3 2 2" xfId="16158" xr:uid="{1E56FB3F-9FE6-46B4-9F3D-14A5FCAFE8C3}"/>
    <cellStyle name="Comma 13 3 2 2 3 2 2 2" xfId="33502" xr:uid="{86892186-7E12-4A0B-AA93-6EF7E7FDDD11}"/>
    <cellStyle name="Comma 13 3 2 2 3 2 3" xfId="24830" xr:uid="{C7412ADF-F997-4D44-ADCF-9696255A1A74}"/>
    <cellStyle name="Comma 13 3 2 2 3 3" xfId="11822" xr:uid="{806FA6D8-60B8-447C-A4B7-2AA02F9DEAD6}"/>
    <cellStyle name="Comma 13 3 2 2 3 3 2" xfId="29166" xr:uid="{46D6B1B6-8562-44F9-98B3-F2594156F6C8}"/>
    <cellStyle name="Comma 13 3 2 2 3 4" xfId="20494" xr:uid="{93E66DA0-D9B7-46FD-B513-3D870F5D4455}"/>
    <cellStyle name="Comma 13 3 2 2 4" xfId="5318" xr:uid="{5AE98F3E-3E45-403E-9B75-F9CA0AC89251}"/>
    <cellStyle name="Comma 13 3 2 2 4 2" xfId="13990" xr:uid="{F63B4F51-9D5E-47BC-9E2F-3CE0FD95C807}"/>
    <cellStyle name="Comma 13 3 2 2 4 2 2" xfId="31334" xr:uid="{0773FFF4-485E-4ACC-9FEE-6076CE69C355}"/>
    <cellStyle name="Comma 13 3 2 2 4 3" xfId="22662" xr:uid="{B48429CD-655D-42A0-B53A-4422583E67BC}"/>
    <cellStyle name="Comma 13 3 2 2 5" xfId="9654" xr:uid="{83CE0576-1FA4-44AD-B3C9-9C812293D84F}"/>
    <cellStyle name="Comma 13 3 2 2 5 2" xfId="26998" xr:uid="{82E0DD7D-81F2-4A8C-A891-1B15297C97FD}"/>
    <cellStyle name="Comma 13 3 2 2 6" xfId="18326" xr:uid="{33D9D440-E40D-4693-89C3-3A1773F7E0DF}"/>
    <cellStyle name="Comma 13 3 2 3" xfId="1525" xr:uid="{8DCCB6F8-73E7-4A2B-BCB3-9FC927B913E8}"/>
    <cellStyle name="Comma 13 3 2 3 2" xfId="3693" xr:uid="{C1B2F86D-D1A5-4ABA-A9C2-61C107F72616}"/>
    <cellStyle name="Comma 13 3 2 3 2 2" xfId="8029" xr:uid="{C967519E-8CCA-416F-BA02-EA8AED67C47D}"/>
    <cellStyle name="Comma 13 3 2 3 2 2 2" xfId="16701" xr:uid="{FA2F20D0-F958-4C2C-B8DE-018EE3F45F25}"/>
    <cellStyle name="Comma 13 3 2 3 2 2 2 2" xfId="34045" xr:uid="{8DAF4415-F04B-4093-8384-B764604C8BCA}"/>
    <cellStyle name="Comma 13 3 2 3 2 2 3" xfId="25373" xr:uid="{BA97055C-9C58-471E-93BC-4627ACE96BFF}"/>
    <cellStyle name="Comma 13 3 2 3 2 3" xfId="12365" xr:uid="{F42882A7-3662-437A-AD0F-BD6F49C73EBF}"/>
    <cellStyle name="Comma 13 3 2 3 2 3 2" xfId="29709" xr:uid="{DEC4BFD7-D5E3-4DB7-B14C-2852E2F26810}"/>
    <cellStyle name="Comma 13 3 2 3 2 4" xfId="21037" xr:uid="{822896C0-CBF5-465E-9332-E3A9029B802E}"/>
    <cellStyle name="Comma 13 3 2 3 3" xfId="5861" xr:uid="{0CE45C0D-C7D1-4251-A16D-0AA3FD478ADA}"/>
    <cellStyle name="Comma 13 3 2 3 3 2" xfId="14533" xr:uid="{665B70C7-C103-4E08-A3E9-31DCF0577976}"/>
    <cellStyle name="Comma 13 3 2 3 3 2 2" xfId="31877" xr:uid="{0573969B-0A96-4D6B-BDAB-BC77646E1B95}"/>
    <cellStyle name="Comma 13 3 2 3 3 3" xfId="23205" xr:uid="{6D51B70A-9F43-4998-9FCA-86C0FBFB059C}"/>
    <cellStyle name="Comma 13 3 2 3 4" xfId="10197" xr:uid="{56615219-D134-478D-B611-529EF69673BF}"/>
    <cellStyle name="Comma 13 3 2 3 4 2" xfId="27541" xr:uid="{C89101A2-9DC8-4F4C-A0CA-BF9D866F7D8D}"/>
    <cellStyle name="Comma 13 3 2 3 5" xfId="18869" xr:uid="{E1D419CE-F977-406F-BAA1-FC6EC5B59455}"/>
    <cellStyle name="Comma 13 3 2 4" xfId="2609" xr:uid="{807E8360-5863-474E-A310-1368582B94F2}"/>
    <cellStyle name="Comma 13 3 2 4 2" xfId="6945" xr:uid="{0A402938-94AA-41D5-8499-D4A09C3CEAF6}"/>
    <cellStyle name="Comma 13 3 2 4 2 2" xfId="15617" xr:uid="{E391524C-B0F2-48B1-8D2D-BF05597A7194}"/>
    <cellStyle name="Comma 13 3 2 4 2 2 2" xfId="32961" xr:uid="{F79DC4FE-10FB-42FE-8974-0AD4C4FCA040}"/>
    <cellStyle name="Comma 13 3 2 4 2 3" xfId="24289" xr:uid="{33C1D46A-1DF7-4385-BB5C-D5A9907EEC01}"/>
    <cellStyle name="Comma 13 3 2 4 3" xfId="11281" xr:uid="{D9E7E023-54A1-40FF-9367-90C3D0AF2427}"/>
    <cellStyle name="Comma 13 3 2 4 3 2" xfId="28625" xr:uid="{8386ECC2-E9DB-4284-B4FF-16511DF8CAFD}"/>
    <cellStyle name="Comma 13 3 2 4 4" xfId="19953" xr:uid="{5447534E-8BBB-4AD1-B594-43AE8E4BE771}"/>
    <cellStyle name="Comma 13 3 2 5" xfId="4777" xr:uid="{71FB5F89-DF11-4450-B54B-1C8CC3F38C6B}"/>
    <cellStyle name="Comma 13 3 2 5 2" xfId="13449" xr:uid="{4033EC57-310F-49D0-AA68-FA530F2CBEC9}"/>
    <cellStyle name="Comma 13 3 2 5 2 2" xfId="30793" xr:uid="{C5CC4EE1-AB5B-4057-A07D-164F2EC45053}"/>
    <cellStyle name="Comma 13 3 2 5 3" xfId="22121" xr:uid="{043B3357-B17D-477C-80B9-83673B05DC50}"/>
    <cellStyle name="Comma 13 3 2 6" xfId="9113" xr:uid="{090E77AB-2BC7-43B2-9559-973D70FC119B}"/>
    <cellStyle name="Comma 13 3 2 6 2" xfId="26457" xr:uid="{CA5FDD60-6B4D-40F3-ABBA-4ECEB99A3BFE}"/>
    <cellStyle name="Comma 13 3 2 7" xfId="17785" xr:uid="{F87CDC61-162C-4923-8F68-DCEC945C2CA5}"/>
    <cellStyle name="Comma 13 3 3" xfId="712" xr:uid="{2ACD4871-7538-4D76-9F37-99C330D866BA}"/>
    <cellStyle name="Comma 13 3 3 2" xfId="1796" xr:uid="{1EA09BC9-41A8-45F4-97A7-CF4478F6C77E}"/>
    <cellStyle name="Comma 13 3 3 2 2" xfId="3964" xr:uid="{47D808E9-1AFB-4498-8E8E-52AF0C9F7679}"/>
    <cellStyle name="Comma 13 3 3 2 2 2" xfId="8300" xr:uid="{FEF27712-EFEE-4FEF-8E30-F4CDD2F9A0E7}"/>
    <cellStyle name="Comma 13 3 3 2 2 2 2" xfId="16972" xr:uid="{E504316E-BFFF-479F-B2E4-860EE3CBFE49}"/>
    <cellStyle name="Comma 13 3 3 2 2 2 2 2" xfId="34316" xr:uid="{2C85015A-4565-4BFA-AE85-5D720804E989}"/>
    <cellStyle name="Comma 13 3 3 2 2 2 3" xfId="25644" xr:uid="{9A2F56A2-F3A2-4FAE-83A8-57E82CF8CE97}"/>
    <cellStyle name="Comma 13 3 3 2 2 3" xfId="12636" xr:uid="{8394CC28-0455-441C-BC14-EA304CB715C9}"/>
    <cellStyle name="Comma 13 3 3 2 2 3 2" xfId="29980" xr:uid="{2A652B15-3A92-48A7-A42D-5B41D5A31C73}"/>
    <cellStyle name="Comma 13 3 3 2 2 4" xfId="21308" xr:uid="{7AC8B7D3-F7DA-486A-B0BC-CF8477F4FAC1}"/>
    <cellStyle name="Comma 13 3 3 2 3" xfId="6132" xr:uid="{071EE51F-9204-4A5D-B7A5-6367855E84B1}"/>
    <cellStyle name="Comma 13 3 3 2 3 2" xfId="14804" xr:uid="{C98DE620-7B7C-4779-852A-12DEBA173BEC}"/>
    <cellStyle name="Comma 13 3 3 2 3 2 2" xfId="32148" xr:uid="{D2B80B12-91CB-4304-8F0D-4CB32DED4056}"/>
    <cellStyle name="Comma 13 3 3 2 3 3" xfId="23476" xr:uid="{875480F9-84A6-4F6F-97B5-21A491449EC7}"/>
    <cellStyle name="Comma 13 3 3 2 4" xfId="10468" xr:uid="{3138DA1F-FB39-4B02-99E3-8B7A9A0DA572}"/>
    <cellStyle name="Comma 13 3 3 2 4 2" xfId="27812" xr:uid="{1BC701DF-25E3-4FE5-932C-10DA891711A7}"/>
    <cellStyle name="Comma 13 3 3 2 5" xfId="19140" xr:uid="{DD1F6A7F-EF55-4F85-8159-4EE2C553A9F9}"/>
    <cellStyle name="Comma 13 3 3 3" xfId="2880" xr:uid="{DFC92BBA-750A-4B41-B986-5998D80419B0}"/>
    <cellStyle name="Comma 13 3 3 3 2" xfId="7216" xr:uid="{83B322A4-843D-4D88-9FEA-2DF17EE6BB6A}"/>
    <cellStyle name="Comma 13 3 3 3 2 2" xfId="15888" xr:uid="{D98126EA-13AF-44F6-8573-E24B220C3178}"/>
    <cellStyle name="Comma 13 3 3 3 2 2 2" xfId="33232" xr:uid="{EEDA9299-AB40-4389-93F6-6E98F3BE5F6D}"/>
    <cellStyle name="Comma 13 3 3 3 2 3" xfId="24560" xr:uid="{35C6687E-52C4-4C32-B961-952FAB3B3ED5}"/>
    <cellStyle name="Comma 13 3 3 3 3" xfId="11552" xr:uid="{47A61337-6A2A-491D-BE07-9A14B38487B7}"/>
    <cellStyle name="Comma 13 3 3 3 3 2" xfId="28896" xr:uid="{30544C6D-4B9C-41FB-BF76-236F8CDA5068}"/>
    <cellStyle name="Comma 13 3 3 3 4" xfId="20224" xr:uid="{51B2E434-04A0-4AAE-B57E-90CBE6B05EE2}"/>
    <cellStyle name="Comma 13 3 3 4" xfId="5048" xr:uid="{0CD8CB98-BB26-43EA-B116-63333A57EA4B}"/>
    <cellStyle name="Comma 13 3 3 4 2" xfId="13720" xr:uid="{622124C1-1B0B-47D8-8BAC-1F6280009D81}"/>
    <cellStyle name="Comma 13 3 3 4 2 2" xfId="31064" xr:uid="{8C8C1E4D-E805-4241-8B04-008106D01B64}"/>
    <cellStyle name="Comma 13 3 3 4 3" xfId="22392" xr:uid="{D0509C75-8AFE-401C-BF95-C5ACD47F3A99}"/>
    <cellStyle name="Comma 13 3 3 5" xfId="9384" xr:uid="{077901ED-E374-4F72-9B21-96854591ABCC}"/>
    <cellStyle name="Comma 13 3 3 5 2" xfId="26728" xr:uid="{2CA02ABE-A07D-4813-8E79-72D55C4DBEC6}"/>
    <cellStyle name="Comma 13 3 3 6" xfId="18056" xr:uid="{C06DB4CA-E16D-43BA-8292-C97EF58318AA}"/>
    <cellStyle name="Comma 13 3 4" xfId="1255" xr:uid="{C25A281F-B0A6-4D57-A22C-A16C2D0E16D7}"/>
    <cellStyle name="Comma 13 3 4 2" xfId="3423" xr:uid="{BCE91202-4816-4A56-8544-EC8969FFC5F8}"/>
    <cellStyle name="Comma 13 3 4 2 2" xfId="7759" xr:uid="{A55BEEB0-6AA8-4A91-9A33-E9A0ADC33EC6}"/>
    <cellStyle name="Comma 13 3 4 2 2 2" xfId="16431" xr:uid="{21D81ABD-9047-4071-9E0B-678736B76811}"/>
    <cellStyle name="Comma 13 3 4 2 2 2 2" xfId="33775" xr:uid="{5A340A45-AB64-4BB4-9010-49AB53334E08}"/>
    <cellStyle name="Comma 13 3 4 2 2 3" xfId="25103" xr:uid="{1161BD99-AD16-4262-8894-524D2D6F190C}"/>
    <cellStyle name="Comma 13 3 4 2 3" xfId="12095" xr:uid="{4E37D22A-19C1-4CB3-8F14-9CADD467BF52}"/>
    <cellStyle name="Comma 13 3 4 2 3 2" xfId="29439" xr:uid="{8D3D2A26-FF64-48C6-9B5C-13D21A62C12B}"/>
    <cellStyle name="Comma 13 3 4 2 4" xfId="20767" xr:uid="{4076E2AD-E0C1-4B67-A989-D64DF93310A4}"/>
    <cellStyle name="Comma 13 3 4 3" xfId="5591" xr:uid="{1CD0283B-0422-4C66-9815-95ED4A71CFEB}"/>
    <cellStyle name="Comma 13 3 4 3 2" xfId="14263" xr:uid="{59543D32-8816-41A8-8BC0-887D03B42472}"/>
    <cellStyle name="Comma 13 3 4 3 2 2" xfId="31607" xr:uid="{283D0375-1889-4AD6-8CA3-4DB16A46BDB2}"/>
    <cellStyle name="Comma 13 3 4 3 3" xfId="22935" xr:uid="{F11A5D36-37E6-4882-8679-C8F00EDCCD34}"/>
    <cellStyle name="Comma 13 3 4 4" xfId="9927" xr:uid="{AEF5358F-F261-4B71-AF0D-F8F73F6E64A3}"/>
    <cellStyle name="Comma 13 3 4 4 2" xfId="27271" xr:uid="{B88604F8-06F4-4751-B45B-7BBB80781666}"/>
    <cellStyle name="Comma 13 3 4 5" xfId="18599" xr:uid="{BA3F01AB-BB69-4B33-8F7E-01920FB71708}"/>
    <cellStyle name="Comma 13 3 5" xfId="2339" xr:uid="{80635156-03A8-4225-B269-A1215A307A63}"/>
    <cellStyle name="Comma 13 3 5 2" xfId="6675" xr:uid="{9F3527D2-9C7B-473D-BA72-999AA374D884}"/>
    <cellStyle name="Comma 13 3 5 2 2" xfId="15347" xr:uid="{EF8C31B2-4F5B-4F18-8262-A929E02A71A7}"/>
    <cellStyle name="Comma 13 3 5 2 2 2" xfId="32691" xr:uid="{A38A1938-D14B-454C-828C-ABB264A855BC}"/>
    <cellStyle name="Comma 13 3 5 2 3" xfId="24019" xr:uid="{B3341972-29CC-49D1-AEB0-2F9217799A99}"/>
    <cellStyle name="Comma 13 3 5 3" xfId="11011" xr:uid="{1D5D0FAF-5B4E-4EE8-A6E2-754EBC0C4CCF}"/>
    <cellStyle name="Comma 13 3 5 3 2" xfId="28355" xr:uid="{D1C73A00-B996-4EFE-941A-164BA4BB51D9}"/>
    <cellStyle name="Comma 13 3 5 4" xfId="19683" xr:uid="{7EA80876-B05E-4D0A-9DED-0E7A33713852}"/>
    <cellStyle name="Comma 13 3 6" xfId="4507" xr:uid="{D5A92E62-44E4-44A9-8FC2-8C930028D893}"/>
    <cellStyle name="Comma 13 3 6 2" xfId="13179" xr:uid="{B9B04C80-E3B9-4D8F-8023-3FB73EDAF51A}"/>
    <cellStyle name="Comma 13 3 6 2 2" xfId="30523" xr:uid="{C6D67629-1CDE-45CA-B34C-3249D80D80CA}"/>
    <cellStyle name="Comma 13 3 6 3" xfId="21851" xr:uid="{2F673088-3E0A-45F5-88CD-F0A10B3FECD5}"/>
    <cellStyle name="Comma 13 3 7" xfId="8843" xr:uid="{7066AF27-C9EA-4790-9723-8F0A08244354}"/>
    <cellStyle name="Comma 13 3 7 2" xfId="26187" xr:uid="{81AECA2B-EE25-4A00-BBD7-9C43E7A5CEA0}"/>
    <cellStyle name="Comma 13 3 8" xfId="17515" xr:uid="{3D2D5116-1B06-46ED-A671-43DE2B6CD696}"/>
    <cellStyle name="Comma 13 4" xfId="319" xr:uid="{7A8DEC09-614F-4554-A5C0-A87BBD877060}"/>
    <cellStyle name="Comma 13 4 2" xfId="860" xr:uid="{517ABAB6-809B-4907-841C-07AAE184D4D5}"/>
    <cellStyle name="Comma 13 4 2 2" xfId="1944" xr:uid="{77091F64-16FE-4FC1-9936-76E3DDAE3C1C}"/>
    <cellStyle name="Comma 13 4 2 2 2" xfId="4112" xr:uid="{CF30C28D-D261-465A-93F3-59720EA144EF}"/>
    <cellStyle name="Comma 13 4 2 2 2 2" xfId="8448" xr:uid="{3E47722D-B5CA-4A79-A39D-B6D97F448672}"/>
    <cellStyle name="Comma 13 4 2 2 2 2 2" xfId="17120" xr:uid="{F15F2A1B-5F95-4C3B-89D1-48A8B241974E}"/>
    <cellStyle name="Comma 13 4 2 2 2 2 2 2" xfId="34464" xr:uid="{14D67861-B44A-4DF4-B877-075C82DAE3B9}"/>
    <cellStyle name="Comma 13 4 2 2 2 2 3" xfId="25792" xr:uid="{A69FC5B1-F1F4-485A-AFA6-9CC5C4BBF78D}"/>
    <cellStyle name="Comma 13 4 2 2 2 3" xfId="12784" xr:uid="{16D6E2BE-183B-4CA9-8DAC-12A590B2018B}"/>
    <cellStyle name="Comma 13 4 2 2 2 3 2" xfId="30128" xr:uid="{E5BE3391-D852-4F43-BE1A-D40BCAE3789D}"/>
    <cellStyle name="Comma 13 4 2 2 2 4" xfId="21456" xr:uid="{676FEAEB-1457-4D73-B373-AF1884C8443A}"/>
    <cellStyle name="Comma 13 4 2 2 3" xfId="6280" xr:uid="{9911A74D-07F2-4C03-B147-41622320473F}"/>
    <cellStyle name="Comma 13 4 2 2 3 2" xfId="14952" xr:uid="{C8EDCBAD-2E97-4893-B0DC-7E64C85B9754}"/>
    <cellStyle name="Comma 13 4 2 2 3 2 2" xfId="32296" xr:uid="{DC3CD80B-C417-41F7-AA43-732B36FCCD6B}"/>
    <cellStyle name="Comma 13 4 2 2 3 3" xfId="23624" xr:uid="{9063E76B-F8D2-4FFD-B1E8-851B89ED9333}"/>
    <cellStyle name="Comma 13 4 2 2 4" xfId="10616" xr:uid="{35456E39-E1F1-4B16-88EA-4D764D05B3B6}"/>
    <cellStyle name="Comma 13 4 2 2 4 2" xfId="27960" xr:uid="{1F55569B-A401-4AA1-9300-FD096B6F614E}"/>
    <cellStyle name="Comma 13 4 2 2 5" xfId="19288" xr:uid="{2A47A564-E16E-4924-B1E5-F2B08FE1B184}"/>
    <cellStyle name="Comma 13 4 2 3" xfId="3028" xr:uid="{42A06E9E-585E-4998-8343-5E92435849DE}"/>
    <cellStyle name="Comma 13 4 2 3 2" xfId="7364" xr:uid="{A44B6276-80A8-4853-9512-2DFD3B3A375C}"/>
    <cellStyle name="Comma 13 4 2 3 2 2" xfId="16036" xr:uid="{53815300-308F-4DA7-ABB9-45E164A56B70}"/>
    <cellStyle name="Comma 13 4 2 3 2 2 2" xfId="33380" xr:uid="{13F748AF-1101-460B-9744-5D628340885A}"/>
    <cellStyle name="Comma 13 4 2 3 2 3" xfId="24708" xr:uid="{381554E6-E1C9-4CE5-969A-42630408E4ED}"/>
    <cellStyle name="Comma 13 4 2 3 3" xfId="11700" xr:uid="{36F51456-54C4-47DD-AC96-E959FBE4B755}"/>
    <cellStyle name="Comma 13 4 2 3 3 2" xfId="29044" xr:uid="{05E7E476-7278-48F6-9CA4-F4F9B4C557C1}"/>
    <cellStyle name="Comma 13 4 2 3 4" xfId="20372" xr:uid="{3BED999C-2949-42BF-B57E-3E91B51FAB50}"/>
    <cellStyle name="Comma 13 4 2 4" xfId="5196" xr:uid="{9933F338-B412-43A8-9E3A-61EA99E98A0C}"/>
    <cellStyle name="Comma 13 4 2 4 2" xfId="13868" xr:uid="{1D4F2A4E-079D-4975-AE71-B6F3826F4D06}"/>
    <cellStyle name="Comma 13 4 2 4 2 2" xfId="31212" xr:uid="{C3F15940-064D-472C-A8AA-B26A433296F5}"/>
    <cellStyle name="Comma 13 4 2 4 3" xfId="22540" xr:uid="{C5E3EC59-FC14-49B6-83AD-71BD84063E31}"/>
    <cellStyle name="Comma 13 4 2 5" xfId="9532" xr:uid="{28E7A3F6-BC1D-4303-89F8-A6A775F533C6}"/>
    <cellStyle name="Comma 13 4 2 5 2" xfId="26876" xr:uid="{8D9F929C-2DC9-43F0-9A3E-E183C28A6643}"/>
    <cellStyle name="Comma 13 4 2 6" xfId="18204" xr:uid="{CE5573BF-8D98-4531-81AB-D92C0C00E832}"/>
    <cellStyle name="Comma 13 4 3" xfId="1403" xr:uid="{437DDF75-7BAA-45D0-9FC1-E14D633D8D8C}"/>
    <cellStyle name="Comma 13 4 3 2" xfId="3571" xr:uid="{D2F7EE30-10E6-4C4E-A303-9E5037701D63}"/>
    <cellStyle name="Comma 13 4 3 2 2" xfId="7907" xr:uid="{E368C377-A290-4DCF-A058-929357493193}"/>
    <cellStyle name="Comma 13 4 3 2 2 2" xfId="16579" xr:uid="{74EEB650-7F29-4D24-AE2C-9659C95D614D}"/>
    <cellStyle name="Comma 13 4 3 2 2 2 2" xfId="33923" xr:uid="{2A9A2F9A-5A3A-4407-BCB9-E3D9A1915F94}"/>
    <cellStyle name="Comma 13 4 3 2 2 3" xfId="25251" xr:uid="{E10A03DA-361C-4134-B5B1-0EA0BEF05B98}"/>
    <cellStyle name="Comma 13 4 3 2 3" xfId="12243" xr:uid="{C42D5E58-08EA-4F22-B839-3CB02E391CB2}"/>
    <cellStyle name="Comma 13 4 3 2 3 2" xfId="29587" xr:uid="{D68C0BE2-CB22-4B8B-AFCA-36E5D41BFA5F}"/>
    <cellStyle name="Comma 13 4 3 2 4" xfId="20915" xr:uid="{056B202E-033E-4294-9B98-AF36373AC12A}"/>
    <cellStyle name="Comma 13 4 3 3" xfId="5739" xr:uid="{C087198E-9117-4939-9448-A444D8FD910A}"/>
    <cellStyle name="Comma 13 4 3 3 2" xfId="14411" xr:uid="{CD0A37CE-7B68-443A-8A04-E4BE484605FE}"/>
    <cellStyle name="Comma 13 4 3 3 2 2" xfId="31755" xr:uid="{95614A92-D608-46DC-B914-3FD424A1D44E}"/>
    <cellStyle name="Comma 13 4 3 3 3" xfId="23083" xr:uid="{686DDDE0-EE1F-438E-A163-0504E80EB89A}"/>
    <cellStyle name="Comma 13 4 3 4" xfId="10075" xr:uid="{39DB4A2B-A39E-4E50-A25B-79860D13290F}"/>
    <cellStyle name="Comma 13 4 3 4 2" xfId="27419" xr:uid="{0AE49307-B6D8-4F23-B57B-84D1F2B4D6A2}"/>
    <cellStyle name="Comma 13 4 3 5" xfId="18747" xr:uid="{0BA1261E-6B28-48C7-AA9A-5080BB6CB372}"/>
    <cellStyle name="Comma 13 4 4" xfId="2487" xr:uid="{AACDE7C4-6E86-414C-9AF8-A0776E7A5059}"/>
    <cellStyle name="Comma 13 4 4 2" xfId="6823" xr:uid="{12F70B6D-0814-45CE-9DE8-2A2581CF914C}"/>
    <cellStyle name="Comma 13 4 4 2 2" xfId="15495" xr:uid="{D6A3D1EA-4CB8-4D7A-9751-F9548198F200}"/>
    <cellStyle name="Comma 13 4 4 2 2 2" xfId="32839" xr:uid="{FF6C2F3F-6944-4FE3-B663-9AD4D39B4365}"/>
    <cellStyle name="Comma 13 4 4 2 3" xfId="24167" xr:uid="{98FF73F3-1548-483D-9DBC-676FBD39A132}"/>
    <cellStyle name="Comma 13 4 4 3" xfId="11159" xr:uid="{BA5B94C8-0697-4DAF-862E-EBFC8DD530C5}"/>
    <cellStyle name="Comma 13 4 4 3 2" xfId="28503" xr:uid="{E98E7720-D87D-4CEC-86F9-1FA77CF616F6}"/>
    <cellStyle name="Comma 13 4 4 4" xfId="19831" xr:uid="{4716593A-2061-4045-8D59-BEC3A12E2100}"/>
    <cellStyle name="Comma 13 4 5" xfId="4655" xr:uid="{96F34C46-6AB5-41CD-A2E5-360ED95021FC}"/>
    <cellStyle name="Comma 13 4 5 2" xfId="13327" xr:uid="{FE30DC59-C4AC-4144-8D4F-3F68D78D293D}"/>
    <cellStyle name="Comma 13 4 5 2 2" xfId="30671" xr:uid="{444FD399-FE43-4139-9A33-1576C5D1E11A}"/>
    <cellStyle name="Comma 13 4 5 3" xfId="21999" xr:uid="{5C3741F5-4AF7-4A10-BE56-45C87FD9B44F}"/>
    <cellStyle name="Comma 13 4 6" xfId="8991" xr:uid="{4EB15DDF-746A-49F7-B719-02B02141EE2A}"/>
    <cellStyle name="Comma 13 4 6 2" xfId="26335" xr:uid="{1E801721-5E3D-45E5-9B56-CF06A2EE82C9}"/>
    <cellStyle name="Comma 13 4 7" xfId="17663" xr:uid="{8F062E72-E909-4EB4-865D-4F16D22B8378}"/>
    <cellStyle name="Comma 13 5" xfId="590" xr:uid="{3F5EE3BE-2843-4F22-ACDF-F76B1C3AEBC4}"/>
    <cellStyle name="Comma 13 5 2" xfId="1674" xr:uid="{C7EBE93B-8DD9-4CBF-9F19-6FC20A847CBC}"/>
    <cellStyle name="Comma 13 5 2 2" xfId="3842" xr:uid="{556816B9-C9C0-42DB-BAE8-C8196C19F634}"/>
    <cellStyle name="Comma 13 5 2 2 2" xfId="8178" xr:uid="{F8990A18-AF07-428D-9BA1-14D63C5F98CE}"/>
    <cellStyle name="Comma 13 5 2 2 2 2" xfId="16850" xr:uid="{707F8D0D-B759-432E-8955-840B463B23E1}"/>
    <cellStyle name="Comma 13 5 2 2 2 2 2" xfId="34194" xr:uid="{781B5691-5AED-47FB-AFA6-293B55B42B20}"/>
    <cellStyle name="Comma 13 5 2 2 2 3" xfId="25522" xr:uid="{24A99050-B23E-4D66-977D-F7664357F0DB}"/>
    <cellStyle name="Comma 13 5 2 2 3" xfId="12514" xr:uid="{99432070-4DC2-436E-8723-DB0983CADA8F}"/>
    <cellStyle name="Comma 13 5 2 2 3 2" xfId="29858" xr:uid="{CD8506F2-A99A-45C0-8147-62B935770766}"/>
    <cellStyle name="Comma 13 5 2 2 4" xfId="21186" xr:uid="{38BBDEC3-056B-429C-B092-1AF3DAA8AD1A}"/>
    <cellStyle name="Comma 13 5 2 3" xfId="6010" xr:uid="{C1A8F216-C697-4F37-AF0F-1BB29F48F8C8}"/>
    <cellStyle name="Comma 13 5 2 3 2" xfId="14682" xr:uid="{F12FA511-C712-4F88-BD06-85D62BB14F1D}"/>
    <cellStyle name="Comma 13 5 2 3 2 2" xfId="32026" xr:uid="{B4AEEFA0-6074-43E5-A50A-E712248FE985}"/>
    <cellStyle name="Comma 13 5 2 3 3" xfId="23354" xr:uid="{71A44A56-DE2D-4C32-8196-35B74EA732BD}"/>
    <cellStyle name="Comma 13 5 2 4" xfId="10346" xr:uid="{577004FE-2278-4F88-A527-DB11DB2D2621}"/>
    <cellStyle name="Comma 13 5 2 4 2" xfId="27690" xr:uid="{37C83494-BC4D-49E1-AF00-498B6933E3FA}"/>
    <cellStyle name="Comma 13 5 2 5" xfId="19018" xr:uid="{560A13FA-DF92-4C8D-A773-F53B2F80FBDC}"/>
    <cellStyle name="Comma 13 5 3" xfId="2758" xr:uid="{B83912D4-3F07-431D-BB6A-89A9574DDE83}"/>
    <cellStyle name="Comma 13 5 3 2" xfId="7094" xr:uid="{4DB65357-CB9E-4C90-AF19-5CCA0F1FF034}"/>
    <cellStyle name="Comma 13 5 3 2 2" xfId="15766" xr:uid="{05B1EA15-9A39-401E-9103-5B49AB5C15A4}"/>
    <cellStyle name="Comma 13 5 3 2 2 2" xfId="33110" xr:uid="{5DE5A213-4745-442B-8DAC-D3FF9317FB0E}"/>
    <cellStyle name="Comma 13 5 3 2 3" xfId="24438" xr:uid="{6883F4A3-A085-4EAA-B3C2-EFA59B3AD307}"/>
    <cellStyle name="Comma 13 5 3 3" xfId="11430" xr:uid="{44ADB4A1-EBF3-453B-940B-91DF5D5CF354}"/>
    <cellStyle name="Comma 13 5 3 3 2" xfId="28774" xr:uid="{B5F9B74E-D12D-4470-B742-8708A45E15DC}"/>
    <cellStyle name="Comma 13 5 3 4" xfId="20102" xr:uid="{9D27A7FB-F5A1-46A8-9843-08F4F9C2B139}"/>
    <cellStyle name="Comma 13 5 4" xfId="4926" xr:uid="{0607575F-9354-4EBA-86A2-39A031567405}"/>
    <cellStyle name="Comma 13 5 4 2" xfId="13598" xr:uid="{E0F9AC5D-915C-4FD0-B083-480A8E66DA86}"/>
    <cellStyle name="Comma 13 5 4 2 2" xfId="30942" xr:uid="{6E77242A-DFB2-4033-B56E-7DE755284FAC}"/>
    <cellStyle name="Comma 13 5 4 3" xfId="22270" xr:uid="{F1A83ED5-C05D-4D3B-B7C5-B2CB2BA559DD}"/>
    <cellStyle name="Comma 13 5 5" xfId="9262" xr:uid="{D0916CBD-6B05-4F45-877D-BD6D0103995F}"/>
    <cellStyle name="Comma 13 5 5 2" xfId="26606" xr:uid="{6DC946BE-6E6B-4114-BA02-0F53229BF508}"/>
    <cellStyle name="Comma 13 5 6" xfId="17934" xr:uid="{911D710A-563C-4549-BDA9-37DFCE8C22EC}"/>
    <cellStyle name="Comma 13 6" xfId="1133" xr:uid="{AA36EA28-6331-431A-A56E-F351C8737726}"/>
    <cellStyle name="Comma 13 6 2" xfId="3301" xr:uid="{CE6668FD-786C-408B-8A5B-34C52EE1A508}"/>
    <cellStyle name="Comma 13 6 2 2" xfId="7637" xr:uid="{DFB8E6F5-E230-4804-976E-1E4CBD60E5D9}"/>
    <cellStyle name="Comma 13 6 2 2 2" xfId="16309" xr:uid="{00ED08FF-C0EE-4E94-82BA-DF351D2C1F61}"/>
    <cellStyle name="Comma 13 6 2 2 2 2" xfId="33653" xr:uid="{DA36E5D0-44B1-452A-A80E-54EEE7C11CF1}"/>
    <cellStyle name="Comma 13 6 2 2 3" xfId="24981" xr:uid="{B85643E9-D17F-456A-995A-BCD7E878EF78}"/>
    <cellStyle name="Comma 13 6 2 3" xfId="11973" xr:uid="{8F10F8E2-0A5D-49F5-B4B1-B0963DC38C8C}"/>
    <cellStyle name="Comma 13 6 2 3 2" xfId="29317" xr:uid="{83C6770A-7E15-4C95-A285-EEC394073099}"/>
    <cellStyle name="Comma 13 6 2 4" xfId="20645" xr:uid="{5B9C909B-5368-47CA-B47B-EE696A75779E}"/>
    <cellStyle name="Comma 13 6 3" xfId="5469" xr:uid="{25850AAA-3DA3-4287-B3CE-4FD2AD70F0CC}"/>
    <cellStyle name="Comma 13 6 3 2" xfId="14141" xr:uid="{E5DD915F-28ED-40CC-8188-6B0772081838}"/>
    <cellStyle name="Comma 13 6 3 2 2" xfId="31485" xr:uid="{E8A03349-5DDD-4896-90D2-923B673BF7DB}"/>
    <cellStyle name="Comma 13 6 3 3" xfId="22813" xr:uid="{79284245-A01A-4711-AABD-B2CE99A3ECAD}"/>
    <cellStyle name="Comma 13 6 4" xfId="9805" xr:uid="{FF5FAFDF-C2C4-45EC-B45C-634106BB2D15}"/>
    <cellStyle name="Comma 13 6 4 2" xfId="27149" xr:uid="{7A84DBF7-0D77-4CDF-A1A5-07128F5C578A}"/>
    <cellStyle name="Comma 13 6 5" xfId="18477" xr:uid="{1E008BF6-6C9D-4297-BBCD-352503CE776A}"/>
    <cellStyle name="Comma 13 7" xfId="2217" xr:uid="{2261D9C9-E11E-40C8-A9BF-0248AD1C02CF}"/>
    <cellStyle name="Comma 13 7 2" xfId="6553" xr:uid="{BA5B9481-BEA3-4425-A980-1A0FD017F365}"/>
    <cellStyle name="Comma 13 7 2 2" xfId="15225" xr:uid="{7943B86C-10A9-4540-9F8A-FA40DDC45C77}"/>
    <cellStyle name="Comma 13 7 2 2 2" xfId="32569" xr:uid="{27E56919-04C3-4DBC-BD53-1094423FDFD3}"/>
    <cellStyle name="Comma 13 7 2 3" xfId="23897" xr:uid="{7DE14935-59F4-48D9-8787-FFADA4213031}"/>
    <cellStyle name="Comma 13 7 3" xfId="10889" xr:uid="{C51C2B48-DA26-4BAC-8A62-8AF32DAF7567}"/>
    <cellStyle name="Comma 13 7 3 2" xfId="28233" xr:uid="{1C10084B-1D74-40FC-8EAC-619A2CC6B087}"/>
    <cellStyle name="Comma 13 7 4" xfId="19561" xr:uid="{1BD42C76-0EFB-4235-B2FE-ABBFD3CB4EA1}"/>
    <cellStyle name="Comma 13 8" xfId="4385" xr:uid="{E547D6D1-2147-4744-A4DF-35E4A6E35DEA}"/>
    <cellStyle name="Comma 13 8 2" xfId="13057" xr:uid="{6D46A959-9CEF-4551-BA5A-FE9801C13D96}"/>
    <cellStyle name="Comma 13 8 2 2" xfId="30401" xr:uid="{716C3658-929E-4D25-A9B9-701D9C7BA5D6}"/>
    <cellStyle name="Comma 13 8 3" xfId="21729" xr:uid="{271CBDCA-BA3A-4558-91B7-96917EA98520}"/>
    <cellStyle name="Comma 13 9" xfId="8721" xr:uid="{8C172C8D-2DBD-4706-A4F2-D5705270AAA5}"/>
    <cellStyle name="Comma 13 9 2" xfId="26065" xr:uid="{F54E550B-DC86-48FA-AC87-652D44733D94}"/>
    <cellStyle name="Comma 14" xfId="63" xr:uid="{4DC72396-8807-4B61-B787-42038C38E7A2}"/>
    <cellStyle name="Comma 14 2" xfId="185" xr:uid="{432B806E-71EF-4C2C-A8F1-9327925BC8BE}"/>
    <cellStyle name="Comma 14 2 2" xfId="455" xr:uid="{E40E656D-29D4-4131-AFEF-FDEA3F4EBEF3}"/>
    <cellStyle name="Comma 14 2 2 2" xfId="996" xr:uid="{7C7C1349-3957-4CB8-A22E-388AE119BF54}"/>
    <cellStyle name="Comma 14 2 2 2 2" xfId="2080" xr:uid="{8270B459-DDDB-4C58-8CD9-BCB7D770A07E}"/>
    <cellStyle name="Comma 14 2 2 2 2 2" xfId="4248" xr:uid="{F679EEB4-0FB5-4BD8-8D57-1697887D1A9D}"/>
    <cellStyle name="Comma 14 2 2 2 2 2 2" xfId="8584" xr:uid="{40DFBFD6-B801-4E4F-9949-6A2D80566C33}"/>
    <cellStyle name="Comma 14 2 2 2 2 2 2 2" xfId="17256" xr:uid="{9C56CD5E-9B1C-4129-AFC4-8191A3B99D1E}"/>
    <cellStyle name="Comma 14 2 2 2 2 2 2 2 2" xfId="34600" xr:uid="{297EF067-5794-4D9E-AAD2-293D075ED4B7}"/>
    <cellStyle name="Comma 14 2 2 2 2 2 2 3" xfId="25928" xr:uid="{A206C00E-3FCD-41C9-B240-2F5FDEBFBAD7}"/>
    <cellStyle name="Comma 14 2 2 2 2 2 3" xfId="12920" xr:uid="{40DC34CD-281C-44DF-B23F-29C2662758AB}"/>
    <cellStyle name="Comma 14 2 2 2 2 2 3 2" xfId="30264" xr:uid="{1CB12052-D658-451C-906F-BF7FA6088413}"/>
    <cellStyle name="Comma 14 2 2 2 2 2 4" xfId="21592" xr:uid="{67692A9D-FCE4-49B0-9314-25E6A22C99E2}"/>
    <cellStyle name="Comma 14 2 2 2 2 3" xfId="6416" xr:uid="{AAFD9CC8-4E75-4DAD-90B0-FDC44F76F4EE}"/>
    <cellStyle name="Comma 14 2 2 2 2 3 2" xfId="15088" xr:uid="{E6171F58-9BD1-43AA-81BD-00A4585131C8}"/>
    <cellStyle name="Comma 14 2 2 2 2 3 2 2" xfId="32432" xr:uid="{C5DF1A7E-2D41-464F-A6BF-2A498F1F1005}"/>
    <cellStyle name="Comma 14 2 2 2 2 3 3" xfId="23760" xr:uid="{0ECFE815-383D-4202-9F0C-E06B2814DD33}"/>
    <cellStyle name="Comma 14 2 2 2 2 4" xfId="10752" xr:uid="{E64962AA-2BA8-4EC5-A54C-4E431DFDC978}"/>
    <cellStyle name="Comma 14 2 2 2 2 4 2" xfId="28096" xr:uid="{6FB9CFDC-1429-42CA-8DE6-F1986668FF71}"/>
    <cellStyle name="Comma 14 2 2 2 2 5" xfId="19424" xr:uid="{736FA891-0D17-44D9-81F4-7AFDD46A5FAD}"/>
    <cellStyle name="Comma 14 2 2 2 3" xfId="3164" xr:uid="{8152A186-16EF-4BBA-8D8F-BD4E81EF9E4A}"/>
    <cellStyle name="Comma 14 2 2 2 3 2" xfId="7500" xr:uid="{44EE2BE3-BC7E-4B5C-8C91-C93C6EED161A}"/>
    <cellStyle name="Comma 14 2 2 2 3 2 2" xfId="16172" xr:uid="{C2F84008-6AD0-432E-AD08-CE042E339B41}"/>
    <cellStyle name="Comma 14 2 2 2 3 2 2 2" xfId="33516" xr:uid="{0ED30D7D-3A63-4672-911E-DE783421BC4D}"/>
    <cellStyle name="Comma 14 2 2 2 3 2 3" xfId="24844" xr:uid="{A92DB5B7-DC60-4917-A2C7-965FB71CF450}"/>
    <cellStyle name="Comma 14 2 2 2 3 3" xfId="11836" xr:uid="{BE371547-3883-4FC0-ADA1-1F908C077915}"/>
    <cellStyle name="Comma 14 2 2 2 3 3 2" xfId="29180" xr:uid="{4C2A3CA9-A7BA-449E-B025-89E6705446E0}"/>
    <cellStyle name="Comma 14 2 2 2 3 4" xfId="20508" xr:uid="{5DB5D0FB-F4C4-4298-8F5D-5A0A0ABAEC0E}"/>
    <cellStyle name="Comma 14 2 2 2 4" xfId="5332" xr:uid="{EA7B85F7-0761-4155-9DD8-539EA904D4B1}"/>
    <cellStyle name="Comma 14 2 2 2 4 2" xfId="14004" xr:uid="{2E83B22F-E540-446E-8EBE-F7DFDC5688B8}"/>
    <cellStyle name="Comma 14 2 2 2 4 2 2" xfId="31348" xr:uid="{757B196D-2FD2-413D-BAE3-CD7D96F42740}"/>
    <cellStyle name="Comma 14 2 2 2 4 3" xfId="22676" xr:uid="{3C345750-D7F6-4EAB-AB65-BFE0F9077042}"/>
    <cellStyle name="Comma 14 2 2 2 5" xfId="9668" xr:uid="{A968BF32-6FB6-4825-B15B-4C33929FCA25}"/>
    <cellStyle name="Comma 14 2 2 2 5 2" xfId="27012" xr:uid="{13885AC1-AF54-4171-9738-9E3A4079801A}"/>
    <cellStyle name="Comma 14 2 2 2 6" xfId="18340" xr:uid="{DD0EC054-DFF7-4D66-B9E3-8F166F8AEF22}"/>
    <cellStyle name="Comma 14 2 2 3" xfId="1539" xr:uid="{9EF721D2-73B7-425F-830E-13AE209F2905}"/>
    <cellStyle name="Comma 14 2 2 3 2" xfId="3707" xr:uid="{DB878556-F6B2-46F9-84CF-E602F7C3D7FA}"/>
    <cellStyle name="Comma 14 2 2 3 2 2" xfId="8043" xr:uid="{B5A6C7AF-03D4-4346-8AFA-2CFB0D9B12E1}"/>
    <cellStyle name="Comma 14 2 2 3 2 2 2" xfId="16715" xr:uid="{C95B858D-F4AD-4EE2-ADD3-FA97A9569D41}"/>
    <cellStyle name="Comma 14 2 2 3 2 2 2 2" xfId="34059" xr:uid="{D37CA941-E042-46E4-ABBE-FE13945F40B0}"/>
    <cellStyle name="Comma 14 2 2 3 2 2 3" xfId="25387" xr:uid="{3194D6F5-8273-4774-A866-C693E272A280}"/>
    <cellStyle name="Comma 14 2 2 3 2 3" xfId="12379" xr:uid="{2B705CED-C764-43CB-B4F7-781739315AA6}"/>
    <cellStyle name="Comma 14 2 2 3 2 3 2" xfId="29723" xr:uid="{C36BD61F-5482-45C7-AD90-C0197D3F2ACE}"/>
    <cellStyle name="Comma 14 2 2 3 2 4" xfId="21051" xr:uid="{F30DB038-4C60-40FD-8997-C8EEC9E65614}"/>
    <cellStyle name="Comma 14 2 2 3 3" xfId="5875" xr:uid="{26F54135-58BD-4D97-830C-80FF23AE7BF2}"/>
    <cellStyle name="Comma 14 2 2 3 3 2" xfId="14547" xr:uid="{532EC8DA-4DF5-4E00-A1EB-19E5F6679937}"/>
    <cellStyle name="Comma 14 2 2 3 3 2 2" xfId="31891" xr:uid="{76ADA6FB-8FCD-465D-8DCA-77E42822A299}"/>
    <cellStyle name="Comma 14 2 2 3 3 3" xfId="23219" xr:uid="{704316BE-8289-4DC5-A342-D5F12164E439}"/>
    <cellStyle name="Comma 14 2 2 3 4" xfId="10211" xr:uid="{9C4AE532-D586-4749-89A3-6BD52FB6EF9D}"/>
    <cellStyle name="Comma 14 2 2 3 4 2" xfId="27555" xr:uid="{639106DC-1F29-4299-B2C3-CEE2977DFFB4}"/>
    <cellStyle name="Comma 14 2 2 3 5" xfId="18883" xr:uid="{5F5DFE43-B492-4F0A-BDB1-DE3BBCF05BF3}"/>
    <cellStyle name="Comma 14 2 2 4" xfId="2623" xr:uid="{30DED509-E655-4A68-A8F6-F88092A3EC37}"/>
    <cellStyle name="Comma 14 2 2 4 2" xfId="6959" xr:uid="{ED6B44E0-9381-45CC-9BE5-10548F23C067}"/>
    <cellStyle name="Comma 14 2 2 4 2 2" xfId="15631" xr:uid="{625827ED-05E3-4B1A-A014-7727A3475D64}"/>
    <cellStyle name="Comma 14 2 2 4 2 2 2" xfId="32975" xr:uid="{67519BE5-0491-40D0-81C2-285E382A2BF1}"/>
    <cellStyle name="Comma 14 2 2 4 2 3" xfId="24303" xr:uid="{C32629DD-5CF9-4439-B6AE-32CB463CA971}"/>
    <cellStyle name="Comma 14 2 2 4 3" xfId="11295" xr:uid="{2DDBC87C-220B-4E9D-928C-711600AC943B}"/>
    <cellStyle name="Comma 14 2 2 4 3 2" xfId="28639" xr:uid="{4752DCF1-0B4D-416F-A02B-235A677F1AF0}"/>
    <cellStyle name="Comma 14 2 2 4 4" xfId="19967" xr:uid="{DF8E46F3-E566-4FB8-A237-F7073F8C9CEC}"/>
    <cellStyle name="Comma 14 2 2 5" xfId="4791" xr:uid="{1F5DB28B-0FD2-4786-86B8-97283E879EB1}"/>
    <cellStyle name="Comma 14 2 2 5 2" xfId="13463" xr:uid="{52558A86-A81B-4BF1-B1C2-0F20184A396A}"/>
    <cellStyle name="Comma 14 2 2 5 2 2" xfId="30807" xr:uid="{55C60DC6-2A28-4A8D-9890-42B52DC36A5B}"/>
    <cellStyle name="Comma 14 2 2 5 3" xfId="22135" xr:uid="{BA79E50F-104B-4239-8F4E-BF83B923747A}"/>
    <cellStyle name="Comma 14 2 2 6" xfId="9127" xr:uid="{767A53C5-56E5-44EE-A6AF-C95DAB9FCB47}"/>
    <cellStyle name="Comma 14 2 2 6 2" xfId="26471" xr:uid="{057FA110-7E54-4EEA-8769-92C7A6873050}"/>
    <cellStyle name="Comma 14 2 2 7" xfId="17799" xr:uid="{5A39DFDE-75E3-4747-9EEC-C633AB9CBE34}"/>
    <cellStyle name="Comma 14 2 3" xfId="726" xr:uid="{03359E67-70A5-4832-92DF-7284578C640F}"/>
    <cellStyle name="Comma 14 2 3 2" xfId="1810" xr:uid="{BAA318CE-08B9-4BFA-B2B6-49A6A582EBEF}"/>
    <cellStyle name="Comma 14 2 3 2 2" xfId="3978" xr:uid="{89155E64-4331-425A-B17F-BFAEE1CEAC5B}"/>
    <cellStyle name="Comma 14 2 3 2 2 2" xfId="8314" xr:uid="{F016FF8D-F754-4D9B-8173-676A57304EFC}"/>
    <cellStyle name="Comma 14 2 3 2 2 2 2" xfId="16986" xr:uid="{9E12C53D-90CC-46F2-B3E6-2C03F23D2CF4}"/>
    <cellStyle name="Comma 14 2 3 2 2 2 2 2" xfId="34330" xr:uid="{6681B339-76DA-49DC-A073-3B10C006B388}"/>
    <cellStyle name="Comma 14 2 3 2 2 2 3" xfId="25658" xr:uid="{EB7CD931-1F11-4FFC-B072-C7012DA50F5D}"/>
    <cellStyle name="Comma 14 2 3 2 2 3" xfId="12650" xr:uid="{8D4D129B-212E-4FC1-8033-9D2F28A1FD5C}"/>
    <cellStyle name="Comma 14 2 3 2 2 3 2" xfId="29994" xr:uid="{938F0314-8BE3-4539-B5CF-123C332517D6}"/>
    <cellStyle name="Comma 14 2 3 2 2 4" xfId="21322" xr:uid="{DFB7ADED-319B-4135-BC6A-B2A9F0FA5E5D}"/>
    <cellStyle name="Comma 14 2 3 2 3" xfId="6146" xr:uid="{69E175BB-FB5A-4E6F-A7A7-9C44E5A9BAB1}"/>
    <cellStyle name="Comma 14 2 3 2 3 2" xfId="14818" xr:uid="{B6538E6D-24A6-4133-ACF3-14474D7AB19F}"/>
    <cellStyle name="Comma 14 2 3 2 3 2 2" xfId="32162" xr:uid="{76B7D1E1-461D-48E2-9CB0-C3A89B55C0D5}"/>
    <cellStyle name="Comma 14 2 3 2 3 3" xfId="23490" xr:uid="{75A56943-6F43-45D2-982A-69B12939C8FB}"/>
    <cellStyle name="Comma 14 2 3 2 4" xfId="10482" xr:uid="{7997B540-DCDD-4EF0-A5FB-893C929DF9DE}"/>
    <cellStyle name="Comma 14 2 3 2 4 2" xfId="27826" xr:uid="{5D90D345-77BE-42DA-8025-8101FEC5B4D9}"/>
    <cellStyle name="Comma 14 2 3 2 5" xfId="19154" xr:uid="{6D794556-10E3-4B99-BC8E-7BE48F899213}"/>
    <cellStyle name="Comma 14 2 3 3" xfId="2894" xr:uid="{2D177987-ED49-4DE3-831F-88B40EE8CCE0}"/>
    <cellStyle name="Comma 14 2 3 3 2" xfId="7230" xr:uid="{2A7D7F90-F358-4EB7-A78A-9F3925C544C0}"/>
    <cellStyle name="Comma 14 2 3 3 2 2" xfId="15902" xr:uid="{B9191C31-15FA-430C-8EE3-B5780F530188}"/>
    <cellStyle name="Comma 14 2 3 3 2 2 2" xfId="33246" xr:uid="{F00C63BC-1B01-4AF8-9F93-C4F8E1BE6E0B}"/>
    <cellStyle name="Comma 14 2 3 3 2 3" xfId="24574" xr:uid="{37B46683-0599-4F40-8797-6F2585EC7229}"/>
    <cellStyle name="Comma 14 2 3 3 3" xfId="11566" xr:uid="{2FF6B81B-FD2B-4A02-8F68-421BB7C39858}"/>
    <cellStyle name="Comma 14 2 3 3 3 2" xfId="28910" xr:uid="{5F115740-27F8-4509-98D9-30DD88B44DD6}"/>
    <cellStyle name="Comma 14 2 3 3 4" xfId="20238" xr:uid="{306723E7-7A34-4125-85F3-8F578003FE48}"/>
    <cellStyle name="Comma 14 2 3 4" xfId="5062" xr:uid="{60E75DE5-D76A-4650-95BB-8BFEB803075B}"/>
    <cellStyle name="Comma 14 2 3 4 2" xfId="13734" xr:uid="{099128E4-F83B-4335-AC19-3A39399D1649}"/>
    <cellStyle name="Comma 14 2 3 4 2 2" xfId="31078" xr:uid="{3E5BD364-213D-4D73-B781-865F6FE06AC4}"/>
    <cellStyle name="Comma 14 2 3 4 3" xfId="22406" xr:uid="{2D900204-EDED-48E5-89D9-5646063E7954}"/>
    <cellStyle name="Comma 14 2 3 5" xfId="9398" xr:uid="{F1663E1F-17A9-48E1-B90D-D16F4B218CDE}"/>
    <cellStyle name="Comma 14 2 3 5 2" xfId="26742" xr:uid="{27DB551C-5515-4206-9665-F153D5E5C325}"/>
    <cellStyle name="Comma 14 2 3 6" xfId="18070" xr:uid="{44118F53-167C-4905-BAFE-2CA23394B1AD}"/>
    <cellStyle name="Comma 14 2 4" xfId="1269" xr:uid="{F52F219C-DEAD-4BC7-9B88-9429D9752443}"/>
    <cellStyle name="Comma 14 2 4 2" xfId="3437" xr:uid="{8AB90FAC-895B-4FF4-B924-A01DDD6EF9C4}"/>
    <cellStyle name="Comma 14 2 4 2 2" xfId="7773" xr:uid="{ED60F9FC-F9FF-41ED-98F3-6113457A6024}"/>
    <cellStyle name="Comma 14 2 4 2 2 2" xfId="16445" xr:uid="{9F2FF5DC-A87B-4E6A-9D0A-E3194B6391F2}"/>
    <cellStyle name="Comma 14 2 4 2 2 2 2" xfId="33789" xr:uid="{9D3973CC-2F93-4FF5-85F6-579F0E8CEE36}"/>
    <cellStyle name="Comma 14 2 4 2 2 3" xfId="25117" xr:uid="{F1A6010E-D99C-488A-9EC9-6804C27CB751}"/>
    <cellStyle name="Comma 14 2 4 2 3" xfId="12109" xr:uid="{AC9C81DF-8B09-43CE-9029-57F6B0EEA253}"/>
    <cellStyle name="Comma 14 2 4 2 3 2" xfId="29453" xr:uid="{E677F16E-AE50-4A93-8F7C-47147848BB32}"/>
    <cellStyle name="Comma 14 2 4 2 4" xfId="20781" xr:uid="{64FC93E4-C73B-4252-A107-395E82A717B1}"/>
    <cellStyle name="Comma 14 2 4 3" xfId="5605" xr:uid="{3B572028-C3C7-484D-8E78-F09DA509F035}"/>
    <cellStyle name="Comma 14 2 4 3 2" xfId="14277" xr:uid="{70DFF92C-3DDD-4239-B6B6-32DF40E82E20}"/>
    <cellStyle name="Comma 14 2 4 3 2 2" xfId="31621" xr:uid="{94F1E77A-50C2-44B1-87AF-ED2A28DCC876}"/>
    <cellStyle name="Comma 14 2 4 3 3" xfId="22949" xr:uid="{DFDED893-B3C8-45F5-8510-2719DDF7862D}"/>
    <cellStyle name="Comma 14 2 4 4" xfId="9941" xr:uid="{F3A36508-31D6-4E88-B32D-9B128519093C}"/>
    <cellStyle name="Comma 14 2 4 4 2" xfId="27285" xr:uid="{600E28B0-1E29-4D85-AB96-6DB251021D4E}"/>
    <cellStyle name="Comma 14 2 4 5" xfId="18613" xr:uid="{F6AA4FE0-4D37-41E1-B4C1-3F4ED3E14976}"/>
    <cellStyle name="Comma 14 2 5" xfId="2353" xr:uid="{ADA83838-BDD7-4359-AD30-0810669E47FB}"/>
    <cellStyle name="Comma 14 2 5 2" xfId="6689" xr:uid="{16BD0B42-64B0-4B41-8177-CE39866ACC2D}"/>
    <cellStyle name="Comma 14 2 5 2 2" xfId="15361" xr:uid="{A948E985-5DE5-4246-927D-184F2B0F1632}"/>
    <cellStyle name="Comma 14 2 5 2 2 2" xfId="32705" xr:uid="{FDDA76D8-B700-4EEE-B169-189B5F8DFB2C}"/>
    <cellStyle name="Comma 14 2 5 2 3" xfId="24033" xr:uid="{F27ADF21-3CA3-4BB9-ABEC-B06F2A90E3DB}"/>
    <cellStyle name="Comma 14 2 5 3" xfId="11025" xr:uid="{6ACB3D71-646D-4E9F-8396-90D19AC03CC7}"/>
    <cellStyle name="Comma 14 2 5 3 2" xfId="28369" xr:uid="{1D0C56EE-6AE3-45D4-80A2-C1C5E8C390B8}"/>
    <cellStyle name="Comma 14 2 5 4" xfId="19697" xr:uid="{CE901195-0CA0-4441-AF6E-9E497DBF0228}"/>
    <cellStyle name="Comma 14 2 6" xfId="4521" xr:uid="{92C2C098-5E40-461D-8298-9399BDC1F489}"/>
    <cellStyle name="Comma 14 2 6 2" xfId="13193" xr:uid="{6730055E-BBDF-40AA-802B-77E7396667FD}"/>
    <cellStyle name="Comma 14 2 6 2 2" xfId="30537" xr:uid="{EFBC522C-8E0A-4398-AB4A-8324041976DA}"/>
    <cellStyle name="Comma 14 2 6 3" xfId="21865" xr:uid="{B5F5DBF0-E8C6-44AD-81C3-94BCD4E54B98}"/>
    <cellStyle name="Comma 14 2 7" xfId="8857" xr:uid="{E90BB42A-C6C1-4880-9B2D-EFC8262E082E}"/>
    <cellStyle name="Comma 14 2 7 2" xfId="26201" xr:uid="{FABA055E-3AD7-401E-B98B-A01240E155AF}"/>
    <cellStyle name="Comma 14 2 8" xfId="17529" xr:uid="{6CED87F2-7613-4EDE-AE98-904D8BD2379E}"/>
    <cellStyle name="Comma 14 3" xfId="333" xr:uid="{8951BEFD-E6E5-4C32-944F-EA8C662E0362}"/>
    <cellStyle name="Comma 14 3 2" xfId="874" xr:uid="{F6146D77-7163-49E9-BE00-FBB7215EEC6A}"/>
    <cellStyle name="Comma 14 3 2 2" xfId="1958" xr:uid="{0C974827-2B07-4F03-B863-1E3819175B6D}"/>
    <cellStyle name="Comma 14 3 2 2 2" xfId="4126" xr:uid="{1C14AA96-B89F-4729-8034-25A18269A3E2}"/>
    <cellStyle name="Comma 14 3 2 2 2 2" xfId="8462" xr:uid="{DCE7538F-5EE3-4CBB-98C8-60B97C71B59A}"/>
    <cellStyle name="Comma 14 3 2 2 2 2 2" xfId="17134" xr:uid="{E9011A30-F020-4095-8846-ACCAD826C37E}"/>
    <cellStyle name="Comma 14 3 2 2 2 2 2 2" xfId="34478" xr:uid="{C0F234BB-2D7F-4A98-8E20-3533456CDDF1}"/>
    <cellStyle name="Comma 14 3 2 2 2 2 3" xfId="25806" xr:uid="{47FFF34C-56F7-4762-8838-6A3BE1693EA2}"/>
    <cellStyle name="Comma 14 3 2 2 2 3" xfId="12798" xr:uid="{5F0EB0C1-4D21-4E04-A2A6-01CF0C3B7766}"/>
    <cellStyle name="Comma 14 3 2 2 2 3 2" xfId="30142" xr:uid="{057EA4B8-7FFC-489D-AA55-873BCA28EDEC}"/>
    <cellStyle name="Comma 14 3 2 2 2 4" xfId="21470" xr:uid="{E270C42D-D82D-4B75-B1C9-ED469F037D61}"/>
    <cellStyle name="Comma 14 3 2 2 3" xfId="6294" xr:uid="{EF2EBFE7-DCE6-45D5-9A7B-C518BF136E88}"/>
    <cellStyle name="Comma 14 3 2 2 3 2" xfId="14966" xr:uid="{FC59BECD-BEC7-43CD-9EE3-87C23DF64A06}"/>
    <cellStyle name="Comma 14 3 2 2 3 2 2" xfId="32310" xr:uid="{5C2FF566-F97F-4EA3-8B1D-669332E0FC70}"/>
    <cellStyle name="Comma 14 3 2 2 3 3" xfId="23638" xr:uid="{75FFF634-8A66-40DF-9422-83B0CBD5DE10}"/>
    <cellStyle name="Comma 14 3 2 2 4" xfId="10630" xr:uid="{59957A73-AB4A-4783-AE9D-99B7E04C6471}"/>
    <cellStyle name="Comma 14 3 2 2 4 2" xfId="27974" xr:uid="{4ACEBFA3-70C5-47C2-B885-D36FECC60710}"/>
    <cellStyle name="Comma 14 3 2 2 5" xfId="19302" xr:uid="{4C01480B-DD7E-4FB4-AE22-8B5F4D9808F2}"/>
    <cellStyle name="Comma 14 3 2 3" xfId="3042" xr:uid="{9539C6B9-1C2E-4B7B-A94E-854806E4FC0D}"/>
    <cellStyle name="Comma 14 3 2 3 2" xfId="7378" xr:uid="{2F8D2A50-010B-4B54-A13C-8D21B8D8F8E1}"/>
    <cellStyle name="Comma 14 3 2 3 2 2" xfId="16050" xr:uid="{7EDFDDC3-8D89-4879-A194-6321CCB84CD8}"/>
    <cellStyle name="Comma 14 3 2 3 2 2 2" xfId="33394" xr:uid="{BC9EFB6A-E106-4501-BBD2-D04B713775E8}"/>
    <cellStyle name="Comma 14 3 2 3 2 3" xfId="24722" xr:uid="{E6356D84-B60E-4917-ADE5-D5382E61C4A1}"/>
    <cellStyle name="Comma 14 3 2 3 3" xfId="11714" xr:uid="{86875463-A7E4-47EC-BB45-BFD66350527A}"/>
    <cellStyle name="Comma 14 3 2 3 3 2" xfId="29058" xr:uid="{6E12D5AB-0A02-475F-BACB-C363DB472BB8}"/>
    <cellStyle name="Comma 14 3 2 3 4" xfId="20386" xr:uid="{BB421667-C1B5-4762-A06E-3E6854D8B3BD}"/>
    <cellStyle name="Comma 14 3 2 4" xfId="5210" xr:uid="{EB7737E1-571A-4C09-9EE3-42A443012280}"/>
    <cellStyle name="Comma 14 3 2 4 2" xfId="13882" xr:uid="{D76B2C81-F817-4212-AAF0-4D71C5F3F4F0}"/>
    <cellStyle name="Comma 14 3 2 4 2 2" xfId="31226" xr:uid="{F77915CB-7849-4BCC-89AA-D26A321E7249}"/>
    <cellStyle name="Comma 14 3 2 4 3" xfId="22554" xr:uid="{5208F528-7AD3-4107-A0E3-F33BAC72DA3E}"/>
    <cellStyle name="Comma 14 3 2 5" xfId="9546" xr:uid="{BAF20C4C-D162-40FB-B14C-DCA2A6EA516B}"/>
    <cellStyle name="Comma 14 3 2 5 2" xfId="26890" xr:uid="{919EA654-B1DC-4828-9292-A08ABF9949B9}"/>
    <cellStyle name="Comma 14 3 2 6" xfId="18218" xr:uid="{E443134A-7C91-474B-B3E2-293CF64FC03B}"/>
    <cellStyle name="Comma 14 3 3" xfId="1417" xr:uid="{55A6AF85-6BE8-483D-92A7-BD8F1DFCADA2}"/>
    <cellStyle name="Comma 14 3 3 2" xfId="3585" xr:uid="{83BB6BAF-3B35-4E08-A3F8-70AE83EAFBEB}"/>
    <cellStyle name="Comma 14 3 3 2 2" xfId="7921" xr:uid="{EFDB01E2-A5F5-4F95-9D1F-C03D279B32DF}"/>
    <cellStyle name="Comma 14 3 3 2 2 2" xfId="16593" xr:uid="{BAB11F98-E1AB-4577-83EA-6D3F657FE808}"/>
    <cellStyle name="Comma 14 3 3 2 2 2 2" xfId="33937" xr:uid="{2C7B81D0-DEDD-4FD3-9470-331BC61E1B83}"/>
    <cellStyle name="Comma 14 3 3 2 2 3" xfId="25265" xr:uid="{F494F47B-674C-4333-9A53-7BB74DE8CCA6}"/>
    <cellStyle name="Comma 14 3 3 2 3" xfId="12257" xr:uid="{F9457271-F79A-4D8D-B044-1A27ACE291D0}"/>
    <cellStyle name="Comma 14 3 3 2 3 2" xfId="29601" xr:uid="{6D3C97FC-B3B9-423F-BA19-C88E5620B360}"/>
    <cellStyle name="Comma 14 3 3 2 4" xfId="20929" xr:uid="{28C67196-C57D-4894-8BDE-1231FCAC7A7C}"/>
    <cellStyle name="Comma 14 3 3 3" xfId="5753" xr:uid="{00A60ACC-C74A-48CC-800F-55E30804C95C}"/>
    <cellStyle name="Comma 14 3 3 3 2" xfId="14425" xr:uid="{EF627244-977F-4D50-AD0F-61AC36878E62}"/>
    <cellStyle name="Comma 14 3 3 3 2 2" xfId="31769" xr:uid="{0DA39F4A-6DA4-4757-8AD0-88B724030C49}"/>
    <cellStyle name="Comma 14 3 3 3 3" xfId="23097" xr:uid="{B756A790-5BC6-4610-AB31-8BB11BFED786}"/>
    <cellStyle name="Comma 14 3 3 4" xfId="10089" xr:uid="{2D215ED7-59A6-4458-B9B8-7907445EEDCA}"/>
    <cellStyle name="Comma 14 3 3 4 2" xfId="27433" xr:uid="{F06962A6-CA51-477B-B294-5DA4C3720580}"/>
    <cellStyle name="Comma 14 3 3 5" xfId="18761" xr:uid="{798D59EC-E9BB-463D-87AE-DDC021AF5B3D}"/>
    <cellStyle name="Comma 14 3 4" xfId="2501" xr:uid="{6400CD3E-B1ED-4623-BAFE-B0F1DA4333BE}"/>
    <cellStyle name="Comma 14 3 4 2" xfId="6837" xr:uid="{E95EE851-655D-4372-BF0D-1C1CCF3F5475}"/>
    <cellStyle name="Comma 14 3 4 2 2" xfId="15509" xr:uid="{E7B2A981-99E1-4DA0-A3E9-D0A1CF33EE66}"/>
    <cellStyle name="Comma 14 3 4 2 2 2" xfId="32853" xr:uid="{5AE94500-BBCF-41FF-9BB0-2AC10B09B651}"/>
    <cellStyle name="Comma 14 3 4 2 3" xfId="24181" xr:uid="{D5E25287-6540-47D5-818B-666106D96453}"/>
    <cellStyle name="Comma 14 3 4 3" xfId="11173" xr:uid="{308C7043-C8D5-4A9D-BEE2-3191C5928AC7}"/>
    <cellStyle name="Comma 14 3 4 3 2" xfId="28517" xr:uid="{23F91B76-84D2-44DE-A10F-750B1273197C}"/>
    <cellStyle name="Comma 14 3 4 4" xfId="19845" xr:uid="{6BA408CE-B5CB-425F-A43A-C9E70F466D8E}"/>
    <cellStyle name="Comma 14 3 5" xfId="4669" xr:uid="{4E94116E-3B8E-494C-9165-544D1BE285E3}"/>
    <cellStyle name="Comma 14 3 5 2" xfId="13341" xr:uid="{812D75C1-32CE-4EE3-8012-79013840AE86}"/>
    <cellStyle name="Comma 14 3 5 2 2" xfId="30685" xr:uid="{2F324EB3-5497-4863-BD6E-9ACB326CFD0E}"/>
    <cellStyle name="Comma 14 3 5 3" xfId="22013" xr:uid="{156E9036-8411-47C5-A147-DBFD969A461F}"/>
    <cellStyle name="Comma 14 3 6" xfId="9005" xr:uid="{742229AA-3E18-4E59-845D-CB5F76495CA9}"/>
    <cellStyle name="Comma 14 3 6 2" xfId="26349" xr:uid="{3C1BF3FF-EF0B-435C-9C8D-FC832A641695}"/>
    <cellStyle name="Comma 14 3 7" xfId="17677" xr:uid="{CD765EB5-309A-435D-8B2F-97CEBE9018D2}"/>
    <cellStyle name="Comma 14 4" xfId="604" xr:uid="{68C11A9E-6BEC-481B-B4F9-E1E259ECA84B}"/>
    <cellStyle name="Comma 14 4 2" xfId="1688" xr:uid="{2BB8AE6A-D63C-4C13-B0F3-5050E71182A3}"/>
    <cellStyle name="Comma 14 4 2 2" xfId="3856" xr:uid="{6AEAB7B2-A437-4123-83DD-2D9FF74569E4}"/>
    <cellStyle name="Comma 14 4 2 2 2" xfId="8192" xr:uid="{817F33ED-7548-4231-958A-776938C59B36}"/>
    <cellStyle name="Comma 14 4 2 2 2 2" xfId="16864" xr:uid="{F2CEAC6E-EF50-4B9C-B055-272AD0E60236}"/>
    <cellStyle name="Comma 14 4 2 2 2 2 2" xfId="34208" xr:uid="{9F772651-1DC2-4F1A-B1B7-1927A40A9750}"/>
    <cellStyle name="Comma 14 4 2 2 2 3" xfId="25536" xr:uid="{55F38BB0-537A-4AF4-A15A-2BF77B5108F9}"/>
    <cellStyle name="Comma 14 4 2 2 3" xfId="12528" xr:uid="{14B4FACD-F6AC-4CCD-A56F-1614753D2EE7}"/>
    <cellStyle name="Comma 14 4 2 2 3 2" xfId="29872" xr:uid="{70464A56-1AB4-4E46-8407-5EEC110EB788}"/>
    <cellStyle name="Comma 14 4 2 2 4" xfId="21200" xr:uid="{43250F78-1CE2-43FB-981F-E2194B41956D}"/>
    <cellStyle name="Comma 14 4 2 3" xfId="6024" xr:uid="{55E1EA4A-55C1-41E2-A18D-9B6B8F5B5AB0}"/>
    <cellStyle name="Comma 14 4 2 3 2" xfId="14696" xr:uid="{D798C8BE-E1B6-4273-BFC5-77D65C9B8524}"/>
    <cellStyle name="Comma 14 4 2 3 2 2" xfId="32040" xr:uid="{0126A772-7938-45D9-B87A-72F8876A7A76}"/>
    <cellStyle name="Comma 14 4 2 3 3" xfId="23368" xr:uid="{763DB2CA-C259-4B21-A60D-EE871F149B1A}"/>
    <cellStyle name="Comma 14 4 2 4" xfId="10360" xr:uid="{AE455293-DCB9-42D0-9E93-3794C1586B21}"/>
    <cellStyle name="Comma 14 4 2 4 2" xfId="27704" xr:uid="{06F7F049-5DA9-4E30-8428-D945D4365C52}"/>
    <cellStyle name="Comma 14 4 2 5" xfId="19032" xr:uid="{CFF46A11-0930-4425-BC5F-F89C22CEBED8}"/>
    <cellStyle name="Comma 14 4 3" xfId="2772" xr:uid="{8E58AFFB-233D-4D73-93AF-ED73DB3EFD9A}"/>
    <cellStyle name="Comma 14 4 3 2" xfId="7108" xr:uid="{1F94DF02-69E4-4BF4-B56A-A98177926ED0}"/>
    <cellStyle name="Comma 14 4 3 2 2" xfId="15780" xr:uid="{E3F77E7D-7D2A-466F-BA6F-C85ED5837380}"/>
    <cellStyle name="Comma 14 4 3 2 2 2" xfId="33124" xr:uid="{209B1D9F-D29F-430F-AD07-2688184A34EB}"/>
    <cellStyle name="Comma 14 4 3 2 3" xfId="24452" xr:uid="{CF7A14FB-2E87-4776-BF46-A724EE5E5FBD}"/>
    <cellStyle name="Comma 14 4 3 3" xfId="11444" xr:uid="{8FCB9903-70EE-41E7-A0E4-217F305BA3BB}"/>
    <cellStyle name="Comma 14 4 3 3 2" xfId="28788" xr:uid="{BB0C172C-7730-4761-AEAA-1380725F2141}"/>
    <cellStyle name="Comma 14 4 3 4" xfId="20116" xr:uid="{49EAFF36-C736-46DD-A264-991003F52925}"/>
    <cellStyle name="Comma 14 4 4" xfId="4940" xr:uid="{54309C47-3F5E-4A0E-B209-90325254D8F5}"/>
    <cellStyle name="Comma 14 4 4 2" xfId="13612" xr:uid="{362BF9E4-2A16-4C47-84ED-9D9AD526DEDF}"/>
    <cellStyle name="Comma 14 4 4 2 2" xfId="30956" xr:uid="{5ED976A4-94DA-47B0-AF55-F7C58904A34C}"/>
    <cellStyle name="Comma 14 4 4 3" xfId="22284" xr:uid="{FCB100F0-9CFD-42DA-9BC0-03C8313E01B0}"/>
    <cellStyle name="Comma 14 4 5" xfId="9276" xr:uid="{7BCD39AB-1BCF-4667-8052-400C5C95B8DA}"/>
    <cellStyle name="Comma 14 4 5 2" xfId="26620" xr:uid="{6ED6BB55-A0E1-44DE-9C12-D9FFB467C935}"/>
    <cellStyle name="Comma 14 4 6" xfId="17948" xr:uid="{7838EA2C-81C7-47FC-A239-3AB80DA6C823}"/>
    <cellStyle name="Comma 14 5" xfId="1147" xr:uid="{7ABAB65B-E00A-4AA5-8DF9-B3F9D32C0210}"/>
    <cellStyle name="Comma 14 5 2" xfId="3315" xr:uid="{D9FE5E0B-C03E-42D2-9182-9F509F0ABC20}"/>
    <cellStyle name="Comma 14 5 2 2" xfId="7651" xr:uid="{2D610A3E-FBC3-48DF-91B7-425CC5C3B03F}"/>
    <cellStyle name="Comma 14 5 2 2 2" xfId="16323" xr:uid="{FA7B55E9-9D2C-422B-BB85-946D0FAB245B}"/>
    <cellStyle name="Comma 14 5 2 2 2 2" xfId="33667" xr:uid="{007AA25D-D03C-416B-A079-6CFAC6281A73}"/>
    <cellStyle name="Comma 14 5 2 2 3" xfId="24995" xr:uid="{52D9B62F-6C42-4EE5-A74D-D944F1A11872}"/>
    <cellStyle name="Comma 14 5 2 3" xfId="11987" xr:uid="{4E208F5B-D1F7-4423-8E05-3F4CE16CA9A8}"/>
    <cellStyle name="Comma 14 5 2 3 2" xfId="29331" xr:uid="{542BA370-21E3-404F-B8AA-1AF434D5CCFF}"/>
    <cellStyle name="Comma 14 5 2 4" xfId="20659" xr:uid="{63CD6761-D86F-4279-80CB-4ACEA9E92AD3}"/>
    <cellStyle name="Comma 14 5 3" xfId="5483" xr:uid="{9CBDD701-2EBA-48A9-A3AA-4CDE6C9CDB7A}"/>
    <cellStyle name="Comma 14 5 3 2" xfId="14155" xr:uid="{5743A729-58CE-47F1-A4FF-540EBEC5866A}"/>
    <cellStyle name="Comma 14 5 3 2 2" xfId="31499" xr:uid="{76A3C75E-0364-461C-8734-A2DDE00DBBF5}"/>
    <cellStyle name="Comma 14 5 3 3" xfId="22827" xr:uid="{B2766640-4ADD-47A5-8347-F1F09B138A73}"/>
    <cellStyle name="Comma 14 5 4" xfId="9819" xr:uid="{3B539EE1-3B5B-4CB3-AEAE-DF703255E440}"/>
    <cellStyle name="Comma 14 5 4 2" xfId="27163" xr:uid="{038E2C96-3F10-4D24-A516-E4C1F0BFAC44}"/>
    <cellStyle name="Comma 14 5 5" xfId="18491" xr:uid="{0C5A3CD8-F2E7-4E6A-9DDE-AFAD6C2C13CE}"/>
    <cellStyle name="Comma 14 6" xfId="2231" xr:uid="{8ACFF061-6A18-46C9-B88F-67390C78F9C2}"/>
    <cellStyle name="Comma 14 6 2" xfId="6567" xr:uid="{F8E43F8D-8D6A-4BF7-A891-28EBFD353B28}"/>
    <cellStyle name="Comma 14 6 2 2" xfId="15239" xr:uid="{73EFB09C-11B9-411F-942A-69591932F360}"/>
    <cellStyle name="Comma 14 6 2 2 2" xfId="32583" xr:uid="{CDB175BE-366C-4AC1-9DE8-4A6ECCDDF149}"/>
    <cellStyle name="Comma 14 6 2 3" xfId="23911" xr:uid="{ECE30BD5-EB88-4454-8D4A-A98119E3EA39}"/>
    <cellStyle name="Comma 14 6 3" xfId="10903" xr:uid="{047BC3A6-175B-4033-9686-D28D96DEBD0B}"/>
    <cellStyle name="Comma 14 6 3 2" xfId="28247" xr:uid="{441A9010-C315-4133-9298-FADDC1BF0893}"/>
    <cellStyle name="Comma 14 6 4" xfId="19575" xr:uid="{8506029F-A004-47EE-A96D-E89E91275D3F}"/>
    <cellStyle name="Comma 14 7" xfId="4399" xr:uid="{E19B8198-FD6F-4DCE-98B0-E07770B7914E}"/>
    <cellStyle name="Comma 14 7 2" xfId="13071" xr:uid="{B375FBC1-6877-47CF-89E8-3E763EBCA38B}"/>
    <cellStyle name="Comma 14 7 2 2" xfId="30415" xr:uid="{A52E1018-EA14-458C-9FD0-76BA596EB454}"/>
    <cellStyle name="Comma 14 7 3" xfId="21743" xr:uid="{FD48D181-CBBC-4BD6-90D7-8B5E4BB51482}"/>
    <cellStyle name="Comma 14 8" xfId="8735" xr:uid="{575EC1E1-6A36-45CF-8C59-AE83FB66D88D}"/>
    <cellStyle name="Comma 14 8 2" xfId="26079" xr:uid="{6C467BF2-046B-49F2-9718-6160FDC063BA}"/>
    <cellStyle name="Comma 14 9" xfId="17407" xr:uid="{71B80D5F-17C3-4271-9FB4-D5C87245AFED}"/>
    <cellStyle name="Comma 15" xfId="124" xr:uid="{02BD04CC-E41D-43E1-A902-80D52DD82E01}"/>
    <cellStyle name="Comma 15 2" xfId="394" xr:uid="{3472FF7B-CCE0-4D06-A2B5-1045D81BF9E1}"/>
    <cellStyle name="Comma 15 2 2" xfId="935" xr:uid="{31F563E1-0BFE-4559-8938-5C602C8CC50B}"/>
    <cellStyle name="Comma 15 2 2 2" xfId="2019" xr:uid="{CC3B79E4-4741-4CAC-BA68-E225A3B4910D}"/>
    <cellStyle name="Comma 15 2 2 2 2" xfId="4187" xr:uid="{03481565-24D1-4966-836D-0A76AE9E4EFF}"/>
    <cellStyle name="Comma 15 2 2 2 2 2" xfId="8523" xr:uid="{FFEBD8E9-652E-405D-B5CD-F72912E7B2FC}"/>
    <cellStyle name="Comma 15 2 2 2 2 2 2" xfId="17195" xr:uid="{451563BB-6CF4-45C7-B52E-95A75E5774DA}"/>
    <cellStyle name="Comma 15 2 2 2 2 2 2 2" xfId="34539" xr:uid="{970AA6C3-DF61-45AB-AB60-AC7B1FCCB6E6}"/>
    <cellStyle name="Comma 15 2 2 2 2 2 3" xfId="25867" xr:uid="{4C1171A3-1F85-4F50-8285-20BF3C43CFFE}"/>
    <cellStyle name="Comma 15 2 2 2 2 3" xfId="12859" xr:uid="{1C56AD3A-F5BB-4EE2-BBB3-A55653E0B166}"/>
    <cellStyle name="Comma 15 2 2 2 2 3 2" xfId="30203" xr:uid="{238C3D0A-8AF7-4B56-8882-F785A386AA91}"/>
    <cellStyle name="Comma 15 2 2 2 2 4" xfId="21531" xr:uid="{54C1D863-7AC6-494B-81BB-B8A71FE0BE83}"/>
    <cellStyle name="Comma 15 2 2 2 3" xfId="6355" xr:uid="{2A047028-3283-4CC9-8137-3917332DB77E}"/>
    <cellStyle name="Comma 15 2 2 2 3 2" xfId="15027" xr:uid="{09D8E356-2D50-413C-8B00-096DB4D447BA}"/>
    <cellStyle name="Comma 15 2 2 2 3 2 2" xfId="32371" xr:uid="{8636457C-D3C2-4D8F-A4DA-3B5F59167FE8}"/>
    <cellStyle name="Comma 15 2 2 2 3 3" xfId="23699" xr:uid="{2A4F2CDA-CEEE-46DB-ACFB-BE9E2F808DB0}"/>
    <cellStyle name="Comma 15 2 2 2 4" xfId="10691" xr:uid="{B2B88A26-5D76-41E4-9153-553F9D38108E}"/>
    <cellStyle name="Comma 15 2 2 2 4 2" xfId="28035" xr:uid="{8D750292-BDB4-4492-A747-1A7F20498C7E}"/>
    <cellStyle name="Comma 15 2 2 2 5" xfId="19363" xr:uid="{FE465568-543D-4031-A16C-368E225E632E}"/>
    <cellStyle name="Comma 15 2 2 3" xfId="3103" xr:uid="{315F1932-E9C4-45F2-B484-3DBF48A6036D}"/>
    <cellStyle name="Comma 15 2 2 3 2" xfId="7439" xr:uid="{C2FB0351-DD56-4364-9B46-34EFA26220C7}"/>
    <cellStyle name="Comma 15 2 2 3 2 2" xfId="16111" xr:uid="{200FB460-9443-4BD7-86DB-8419728CC71B}"/>
    <cellStyle name="Comma 15 2 2 3 2 2 2" xfId="33455" xr:uid="{8230DEA7-DB3B-4DAD-8544-46F95A2A2759}"/>
    <cellStyle name="Comma 15 2 2 3 2 3" xfId="24783" xr:uid="{CFD83C32-6B90-4984-9179-BB72B9CE21DD}"/>
    <cellStyle name="Comma 15 2 2 3 3" xfId="11775" xr:uid="{14BC7221-4767-4BCF-9012-6616807B2D77}"/>
    <cellStyle name="Comma 15 2 2 3 3 2" xfId="29119" xr:uid="{07A95228-673E-4913-A2BA-FD0D2BAF8818}"/>
    <cellStyle name="Comma 15 2 2 3 4" xfId="20447" xr:uid="{644CFB35-2436-4454-8972-9EE4E65A2312}"/>
    <cellStyle name="Comma 15 2 2 4" xfId="5271" xr:uid="{9E2566E8-87FC-47EA-99C2-35C193AE2E13}"/>
    <cellStyle name="Comma 15 2 2 4 2" xfId="13943" xr:uid="{23ED5D27-ADF1-4A28-8011-5C7CA10A169E}"/>
    <cellStyle name="Comma 15 2 2 4 2 2" xfId="31287" xr:uid="{B674D0A4-A22C-48BB-BCB9-B74B5564FB28}"/>
    <cellStyle name="Comma 15 2 2 4 3" xfId="22615" xr:uid="{D44DBF9C-2D3A-4A34-A950-C703EF115074}"/>
    <cellStyle name="Comma 15 2 2 5" xfId="9607" xr:uid="{B39A1966-6268-4A0F-9EF1-5CBFBF1B1C11}"/>
    <cellStyle name="Comma 15 2 2 5 2" xfId="26951" xr:uid="{358E384F-A7F8-45A0-8E21-2723EB962AEC}"/>
    <cellStyle name="Comma 15 2 2 6" xfId="18279" xr:uid="{6D70C48C-55FC-4CA5-901F-369E075231D9}"/>
    <cellStyle name="Comma 15 2 3" xfId="1478" xr:uid="{9C7B3C1E-2DCC-4C85-861E-19D94025644F}"/>
    <cellStyle name="Comma 15 2 3 2" xfId="3646" xr:uid="{4D42EAB0-555C-4A5C-97FE-DEC32E05D4B0}"/>
    <cellStyle name="Comma 15 2 3 2 2" xfId="7982" xr:uid="{6B3218E0-AB8B-4691-AB63-D956625C2230}"/>
    <cellStyle name="Comma 15 2 3 2 2 2" xfId="16654" xr:uid="{FAF0A478-B0E8-4877-B2B1-C50710779298}"/>
    <cellStyle name="Comma 15 2 3 2 2 2 2" xfId="33998" xr:uid="{20A47206-E0B3-478E-8C19-33E0730DA40B}"/>
    <cellStyle name="Comma 15 2 3 2 2 3" xfId="25326" xr:uid="{BE49C7A2-6350-4201-8615-47089A876D37}"/>
    <cellStyle name="Comma 15 2 3 2 3" xfId="12318" xr:uid="{AF139231-209B-4715-8DEE-21BB7644684F}"/>
    <cellStyle name="Comma 15 2 3 2 3 2" xfId="29662" xr:uid="{5B378705-3D95-4A16-8502-1517F05F3842}"/>
    <cellStyle name="Comma 15 2 3 2 4" xfId="20990" xr:uid="{C23CC7BA-CC56-4C3D-8A3C-AB6BFED7195A}"/>
    <cellStyle name="Comma 15 2 3 3" xfId="5814" xr:uid="{3E96CC7B-344C-4F79-9145-34B9AAD21EFA}"/>
    <cellStyle name="Comma 15 2 3 3 2" xfId="14486" xr:uid="{F0236EF8-81B2-4609-AF66-00A502C67327}"/>
    <cellStyle name="Comma 15 2 3 3 2 2" xfId="31830" xr:uid="{1A3D72C6-2B1B-4138-98EF-C242B0EC21E5}"/>
    <cellStyle name="Comma 15 2 3 3 3" xfId="23158" xr:uid="{0FDB7419-6329-4170-9F80-2A4640CBB988}"/>
    <cellStyle name="Comma 15 2 3 4" xfId="10150" xr:uid="{1E4B779E-C267-47D0-B13B-CDD5E8F07F3E}"/>
    <cellStyle name="Comma 15 2 3 4 2" xfId="27494" xr:uid="{B00E027C-886D-4F2A-97A4-E0FA10B24566}"/>
    <cellStyle name="Comma 15 2 3 5" xfId="18822" xr:uid="{36B66630-1583-4ACC-B9C3-A270A0DBF0C2}"/>
    <cellStyle name="Comma 15 2 4" xfId="2562" xr:uid="{9E24E385-9F5F-4649-92B3-D3D8F755C43C}"/>
    <cellStyle name="Comma 15 2 4 2" xfId="6898" xr:uid="{4F953339-EF5C-43CD-963E-3EFB11F52A96}"/>
    <cellStyle name="Comma 15 2 4 2 2" xfId="15570" xr:uid="{A307F1CB-0352-40A5-A868-70FFB6E2F2BA}"/>
    <cellStyle name="Comma 15 2 4 2 2 2" xfId="32914" xr:uid="{1CBCD1F0-B8B0-46FC-9083-71093878B573}"/>
    <cellStyle name="Comma 15 2 4 2 3" xfId="24242" xr:uid="{EF9D4F5B-DBE6-4223-8A65-05F309AA92EF}"/>
    <cellStyle name="Comma 15 2 4 3" xfId="11234" xr:uid="{25784280-A9DC-4888-8698-BB7AD80F347A}"/>
    <cellStyle name="Comma 15 2 4 3 2" xfId="28578" xr:uid="{5DC17887-CC7F-4688-B0B8-57E37837585A}"/>
    <cellStyle name="Comma 15 2 4 4" xfId="19906" xr:uid="{1FDDBDA8-E27D-4BFF-8849-FF3FF5906418}"/>
    <cellStyle name="Comma 15 2 5" xfId="4730" xr:uid="{370CAE06-DD6D-4F8B-A157-FF7010710FE2}"/>
    <cellStyle name="Comma 15 2 5 2" xfId="13402" xr:uid="{0240918C-91D8-44E4-986B-52612BE842A4}"/>
    <cellStyle name="Comma 15 2 5 2 2" xfId="30746" xr:uid="{015E8211-63AA-4ACF-8923-129B48E18A05}"/>
    <cellStyle name="Comma 15 2 5 3" xfId="22074" xr:uid="{69DD09D4-37EF-4587-A20B-201AD8BC3122}"/>
    <cellStyle name="Comma 15 2 6" xfId="9066" xr:uid="{35EA25F0-3BB4-4251-8BF3-4EED751FDF33}"/>
    <cellStyle name="Comma 15 2 6 2" xfId="26410" xr:uid="{0C46CF5F-E96B-42C2-A6F7-CF846BB43F10}"/>
    <cellStyle name="Comma 15 2 7" xfId="17738" xr:uid="{51C2A175-9B61-4D66-BA1A-F59C678B83A4}"/>
    <cellStyle name="Comma 15 3" xfId="665" xr:uid="{93385586-4246-4A34-8635-3E16910B92F1}"/>
    <cellStyle name="Comma 15 3 2" xfId="1749" xr:uid="{209C61DC-49E7-4279-A265-325829264B7A}"/>
    <cellStyle name="Comma 15 3 2 2" xfId="3917" xr:uid="{AF94FDA1-211C-4319-8D02-BBCB942C9B29}"/>
    <cellStyle name="Comma 15 3 2 2 2" xfId="8253" xr:uid="{539999C5-9A3D-432D-B14F-51FF196B41CD}"/>
    <cellStyle name="Comma 15 3 2 2 2 2" xfId="16925" xr:uid="{A093A702-E879-4EF6-BE09-7A5EB3E0E650}"/>
    <cellStyle name="Comma 15 3 2 2 2 2 2" xfId="34269" xr:uid="{9F219D12-C2C7-4945-927A-5F32CCB4C34B}"/>
    <cellStyle name="Comma 15 3 2 2 2 3" xfId="25597" xr:uid="{93ACB74D-DCD1-4CB1-8E6B-26B6D97E070F}"/>
    <cellStyle name="Comma 15 3 2 2 3" xfId="12589" xr:uid="{B915D4C6-7021-4321-BFE6-D4AF7B4D6282}"/>
    <cellStyle name="Comma 15 3 2 2 3 2" xfId="29933" xr:uid="{D0797D57-CBCC-4847-9AAE-32C9907261E8}"/>
    <cellStyle name="Comma 15 3 2 2 4" xfId="21261" xr:uid="{8BB5675F-6C83-41C2-B84E-B39C4C56EC4A}"/>
    <cellStyle name="Comma 15 3 2 3" xfId="6085" xr:uid="{07C0FD42-556C-4D83-A516-313F10333AD7}"/>
    <cellStyle name="Comma 15 3 2 3 2" xfId="14757" xr:uid="{594D9EE6-5AA7-46D9-BBC0-C8295CCB9C7F}"/>
    <cellStyle name="Comma 15 3 2 3 2 2" xfId="32101" xr:uid="{40354346-0EBE-4DB8-A725-3F58A46532AF}"/>
    <cellStyle name="Comma 15 3 2 3 3" xfId="23429" xr:uid="{811A0749-7582-48E9-9753-8D23FA3FF986}"/>
    <cellStyle name="Comma 15 3 2 4" xfId="10421" xr:uid="{9422969D-3E05-47DB-9258-6306A5FD70FD}"/>
    <cellStyle name="Comma 15 3 2 4 2" xfId="27765" xr:uid="{8B15F9EC-B920-4ABC-9881-C77D460476CD}"/>
    <cellStyle name="Comma 15 3 2 5" xfId="19093" xr:uid="{A3C898FB-7581-4584-A844-F0904966C8DE}"/>
    <cellStyle name="Comma 15 3 3" xfId="2833" xr:uid="{6A3E06E1-242E-46CC-A827-87F61CD9CD8C}"/>
    <cellStyle name="Comma 15 3 3 2" xfId="7169" xr:uid="{19B84BB4-509A-4320-972A-5D0258F1A927}"/>
    <cellStyle name="Comma 15 3 3 2 2" xfId="15841" xr:uid="{76BD0847-68E3-40AB-8B53-5DB7C32E3B18}"/>
    <cellStyle name="Comma 15 3 3 2 2 2" xfId="33185" xr:uid="{052CEB3B-55C5-4D5D-B4FB-80C513447365}"/>
    <cellStyle name="Comma 15 3 3 2 3" xfId="24513" xr:uid="{8FC16EC1-A3F9-40BB-B200-FB44F09EFA0D}"/>
    <cellStyle name="Comma 15 3 3 3" xfId="11505" xr:uid="{2006B495-A607-4A7C-BB9E-85D9BEBFA392}"/>
    <cellStyle name="Comma 15 3 3 3 2" xfId="28849" xr:uid="{CD29C9FE-6575-4461-B909-1934D810E5CD}"/>
    <cellStyle name="Comma 15 3 3 4" xfId="20177" xr:uid="{55EA78A5-B969-436B-AB86-948CA2E353BE}"/>
    <cellStyle name="Comma 15 3 4" xfId="5001" xr:uid="{44188144-767F-4936-8FFD-A3D0EDA89AFE}"/>
    <cellStyle name="Comma 15 3 4 2" xfId="13673" xr:uid="{9DC78047-8F29-4EA3-82B1-842CAE303BC3}"/>
    <cellStyle name="Comma 15 3 4 2 2" xfId="31017" xr:uid="{E3ECC418-38B7-404B-8493-BA3B0F3D4D2B}"/>
    <cellStyle name="Comma 15 3 4 3" xfId="22345" xr:uid="{F532F845-524C-41E9-BD35-986735F8418C}"/>
    <cellStyle name="Comma 15 3 5" xfId="9337" xr:uid="{583B608F-C19D-4695-A44B-CC2F74FB70A2}"/>
    <cellStyle name="Comma 15 3 5 2" xfId="26681" xr:uid="{5331F10D-DDFE-44FE-9317-499F2D586797}"/>
    <cellStyle name="Comma 15 3 6" xfId="18009" xr:uid="{087A2508-26E5-4C8A-B45E-3DAE76AF3218}"/>
    <cellStyle name="Comma 15 4" xfId="1208" xr:uid="{FF93CEF4-6396-440D-8002-7C666279E664}"/>
    <cellStyle name="Comma 15 4 2" xfId="3376" xr:uid="{588028CC-8D16-4971-B189-244F7C36C10E}"/>
    <cellStyle name="Comma 15 4 2 2" xfId="7712" xr:uid="{63649027-13D4-46DA-9338-7BECC1B73CDB}"/>
    <cellStyle name="Comma 15 4 2 2 2" xfId="16384" xr:uid="{2E30EE82-3918-4271-AF2D-B6A6E79297A1}"/>
    <cellStyle name="Comma 15 4 2 2 2 2" xfId="33728" xr:uid="{2D1CF6F6-28ED-4364-AE1F-E1D3BDC8FC11}"/>
    <cellStyle name="Comma 15 4 2 2 3" xfId="25056" xr:uid="{F7699582-07BD-417E-8613-72AF525C00AD}"/>
    <cellStyle name="Comma 15 4 2 3" xfId="12048" xr:uid="{96F72BD9-C6B4-4953-9B6D-A450321BD783}"/>
    <cellStyle name="Comma 15 4 2 3 2" xfId="29392" xr:uid="{41264D92-63F0-4A8B-B515-889913411E18}"/>
    <cellStyle name="Comma 15 4 2 4" xfId="20720" xr:uid="{52529158-23EC-4659-BF1C-785637632EF6}"/>
    <cellStyle name="Comma 15 4 3" xfId="5544" xr:uid="{395D516E-5792-48BE-9D9F-694D9463B061}"/>
    <cellStyle name="Comma 15 4 3 2" xfId="14216" xr:uid="{B17768E1-2FE2-49BE-9ADB-68F554101D00}"/>
    <cellStyle name="Comma 15 4 3 2 2" xfId="31560" xr:uid="{240CEB2D-4C0C-4BCF-BDE1-86AB7870316C}"/>
    <cellStyle name="Comma 15 4 3 3" xfId="22888" xr:uid="{4CCD98D7-06DE-4894-BE49-A4ECD06A76EB}"/>
    <cellStyle name="Comma 15 4 4" xfId="9880" xr:uid="{37E28FE2-71CF-4DBE-905A-E18DB774B6DF}"/>
    <cellStyle name="Comma 15 4 4 2" xfId="27224" xr:uid="{841E8657-2A79-4AA4-8722-E9D5785CD070}"/>
    <cellStyle name="Comma 15 4 5" xfId="18552" xr:uid="{53D58FA7-5AD5-4028-A638-F14F5058F430}"/>
    <cellStyle name="Comma 15 5" xfId="2292" xr:uid="{C2F2D208-69BC-4C8C-BA45-68A7B7BD60CB}"/>
    <cellStyle name="Comma 15 5 2" xfId="6628" xr:uid="{14965B1A-7707-4D34-84BB-4747439BDD3B}"/>
    <cellStyle name="Comma 15 5 2 2" xfId="15300" xr:uid="{34B2D6D0-5E52-4AA8-BE7B-3EC7B249717B}"/>
    <cellStyle name="Comma 15 5 2 2 2" xfId="32644" xr:uid="{92F633E7-E41C-4F43-8E1F-C30180B7D1D7}"/>
    <cellStyle name="Comma 15 5 2 3" xfId="23972" xr:uid="{8E99649C-6818-40B9-8302-CFA44F6BC6D3}"/>
    <cellStyle name="Comma 15 5 3" xfId="10964" xr:uid="{D7D74474-0A94-4CE1-89AD-61ABC7D84438}"/>
    <cellStyle name="Comma 15 5 3 2" xfId="28308" xr:uid="{BFB4DB19-0CF4-4795-9838-124C5A5DADB9}"/>
    <cellStyle name="Comma 15 5 4" xfId="19636" xr:uid="{F16ABB63-C78E-4B13-9707-37AB67DA5C47}"/>
    <cellStyle name="Comma 15 6" xfId="4460" xr:uid="{396EACA0-780B-4970-B5EE-E03688F6FAE3}"/>
    <cellStyle name="Comma 15 6 2" xfId="13132" xr:uid="{09164032-480D-41F6-805A-52016146D5A7}"/>
    <cellStyle name="Comma 15 6 2 2" xfId="30476" xr:uid="{A7FF179C-FCF5-45EB-AD0C-CE365937681B}"/>
    <cellStyle name="Comma 15 6 3" xfId="21804" xr:uid="{F6F7A2F7-4485-4EE9-A369-0FD44D6674FF}"/>
    <cellStyle name="Comma 15 7" xfId="8796" xr:uid="{7677E78C-5A34-4499-B5EA-D51F029F2C59}"/>
    <cellStyle name="Comma 15 7 2" xfId="26140" xr:uid="{9BEB2D99-FD77-4A82-B826-77952B037D9A}"/>
    <cellStyle name="Comma 15 8" xfId="17468" xr:uid="{B153AB9B-A265-42FE-9C46-B914EC8A6115}"/>
    <cellStyle name="Comma 16" xfId="247" xr:uid="{73D87C9C-E6A0-4F99-BF0D-E9C16C2275C1}"/>
    <cellStyle name="Comma 16 2" xfId="517" xr:uid="{67316D32-4436-49C4-95ED-172711B7699D}"/>
    <cellStyle name="Comma 16 2 2" xfId="1058" xr:uid="{AF1F18E1-AA21-451B-8B94-D55F3D0A1F95}"/>
    <cellStyle name="Comma 16 2 2 2" xfId="2142" xr:uid="{EAB329BC-3D78-4C10-87D8-CB74FDB1A4A1}"/>
    <cellStyle name="Comma 16 2 2 2 2" xfId="4310" xr:uid="{6631DAFE-BE67-48A6-88BA-7503329BC15D}"/>
    <cellStyle name="Comma 16 2 2 2 2 2" xfId="8646" xr:uid="{4C933F92-0EA8-41AB-BED6-FC4687B33CCC}"/>
    <cellStyle name="Comma 16 2 2 2 2 2 2" xfId="17318" xr:uid="{B6A70E48-96C6-4312-AB00-A9999E939957}"/>
    <cellStyle name="Comma 16 2 2 2 2 2 2 2" xfId="34662" xr:uid="{CAD03E9B-C117-4553-B25D-4CC34A28CDB6}"/>
    <cellStyle name="Comma 16 2 2 2 2 2 3" xfId="25990" xr:uid="{69F313B3-E430-4715-A0D5-5BBFF2A592BC}"/>
    <cellStyle name="Comma 16 2 2 2 2 3" xfId="12982" xr:uid="{FF6F4DEF-AAD3-462B-B534-35D0CBEECFB2}"/>
    <cellStyle name="Comma 16 2 2 2 2 3 2" xfId="30326" xr:uid="{001FA412-F5F4-4316-AC1F-3E6EC8BBB87C}"/>
    <cellStyle name="Comma 16 2 2 2 2 4" xfId="21654" xr:uid="{E4A49A46-E3BC-4AFC-A874-4D1A1EF0DF66}"/>
    <cellStyle name="Comma 16 2 2 2 3" xfId="6478" xr:uid="{686222A1-ED3C-46B4-B8B1-4A9F7EDFBF88}"/>
    <cellStyle name="Comma 16 2 2 2 3 2" xfId="15150" xr:uid="{847F1F72-F711-4FAB-BBEB-52CB91DA0D45}"/>
    <cellStyle name="Comma 16 2 2 2 3 2 2" xfId="32494" xr:uid="{D6943887-96FA-41B3-8280-92B652444973}"/>
    <cellStyle name="Comma 16 2 2 2 3 3" xfId="23822" xr:uid="{8C94059F-F277-46D1-83AB-B6B87E012CA6}"/>
    <cellStyle name="Comma 16 2 2 2 4" xfId="10814" xr:uid="{1427E96A-0B2C-4533-9EA4-379D625CD580}"/>
    <cellStyle name="Comma 16 2 2 2 4 2" xfId="28158" xr:uid="{AE084297-319E-4A57-820A-F7818DB5CDD1}"/>
    <cellStyle name="Comma 16 2 2 2 5" xfId="19486" xr:uid="{45E4782F-16B0-470D-B115-372B23F6E34E}"/>
    <cellStyle name="Comma 16 2 2 3" xfId="3226" xr:uid="{707E48C0-ABB4-4C5A-B971-6FCB51D7A3D7}"/>
    <cellStyle name="Comma 16 2 2 3 2" xfId="7562" xr:uid="{F67F68EC-E94C-4657-B832-422A22594133}"/>
    <cellStyle name="Comma 16 2 2 3 2 2" xfId="16234" xr:uid="{9579AE02-09F6-4797-8CEE-9D76B3D86A84}"/>
    <cellStyle name="Comma 16 2 2 3 2 2 2" xfId="33578" xr:uid="{A895EDCA-BDBB-4AE9-9EC2-C3DDF52E3F01}"/>
    <cellStyle name="Comma 16 2 2 3 2 3" xfId="24906" xr:uid="{6855AF28-F2F3-4A97-86B8-C828E2E5CD10}"/>
    <cellStyle name="Comma 16 2 2 3 3" xfId="11898" xr:uid="{B1066329-A7B2-4558-8157-CD684553C4D6}"/>
    <cellStyle name="Comma 16 2 2 3 3 2" xfId="29242" xr:uid="{04AC5D83-CD4D-40EF-A79A-CE154991C975}"/>
    <cellStyle name="Comma 16 2 2 3 4" xfId="20570" xr:uid="{8D4E31CB-DE8C-461D-932B-B63B876D9B46}"/>
    <cellStyle name="Comma 16 2 2 4" xfId="5394" xr:uid="{A8F142C7-CD31-43DD-8F79-0AC969B7375E}"/>
    <cellStyle name="Comma 16 2 2 4 2" xfId="14066" xr:uid="{81142F72-02E1-4A0C-A8AC-647FA5CF06C0}"/>
    <cellStyle name="Comma 16 2 2 4 2 2" xfId="31410" xr:uid="{A6138486-0C81-4E84-B54F-0333A76714D4}"/>
    <cellStyle name="Comma 16 2 2 4 3" xfId="22738" xr:uid="{748CB772-CD3D-47EE-9DA6-2AEAFC39BEED}"/>
    <cellStyle name="Comma 16 2 2 5" xfId="9730" xr:uid="{A1F90E45-8963-40C7-9345-B93322E5D4BD}"/>
    <cellStyle name="Comma 16 2 2 5 2" xfId="27074" xr:uid="{F256FFCE-0002-4DAB-9045-8FF84E110C2F}"/>
    <cellStyle name="Comma 16 2 2 6" xfId="18402" xr:uid="{F24A0AA6-16F3-4DD1-A53D-84C420FF4255}"/>
    <cellStyle name="Comma 16 2 3" xfId="1601" xr:uid="{09A75692-9494-45E5-9988-6620B2F462A6}"/>
    <cellStyle name="Comma 16 2 3 2" xfId="3769" xr:uid="{AEED86E2-68E7-4C76-8D9A-C0F9DA4334EC}"/>
    <cellStyle name="Comma 16 2 3 2 2" xfId="8105" xr:uid="{8353F2B7-E3C2-46E8-8C20-5D36E17D7568}"/>
    <cellStyle name="Comma 16 2 3 2 2 2" xfId="16777" xr:uid="{9759C612-2081-4219-B11A-21621C31778C}"/>
    <cellStyle name="Comma 16 2 3 2 2 2 2" xfId="34121" xr:uid="{CD5EA382-E14C-4566-8876-9DF33E0F3C58}"/>
    <cellStyle name="Comma 16 2 3 2 2 3" xfId="25449" xr:uid="{C8046718-50F8-4FC0-B467-99206FDA4FC0}"/>
    <cellStyle name="Comma 16 2 3 2 3" xfId="12441" xr:uid="{B9D91B0F-B43D-41A5-9AB5-83BB4A50143F}"/>
    <cellStyle name="Comma 16 2 3 2 3 2" xfId="29785" xr:uid="{CB65EA2A-C614-4A76-AFAA-3F9188E8DE03}"/>
    <cellStyle name="Comma 16 2 3 2 4" xfId="21113" xr:uid="{5058F5A8-E648-469D-A43A-89EEFF7E668C}"/>
    <cellStyle name="Comma 16 2 3 3" xfId="5937" xr:uid="{B5C003AA-3EEE-4E55-BD49-2C911004DA79}"/>
    <cellStyle name="Comma 16 2 3 3 2" xfId="14609" xr:uid="{32C4A838-39EA-4A5D-9F69-4C62F76D6EC9}"/>
    <cellStyle name="Comma 16 2 3 3 2 2" xfId="31953" xr:uid="{27862866-21CD-4DB6-A572-E007C4862449}"/>
    <cellStyle name="Comma 16 2 3 3 3" xfId="23281" xr:uid="{FE0E34DD-93D8-4A2E-904D-21D3C542FA99}"/>
    <cellStyle name="Comma 16 2 3 4" xfId="10273" xr:uid="{386B0D6F-C142-4754-997D-D8EFEE31E3D4}"/>
    <cellStyle name="Comma 16 2 3 4 2" xfId="27617" xr:uid="{8DF82482-05FB-465A-8407-67D736803CB2}"/>
    <cellStyle name="Comma 16 2 3 5" xfId="18945" xr:uid="{EF3AA107-26C6-4E9C-8F06-FF89B46E097C}"/>
    <cellStyle name="Comma 16 2 4" xfId="2685" xr:uid="{31D54D85-A1D8-4BCD-9B68-FD3E5E62ACC0}"/>
    <cellStyle name="Comma 16 2 4 2" xfId="7021" xr:uid="{510F0CE0-5BE6-45A1-BB6B-EDE023741D08}"/>
    <cellStyle name="Comma 16 2 4 2 2" xfId="15693" xr:uid="{03F9A342-AEC5-448A-9B3F-6A777D1EAD7A}"/>
    <cellStyle name="Comma 16 2 4 2 2 2" xfId="33037" xr:uid="{7A16040A-4D7D-440D-9B45-3C66C8C0F625}"/>
    <cellStyle name="Comma 16 2 4 2 3" xfId="24365" xr:uid="{569C8B5A-2DE2-43E8-9ED2-6227BC3231EF}"/>
    <cellStyle name="Comma 16 2 4 3" xfId="11357" xr:uid="{ADBBAAD6-F187-4D3D-877E-E25EDD1015AD}"/>
    <cellStyle name="Comma 16 2 4 3 2" xfId="28701" xr:uid="{F8409313-4427-4976-83AC-B1F9DE57306D}"/>
    <cellStyle name="Comma 16 2 4 4" xfId="20029" xr:uid="{0924AD0A-B424-408D-A716-7421952A9E98}"/>
    <cellStyle name="Comma 16 2 5" xfId="4853" xr:uid="{880AF7DE-45CD-46D9-A679-08B88DA5DFF5}"/>
    <cellStyle name="Comma 16 2 5 2" xfId="13525" xr:uid="{543B5D78-C95C-4710-970E-16E6360E5364}"/>
    <cellStyle name="Comma 16 2 5 2 2" xfId="30869" xr:uid="{1BC1F93A-A7C4-474F-8649-5BC8C5167329}"/>
    <cellStyle name="Comma 16 2 5 3" xfId="22197" xr:uid="{A239901A-99FF-46C3-AA46-338FBD92F696}"/>
    <cellStyle name="Comma 16 2 6" xfId="9189" xr:uid="{63C615A4-9935-4E6E-A3CE-97795294E870}"/>
    <cellStyle name="Comma 16 2 6 2" xfId="26533" xr:uid="{1EE076A0-8EA1-452B-95BD-6E10C2961E0C}"/>
    <cellStyle name="Comma 16 2 7" xfId="17861" xr:uid="{55FED790-568A-4C29-8889-F39A0CA4A84E}"/>
    <cellStyle name="Comma 16 3" xfId="788" xr:uid="{4E43829A-C0EF-4A86-99AD-CEAD3E350360}"/>
    <cellStyle name="Comma 16 3 2" xfId="1872" xr:uid="{4EE14042-39B2-448D-8248-A35961E78DAA}"/>
    <cellStyle name="Comma 16 3 2 2" xfId="4040" xr:uid="{A9C815D3-9D43-4F93-9CFE-E42C67010EC3}"/>
    <cellStyle name="Comma 16 3 2 2 2" xfId="8376" xr:uid="{8C75A0BA-7F11-44FB-99CB-A6F88113C927}"/>
    <cellStyle name="Comma 16 3 2 2 2 2" xfId="17048" xr:uid="{0FF10C21-D217-40C9-B02F-C4D248A46F14}"/>
    <cellStyle name="Comma 16 3 2 2 2 2 2" xfId="34392" xr:uid="{D3416A9F-21F6-40C7-8D0A-F5F11822E01E}"/>
    <cellStyle name="Comma 16 3 2 2 2 3" xfId="25720" xr:uid="{2C7031BF-7690-463C-9EB7-290392ECDC00}"/>
    <cellStyle name="Comma 16 3 2 2 3" xfId="12712" xr:uid="{CF8A4D5B-59B0-4CEE-9FF7-CAE13D090C77}"/>
    <cellStyle name="Comma 16 3 2 2 3 2" xfId="30056" xr:uid="{067D4411-35D5-4F0C-BD04-564C3ACC3153}"/>
    <cellStyle name="Comma 16 3 2 2 4" xfId="21384" xr:uid="{546FC2B2-4323-45F3-8F5A-08B977F435F3}"/>
    <cellStyle name="Comma 16 3 2 3" xfId="6208" xr:uid="{656654C4-2DED-42E6-856C-F9F1FBD49E90}"/>
    <cellStyle name="Comma 16 3 2 3 2" xfId="14880" xr:uid="{DBE89DF1-31F8-4360-8A80-4C569A545CBE}"/>
    <cellStyle name="Comma 16 3 2 3 2 2" xfId="32224" xr:uid="{90D47609-05EC-4654-A1A5-CC78A1C76DBD}"/>
    <cellStyle name="Comma 16 3 2 3 3" xfId="23552" xr:uid="{8E9A8A9D-EAEB-4B53-A17E-35E4D53A070E}"/>
    <cellStyle name="Comma 16 3 2 4" xfId="10544" xr:uid="{F9C6DEFC-5EB3-4EBE-8134-AE77BBC306F7}"/>
    <cellStyle name="Comma 16 3 2 4 2" xfId="27888" xr:uid="{F0082367-6071-4A86-9B6E-77F82B1C9564}"/>
    <cellStyle name="Comma 16 3 2 5" xfId="19216" xr:uid="{171AC2F2-0F95-4236-80DF-9EA0EC866F1F}"/>
    <cellStyle name="Comma 16 3 3" xfId="2956" xr:uid="{71D5348C-D1DA-4BB7-AD51-A380F60D25AB}"/>
    <cellStyle name="Comma 16 3 3 2" xfId="7292" xr:uid="{12BA8B5F-375F-48D4-80B6-8CD17F28886C}"/>
    <cellStyle name="Comma 16 3 3 2 2" xfId="15964" xr:uid="{894459D7-4ACE-411F-A275-3612B0F161F2}"/>
    <cellStyle name="Comma 16 3 3 2 2 2" xfId="33308" xr:uid="{E6A608F6-9F03-4D8D-AAF2-421988586626}"/>
    <cellStyle name="Comma 16 3 3 2 3" xfId="24636" xr:uid="{41B6C473-9E57-4C66-8329-23C5FF6E07BD}"/>
    <cellStyle name="Comma 16 3 3 3" xfId="11628" xr:uid="{AD089131-D3C7-4C06-AD09-3C2E262F7ECE}"/>
    <cellStyle name="Comma 16 3 3 3 2" xfId="28972" xr:uid="{477D94C2-0207-4D65-BE82-6DD05152032C}"/>
    <cellStyle name="Comma 16 3 3 4" xfId="20300" xr:uid="{BF7733CB-821A-4FF4-B782-6FE0105D7818}"/>
    <cellStyle name="Comma 16 3 4" xfId="5124" xr:uid="{CA1CF974-E747-4B4D-9ED4-04A6C260A8EC}"/>
    <cellStyle name="Comma 16 3 4 2" xfId="13796" xr:uid="{04AD3769-C545-4248-BA67-54C8F9EA6C42}"/>
    <cellStyle name="Comma 16 3 4 2 2" xfId="31140" xr:uid="{5C06CD85-3F15-4FE7-89D0-36413951E3AB}"/>
    <cellStyle name="Comma 16 3 4 3" xfId="22468" xr:uid="{9311AE7C-D889-43AE-8D82-DD7D4127027E}"/>
    <cellStyle name="Comma 16 3 5" xfId="9460" xr:uid="{40FCA75E-7599-48CF-87B4-9287DBBC93F5}"/>
    <cellStyle name="Comma 16 3 5 2" xfId="26804" xr:uid="{E6444E3A-921F-4E08-9ABD-AEED4B591E64}"/>
    <cellStyle name="Comma 16 3 6" xfId="18132" xr:uid="{30E9377F-08BB-4226-B5D3-3A044FCF8955}"/>
    <cellStyle name="Comma 16 4" xfId="1331" xr:uid="{27D56428-19F2-4377-82BC-4264784A72C1}"/>
    <cellStyle name="Comma 16 4 2" xfId="3499" xr:uid="{4F05D2B7-C408-4B57-822D-5B251828C92F}"/>
    <cellStyle name="Comma 16 4 2 2" xfId="7835" xr:uid="{A71FE2ED-6302-4846-A3C7-30F24642033A}"/>
    <cellStyle name="Comma 16 4 2 2 2" xfId="16507" xr:uid="{A8C0A24C-AA58-48F9-8B7F-DBBEF6D59AF5}"/>
    <cellStyle name="Comma 16 4 2 2 2 2" xfId="33851" xr:uid="{E8B33CE9-CBD3-4234-A228-4354BC1F185F}"/>
    <cellStyle name="Comma 16 4 2 2 3" xfId="25179" xr:uid="{964616AB-95E5-4F8E-BB1F-F3FB1B15D42E}"/>
    <cellStyle name="Comma 16 4 2 3" xfId="12171" xr:uid="{3E1DD9CC-BA33-46D1-BCF3-32989181B7B8}"/>
    <cellStyle name="Comma 16 4 2 3 2" xfId="29515" xr:uid="{EB1D6894-2CAF-4ED6-ABC8-CDC5C0292A6A}"/>
    <cellStyle name="Comma 16 4 2 4" xfId="20843" xr:uid="{31572F7C-8ECB-421A-B955-76FD359D832C}"/>
    <cellStyle name="Comma 16 4 3" xfId="5667" xr:uid="{8D4A7518-ADC1-4C3F-95A6-3BBEBB971A54}"/>
    <cellStyle name="Comma 16 4 3 2" xfId="14339" xr:uid="{B76DE31D-D782-44CA-9A47-78E77FF3B5AD}"/>
    <cellStyle name="Comma 16 4 3 2 2" xfId="31683" xr:uid="{AC07C169-E9D2-48E8-BA1C-44C643128E57}"/>
    <cellStyle name="Comma 16 4 3 3" xfId="23011" xr:uid="{64EC0CCE-F5CF-4555-9130-B42D39EA718C}"/>
    <cellStyle name="Comma 16 4 4" xfId="10003" xr:uid="{44ADB075-AA93-46C5-81C2-30BACF026A47}"/>
    <cellStyle name="Comma 16 4 4 2" xfId="27347" xr:uid="{0381711F-4C00-4BB5-A2AE-87A8118FAE2A}"/>
    <cellStyle name="Comma 16 4 5" xfId="18675" xr:uid="{43C3B06E-82C3-450A-96E8-03FADD15228D}"/>
    <cellStyle name="Comma 16 5" xfId="2415" xr:uid="{CBAEFC0C-986D-43D1-ADA8-0BA3B7B8A601}"/>
    <cellStyle name="Comma 16 5 2" xfId="6751" xr:uid="{8227D9D4-D2D7-41BF-939F-357B426CEC53}"/>
    <cellStyle name="Comma 16 5 2 2" xfId="15423" xr:uid="{E00D65E7-DB4B-4528-A089-F3ACB34008C7}"/>
    <cellStyle name="Comma 16 5 2 2 2" xfId="32767" xr:uid="{29EE9BF5-666C-4F27-803A-C30CAB8A037F}"/>
    <cellStyle name="Comma 16 5 2 3" xfId="24095" xr:uid="{4C17ABE7-E857-4FC8-BDFC-8BFBFD6AA731}"/>
    <cellStyle name="Comma 16 5 3" xfId="11087" xr:uid="{6C61F855-2CDA-42B2-8736-C0A65C57F4D8}"/>
    <cellStyle name="Comma 16 5 3 2" xfId="28431" xr:uid="{CC165EC8-6A0A-4171-B83F-95F9CB6F201B}"/>
    <cellStyle name="Comma 16 5 4" xfId="19759" xr:uid="{CF4B176B-0C89-43A3-B18B-0F4B16D107E6}"/>
    <cellStyle name="Comma 16 6" xfId="4583" xr:uid="{D1CC555C-3283-461E-93E0-EAB0FB6FFEB5}"/>
    <cellStyle name="Comma 16 6 2" xfId="13255" xr:uid="{98E53ED9-023D-4680-96B8-E963EB658585}"/>
    <cellStyle name="Comma 16 6 2 2" xfId="30599" xr:uid="{E7519701-400A-4D7A-99CD-EB8D1D58D5C2}"/>
    <cellStyle name="Comma 16 6 3" xfId="21927" xr:uid="{2A342F54-3151-4CD3-B721-BEC57FC305A3}"/>
    <cellStyle name="Comma 16 7" xfId="8919" xr:uid="{60F33B07-2FD1-442E-9340-B4AD9E7517CB}"/>
    <cellStyle name="Comma 16 7 2" xfId="26263" xr:uid="{793132B7-EBB2-4EA6-BE8F-3BAADC5649C8}"/>
    <cellStyle name="Comma 16 8" xfId="17591" xr:uid="{CA651C82-B888-4603-B8B3-51FAFE86F2EE}"/>
    <cellStyle name="Comma 17" xfId="272" xr:uid="{511E3860-7051-44E0-AC7A-FF211BF6E263}"/>
    <cellStyle name="Comma 17 2" xfId="813" xr:uid="{EF113462-5F70-469F-A6B3-7C5C579B6859}"/>
    <cellStyle name="Comma 17 2 2" xfId="1897" xr:uid="{6844886B-45AC-49A3-9B46-62970C380FA4}"/>
    <cellStyle name="Comma 17 2 2 2" xfId="4065" xr:uid="{BA8AA7AF-7983-4728-8C90-F4DD966CB0D3}"/>
    <cellStyle name="Comma 17 2 2 2 2" xfId="8401" xr:uid="{953E4748-0D08-4268-A7DB-8B44E6438B6C}"/>
    <cellStyle name="Comma 17 2 2 2 2 2" xfId="17073" xr:uid="{3AFB7345-C32A-4721-9625-EFB5E38938A6}"/>
    <cellStyle name="Comma 17 2 2 2 2 2 2" xfId="34417" xr:uid="{B351A3E9-9607-4C8A-9DD6-2DB52C386B93}"/>
    <cellStyle name="Comma 17 2 2 2 2 3" xfId="25745" xr:uid="{5AEBD390-E452-48DA-9331-0D1E580467BF}"/>
    <cellStyle name="Comma 17 2 2 2 3" xfId="12737" xr:uid="{1F0BF174-E90E-4E81-9BD2-5F2C906F5FB3}"/>
    <cellStyle name="Comma 17 2 2 2 3 2" xfId="30081" xr:uid="{B5017B6A-BE5A-45ED-9273-FD6BC3748C33}"/>
    <cellStyle name="Comma 17 2 2 2 4" xfId="21409" xr:uid="{50E7F5CA-38A6-4FD1-9208-B7E4EFC757AE}"/>
    <cellStyle name="Comma 17 2 2 3" xfId="6233" xr:uid="{38B765C8-251E-4674-803B-A9E153CC6ADA}"/>
    <cellStyle name="Comma 17 2 2 3 2" xfId="14905" xr:uid="{2E35297B-DD66-4B9B-B360-097DAC71B5CB}"/>
    <cellStyle name="Comma 17 2 2 3 2 2" xfId="32249" xr:uid="{81F0C7E8-2E24-4506-810E-634FACB8E38D}"/>
    <cellStyle name="Comma 17 2 2 3 3" xfId="23577" xr:uid="{5D4755AD-1498-458E-BB60-9DCAAA4C5BF8}"/>
    <cellStyle name="Comma 17 2 2 4" xfId="10569" xr:uid="{00CD469E-81F6-4588-B924-E2E55AE5160E}"/>
    <cellStyle name="Comma 17 2 2 4 2" xfId="27913" xr:uid="{CD7665D8-9561-413E-8DC3-C717E6DEC309}"/>
    <cellStyle name="Comma 17 2 2 5" xfId="19241" xr:uid="{75A80C63-125F-47EF-A3D2-59D0CD24EC8A}"/>
    <cellStyle name="Comma 17 2 3" xfId="2981" xr:uid="{C4B8B762-84C9-485A-9E1B-CE61B75FBB2F}"/>
    <cellStyle name="Comma 17 2 3 2" xfId="7317" xr:uid="{386BA973-7BAD-43BE-A33F-84F2A7E8C0B9}"/>
    <cellStyle name="Comma 17 2 3 2 2" xfId="15989" xr:uid="{A87F509E-89EC-4E99-A265-C9A01056475D}"/>
    <cellStyle name="Comma 17 2 3 2 2 2" xfId="33333" xr:uid="{41DE96AA-CCE4-41EA-8072-098DF6422FC4}"/>
    <cellStyle name="Comma 17 2 3 2 3" xfId="24661" xr:uid="{FABB63FE-B524-4476-9AEC-0D7138DEBB22}"/>
    <cellStyle name="Comma 17 2 3 3" xfId="11653" xr:uid="{97160B23-5252-4A19-AD18-F4AA0ED7CF1F}"/>
    <cellStyle name="Comma 17 2 3 3 2" xfId="28997" xr:uid="{C60AE9A2-42C4-4FF0-8FE0-D0A5ADC81123}"/>
    <cellStyle name="Comma 17 2 3 4" xfId="20325" xr:uid="{A54FE76A-B9E7-4AE1-A0E0-13C624CC9801}"/>
    <cellStyle name="Comma 17 2 4" xfId="5149" xr:uid="{C10D86E6-12CE-453B-875F-E31D62182900}"/>
    <cellStyle name="Comma 17 2 4 2" xfId="13821" xr:uid="{B39EA550-0C86-488E-AB9B-4E974A911D81}"/>
    <cellStyle name="Comma 17 2 4 2 2" xfId="31165" xr:uid="{22B57189-E44D-4018-A57C-A3FAE4D8912C}"/>
    <cellStyle name="Comma 17 2 4 3" xfId="22493" xr:uid="{40CBC4B4-E9AD-46B6-A205-35DCA6B044DE}"/>
    <cellStyle name="Comma 17 2 5" xfId="9485" xr:uid="{E6B72995-0EB7-4A5F-9CB1-EA2B9360BCAF}"/>
    <cellStyle name="Comma 17 2 5 2" xfId="26829" xr:uid="{CB5FB9D3-4F8E-47BF-92E6-444DB8582203}"/>
    <cellStyle name="Comma 17 2 6" xfId="18157" xr:uid="{5CE55782-3EEB-4F89-B44E-D275FFA12BBE}"/>
    <cellStyle name="Comma 17 3" xfId="1356" xr:uid="{3A5E838D-D1BA-4930-A7FB-069C82599256}"/>
    <cellStyle name="Comma 17 3 2" xfId="3524" xr:uid="{6E9783DF-CB08-4487-BDDD-F263EFF26044}"/>
    <cellStyle name="Comma 17 3 2 2" xfId="7860" xr:uid="{F3FF7815-F86C-42F6-9162-96786ECF3321}"/>
    <cellStyle name="Comma 17 3 2 2 2" xfId="16532" xr:uid="{13CFE7E0-12C7-4A64-BF11-EE3BA213F221}"/>
    <cellStyle name="Comma 17 3 2 2 2 2" xfId="33876" xr:uid="{B55B637D-6387-4615-BFC0-A4C3A4A607EB}"/>
    <cellStyle name="Comma 17 3 2 2 3" xfId="25204" xr:uid="{E3B895BB-1414-4931-B905-621067BFC14C}"/>
    <cellStyle name="Comma 17 3 2 3" xfId="12196" xr:uid="{536E0A64-F185-4491-B5B5-B9D3D1FC25F6}"/>
    <cellStyle name="Comma 17 3 2 3 2" xfId="29540" xr:uid="{75F37230-74E5-4F1E-9B36-39F342EB93B4}"/>
    <cellStyle name="Comma 17 3 2 4" xfId="20868" xr:uid="{A1BB3F99-9438-47CD-A820-2910CD0F9DA6}"/>
    <cellStyle name="Comma 17 3 3" xfId="5692" xr:uid="{54E67F8F-CB64-4344-9E23-F1917C0370D5}"/>
    <cellStyle name="Comma 17 3 3 2" xfId="14364" xr:uid="{7535A5A1-BAE6-407B-B4D4-160C1B30F740}"/>
    <cellStyle name="Comma 17 3 3 2 2" xfId="31708" xr:uid="{44E0E1FB-F283-4BC7-92AF-8EC1C681620C}"/>
    <cellStyle name="Comma 17 3 3 3" xfId="23036" xr:uid="{03A3AB16-EB88-4C35-BF3C-918E9E275321}"/>
    <cellStyle name="Comma 17 3 4" xfId="10028" xr:uid="{01ABCCF9-8723-4DA8-9CF3-4DE1A27379A1}"/>
    <cellStyle name="Comma 17 3 4 2" xfId="27372" xr:uid="{9BB3A7FD-1D8B-4A04-9283-08DC9A60E9FF}"/>
    <cellStyle name="Comma 17 3 5" xfId="18700" xr:uid="{4F6AF5A0-28F1-4542-BC2B-4E9C516FCF92}"/>
    <cellStyle name="Comma 17 4" xfId="2440" xr:uid="{37CCD671-BBFB-4088-B61F-D8AC42275E37}"/>
    <cellStyle name="Comma 17 4 2" xfId="6776" xr:uid="{D8ECD5BD-DE11-42D5-A26E-8741C1D74D68}"/>
    <cellStyle name="Comma 17 4 2 2" xfId="15448" xr:uid="{1453368E-1F67-4F98-AA0C-BDE25FF4F39B}"/>
    <cellStyle name="Comma 17 4 2 2 2" xfId="32792" xr:uid="{333A9F74-348B-4D3D-B7B2-0C1859CA96C9}"/>
    <cellStyle name="Comma 17 4 2 3" xfId="24120" xr:uid="{3EC5D30A-5D44-4F7E-9C5E-8AF8E52E4788}"/>
    <cellStyle name="Comma 17 4 3" xfId="11112" xr:uid="{A024BDCC-2662-4B0F-8C83-73E3A10E42DD}"/>
    <cellStyle name="Comma 17 4 3 2" xfId="28456" xr:uid="{B53335E5-9586-4CE5-BEA0-93F30E5454CF}"/>
    <cellStyle name="Comma 17 4 4" xfId="19784" xr:uid="{67AABB3F-89A4-4926-968B-0624BB881874}"/>
    <cellStyle name="Comma 17 5" xfId="4608" xr:uid="{8169B218-E51E-4E2C-BFBC-A55E7F1F92FE}"/>
    <cellStyle name="Comma 17 5 2" xfId="13280" xr:uid="{70C9C040-5F40-400D-9825-1B8699785D73}"/>
    <cellStyle name="Comma 17 5 2 2" xfId="30624" xr:uid="{2D518AC1-2F93-472C-A5B5-CF9B1FE5C306}"/>
    <cellStyle name="Comma 17 5 3" xfId="21952" xr:uid="{54D0BDB7-320D-4D92-92D5-81D5F2DA9584}"/>
    <cellStyle name="Comma 17 6" xfId="8944" xr:uid="{3E077F08-8921-4BD8-9CE0-50DCA62F5812}"/>
    <cellStyle name="Comma 17 6 2" xfId="26288" xr:uid="{F733E7C1-4327-4C43-B28D-5BA76F6FA953}"/>
    <cellStyle name="Comma 17 7" xfId="17616" xr:uid="{7533ED75-8E8A-4BF6-BDD3-24BB91A35B30}"/>
    <cellStyle name="Comma 18" xfId="542" xr:uid="{8A80E342-E0A4-4275-B889-D3BA02690FB3}"/>
    <cellStyle name="Comma 18 2" xfId="1083" xr:uid="{A797588B-C378-4EE2-9491-10CED2DFD87F}"/>
    <cellStyle name="Comma 18 2 2" xfId="2167" xr:uid="{BE9748FD-05BD-4E85-A245-C0057F81F8C0}"/>
    <cellStyle name="Comma 18 2 2 2" xfId="4335" xr:uid="{DC3A01CB-12E2-46AD-8CA8-67B415BE50C3}"/>
    <cellStyle name="Comma 18 2 2 2 2" xfId="8671" xr:uid="{432BF1C4-6908-4E00-9733-EBB2E9EB49C6}"/>
    <cellStyle name="Comma 18 2 2 2 2 2" xfId="17343" xr:uid="{10DBD93C-3146-4ADB-B0BD-F97B2D80ED0A}"/>
    <cellStyle name="Comma 18 2 2 2 2 2 2" xfId="34687" xr:uid="{E2BCC768-995F-4A10-B265-0840EDB86FB5}"/>
    <cellStyle name="Comma 18 2 2 2 2 3" xfId="26015" xr:uid="{2F294A80-6D8E-436B-813A-737BB00DE3DC}"/>
    <cellStyle name="Comma 18 2 2 2 3" xfId="13007" xr:uid="{0D5A9FE4-CA79-41C4-86BB-EAC238D288B4}"/>
    <cellStyle name="Comma 18 2 2 2 3 2" xfId="30351" xr:uid="{D9433360-F643-42BB-8B42-8A94282297CB}"/>
    <cellStyle name="Comma 18 2 2 2 4" xfId="21679" xr:uid="{651F7DED-1F44-4E74-9359-3244BF727409}"/>
    <cellStyle name="Comma 18 2 2 3" xfId="6503" xr:uid="{48FEE14B-1B3E-4229-816E-CDDE5A84AEAB}"/>
    <cellStyle name="Comma 18 2 2 3 2" xfId="15175" xr:uid="{A90E4302-1952-4C48-B7DC-EFE570B12124}"/>
    <cellStyle name="Comma 18 2 2 3 2 2" xfId="32519" xr:uid="{7B65B3D6-EDFE-4BAC-BC48-FD9A1D2F892F}"/>
    <cellStyle name="Comma 18 2 2 3 3" xfId="23847" xr:uid="{6E7F771B-1793-42DB-952C-256293D0D1A3}"/>
    <cellStyle name="Comma 18 2 2 4" xfId="10839" xr:uid="{4BB2A32E-631A-48FD-AC61-B94A2734867C}"/>
    <cellStyle name="Comma 18 2 2 4 2" xfId="28183" xr:uid="{2C4CC231-449A-4318-8A99-F25E0330D5C5}"/>
    <cellStyle name="Comma 18 2 2 5" xfId="19511" xr:uid="{AC6D403C-068D-48E8-9529-FC6BCECEAFF8}"/>
    <cellStyle name="Comma 18 2 3" xfId="3251" xr:uid="{4AD3F504-5103-4EAB-A0A9-381F3BB3D0F7}"/>
    <cellStyle name="Comma 18 2 3 2" xfId="7587" xr:uid="{74464AD7-8226-415D-B726-AEA845D35233}"/>
    <cellStyle name="Comma 18 2 3 2 2" xfId="16259" xr:uid="{018A3F1D-095A-492A-BFEF-029F6350B078}"/>
    <cellStyle name="Comma 18 2 3 2 2 2" xfId="33603" xr:uid="{B8B550B7-5FEE-40B5-9C66-4DEE3F8D3C36}"/>
    <cellStyle name="Comma 18 2 3 2 3" xfId="24931" xr:uid="{1530A133-A137-423F-B769-CF15FC7D57BF}"/>
    <cellStyle name="Comma 18 2 3 3" xfId="11923" xr:uid="{4560753F-FFF5-4D97-ABEC-2446B5FF0764}"/>
    <cellStyle name="Comma 18 2 3 3 2" xfId="29267" xr:uid="{0D71CA23-E6D6-4CB1-8FB9-2504D051A5C3}"/>
    <cellStyle name="Comma 18 2 3 4" xfId="20595" xr:uid="{E44FBE79-9109-4249-A422-C221EDC969B1}"/>
    <cellStyle name="Comma 18 2 4" xfId="5419" xr:uid="{122F5682-76ED-4184-A3C5-974C571B4D43}"/>
    <cellStyle name="Comma 18 2 4 2" xfId="14091" xr:uid="{EBE56A30-7E49-4DC7-9190-7A7166174707}"/>
    <cellStyle name="Comma 18 2 4 2 2" xfId="31435" xr:uid="{D4427CA6-ED8B-4400-A22D-0F1E715F41AA}"/>
    <cellStyle name="Comma 18 2 4 3" xfId="22763" xr:uid="{D16BACCE-8296-49CA-930A-59B63CD3B5F4}"/>
    <cellStyle name="Comma 18 2 5" xfId="9755" xr:uid="{83741A5F-6021-4149-8513-FB223AE7E578}"/>
    <cellStyle name="Comma 18 2 5 2" xfId="27099" xr:uid="{62DFE9D3-7844-4A7F-B16A-457524744640}"/>
    <cellStyle name="Comma 18 2 6" xfId="18427" xr:uid="{383BF8B4-BF24-4D1A-98BF-BBC98E2CA2F5}"/>
    <cellStyle name="Comma 18 3" xfId="1626" xr:uid="{4E709566-B034-4FD7-B928-6E599728A7BA}"/>
    <cellStyle name="Comma 18 3 2" xfId="3794" xr:uid="{EF5ACAFA-DAF4-4078-9E7B-8CFB76477139}"/>
    <cellStyle name="Comma 18 3 2 2" xfId="8130" xr:uid="{F9232563-1C5B-41F8-8A71-5809007C474F}"/>
    <cellStyle name="Comma 18 3 2 2 2" xfId="16802" xr:uid="{5324451A-8721-4E26-8CC9-1DCC9E6D799D}"/>
    <cellStyle name="Comma 18 3 2 2 2 2" xfId="34146" xr:uid="{57D74685-1C10-4E93-999B-BD141E5CBB7C}"/>
    <cellStyle name="Comma 18 3 2 2 3" xfId="25474" xr:uid="{4F17BA67-D1CA-4EAE-9CD5-6C8950E7E192}"/>
    <cellStyle name="Comma 18 3 2 3" xfId="12466" xr:uid="{B1879BF3-845B-4D0E-9B76-3E4A23104342}"/>
    <cellStyle name="Comma 18 3 2 3 2" xfId="29810" xr:uid="{AF4C9A4E-B7CE-4F3D-83D9-4B310D60AA7C}"/>
    <cellStyle name="Comma 18 3 2 4" xfId="21138" xr:uid="{113A6BC0-02E6-42CE-A7DD-E029A90502A6}"/>
    <cellStyle name="Comma 18 3 3" xfId="5962" xr:uid="{C0104FBD-C156-46B1-B3B2-57ED09C02E1F}"/>
    <cellStyle name="Comma 18 3 3 2" xfId="14634" xr:uid="{FBDC3676-51FB-44AD-A25A-A4A8F690183E}"/>
    <cellStyle name="Comma 18 3 3 2 2" xfId="31978" xr:uid="{8E43AFBA-F95E-458C-A092-892663867814}"/>
    <cellStyle name="Comma 18 3 3 3" xfId="23306" xr:uid="{E0E25D44-4650-4625-9842-E6DC62EF64B4}"/>
    <cellStyle name="Comma 18 3 4" xfId="10298" xr:uid="{94807152-67CE-4E8A-A631-B6DE6571031D}"/>
    <cellStyle name="Comma 18 3 4 2" xfId="27642" xr:uid="{8211A537-8F65-44BA-ADEF-C6FBB5477D10}"/>
    <cellStyle name="Comma 18 3 5" xfId="18970" xr:uid="{0A8240CD-E134-41C3-ADC4-9C1C6ADCDE20}"/>
    <cellStyle name="Comma 18 4" xfId="2710" xr:uid="{853A9B13-03CA-4462-B6E3-7C232898B0B6}"/>
    <cellStyle name="Comma 18 4 2" xfId="7046" xr:uid="{0229D9F7-330A-4EB7-95B3-F986D252AF4B}"/>
    <cellStyle name="Comma 18 4 2 2" xfId="15718" xr:uid="{C5F6EDE2-AAF0-41DF-BADA-236A20A07ECA}"/>
    <cellStyle name="Comma 18 4 2 2 2" xfId="33062" xr:uid="{DB9D60AC-20B9-4E71-A550-028C17F435E4}"/>
    <cellStyle name="Comma 18 4 2 3" xfId="24390" xr:uid="{BBCA4800-83BC-4C64-B49B-70F7DB29E91A}"/>
    <cellStyle name="Comma 18 4 3" xfId="11382" xr:uid="{687A1F91-F182-40B4-AD6D-E7D1870C6656}"/>
    <cellStyle name="Comma 18 4 3 2" xfId="28726" xr:uid="{9351F42C-8C4B-413E-AB8F-C6FBA6A3319F}"/>
    <cellStyle name="Comma 18 4 4" xfId="20054" xr:uid="{71CC1079-6C1C-44FB-AA7B-5E5CDF3757DC}"/>
    <cellStyle name="Comma 18 5" xfId="4878" xr:uid="{EB5D0261-3F36-48EA-9F1C-A94F25A3BFAF}"/>
    <cellStyle name="Comma 18 5 2" xfId="13550" xr:uid="{BB39EAB5-2449-4F45-A911-0E20AA068ACA}"/>
    <cellStyle name="Comma 18 5 2 2" xfId="30894" xr:uid="{FB5FB695-5B7A-4C2A-AA40-134667978FBC}"/>
    <cellStyle name="Comma 18 5 3" xfId="22222" xr:uid="{136384C9-6498-42AF-BDFE-C8E0C41C4177}"/>
    <cellStyle name="Comma 18 6" xfId="9214" xr:uid="{C1193DEB-3742-4FFB-8B10-6195DC6C922C}"/>
    <cellStyle name="Comma 18 6 2" xfId="26558" xr:uid="{3B682D9D-2B84-4218-A4FD-6BC7252E017A}"/>
    <cellStyle name="Comma 18 7" xfId="17886" xr:uid="{25733402-7C49-44AE-A345-BCD5BC6AF803}"/>
    <cellStyle name="Comma 19" xfId="543" xr:uid="{D4BEFFFB-0A97-45DB-BB1B-73D15C51AB9A}"/>
    <cellStyle name="Comma 19 2" xfId="1627" xr:uid="{878E9622-F894-4BBB-8DB2-3759FBBD17E3}"/>
    <cellStyle name="Comma 19 2 2" xfId="3795" xr:uid="{01FFFC93-BCF8-4875-A2AE-F940BEC58D73}"/>
    <cellStyle name="Comma 19 2 2 2" xfId="8131" xr:uid="{A817C493-2BDF-4DE3-A03C-5C4F71A09A66}"/>
    <cellStyle name="Comma 19 2 2 2 2" xfId="16803" xr:uid="{78CD54F5-A283-4046-88C3-D8E7121742BE}"/>
    <cellStyle name="Comma 19 2 2 2 2 2" xfId="34147" xr:uid="{8ECD971E-C052-41C7-8D97-5E5AB1C74673}"/>
    <cellStyle name="Comma 19 2 2 2 3" xfId="25475" xr:uid="{74D85612-7F7C-47F1-8E87-A1F32F9F1824}"/>
    <cellStyle name="Comma 19 2 2 3" xfId="12467" xr:uid="{34DBD5F8-2423-4590-A595-EBC9E7E0E564}"/>
    <cellStyle name="Comma 19 2 2 3 2" xfId="29811" xr:uid="{8A939673-A0C2-40E8-8C00-992A6C609A21}"/>
    <cellStyle name="Comma 19 2 2 4" xfId="21139" xr:uid="{A8FF46A8-1D4A-4195-9ACD-86A942B8E0A8}"/>
    <cellStyle name="Comma 19 2 3" xfId="5963" xr:uid="{04A1A09F-AF44-4274-B6F3-8FCB9E7C42FE}"/>
    <cellStyle name="Comma 19 2 3 2" xfId="14635" xr:uid="{1F4B3815-7DC4-4038-A4B9-9C0E5E07DE0F}"/>
    <cellStyle name="Comma 19 2 3 2 2" xfId="31979" xr:uid="{488B901D-8AE1-473E-8CCC-DC1A75D234C6}"/>
    <cellStyle name="Comma 19 2 3 3" xfId="23307" xr:uid="{B20EAF8B-93E6-4261-A433-1EC00EA397E5}"/>
    <cellStyle name="Comma 19 2 4" xfId="10299" xr:uid="{0AB13853-6D41-485E-BD6E-0DEE0E31020C}"/>
    <cellStyle name="Comma 19 2 4 2" xfId="27643" xr:uid="{7E2E9B53-312A-43A6-A9CF-9B6C6C140620}"/>
    <cellStyle name="Comma 19 2 5" xfId="18971" xr:uid="{14C9F662-2AD4-40A1-8869-02A94FFF8EF8}"/>
    <cellStyle name="Comma 19 3" xfId="2711" xr:uid="{80DD249E-6D12-46D4-B150-A575E7513876}"/>
    <cellStyle name="Comma 19 3 2" xfId="7047" xr:uid="{AA720850-F3DF-4467-9261-A6E39F3C4E6C}"/>
    <cellStyle name="Comma 19 3 2 2" xfId="15719" xr:uid="{728D8B1E-2784-4A4E-B235-71D1297BFA3D}"/>
    <cellStyle name="Comma 19 3 2 2 2" xfId="33063" xr:uid="{8CC447E7-C0BB-41E9-B2D9-C625E91FB4BC}"/>
    <cellStyle name="Comma 19 3 2 3" xfId="24391" xr:uid="{91781B52-59B0-4BDA-A1A3-12F8B64EAB98}"/>
    <cellStyle name="Comma 19 3 3" xfId="11383" xr:uid="{75CA518F-2CD9-4A6F-AA1B-A0F9F92E551A}"/>
    <cellStyle name="Comma 19 3 3 2" xfId="28727" xr:uid="{C72D38F8-FB39-4CFE-AB59-97AB5EECFF92}"/>
    <cellStyle name="Comma 19 3 4" xfId="20055" xr:uid="{DC5749D6-9844-410C-BF0A-8EC137062750}"/>
    <cellStyle name="Comma 19 4" xfId="4879" xr:uid="{F31DE014-56E3-4727-BDEA-6D0857876581}"/>
    <cellStyle name="Comma 19 4 2" xfId="13551" xr:uid="{5445BC8A-AC22-4854-941E-855CFC4987FF}"/>
    <cellStyle name="Comma 19 4 2 2" xfId="30895" xr:uid="{762E13FC-E54D-431E-A5F3-39ACB933D8FC}"/>
    <cellStyle name="Comma 19 4 3" xfId="22223" xr:uid="{1418EADF-588E-48A1-BF56-B23709F09A66}"/>
    <cellStyle name="Comma 19 5" xfId="9215" xr:uid="{7C9045F3-2BBF-49B9-BAF7-64BE184B1F10}"/>
    <cellStyle name="Comma 19 5 2" xfId="26559" xr:uid="{31009410-E2A3-4FF7-880A-94766F19FA56}"/>
    <cellStyle name="Comma 19 6" xfId="17887" xr:uid="{A2BBA1EF-B9E3-4EE0-AE0F-12BF7E201861}"/>
    <cellStyle name="Comma 2" xfId="2" xr:uid="{94CF81A6-FC36-4968-ADFE-AEE2341E065E}"/>
    <cellStyle name="Comma 2 10" xfId="125" xr:uid="{0018F382-128E-4AE9-B5B4-895104AAA1AB}"/>
    <cellStyle name="Comma 2 10 2" xfId="395" xr:uid="{50C43072-8F5D-44E4-96B2-26B4B897F86B}"/>
    <cellStyle name="Comma 2 10 2 2" xfId="936" xr:uid="{7576C53B-C07F-4F08-906B-458A07B632D2}"/>
    <cellStyle name="Comma 2 10 2 2 2" xfId="2020" xr:uid="{95992A7D-DD64-4218-8712-A16D4185F121}"/>
    <cellStyle name="Comma 2 10 2 2 2 2" xfId="4188" xr:uid="{2584CEF0-F74D-470D-A356-CF02AB70BBAB}"/>
    <cellStyle name="Comma 2 10 2 2 2 2 2" xfId="8524" xr:uid="{075F7D91-EEAA-4739-9700-DC8CC8C8EAE5}"/>
    <cellStyle name="Comma 2 10 2 2 2 2 2 2" xfId="17196" xr:uid="{9839CE8B-2F03-4FA3-8FB3-5ADD91B37001}"/>
    <cellStyle name="Comma 2 10 2 2 2 2 2 2 2" xfId="34540" xr:uid="{27C74E27-350D-4607-A353-36C02FF9EB26}"/>
    <cellStyle name="Comma 2 10 2 2 2 2 2 3" xfId="25868" xr:uid="{7E1F2AC2-4582-4D40-B432-73F1F98E8332}"/>
    <cellStyle name="Comma 2 10 2 2 2 2 3" xfId="12860" xr:uid="{2A214066-81C7-4EE0-846F-49A3FC2B356D}"/>
    <cellStyle name="Comma 2 10 2 2 2 2 3 2" xfId="30204" xr:uid="{AAE7F2BB-D197-422E-A072-9DDD18ADA199}"/>
    <cellStyle name="Comma 2 10 2 2 2 2 4" xfId="21532" xr:uid="{E3C2FA40-72BB-43AF-812C-FD7DB0F33E84}"/>
    <cellStyle name="Comma 2 10 2 2 2 3" xfId="6356" xr:uid="{EFF52383-868E-468D-89AE-DDAB29DBD467}"/>
    <cellStyle name="Comma 2 10 2 2 2 3 2" xfId="15028" xr:uid="{160DFA25-5C05-4ADA-AB7F-077CC772BB1E}"/>
    <cellStyle name="Comma 2 10 2 2 2 3 2 2" xfId="32372" xr:uid="{5D156AD3-608F-4985-BCA9-03A9D5DFE086}"/>
    <cellStyle name="Comma 2 10 2 2 2 3 3" xfId="23700" xr:uid="{FE5074E8-D613-4920-91BA-D241E88F2A81}"/>
    <cellStyle name="Comma 2 10 2 2 2 4" xfId="10692" xr:uid="{0E973EE5-37E3-4F46-B815-F5F4D07EA239}"/>
    <cellStyle name="Comma 2 10 2 2 2 4 2" xfId="28036" xr:uid="{E10C5719-1595-485F-97B6-261215656371}"/>
    <cellStyle name="Comma 2 10 2 2 2 5" xfId="19364" xr:uid="{AB243A40-99CA-46DD-AE2D-9963C2A7DDD6}"/>
    <cellStyle name="Comma 2 10 2 2 3" xfId="3104" xr:uid="{C0F97829-5DEE-43E6-9EBB-87C59F4A3441}"/>
    <cellStyle name="Comma 2 10 2 2 3 2" xfId="7440" xr:uid="{2137FEF2-E629-491B-B203-2F839ABD5F73}"/>
    <cellStyle name="Comma 2 10 2 2 3 2 2" xfId="16112" xr:uid="{39C0BAC9-8B4B-41C0-AA30-ECDF67C6FA0A}"/>
    <cellStyle name="Comma 2 10 2 2 3 2 2 2" xfId="33456" xr:uid="{27DC9559-5F6D-4693-ACFD-5A6E21EE4B92}"/>
    <cellStyle name="Comma 2 10 2 2 3 2 3" xfId="24784" xr:uid="{BB36CF70-12EB-4683-8AA7-D3354EA16668}"/>
    <cellStyle name="Comma 2 10 2 2 3 3" xfId="11776" xr:uid="{25BD53B6-CAC1-42F6-8AAF-930ACB17C22C}"/>
    <cellStyle name="Comma 2 10 2 2 3 3 2" xfId="29120" xr:uid="{21B3335D-37C4-4972-8809-3CF3D5D3454D}"/>
    <cellStyle name="Comma 2 10 2 2 3 4" xfId="20448" xr:uid="{C55A9F25-245E-4277-98BD-9077F1A1D1C6}"/>
    <cellStyle name="Comma 2 10 2 2 4" xfId="5272" xr:uid="{7BBA221E-A38D-43BB-BD6C-30DB4542B28C}"/>
    <cellStyle name="Comma 2 10 2 2 4 2" xfId="13944" xr:uid="{114E7FE3-41CA-4241-9768-CB31E65A3ECD}"/>
    <cellStyle name="Comma 2 10 2 2 4 2 2" xfId="31288" xr:uid="{65F05961-C7AB-48E3-B018-69D2BEFD868C}"/>
    <cellStyle name="Comma 2 10 2 2 4 3" xfId="22616" xr:uid="{90198567-43A5-4775-886A-15BE8BFA8903}"/>
    <cellStyle name="Comma 2 10 2 2 5" xfId="9608" xr:uid="{978B6747-9562-4F6E-88E2-C31C7CD0E406}"/>
    <cellStyle name="Comma 2 10 2 2 5 2" xfId="26952" xr:uid="{3408237F-2B33-4EAE-8933-7C242043447A}"/>
    <cellStyle name="Comma 2 10 2 2 6" xfId="18280" xr:uid="{3203325A-06F4-4B4B-B296-480055E5D9CF}"/>
    <cellStyle name="Comma 2 10 2 3" xfId="1479" xr:uid="{ACC49245-A72E-4416-8836-4BC661AC1149}"/>
    <cellStyle name="Comma 2 10 2 3 2" xfId="3647" xr:uid="{3520603D-722D-4A52-A7CF-02299FA2CC98}"/>
    <cellStyle name="Comma 2 10 2 3 2 2" xfId="7983" xr:uid="{0DEFD9C1-7BF8-43FD-9063-7E75B70F92EE}"/>
    <cellStyle name="Comma 2 10 2 3 2 2 2" xfId="16655" xr:uid="{84D53EFB-8370-4CE9-87DB-E5B104BEF0A0}"/>
    <cellStyle name="Comma 2 10 2 3 2 2 2 2" xfId="33999" xr:uid="{4E2A76C3-911B-4DFD-B12A-6CAFEC90546B}"/>
    <cellStyle name="Comma 2 10 2 3 2 2 3" xfId="25327" xr:uid="{73185CE3-8DA8-438D-891B-269283AA8F69}"/>
    <cellStyle name="Comma 2 10 2 3 2 3" xfId="12319" xr:uid="{2D349447-BC4E-4009-A0EA-D14E872889C6}"/>
    <cellStyle name="Comma 2 10 2 3 2 3 2" xfId="29663" xr:uid="{01964DBF-2C88-4B60-A40C-3F91DD9DF7F7}"/>
    <cellStyle name="Comma 2 10 2 3 2 4" xfId="20991" xr:uid="{FDF61784-E458-48B4-A2D0-5F812233B6B9}"/>
    <cellStyle name="Comma 2 10 2 3 3" xfId="5815" xr:uid="{B409F8C3-D945-496C-9467-17D64DF0701A}"/>
    <cellStyle name="Comma 2 10 2 3 3 2" xfId="14487" xr:uid="{41B2AA60-2434-473C-AF5D-33D8647AAA1E}"/>
    <cellStyle name="Comma 2 10 2 3 3 2 2" xfId="31831" xr:uid="{1BB4D4F6-6BA2-46F4-AEA0-571C1D2A225A}"/>
    <cellStyle name="Comma 2 10 2 3 3 3" xfId="23159" xr:uid="{3B50A0DD-1080-4507-BB90-3171B7229C06}"/>
    <cellStyle name="Comma 2 10 2 3 4" xfId="10151" xr:uid="{2FB56D9C-EE19-4372-B313-B88350959CBF}"/>
    <cellStyle name="Comma 2 10 2 3 4 2" xfId="27495" xr:uid="{042FDB20-529C-4A30-8B6D-47A984292408}"/>
    <cellStyle name="Comma 2 10 2 3 5" xfId="18823" xr:uid="{B83B6866-E9B2-4E44-A176-2F5A4B3A6BBD}"/>
    <cellStyle name="Comma 2 10 2 4" xfId="2563" xr:uid="{F8D5A73D-2787-4F62-BB88-0CC9355ED617}"/>
    <cellStyle name="Comma 2 10 2 4 2" xfId="6899" xr:uid="{D184BE0B-8415-4D8F-B75D-9CE2296B988C}"/>
    <cellStyle name="Comma 2 10 2 4 2 2" xfId="15571" xr:uid="{477A1086-F419-4D3D-A486-8A84BC2B5883}"/>
    <cellStyle name="Comma 2 10 2 4 2 2 2" xfId="32915" xr:uid="{A48FEF58-ADC8-4D0E-9C79-BD7E11B198E1}"/>
    <cellStyle name="Comma 2 10 2 4 2 3" xfId="24243" xr:uid="{801BD36E-3D8C-4D8F-9A06-09CB74F2CCAC}"/>
    <cellStyle name="Comma 2 10 2 4 3" xfId="11235" xr:uid="{AD05A22F-E2E5-4706-9476-7AAD8E01BCF1}"/>
    <cellStyle name="Comma 2 10 2 4 3 2" xfId="28579" xr:uid="{CBEEA07B-9A9E-4387-B854-74B6171DB5E0}"/>
    <cellStyle name="Comma 2 10 2 4 4" xfId="19907" xr:uid="{D338C3C5-E736-43A0-976C-6DFF2D5516E2}"/>
    <cellStyle name="Comma 2 10 2 5" xfId="4731" xr:uid="{16EBE72E-E500-4AD5-9787-4AE4D0FB81CF}"/>
    <cellStyle name="Comma 2 10 2 5 2" xfId="13403" xr:uid="{76A3720A-DF56-4513-9C3D-7C39A658D1BD}"/>
    <cellStyle name="Comma 2 10 2 5 2 2" xfId="30747" xr:uid="{999DA93A-EDF0-4390-80C9-80203ED0B9DE}"/>
    <cellStyle name="Comma 2 10 2 5 3" xfId="22075" xr:uid="{5E2DE972-5029-4005-B0DC-17F22AA5D933}"/>
    <cellStyle name="Comma 2 10 2 6" xfId="9067" xr:uid="{8424077B-FA30-4DF9-8872-558A1CF1996F}"/>
    <cellStyle name="Comma 2 10 2 6 2" xfId="26411" xr:uid="{46A8A63A-3F43-4027-8D39-E48230F58185}"/>
    <cellStyle name="Comma 2 10 2 7" xfId="17739" xr:uid="{6CB4E551-E906-426B-9D2D-A840B9622975}"/>
    <cellStyle name="Comma 2 10 3" xfId="666" xr:uid="{6853D236-8528-4DA3-9B3E-5D23145D75DB}"/>
    <cellStyle name="Comma 2 10 3 2" xfId="1750" xr:uid="{34B946F6-888D-4AB7-ACE8-77433E1108DD}"/>
    <cellStyle name="Comma 2 10 3 2 2" xfId="3918" xr:uid="{6FC1217B-E261-4DB7-8C5F-FEA3FB0855E7}"/>
    <cellStyle name="Comma 2 10 3 2 2 2" xfId="8254" xr:uid="{E4D40B2A-CA04-4513-973C-E2A8A3208B76}"/>
    <cellStyle name="Comma 2 10 3 2 2 2 2" xfId="16926" xr:uid="{489AE881-08A9-41A4-AC64-4188FAA1BB81}"/>
    <cellStyle name="Comma 2 10 3 2 2 2 2 2" xfId="34270" xr:uid="{3066B83C-A4B0-46AC-82BC-9173E3F05BBA}"/>
    <cellStyle name="Comma 2 10 3 2 2 2 3" xfId="25598" xr:uid="{1FFF0C91-0947-4341-B992-6E86AAF810BB}"/>
    <cellStyle name="Comma 2 10 3 2 2 3" xfId="12590" xr:uid="{77EA7865-1D40-4BD1-B0BC-3037855364E5}"/>
    <cellStyle name="Comma 2 10 3 2 2 3 2" xfId="29934" xr:uid="{E3F3A776-0876-43F1-81E8-959C51931215}"/>
    <cellStyle name="Comma 2 10 3 2 2 4" xfId="21262" xr:uid="{EDBC115A-C490-4DD7-BFA6-13319E45E6BF}"/>
    <cellStyle name="Comma 2 10 3 2 3" xfId="6086" xr:uid="{724DA5D8-AB5C-4A9C-A077-26C9D821AEF8}"/>
    <cellStyle name="Comma 2 10 3 2 3 2" xfId="14758" xr:uid="{3F916EEC-DCC2-4687-9310-8CEB761C779F}"/>
    <cellStyle name="Comma 2 10 3 2 3 2 2" xfId="32102" xr:uid="{D9B9EF60-0CB1-4D33-8250-62B1BF7998F1}"/>
    <cellStyle name="Comma 2 10 3 2 3 3" xfId="23430" xr:uid="{48391CFA-9ED9-44EA-A7B5-D5970AD948BB}"/>
    <cellStyle name="Comma 2 10 3 2 4" xfId="10422" xr:uid="{6AC42328-1D6E-4721-B010-DBD875E93DFA}"/>
    <cellStyle name="Comma 2 10 3 2 4 2" xfId="27766" xr:uid="{BACA8D16-A2E4-4B2B-9FAB-1F6531049AD1}"/>
    <cellStyle name="Comma 2 10 3 2 5" xfId="19094" xr:uid="{9E090D6C-2A07-44FF-AE04-94832F6F2ECB}"/>
    <cellStyle name="Comma 2 10 3 3" xfId="2834" xr:uid="{D7A7095C-96B8-4C50-8AF5-2D6AE7CFF7BA}"/>
    <cellStyle name="Comma 2 10 3 3 2" xfId="7170" xr:uid="{9D9A4100-BEFA-4D18-926A-9AA95F14CF21}"/>
    <cellStyle name="Comma 2 10 3 3 2 2" xfId="15842" xr:uid="{05858D2F-D8A8-472B-82D9-5C3E1408B817}"/>
    <cellStyle name="Comma 2 10 3 3 2 2 2" xfId="33186" xr:uid="{5245183D-C029-4B34-ACA1-5F7B94BCDCD3}"/>
    <cellStyle name="Comma 2 10 3 3 2 3" xfId="24514" xr:uid="{0EA28B10-5948-432F-A20D-F8E0F59CC406}"/>
    <cellStyle name="Comma 2 10 3 3 3" xfId="11506" xr:uid="{5BDC5470-E536-47E3-A0F6-2578E9D830AC}"/>
    <cellStyle name="Comma 2 10 3 3 3 2" xfId="28850" xr:uid="{6B7EC4B9-810E-45EB-A4A9-5A046B59C204}"/>
    <cellStyle name="Comma 2 10 3 3 4" xfId="20178" xr:uid="{BC3F2295-5C4E-4E8A-BD85-931A06559464}"/>
    <cellStyle name="Comma 2 10 3 4" xfId="5002" xr:uid="{EB3E4F70-B1B3-4BAB-9144-16FCF97ACEF6}"/>
    <cellStyle name="Comma 2 10 3 4 2" xfId="13674" xr:uid="{20C26502-58EB-4B0A-AE7B-09C8EBA328F9}"/>
    <cellStyle name="Comma 2 10 3 4 2 2" xfId="31018" xr:uid="{B74983F1-4BD9-46BF-903B-98596E34652B}"/>
    <cellStyle name="Comma 2 10 3 4 3" xfId="22346" xr:uid="{B2C0D5F8-83A0-46C4-BA15-5DC740A500B5}"/>
    <cellStyle name="Comma 2 10 3 5" xfId="9338" xr:uid="{2C81EC90-7457-41EF-A64D-C8FEF8798212}"/>
    <cellStyle name="Comma 2 10 3 5 2" xfId="26682" xr:uid="{BAE5CA69-3607-4B98-9F85-C943BB8E5869}"/>
    <cellStyle name="Comma 2 10 3 6" xfId="18010" xr:uid="{84E11433-3746-49D4-AADF-10F1B5F63E39}"/>
    <cellStyle name="Comma 2 10 4" xfId="1209" xr:uid="{3341D039-F8E1-4B0E-83D7-21441B6A2B99}"/>
    <cellStyle name="Comma 2 10 4 2" xfId="3377" xr:uid="{BA4D705B-08DF-4E68-9311-805985D59206}"/>
    <cellStyle name="Comma 2 10 4 2 2" xfId="7713" xr:uid="{BB541DA3-95B5-4A24-B923-8740925380D6}"/>
    <cellStyle name="Comma 2 10 4 2 2 2" xfId="16385" xr:uid="{A34B4517-CF5E-4BC7-898B-7C7EEC40735D}"/>
    <cellStyle name="Comma 2 10 4 2 2 2 2" xfId="33729" xr:uid="{050CB7B8-9942-43A3-A7D9-974648B279B4}"/>
    <cellStyle name="Comma 2 10 4 2 2 3" xfId="25057" xr:uid="{94CE7350-6AD1-4CFA-8DF6-3EFF6563CD3E}"/>
    <cellStyle name="Comma 2 10 4 2 3" xfId="12049" xr:uid="{66D04EC5-6747-4E31-B5A2-A25C3CFD321B}"/>
    <cellStyle name="Comma 2 10 4 2 3 2" xfId="29393" xr:uid="{46A4CA09-073B-4161-8A99-5583AFBEFB17}"/>
    <cellStyle name="Comma 2 10 4 2 4" xfId="20721" xr:uid="{BE5F9731-F116-4F50-ADD3-46E5432F6367}"/>
    <cellStyle name="Comma 2 10 4 3" xfId="5545" xr:uid="{E5E8DA54-6B7C-4A6E-8B3C-0755EE16B089}"/>
    <cellStyle name="Comma 2 10 4 3 2" xfId="14217" xr:uid="{1761EC42-0081-45CF-B0A8-1DBC58A06DB2}"/>
    <cellStyle name="Comma 2 10 4 3 2 2" xfId="31561" xr:uid="{121BC3DD-733E-4208-BA10-C32C1CAD0162}"/>
    <cellStyle name="Comma 2 10 4 3 3" xfId="22889" xr:uid="{AF788140-FA31-4955-BA14-DC9A5DC2D1D8}"/>
    <cellStyle name="Comma 2 10 4 4" xfId="9881" xr:uid="{F0951B82-368F-46A5-844E-6279E9EBFBDD}"/>
    <cellStyle name="Comma 2 10 4 4 2" xfId="27225" xr:uid="{3FCDC35D-FE35-4C2E-8375-B25D0E5C69AD}"/>
    <cellStyle name="Comma 2 10 4 5" xfId="18553" xr:uid="{2C22243F-AD2B-4F17-8A41-CC9BBD5E7152}"/>
    <cellStyle name="Comma 2 10 5" xfId="2293" xr:uid="{B00C723C-C751-47D2-AA3F-DEB811FC117C}"/>
    <cellStyle name="Comma 2 10 5 2" xfId="6629" xr:uid="{6E10BBFD-3719-4F3C-9FB2-E41CFAD112EF}"/>
    <cellStyle name="Comma 2 10 5 2 2" xfId="15301" xr:uid="{AE9EEA82-E8DF-4DE7-9860-3C252D4FCE20}"/>
    <cellStyle name="Comma 2 10 5 2 2 2" xfId="32645" xr:uid="{F539A76B-D4DE-4BB1-A09C-5EBC905C2207}"/>
    <cellStyle name="Comma 2 10 5 2 3" xfId="23973" xr:uid="{4C419EAF-041A-4CE2-9F0E-20E9679099D7}"/>
    <cellStyle name="Comma 2 10 5 3" xfId="10965" xr:uid="{3AB62406-8631-49E2-86CF-29C44F31BABC}"/>
    <cellStyle name="Comma 2 10 5 3 2" xfId="28309" xr:uid="{01A9CE1E-2F06-490B-B999-CD37828C03F3}"/>
    <cellStyle name="Comma 2 10 5 4" xfId="19637" xr:uid="{F594B7E6-C958-45E9-AF58-8C9C8832370F}"/>
    <cellStyle name="Comma 2 10 6" xfId="4461" xr:uid="{B2B82626-AB71-491F-9971-7121EDB7C29E}"/>
    <cellStyle name="Comma 2 10 6 2" xfId="13133" xr:uid="{D2218771-A2BD-4644-97FC-81900B62180B}"/>
    <cellStyle name="Comma 2 10 6 2 2" xfId="30477" xr:uid="{BBECCAB7-97F9-4AFE-9B17-F71CCF374AA7}"/>
    <cellStyle name="Comma 2 10 6 3" xfId="21805" xr:uid="{51A14B03-0949-4F10-BB3A-0FE031F4682C}"/>
    <cellStyle name="Comma 2 10 7" xfId="8797" xr:uid="{002C0ADA-0F3B-43A9-9DC2-60A336A24CB7}"/>
    <cellStyle name="Comma 2 10 7 2" xfId="26141" xr:uid="{3A35F33F-DC4E-4985-A51F-E4200A2EB2CF}"/>
    <cellStyle name="Comma 2 10 8" xfId="17469" xr:uid="{4647FC9F-9B74-4F73-948B-318105E820B7}"/>
    <cellStyle name="Comma 2 11" xfId="246" xr:uid="{91EE8022-C10C-44AF-9F8F-F4215A958A2B}"/>
    <cellStyle name="Comma 2 11 2" xfId="516" xr:uid="{9F68617F-9A88-458F-BEF4-B21DC7A914EC}"/>
    <cellStyle name="Comma 2 11 2 2" xfId="1057" xr:uid="{382F8976-F6C9-4E18-9782-FF6E8DFF6FEA}"/>
    <cellStyle name="Comma 2 11 2 2 2" xfId="2141" xr:uid="{3DADAEA4-BC0E-4F97-92C3-B5D7FF2CA8AC}"/>
    <cellStyle name="Comma 2 11 2 2 2 2" xfId="4309" xr:uid="{A9B0A6AC-7104-43A4-8AEA-2E1903B6EFDA}"/>
    <cellStyle name="Comma 2 11 2 2 2 2 2" xfId="8645" xr:uid="{347DBBEC-725C-41E2-908D-3B45EDC51701}"/>
    <cellStyle name="Comma 2 11 2 2 2 2 2 2" xfId="17317" xr:uid="{B4D50136-1563-4D73-8661-38096B4734D7}"/>
    <cellStyle name="Comma 2 11 2 2 2 2 2 2 2" xfId="34661" xr:uid="{E8DC41D8-EED5-4CC8-9EA0-7EFFE63FB6D9}"/>
    <cellStyle name="Comma 2 11 2 2 2 2 2 3" xfId="25989" xr:uid="{EDE46FC7-B1B0-4204-B703-6690325EA1F8}"/>
    <cellStyle name="Comma 2 11 2 2 2 2 3" xfId="12981" xr:uid="{F9636B45-90E7-49A6-9877-F96E0E65E3F5}"/>
    <cellStyle name="Comma 2 11 2 2 2 2 3 2" xfId="30325" xr:uid="{A2DAD8F6-F9EF-42E7-AC62-6A189E2A699C}"/>
    <cellStyle name="Comma 2 11 2 2 2 2 4" xfId="21653" xr:uid="{1ED0676C-C692-40C9-A3BE-BA86263076B5}"/>
    <cellStyle name="Comma 2 11 2 2 2 3" xfId="6477" xr:uid="{E0819374-F021-4308-8E03-44B12918373B}"/>
    <cellStyle name="Comma 2 11 2 2 2 3 2" xfId="15149" xr:uid="{A72672D8-3E28-45FE-B10A-AC0908E8CB2B}"/>
    <cellStyle name="Comma 2 11 2 2 2 3 2 2" xfId="32493" xr:uid="{0A5253AE-B9D9-447E-BD55-55BE00261DA8}"/>
    <cellStyle name="Comma 2 11 2 2 2 3 3" xfId="23821" xr:uid="{90395EEB-C608-4831-81BF-9212812F44B8}"/>
    <cellStyle name="Comma 2 11 2 2 2 4" xfId="10813" xr:uid="{B99C1A15-EC32-40CA-BDE5-D9D751B3A5D1}"/>
    <cellStyle name="Comma 2 11 2 2 2 4 2" xfId="28157" xr:uid="{2276727F-5AF9-4023-8E92-86980F7075AC}"/>
    <cellStyle name="Comma 2 11 2 2 2 5" xfId="19485" xr:uid="{7A04A98D-B86F-4637-BE93-670F2902004F}"/>
    <cellStyle name="Comma 2 11 2 2 3" xfId="3225" xr:uid="{4783B056-60F4-4C3D-BE8C-5E95BBE09EDA}"/>
    <cellStyle name="Comma 2 11 2 2 3 2" xfId="7561" xr:uid="{34A28ED2-6BEE-4245-88EE-071D4E0E5984}"/>
    <cellStyle name="Comma 2 11 2 2 3 2 2" xfId="16233" xr:uid="{EB0B5F51-D0BE-4F63-B9C8-EE1515D7CE7B}"/>
    <cellStyle name="Comma 2 11 2 2 3 2 2 2" xfId="33577" xr:uid="{3E284997-0878-4A7D-AF7B-6A2282AD7239}"/>
    <cellStyle name="Comma 2 11 2 2 3 2 3" xfId="24905" xr:uid="{B1E4335D-A0E3-4E7E-9CF7-CB2E3C8B0A3B}"/>
    <cellStyle name="Comma 2 11 2 2 3 3" xfId="11897" xr:uid="{5A218CEB-BC05-43DA-834C-3C59CD704763}"/>
    <cellStyle name="Comma 2 11 2 2 3 3 2" xfId="29241" xr:uid="{D29C1A93-D6DD-4C9A-A9BC-B783E94E47F5}"/>
    <cellStyle name="Comma 2 11 2 2 3 4" xfId="20569" xr:uid="{3AF24879-035E-4171-A1E8-642E8DA3FD95}"/>
    <cellStyle name="Comma 2 11 2 2 4" xfId="5393" xr:uid="{85F45598-A43A-4F7B-ABA7-F774128CFC20}"/>
    <cellStyle name="Comma 2 11 2 2 4 2" xfId="14065" xr:uid="{64AE3C0A-2CDB-487D-BE6F-28833CABC88E}"/>
    <cellStyle name="Comma 2 11 2 2 4 2 2" xfId="31409" xr:uid="{BCAF984E-28B1-4399-9C34-D8D6B5FA7F7A}"/>
    <cellStyle name="Comma 2 11 2 2 4 3" xfId="22737" xr:uid="{F52C1822-1C27-47BE-8BBC-D496B7FA5024}"/>
    <cellStyle name="Comma 2 11 2 2 5" xfId="9729" xr:uid="{6B4654A2-5EEA-4C63-A44B-2665F94061F2}"/>
    <cellStyle name="Comma 2 11 2 2 5 2" xfId="27073" xr:uid="{82DC59BD-3ADE-4F35-94BC-D25024F5383F}"/>
    <cellStyle name="Comma 2 11 2 2 6" xfId="18401" xr:uid="{C74BC626-6ED6-43E3-BCCE-2B3843F01639}"/>
    <cellStyle name="Comma 2 11 2 3" xfId="1600" xr:uid="{4AA3C03B-E059-4E23-A2AF-B975ADC2BAE5}"/>
    <cellStyle name="Comma 2 11 2 3 2" xfId="3768" xr:uid="{DF8ED0BB-CB89-432B-95F4-E9008213E025}"/>
    <cellStyle name="Comma 2 11 2 3 2 2" xfId="8104" xr:uid="{2AE14088-D135-43E7-BADB-11AD856130D0}"/>
    <cellStyle name="Comma 2 11 2 3 2 2 2" xfId="16776" xr:uid="{FC31387A-92D0-4A05-B04E-7F18B6B007CF}"/>
    <cellStyle name="Comma 2 11 2 3 2 2 2 2" xfId="34120" xr:uid="{D8EF70D6-FF24-4B57-92B1-56B613611D37}"/>
    <cellStyle name="Comma 2 11 2 3 2 2 3" xfId="25448" xr:uid="{83B8B017-BCCC-45A6-A8B2-947C10CF0DB4}"/>
    <cellStyle name="Comma 2 11 2 3 2 3" xfId="12440" xr:uid="{F869A720-AFA1-4D38-AC9A-B77CDAFA9CDD}"/>
    <cellStyle name="Comma 2 11 2 3 2 3 2" xfId="29784" xr:uid="{E97B9DC8-492A-4E7D-BD58-D35AB859B117}"/>
    <cellStyle name="Comma 2 11 2 3 2 4" xfId="21112" xr:uid="{1C9AD41C-7624-4211-9375-09E5FC6C3BB4}"/>
    <cellStyle name="Comma 2 11 2 3 3" xfId="5936" xr:uid="{C09C637F-E63C-49B7-9312-B7AC7C0179A7}"/>
    <cellStyle name="Comma 2 11 2 3 3 2" xfId="14608" xr:uid="{40E054B3-FC1A-4B31-87F4-D7B4C955780A}"/>
    <cellStyle name="Comma 2 11 2 3 3 2 2" xfId="31952" xr:uid="{5323091D-6ECD-4694-B9EE-7FDCD5249632}"/>
    <cellStyle name="Comma 2 11 2 3 3 3" xfId="23280" xr:uid="{2B3378A3-3EA5-4B4C-9305-F36B8C1F5758}"/>
    <cellStyle name="Comma 2 11 2 3 4" xfId="10272" xr:uid="{F6F1EF49-09C4-4571-B5B8-98800FBB8B6A}"/>
    <cellStyle name="Comma 2 11 2 3 4 2" xfId="27616" xr:uid="{2E44766E-B963-4029-A5F2-8901A25C7384}"/>
    <cellStyle name="Comma 2 11 2 3 5" xfId="18944" xr:uid="{7EDFC5E0-6C7F-493F-B1C1-58747A969CAB}"/>
    <cellStyle name="Comma 2 11 2 4" xfId="2684" xr:uid="{6A75ED5D-3E78-4EA9-A0DF-D36851610188}"/>
    <cellStyle name="Comma 2 11 2 4 2" xfId="7020" xr:uid="{79E6EDEA-DB03-4649-A0C9-B9CD16D04348}"/>
    <cellStyle name="Comma 2 11 2 4 2 2" xfId="15692" xr:uid="{4154FB79-3747-4280-8A85-E79165F24C1C}"/>
    <cellStyle name="Comma 2 11 2 4 2 2 2" xfId="33036" xr:uid="{3EF9669E-808D-4464-98F1-212CEC9E94D4}"/>
    <cellStyle name="Comma 2 11 2 4 2 3" xfId="24364" xr:uid="{7254E623-F3AB-400D-BC49-45FA059B21FB}"/>
    <cellStyle name="Comma 2 11 2 4 3" xfId="11356" xr:uid="{5E515E09-51EE-4441-AF42-AEAB72AE3FA7}"/>
    <cellStyle name="Comma 2 11 2 4 3 2" xfId="28700" xr:uid="{BBAAE296-8ABB-48EC-93B0-7DB517F7E1D7}"/>
    <cellStyle name="Comma 2 11 2 4 4" xfId="20028" xr:uid="{2606AB7F-2FFC-4C8E-AACE-61A42B928283}"/>
    <cellStyle name="Comma 2 11 2 5" xfId="4852" xr:uid="{7C565DDE-7B42-4057-93F5-56B666313898}"/>
    <cellStyle name="Comma 2 11 2 5 2" xfId="13524" xr:uid="{5C16EAE8-872F-425B-8223-74E22815A3E3}"/>
    <cellStyle name="Comma 2 11 2 5 2 2" xfId="30868" xr:uid="{E243C912-AC10-45F6-A2B5-A9513E4C8F94}"/>
    <cellStyle name="Comma 2 11 2 5 3" xfId="22196" xr:uid="{6F776E7E-D385-45F8-88B0-D1B4D1555ED1}"/>
    <cellStyle name="Comma 2 11 2 6" xfId="9188" xr:uid="{2695A0E0-7223-41B3-BCE3-E54FDC4814B6}"/>
    <cellStyle name="Comma 2 11 2 6 2" xfId="26532" xr:uid="{863D845F-2669-4942-97C2-E319C39D942D}"/>
    <cellStyle name="Comma 2 11 2 7" xfId="17860" xr:uid="{464507BB-A84F-49F2-8F6A-5662379B4AE7}"/>
    <cellStyle name="Comma 2 11 3" xfId="787" xr:uid="{6A57F9BF-A414-4912-8DA7-C99EF2B2F0C2}"/>
    <cellStyle name="Comma 2 11 3 2" xfId="1871" xr:uid="{0B47AAF7-8A63-4A9D-B1C9-ACAB4C05CB5C}"/>
    <cellStyle name="Comma 2 11 3 2 2" xfId="4039" xr:uid="{C5AEA5E8-82BA-4E44-8867-0095A0A01094}"/>
    <cellStyle name="Comma 2 11 3 2 2 2" xfId="8375" xr:uid="{A2213565-D746-4ACD-BA0B-C1DC8159B90D}"/>
    <cellStyle name="Comma 2 11 3 2 2 2 2" xfId="17047" xr:uid="{BE396E9D-91C0-47AC-BCF3-AAF0FE3F0192}"/>
    <cellStyle name="Comma 2 11 3 2 2 2 2 2" xfId="34391" xr:uid="{66FE7ECB-C2A1-4C02-8E57-AA4B59581D21}"/>
    <cellStyle name="Comma 2 11 3 2 2 2 3" xfId="25719" xr:uid="{2ED5E9C0-8B28-48E1-9D85-943C12947B0C}"/>
    <cellStyle name="Comma 2 11 3 2 2 3" xfId="12711" xr:uid="{5A808EBD-7905-4043-A80A-11C89FB0938E}"/>
    <cellStyle name="Comma 2 11 3 2 2 3 2" xfId="30055" xr:uid="{84365AD2-1D42-4D78-8164-04D3C819ABDE}"/>
    <cellStyle name="Comma 2 11 3 2 2 4" xfId="21383" xr:uid="{E5235CA1-A399-48DE-910B-007A7933F34D}"/>
    <cellStyle name="Comma 2 11 3 2 3" xfId="6207" xr:uid="{F103B1E5-BE2D-4C3E-AE6B-51CDC94EC9B5}"/>
    <cellStyle name="Comma 2 11 3 2 3 2" xfId="14879" xr:uid="{F188FFE3-0592-4C77-B2FE-72BB8357DD8A}"/>
    <cellStyle name="Comma 2 11 3 2 3 2 2" xfId="32223" xr:uid="{047EF6A7-1EEC-4185-8CD8-F37ABECAD24D}"/>
    <cellStyle name="Comma 2 11 3 2 3 3" xfId="23551" xr:uid="{B0E7139C-DAF4-4B95-8A76-B8CAB8AE489C}"/>
    <cellStyle name="Comma 2 11 3 2 4" xfId="10543" xr:uid="{3DFEB9EA-A712-431B-ABAB-1A53AC317111}"/>
    <cellStyle name="Comma 2 11 3 2 4 2" xfId="27887" xr:uid="{B4D2B922-2143-4A41-86E2-58964FA0700D}"/>
    <cellStyle name="Comma 2 11 3 2 5" xfId="19215" xr:uid="{C2DA4294-0A04-4412-B58B-F82D91F35E60}"/>
    <cellStyle name="Comma 2 11 3 3" xfId="2955" xr:uid="{36CB5C95-9166-4EDF-97B5-7B6DF166CA19}"/>
    <cellStyle name="Comma 2 11 3 3 2" xfId="7291" xr:uid="{26256479-3C1E-429E-A80D-ED420417BF61}"/>
    <cellStyle name="Comma 2 11 3 3 2 2" xfId="15963" xr:uid="{33D931A9-E693-4059-99C3-66F76D906772}"/>
    <cellStyle name="Comma 2 11 3 3 2 2 2" xfId="33307" xr:uid="{29860689-7AF1-4ACA-9145-FEF7DEE61673}"/>
    <cellStyle name="Comma 2 11 3 3 2 3" xfId="24635" xr:uid="{5A9FF7A8-6011-4F66-BAFF-5C0C7BF15E05}"/>
    <cellStyle name="Comma 2 11 3 3 3" xfId="11627" xr:uid="{B9F53DEC-97B8-4E3A-83CE-93532B68B99A}"/>
    <cellStyle name="Comma 2 11 3 3 3 2" xfId="28971" xr:uid="{84A83694-DF73-4D9B-8CDF-DC079495111B}"/>
    <cellStyle name="Comma 2 11 3 3 4" xfId="20299" xr:uid="{856BC06D-0CA6-40DB-8359-3961448249FE}"/>
    <cellStyle name="Comma 2 11 3 4" xfId="5123" xr:uid="{7CEFB16C-3C52-4895-B11C-74126FE866A2}"/>
    <cellStyle name="Comma 2 11 3 4 2" xfId="13795" xr:uid="{03C1D9EF-8B33-4F06-A539-EA589E3F3FAC}"/>
    <cellStyle name="Comma 2 11 3 4 2 2" xfId="31139" xr:uid="{AB2E6F27-2593-4DEF-9C2F-BFEA2A74731A}"/>
    <cellStyle name="Comma 2 11 3 4 3" xfId="22467" xr:uid="{D9C355F3-162C-4498-86DF-A127C1238F1E}"/>
    <cellStyle name="Comma 2 11 3 5" xfId="9459" xr:uid="{DEEA1943-5040-4934-BB1E-8B8BC6830D50}"/>
    <cellStyle name="Comma 2 11 3 5 2" xfId="26803" xr:uid="{9BCB1A21-9145-4178-9D4C-781F056F7FB1}"/>
    <cellStyle name="Comma 2 11 3 6" xfId="18131" xr:uid="{04E24890-7153-4043-BD27-3A983D93E91F}"/>
    <cellStyle name="Comma 2 11 4" xfId="1330" xr:uid="{432C060A-1688-42A4-85A6-4B7FC4677A7F}"/>
    <cellStyle name="Comma 2 11 4 2" xfId="3498" xr:uid="{29A99925-8FF3-486E-9961-BD123DEB6DB8}"/>
    <cellStyle name="Comma 2 11 4 2 2" xfId="7834" xr:uid="{8FA3EB03-A76F-4497-BA8C-B31DEA485F3A}"/>
    <cellStyle name="Comma 2 11 4 2 2 2" xfId="16506" xr:uid="{FAFD3ABB-47BE-491D-BCCC-7876DD649BCF}"/>
    <cellStyle name="Comma 2 11 4 2 2 2 2" xfId="33850" xr:uid="{8C1207CE-32EF-4778-971F-C2E721EB0806}"/>
    <cellStyle name="Comma 2 11 4 2 2 3" xfId="25178" xr:uid="{A4DB7103-96F7-4914-B56D-555F2DC4813C}"/>
    <cellStyle name="Comma 2 11 4 2 3" xfId="12170" xr:uid="{8B638CA0-1160-401F-95AA-0D431D3DF032}"/>
    <cellStyle name="Comma 2 11 4 2 3 2" xfId="29514" xr:uid="{8A2BC98F-CB08-4CF8-BA2C-3B0A38FB740D}"/>
    <cellStyle name="Comma 2 11 4 2 4" xfId="20842" xr:uid="{F598C218-C18A-42AB-AFA4-C1FC11A8C06E}"/>
    <cellStyle name="Comma 2 11 4 3" xfId="5666" xr:uid="{9A0DEDED-FC44-48D1-AD23-B330CEC74389}"/>
    <cellStyle name="Comma 2 11 4 3 2" xfId="14338" xr:uid="{42E4C5FE-0A13-4623-8C7B-5FAA2BBF8E5D}"/>
    <cellStyle name="Comma 2 11 4 3 2 2" xfId="31682" xr:uid="{BC7A82BE-3518-4772-8158-D69D713E2591}"/>
    <cellStyle name="Comma 2 11 4 3 3" xfId="23010" xr:uid="{46B76F84-FFFE-481B-A97F-38875189E91C}"/>
    <cellStyle name="Comma 2 11 4 4" xfId="10002" xr:uid="{A9196C16-387B-424A-83A1-6F1890EAE4BA}"/>
    <cellStyle name="Comma 2 11 4 4 2" xfId="27346" xr:uid="{3E8B6300-2C2B-4F86-9BCC-38782CE29EF0}"/>
    <cellStyle name="Comma 2 11 4 5" xfId="18674" xr:uid="{DA339DD5-9C25-42C0-BC28-3168D768067A}"/>
    <cellStyle name="Comma 2 11 5" xfId="2414" xr:uid="{24740E63-AA48-4F03-ADB0-25CF217D8489}"/>
    <cellStyle name="Comma 2 11 5 2" xfId="6750" xr:uid="{E520A33F-FD2F-40BC-A209-8C5745F760AC}"/>
    <cellStyle name="Comma 2 11 5 2 2" xfId="15422" xr:uid="{9C48724C-D2B6-411E-8B5B-9D01D3E71B0B}"/>
    <cellStyle name="Comma 2 11 5 2 2 2" xfId="32766" xr:uid="{A63BB0FA-4585-4A89-A3EE-D262884ADEFE}"/>
    <cellStyle name="Comma 2 11 5 2 3" xfId="24094" xr:uid="{6780BAD4-A686-4ACF-873D-2154747BF9CF}"/>
    <cellStyle name="Comma 2 11 5 3" xfId="11086" xr:uid="{16516617-E6D8-473F-96A4-ABD7CEE339A4}"/>
    <cellStyle name="Comma 2 11 5 3 2" xfId="28430" xr:uid="{33195307-27B4-4D88-977F-454F2A01AE87}"/>
    <cellStyle name="Comma 2 11 5 4" xfId="19758" xr:uid="{BC4A02CC-BAB3-4FB0-89A1-662EE79A0B0A}"/>
    <cellStyle name="Comma 2 11 6" xfId="4582" xr:uid="{9B519AC6-4AAA-4E61-A723-6ACA0A52D57A}"/>
    <cellStyle name="Comma 2 11 6 2" xfId="13254" xr:uid="{51F9FC57-1413-4B24-95A9-1E8DFD4ACAD5}"/>
    <cellStyle name="Comma 2 11 6 2 2" xfId="30598" xr:uid="{9E55C084-B45A-42FD-836A-E9CC57BDD9B2}"/>
    <cellStyle name="Comma 2 11 6 3" xfId="21926" xr:uid="{7089FF8E-958E-4195-A428-13460B9B40B8}"/>
    <cellStyle name="Comma 2 11 7" xfId="8918" xr:uid="{68E47A99-7371-4F67-B25E-FB7C23132E39}"/>
    <cellStyle name="Comma 2 11 7 2" xfId="26262" xr:uid="{5354AFF1-F4EA-4391-9EC0-5AAD94FE8F5E}"/>
    <cellStyle name="Comma 2 11 8" xfId="17590" xr:uid="{D6CA2E6B-1F2E-4F78-BD54-2A359B91DACC}"/>
    <cellStyle name="Comma 2 12" xfId="273" xr:uid="{346936F0-394F-4BCB-880A-A1DECC7DA529}"/>
    <cellStyle name="Comma 2 12 2" xfId="814" xr:uid="{B6EBD791-37A7-485E-9F2F-15382B453D70}"/>
    <cellStyle name="Comma 2 12 2 2" xfId="1898" xr:uid="{E29974B7-A130-4747-AF89-A27313FF5625}"/>
    <cellStyle name="Comma 2 12 2 2 2" xfId="4066" xr:uid="{CC9441FA-AB3B-4F56-8AC1-A3244BBA5C4D}"/>
    <cellStyle name="Comma 2 12 2 2 2 2" xfId="8402" xr:uid="{F208C545-F7B3-40F3-B7F4-9574D86776DE}"/>
    <cellStyle name="Comma 2 12 2 2 2 2 2" xfId="17074" xr:uid="{DF7262FB-6A52-42F8-B439-E18A34F7EED0}"/>
    <cellStyle name="Comma 2 12 2 2 2 2 2 2" xfId="34418" xr:uid="{1171E70A-5E7C-417E-BE46-A5174F028308}"/>
    <cellStyle name="Comma 2 12 2 2 2 2 3" xfId="25746" xr:uid="{ABCEE9F7-C817-4CA4-98A5-703C57F32A1A}"/>
    <cellStyle name="Comma 2 12 2 2 2 3" xfId="12738" xr:uid="{B217CFD6-3105-4E2E-8FA0-AE68CD2A7AB1}"/>
    <cellStyle name="Comma 2 12 2 2 2 3 2" xfId="30082" xr:uid="{28DDA9D7-65DE-4C83-ABCC-D4D6115BCADB}"/>
    <cellStyle name="Comma 2 12 2 2 2 4" xfId="21410" xr:uid="{A149D574-3BFB-4A09-820E-090D451A799B}"/>
    <cellStyle name="Comma 2 12 2 2 3" xfId="6234" xr:uid="{578BA803-23C7-4E6B-9A53-C3DD96267F40}"/>
    <cellStyle name="Comma 2 12 2 2 3 2" xfId="14906" xr:uid="{9A8C1684-75B5-4733-9ECE-E40D68DDAC03}"/>
    <cellStyle name="Comma 2 12 2 2 3 2 2" xfId="32250" xr:uid="{EAEDE129-5286-41E0-90D3-49D4F112ACFA}"/>
    <cellStyle name="Comma 2 12 2 2 3 3" xfId="23578" xr:uid="{2D0A5CF5-F9A1-4A8E-B8F5-F31483806744}"/>
    <cellStyle name="Comma 2 12 2 2 4" xfId="10570" xr:uid="{FE7999C7-AC1C-4D89-B6B9-D9D1350A8EA7}"/>
    <cellStyle name="Comma 2 12 2 2 4 2" xfId="27914" xr:uid="{0A8FD9ED-CA70-4FE5-BA91-1DE1FF15ED5D}"/>
    <cellStyle name="Comma 2 12 2 2 5" xfId="19242" xr:uid="{75526248-D53B-4255-9C86-3E721E6235EC}"/>
    <cellStyle name="Comma 2 12 2 3" xfId="2982" xr:uid="{A8BEE4B1-5B15-478D-8AFE-04AAEA08E745}"/>
    <cellStyle name="Comma 2 12 2 3 2" xfId="7318" xr:uid="{653A9460-6D50-43AA-BD6E-758A7EFD02D3}"/>
    <cellStyle name="Comma 2 12 2 3 2 2" xfId="15990" xr:uid="{F70FBA2A-92E5-477A-97F8-F800D8A7AED1}"/>
    <cellStyle name="Comma 2 12 2 3 2 2 2" xfId="33334" xr:uid="{876645FD-4078-44BE-AAEA-4B62C344B2CF}"/>
    <cellStyle name="Comma 2 12 2 3 2 3" xfId="24662" xr:uid="{B2326CDB-1206-46E7-A78A-D0371322F411}"/>
    <cellStyle name="Comma 2 12 2 3 3" xfId="11654" xr:uid="{95596958-D1FC-4B1F-8D81-F005D4CDBCD6}"/>
    <cellStyle name="Comma 2 12 2 3 3 2" xfId="28998" xr:uid="{26D0856A-B2E2-4419-848F-1B4446A9CCDC}"/>
    <cellStyle name="Comma 2 12 2 3 4" xfId="20326" xr:uid="{B788D715-EF2B-4C7E-A70E-06441C199DC5}"/>
    <cellStyle name="Comma 2 12 2 4" xfId="5150" xr:uid="{1B71C921-076F-47A5-9A0F-6C3CC0E7C57D}"/>
    <cellStyle name="Comma 2 12 2 4 2" xfId="13822" xr:uid="{E29E7030-5D1A-4D88-99C9-EC9EF639A6E1}"/>
    <cellStyle name="Comma 2 12 2 4 2 2" xfId="31166" xr:uid="{BB1AA209-1523-46D1-85A4-BFB562FB31E3}"/>
    <cellStyle name="Comma 2 12 2 4 3" xfId="22494" xr:uid="{40B49843-73DF-4431-A391-6122473E9E51}"/>
    <cellStyle name="Comma 2 12 2 5" xfId="9486" xr:uid="{EA3BC42C-B02A-4E52-BE88-23435083D74F}"/>
    <cellStyle name="Comma 2 12 2 5 2" xfId="26830" xr:uid="{F1EE034F-2958-43D5-BC9E-78C525AE0DAF}"/>
    <cellStyle name="Comma 2 12 2 6" xfId="18158" xr:uid="{774A6453-B454-4ED0-92C4-EEC9B6D08E27}"/>
    <cellStyle name="Comma 2 12 3" xfId="1357" xr:uid="{E05CF72B-19E7-4749-ABDB-66F616D41B92}"/>
    <cellStyle name="Comma 2 12 3 2" xfId="3525" xr:uid="{0E8B0235-4737-4460-A6F1-6EC1C09B4CE1}"/>
    <cellStyle name="Comma 2 12 3 2 2" xfId="7861" xr:uid="{4D0E6C52-D880-4A46-8DB3-1BCE0C11EA99}"/>
    <cellStyle name="Comma 2 12 3 2 2 2" xfId="16533" xr:uid="{1A3A096A-78CE-4F9B-A7F6-ACBCEB7D9228}"/>
    <cellStyle name="Comma 2 12 3 2 2 2 2" xfId="33877" xr:uid="{15965DFA-5E96-42B5-B618-39AA398E0D79}"/>
    <cellStyle name="Comma 2 12 3 2 2 3" xfId="25205" xr:uid="{74546A03-C730-427C-9F0C-E33E7A24F78D}"/>
    <cellStyle name="Comma 2 12 3 2 3" xfId="12197" xr:uid="{B08BF4C2-B833-4D85-AD17-89721BC21A1A}"/>
    <cellStyle name="Comma 2 12 3 2 3 2" xfId="29541" xr:uid="{5C1D5F63-F06B-49D0-B7C2-F045767693D7}"/>
    <cellStyle name="Comma 2 12 3 2 4" xfId="20869" xr:uid="{7857D89F-4B0A-4437-A10B-92CEA56A0BF7}"/>
    <cellStyle name="Comma 2 12 3 3" xfId="5693" xr:uid="{277974A0-AB75-4008-9CED-3A72C3AD4CBB}"/>
    <cellStyle name="Comma 2 12 3 3 2" xfId="14365" xr:uid="{D5893261-CEEF-46A3-AD7E-752D56B47123}"/>
    <cellStyle name="Comma 2 12 3 3 2 2" xfId="31709" xr:uid="{BF7CCADB-1C9A-4A16-AD9D-B34E67D765EF}"/>
    <cellStyle name="Comma 2 12 3 3 3" xfId="23037" xr:uid="{F7FE8079-DF45-4C11-BBEF-5D9890A1F73A}"/>
    <cellStyle name="Comma 2 12 3 4" xfId="10029" xr:uid="{26712CFB-A96B-4856-9EFB-71F297C8BBD0}"/>
    <cellStyle name="Comma 2 12 3 4 2" xfId="27373" xr:uid="{49216C56-CC73-44BF-8309-B23D1107AD55}"/>
    <cellStyle name="Comma 2 12 3 5" xfId="18701" xr:uid="{6BBCE91E-EB27-445F-819C-415E9C28B50E}"/>
    <cellStyle name="Comma 2 12 4" xfId="2441" xr:uid="{7278C951-5A93-475C-B12B-2958FDFA7877}"/>
    <cellStyle name="Comma 2 12 4 2" xfId="6777" xr:uid="{9DA78B9C-FF9B-4653-8702-723C8DE549AC}"/>
    <cellStyle name="Comma 2 12 4 2 2" xfId="15449" xr:uid="{6A4D2145-3889-4BB8-98DE-10F9EA10BC05}"/>
    <cellStyle name="Comma 2 12 4 2 2 2" xfId="32793" xr:uid="{73880794-CDC5-4E79-A11F-69F9D7D68BBA}"/>
    <cellStyle name="Comma 2 12 4 2 3" xfId="24121" xr:uid="{84C8943D-E213-4B84-A113-23CF5641F62A}"/>
    <cellStyle name="Comma 2 12 4 3" xfId="11113" xr:uid="{B8F65E0B-B585-457F-9CA2-8FA5225A9690}"/>
    <cellStyle name="Comma 2 12 4 3 2" xfId="28457" xr:uid="{5787D65A-DF78-4CDB-A447-9C07981DE3C9}"/>
    <cellStyle name="Comma 2 12 4 4" xfId="19785" xr:uid="{C094819F-5853-4A0A-9F58-04C80E477CCE}"/>
    <cellStyle name="Comma 2 12 5" xfId="4609" xr:uid="{490B6C38-9B68-4F89-B261-45B9C8A3370C}"/>
    <cellStyle name="Comma 2 12 5 2" xfId="13281" xr:uid="{C471F7F5-8A85-4682-A6C2-6B40264381A2}"/>
    <cellStyle name="Comma 2 12 5 2 2" xfId="30625" xr:uid="{7C4B275D-5FC0-4B3C-9349-773669B190D1}"/>
    <cellStyle name="Comma 2 12 5 3" xfId="21953" xr:uid="{F748E18F-EBC9-4D30-BBE9-2A8E273C588C}"/>
    <cellStyle name="Comma 2 12 6" xfId="8945" xr:uid="{0BB50CF7-FA39-4630-932F-DF41BA2B6FB9}"/>
    <cellStyle name="Comma 2 12 6 2" xfId="26289" xr:uid="{7533B20D-4DB5-4A1A-AB1D-71956BA14C89}"/>
    <cellStyle name="Comma 2 12 7" xfId="17617" xr:uid="{8771ECE4-430C-4EE1-8787-E16BCD4D2F70}"/>
    <cellStyle name="Comma 2 13" xfId="544" xr:uid="{789E99F1-D8A8-4BC8-8F68-8CA6A263B3A9}"/>
    <cellStyle name="Comma 2 13 2" xfId="1628" xr:uid="{070266A3-72DC-4CE9-9C9A-969A55409651}"/>
    <cellStyle name="Comma 2 13 2 2" xfId="3796" xr:uid="{5AB3CCE7-EA24-4776-8D88-4652BAFAAF30}"/>
    <cellStyle name="Comma 2 13 2 2 2" xfId="8132" xr:uid="{8FC62FFD-97E9-49AD-BD40-F0C18A5DF958}"/>
    <cellStyle name="Comma 2 13 2 2 2 2" xfId="16804" xr:uid="{25B16724-1D6C-47E7-9FD8-13D8CFD0F5FD}"/>
    <cellStyle name="Comma 2 13 2 2 2 2 2" xfId="34148" xr:uid="{34FD98B2-80E8-41DD-92D2-67E242687F8C}"/>
    <cellStyle name="Comma 2 13 2 2 2 3" xfId="25476" xr:uid="{DCE8DEF6-7C5B-4125-9513-702FC2AE53D3}"/>
    <cellStyle name="Comma 2 13 2 2 3" xfId="12468" xr:uid="{12252F1E-2859-4627-B38A-A2481447F7A1}"/>
    <cellStyle name="Comma 2 13 2 2 3 2" xfId="29812" xr:uid="{50797A93-99D3-4117-8824-28C565888B02}"/>
    <cellStyle name="Comma 2 13 2 2 4" xfId="21140" xr:uid="{DE5EC7B9-7E8C-4EA6-BF45-BA891161EC4D}"/>
    <cellStyle name="Comma 2 13 2 3" xfId="5964" xr:uid="{3ED4CAD3-21B7-4D27-909A-707C422C5527}"/>
    <cellStyle name="Comma 2 13 2 3 2" xfId="14636" xr:uid="{F8B9AD06-4177-4D16-BEBC-D5BC38BB4530}"/>
    <cellStyle name="Comma 2 13 2 3 2 2" xfId="31980" xr:uid="{CDC2C3F6-F531-4011-AD76-1F6468F1BD05}"/>
    <cellStyle name="Comma 2 13 2 3 3" xfId="23308" xr:uid="{BC0936D3-872D-4806-A12B-7FA5461AA74B}"/>
    <cellStyle name="Comma 2 13 2 4" xfId="10300" xr:uid="{251D69F2-6354-428D-9234-92A9AFB017C8}"/>
    <cellStyle name="Comma 2 13 2 4 2" xfId="27644" xr:uid="{330F139A-E12B-4319-9594-51809B710CCF}"/>
    <cellStyle name="Comma 2 13 2 5" xfId="18972" xr:uid="{5A65A92A-026D-47C2-BBF9-AB2704B541B7}"/>
    <cellStyle name="Comma 2 13 3" xfId="2712" xr:uid="{59691A2F-3382-4228-A78C-2AA563760100}"/>
    <cellStyle name="Comma 2 13 3 2" xfId="7048" xr:uid="{BC6B4214-4828-4B6B-8D68-6533FC530ED1}"/>
    <cellStyle name="Comma 2 13 3 2 2" xfId="15720" xr:uid="{7CA4DD5C-ED8D-4158-A8C2-8A61534E680F}"/>
    <cellStyle name="Comma 2 13 3 2 2 2" xfId="33064" xr:uid="{58BC4023-ACDE-4458-81FF-F623659D470C}"/>
    <cellStyle name="Comma 2 13 3 2 3" xfId="24392" xr:uid="{2719D7DD-6648-46C2-9CFD-020468107D99}"/>
    <cellStyle name="Comma 2 13 3 3" xfId="11384" xr:uid="{DA805798-1D07-4F3E-9F84-006FA1B8C92A}"/>
    <cellStyle name="Comma 2 13 3 3 2" xfId="28728" xr:uid="{D6117978-026F-4FF3-93BB-77D3A6A37170}"/>
    <cellStyle name="Comma 2 13 3 4" xfId="20056" xr:uid="{92871B47-BCE5-4625-B181-D2947C6E7FE3}"/>
    <cellStyle name="Comma 2 13 4" xfId="4880" xr:uid="{319E695B-FD43-4E65-95CB-AF307CFEE9E0}"/>
    <cellStyle name="Comma 2 13 4 2" xfId="13552" xr:uid="{0510CF01-8C37-4A90-8552-9413E5B908F3}"/>
    <cellStyle name="Comma 2 13 4 2 2" xfId="30896" xr:uid="{9A49B9CD-F32D-4175-9C46-0B8A4B615C69}"/>
    <cellStyle name="Comma 2 13 4 3" xfId="22224" xr:uid="{71107231-65E3-4068-A230-CD85DD983AB0}"/>
    <cellStyle name="Comma 2 13 5" xfId="9216" xr:uid="{F0EBE2E3-28FB-45F9-A5E8-45F7419783CC}"/>
    <cellStyle name="Comma 2 13 5 2" xfId="26560" xr:uid="{2B772A2D-AF7C-4402-9817-B1B56E009E17}"/>
    <cellStyle name="Comma 2 13 6" xfId="17888" xr:uid="{BB5ADAC8-FB2D-4A2A-AF14-B4CB57916141}"/>
    <cellStyle name="Comma 2 14" xfId="1085" xr:uid="{9735BF7A-ABCF-40E2-BF6C-705D6E155838}"/>
    <cellStyle name="Comma 2 14 2" xfId="2169" xr:uid="{4A00D948-584E-40FE-AC7D-321F6379D241}"/>
    <cellStyle name="Comma 2 14 2 2" xfId="4337" xr:uid="{7A9790D6-EAD2-413D-B33A-8E1F86D26EC9}"/>
    <cellStyle name="Comma 2 14 2 2 2" xfId="8673" xr:uid="{3A807CBF-652C-4D0C-8B93-C38952C41546}"/>
    <cellStyle name="Comma 2 14 2 2 2 2" xfId="17345" xr:uid="{CB6A6886-9B68-425D-8C6D-66EFB69F2577}"/>
    <cellStyle name="Comma 2 14 2 2 2 2 2" xfId="34689" xr:uid="{ACFB4BE1-8C18-44B2-9258-856BE83B272B}"/>
    <cellStyle name="Comma 2 14 2 2 2 3" xfId="26017" xr:uid="{26567FEE-5A3E-412E-BEA6-49AAEE32DFDE}"/>
    <cellStyle name="Comma 2 14 2 2 3" xfId="13009" xr:uid="{9CA4B794-CC39-497B-97EA-748F882C23AC}"/>
    <cellStyle name="Comma 2 14 2 2 3 2" xfId="30353" xr:uid="{E2295C19-9F1A-4AA8-8BDA-B972A3DB1090}"/>
    <cellStyle name="Comma 2 14 2 2 4" xfId="21681" xr:uid="{F8C6DF34-4972-42C0-9227-72EA927A185F}"/>
    <cellStyle name="Comma 2 14 2 3" xfId="6505" xr:uid="{A9DEE8BA-F182-411E-A59B-C734EC0E9364}"/>
    <cellStyle name="Comma 2 14 2 3 2" xfId="15177" xr:uid="{601C0059-9FEC-4720-861C-D93AECC811E0}"/>
    <cellStyle name="Comma 2 14 2 3 2 2" xfId="32521" xr:uid="{AB98A6EA-C9A1-4C16-91D4-88E850883B57}"/>
    <cellStyle name="Comma 2 14 2 3 3" xfId="23849" xr:uid="{D8118BFC-4E91-4BEB-8116-6601B97B5370}"/>
    <cellStyle name="Comma 2 14 2 4" xfId="10841" xr:uid="{CD8E8D49-D291-4A56-B83D-D5438049C5BA}"/>
    <cellStyle name="Comma 2 14 2 4 2" xfId="28185" xr:uid="{6817CB6E-E1D4-4AA2-881C-EC2FEB1C0D4F}"/>
    <cellStyle name="Comma 2 14 2 5" xfId="19513" xr:uid="{38A8736C-9EA4-42A8-94C8-33B6A911C385}"/>
    <cellStyle name="Comma 2 14 3" xfId="3253" xr:uid="{4C943EBB-DDEE-4C16-85E2-05B6AF003989}"/>
    <cellStyle name="Comma 2 14 3 2" xfId="7589" xr:uid="{B5762A0D-19F4-4F26-8D6A-B9E63911E2D9}"/>
    <cellStyle name="Comma 2 14 3 2 2" xfId="16261" xr:uid="{F4BC66A0-D868-46C8-B7E0-554716FAF1A3}"/>
    <cellStyle name="Comma 2 14 3 2 2 2" xfId="33605" xr:uid="{38821E36-A42F-434A-81DE-FCD660622706}"/>
    <cellStyle name="Comma 2 14 3 2 3" xfId="24933" xr:uid="{68739331-7566-45E5-AD64-2A078AD80121}"/>
    <cellStyle name="Comma 2 14 3 3" xfId="11925" xr:uid="{D1865ABC-96A7-495E-BBD5-D71FA077C693}"/>
    <cellStyle name="Comma 2 14 3 3 2" xfId="29269" xr:uid="{DA22DA10-1B99-46F4-B9B0-DBA301FC1F47}"/>
    <cellStyle name="Comma 2 14 3 4" xfId="20597" xr:uid="{1034AF39-873A-4925-BB62-178AA34D65CE}"/>
    <cellStyle name="Comma 2 14 4" xfId="5421" xr:uid="{3A1AE749-7CC5-4981-962A-751252CBAE02}"/>
    <cellStyle name="Comma 2 14 4 2" xfId="14093" xr:uid="{5B87518B-39DB-4DC9-B63E-1FEA5A49F474}"/>
    <cellStyle name="Comma 2 14 4 2 2" xfId="31437" xr:uid="{349C7F3C-A81B-45ED-A7EE-C0FFA4FFCC07}"/>
    <cellStyle name="Comma 2 14 4 3" xfId="22765" xr:uid="{9B930897-E63E-4351-B9F1-8BA797FA8630}"/>
    <cellStyle name="Comma 2 14 5" xfId="9757" xr:uid="{5F9550EF-4A72-49CF-9B57-648C17F6BE65}"/>
    <cellStyle name="Comma 2 14 5 2" xfId="27101" xr:uid="{A3B2C4A0-5D38-4B97-A54F-90B9EEA57555}"/>
    <cellStyle name="Comma 2 14 6" xfId="18429" xr:uid="{E16D1842-EA06-490A-B2B6-16BC70D2C88D}"/>
    <cellStyle name="Comma 2 15" xfId="1087" xr:uid="{0CA42A89-48FD-48A1-919D-C8DE8952F9F8}"/>
    <cellStyle name="Comma 2 15 2" xfId="3255" xr:uid="{B6E074C1-22BA-4548-85DA-BD0AF0AF4212}"/>
    <cellStyle name="Comma 2 15 2 2" xfId="7591" xr:uid="{AE3D1E93-6C85-494E-AAAA-FADEE3420856}"/>
    <cellStyle name="Comma 2 15 2 2 2" xfId="16263" xr:uid="{1484D52C-EB88-415F-AEFA-5E3B7E5553DD}"/>
    <cellStyle name="Comma 2 15 2 2 2 2" xfId="33607" xr:uid="{FD76A330-A245-4093-964E-0708B8606B40}"/>
    <cellStyle name="Comma 2 15 2 2 3" xfId="24935" xr:uid="{E48BEE19-9F6A-4DF2-B085-678C47501AF4}"/>
    <cellStyle name="Comma 2 15 2 3" xfId="11927" xr:uid="{0881D95D-D9C9-4EC6-9C7E-32915BD41543}"/>
    <cellStyle name="Comma 2 15 2 3 2" xfId="29271" xr:uid="{56AF1EF9-7155-4D6D-AE42-700DC733735E}"/>
    <cellStyle name="Comma 2 15 2 4" xfId="20599" xr:uid="{2E4787FC-6E14-4358-B128-8DB8618C0683}"/>
    <cellStyle name="Comma 2 15 3" xfId="5423" xr:uid="{2FC3D777-4AA5-4DBA-9D6E-11F95832EDA1}"/>
    <cellStyle name="Comma 2 15 3 2" xfId="14095" xr:uid="{32C577E6-5009-41CD-9112-C971BA7005A4}"/>
    <cellStyle name="Comma 2 15 3 2 2" xfId="31439" xr:uid="{22DED1AE-DAEA-421E-A04D-F9C4B6D5B3B4}"/>
    <cellStyle name="Comma 2 15 3 3" xfId="22767" xr:uid="{DD6B87D4-13D3-4800-AF58-D3FCDC1BE0E0}"/>
    <cellStyle name="Comma 2 15 4" xfId="9759" xr:uid="{ADC68A60-D1EA-4CD2-A4AC-F5F6E9AB95F9}"/>
    <cellStyle name="Comma 2 15 4 2" xfId="27103" xr:uid="{44F80F9A-9494-49F5-822A-EA676D683203}"/>
    <cellStyle name="Comma 2 15 5" xfId="18431" xr:uid="{4B146CED-560A-4A57-80A4-5D7BE068E3DE}"/>
    <cellStyle name="Comma 2 16" xfId="2171" xr:uid="{8822BC5F-B248-411F-804F-7E27E3A68493}"/>
    <cellStyle name="Comma 2 16 2" xfId="6507" xr:uid="{58502AD4-2F53-485A-94F0-359E674E9D34}"/>
    <cellStyle name="Comma 2 16 2 2" xfId="15179" xr:uid="{0A1D12E7-D2EA-41E7-A9B2-4D96F583471F}"/>
    <cellStyle name="Comma 2 16 2 2 2" xfId="32523" xr:uid="{23F7B469-7CD8-4923-A8FC-7E2AD9687757}"/>
    <cellStyle name="Comma 2 16 2 3" xfId="23851" xr:uid="{B93313D8-1FF7-407E-BF7F-FBAA7C30C8FD}"/>
    <cellStyle name="Comma 2 16 3" xfId="10843" xr:uid="{8866B05C-38DB-4EE1-8C6B-9AB7A7E0CFA4}"/>
    <cellStyle name="Comma 2 16 3 2" xfId="28187" xr:uid="{20F56C38-25DB-4671-BCFE-28098EBB2BAF}"/>
    <cellStyle name="Comma 2 16 4" xfId="19515" xr:uid="{3135EBE0-97FA-4C81-9A21-D4826867C1CD}"/>
    <cellStyle name="Comma 2 17" xfId="4339" xr:uid="{99D27748-7536-45F5-89EC-3529A9D42395}"/>
    <cellStyle name="Comma 2 17 2" xfId="13011" xr:uid="{5DF1AE5F-BE1F-4A52-BDD2-79B03E2E1379}"/>
    <cellStyle name="Comma 2 17 2 2" xfId="30355" xr:uid="{7D483E93-CD0D-41C2-AD2A-44E3968A6CA1}"/>
    <cellStyle name="Comma 2 17 3" xfId="21683" xr:uid="{A2E18FA8-65BB-420A-812C-D20A97522155}"/>
    <cellStyle name="Comma 2 18" xfId="8675" xr:uid="{2E00382C-CFB9-4934-8BCD-554903242CBA}"/>
    <cellStyle name="Comma 2 18 2" xfId="26019" xr:uid="{3B0B464E-09CA-43A8-AF3C-29FC1AAD4472}"/>
    <cellStyle name="Comma 2 19" xfId="17347" xr:uid="{2FF6C488-24BC-4170-8A11-4F0F7E361A9B}"/>
    <cellStyle name="Comma 2 2" xfId="7" xr:uid="{27DF5E60-D073-443B-83B3-F6F524FF47A1}"/>
    <cellStyle name="Comma 2 2 10" xfId="277" xr:uid="{ED48C353-EC3B-4122-AFE8-2149B3A0BB40}"/>
    <cellStyle name="Comma 2 2 10 2" xfId="818" xr:uid="{C9A4B309-B5AE-4238-9BF1-68DB6A81D2A4}"/>
    <cellStyle name="Comma 2 2 10 2 2" xfId="1902" xr:uid="{C7CC9B71-64BA-4FBC-BCB9-785A8E40CB1F}"/>
    <cellStyle name="Comma 2 2 10 2 2 2" xfId="4070" xr:uid="{D7244252-695B-4328-9CA6-75EFA4EDF098}"/>
    <cellStyle name="Comma 2 2 10 2 2 2 2" xfId="8406" xr:uid="{5F900B72-B8EA-45E5-9316-E5009D1121F8}"/>
    <cellStyle name="Comma 2 2 10 2 2 2 2 2" xfId="17078" xr:uid="{800F34BE-C8C9-4E37-8723-C7BF93D3ABC9}"/>
    <cellStyle name="Comma 2 2 10 2 2 2 2 2 2" xfId="34422" xr:uid="{01BA1BAA-684C-4831-9044-D48B3E38ADE0}"/>
    <cellStyle name="Comma 2 2 10 2 2 2 2 3" xfId="25750" xr:uid="{C83DB81B-231B-4DB0-8B31-471C17CF58B6}"/>
    <cellStyle name="Comma 2 2 10 2 2 2 3" xfId="12742" xr:uid="{40302A9B-6ED7-4F24-BC4C-B67399CF63DD}"/>
    <cellStyle name="Comma 2 2 10 2 2 2 3 2" xfId="30086" xr:uid="{063AA3B5-D153-4F08-9B07-BD1A08BC7F13}"/>
    <cellStyle name="Comma 2 2 10 2 2 2 4" xfId="21414" xr:uid="{79B73055-C7B3-4D1D-98C3-4A1B18052D6D}"/>
    <cellStyle name="Comma 2 2 10 2 2 3" xfId="6238" xr:uid="{E95DC041-5C78-4994-9315-3744CBD4E2EE}"/>
    <cellStyle name="Comma 2 2 10 2 2 3 2" xfId="14910" xr:uid="{978EA986-68C8-42A1-84F3-CAF8BAAF6240}"/>
    <cellStyle name="Comma 2 2 10 2 2 3 2 2" xfId="32254" xr:uid="{73978E7F-4D78-41DF-AD5C-9DDC4661F6C3}"/>
    <cellStyle name="Comma 2 2 10 2 2 3 3" xfId="23582" xr:uid="{1D70FC4A-1595-4301-8FF8-15C9FFC05E3F}"/>
    <cellStyle name="Comma 2 2 10 2 2 4" xfId="10574" xr:uid="{6B131D48-5322-4709-9520-9A06C0B91608}"/>
    <cellStyle name="Comma 2 2 10 2 2 4 2" xfId="27918" xr:uid="{F8197CBB-3C6B-4E44-85F3-D56E9F6833C3}"/>
    <cellStyle name="Comma 2 2 10 2 2 5" xfId="19246" xr:uid="{27D29516-B813-4C94-858F-62BA50764BF3}"/>
    <cellStyle name="Comma 2 2 10 2 3" xfId="2986" xr:uid="{A03E4254-2A94-45DE-9F2F-A826922E0407}"/>
    <cellStyle name="Comma 2 2 10 2 3 2" xfId="7322" xr:uid="{1080550F-F736-47D1-87E7-7CACE6652A77}"/>
    <cellStyle name="Comma 2 2 10 2 3 2 2" xfId="15994" xr:uid="{1450E552-65BF-49C0-B70B-E66EDFBF932F}"/>
    <cellStyle name="Comma 2 2 10 2 3 2 2 2" xfId="33338" xr:uid="{0322728F-7558-4D17-903F-2F02DF610DA1}"/>
    <cellStyle name="Comma 2 2 10 2 3 2 3" xfId="24666" xr:uid="{D6E1CEC3-EBBD-42BA-AD68-355188604102}"/>
    <cellStyle name="Comma 2 2 10 2 3 3" xfId="11658" xr:uid="{DF83FC68-0753-45F1-8181-B7C3D7B0EA2C}"/>
    <cellStyle name="Comma 2 2 10 2 3 3 2" xfId="29002" xr:uid="{A6F5C975-F311-4846-8EC2-2AA354955DA4}"/>
    <cellStyle name="Comma 2 2 10 2 3 4" xfId="20330" xr:uid="{A7708ACA-2A5B-4BC4-8E21-0B77C65192B7}"/>
    <cellStyle name="Comma 2 2 10 2 4" xfId="5154" xr:uid="{0E8949D7-F8E7-4085-84EF-D91CEF7B282C}"/>
    <cellStyle name="Comma 2 2 10 2 4 2" xfId="13826" xr:uid="{7744CB6E-CACB-4119-AFDD-0C4C04258E09}"/>
    <cellStyle name="Comma 2 2 10 2 4 2 2" xfId="31170" xr:uid="{8A908D0D-D303-4382-B352-80FC0DE6E89C}"/>
    <cellStyle name="Comma 2 2 10 2 4 3" xfId="22498" xr:uid="{8F626EC3-C7B2-4FF7-ABB0-0DABE3DFEE7F}"/>
    <cellStyle name="Comma 2 2 10 2 5" xfId="9490" xr:uid="{D547CB2A-1AD8-4A8E-94D6-AA62B008CFE5}"/>
    <cellStyle name="Comma 2 2 10 2 5 2" xfId="26834" xr:uid="{A243971A-CDC9-4D27-B9E7-B02AA992E291}"/>
    <cellStyle name="Comma 2 2 10 2 6" xfId="18162" xr:uid="{E33CD421-DAD4-461D-9F02-9BF3B5412866}"/>
    <cellStyle name="Comma 2 2 10 3" xfId="1361" xr:uid="{4C395C27-4713-4995-8FAF-492CA499E041}"/>
    <cellStyle name="Comma 2 2 10 3 2" xfId="3529" xr:uid="{18B9885C-82A8-4E2F-8B6B-92EA5984AA65}"/>
    <cellStyle name="Comma 2 2 10 3 2 2" xfId="7865" xr:uid="{4E183B85-DD27-4375-979F-AED1F9E81E7E}"/>
    <cellStyle name="Comma 2 2 10 3 2 2 2" xfId="16537" xr:uid="{ABF813A4-424E-4EEE-B626-C4AC999DCA03}"/>
    <cellStyle name="Comma 2 2 10 3 2 2 2 2" xfId="33881" xr:uid="{5A891274-77F7-41B0-861B-F45FC0C4F9B5}"/>
    <cellStyle name="Comma 2 2 10 3 2 2 3" xfId="25209" xr:uid="{AA41D215-6CBB-419D-A588-74B047B03AE8}"/>
    <cellStyle name="Comma 2 2 10 3 2 3" xfId="12201" xr:uid="{6D4C24DA-74BA-43AE-98A0-22B54E73F72C}"/>
    <cellStyle name="Comma 2 2 10 3 2 3 2" xfId="29545" xr:uid="{6679B669-5D3A-4D47-ADCC-43DFF7871F51}"/>
    <cellStyle name="Comma 2 2 10 3 2 4" xfId="20873" xr:uid="{746439A2-ED36-42D1-996E-7AAC7D5AC8FC}"/>
    <cellStyle name="Comma 2 2 10 3 3" xfId="5697" xr:uid="{B47C465C-8B99-4F60-98AD-D352CAF0BBC1}"/>
    <cellStyle name="Comma 2 2 10 3 3 2" xfId="14369" xr:uid="{D18444ED-6857-4433-A239-9E800CD691A8}"/>
    <cellStyle name="Comma 2 2 10 3 3 2 2" xfId="31713" xr:uid="{5A5E8C84-E0A3-47EB-877E-978334EA177E}"/>
    <cellStyle name="Comma 2 2 10 3 3 3" xfId="23041" xr:uid="{3522D70B-EE5E-4DE7-B6C5-99C5D2969CB7}"/>
    <cellStyle name="Comma 2 2 10 3 4" xfId="10033" xr:uid="{A6CCD710-666B-4509-9868-CD7A0C07533D}"/>
    <cellStyle name="Comma 2 2 10 3 4 2" xfId="27377" xr:uid="{F10CE7DA-5B09-4992-A93A-C13F13286850}"/>
    <cellStyle name="Comma 2 2 10 3 5" xfId="18705" xr:uid="{38A594FE-1F8D-4693-A876-342ED2FE52F9}"/>
    <cellStyle name="Comma 2 2 10 4" xfId="2445" xr:uid="{B56EAC9E-8ABC-455A-AB3D-FC68CF839E80}"/>
    <cellStyle name="Comma 2 2 10 4 2" xfId="6781" xr:uid="{EC1732D6-1F74-4320-A854-68E936BE3731}"/>
    <cellStyle name="Comma 2 2 10 4 2 2" xfId="15453" xr:uid="{96B071A5-A329-47C8-A1A0-201D7203648C}"/>
    <cellStyle name="Comma 2 2 10 4 2 2 2" xfId="32797" xr:uid="{14F0B6BE-74CE-4BA0-B097-2A3E682B77BE}"/>
    <cellStyle name="Comma 2 2 10 4 2 3" xfId="24125" xr:uid="{38DA5934-2EB8-43F3-9439-B18CD0672FD3}"/>
    <cellStyle name="Comma 2 2 10 4 3" xfId="11117" xr:uid="{436D34A8-465E-49CB-AC17-DBDE2F6C6B79}"/>
    <cellStyle name="Comma 2 2 10 4 3 2" xfId="28461" xr:uid="{180D0CBF-60A4-41A5-BC24-6D2C91097C71}"/>
    <cellStyle name="Comma 2 2 10 4 4" xfId="19789" xr:uid="{F7679ABC-E486-41C6-9AB4-6B2DA60EBAEB}"/>
    <cellStyle name="Comma 2 2 10 5" xfId="4613" xr:uid="{E2D6B6D0-E40F-426C-8039-923E07B3E570}"/>
    <cellStyle name="Comma 2 2 10 5 2" xfId="13285" xr:uid="{71537AED-E313-4504-B70E-45EF2DEBF266}"/>
    <cellStyle name="Comma 2 2 10 5 2 2" xfId="30629" xr:uid="{353C64DA-F7BC-4C20-990C-1B67EB608E84}"/>
    <cellStyle name="Comma 2 2 10 5 3" xfId="21957" xr:uid="{C61A4DAC-2136-4916-9DC7-4C5C14FCEE72}"/>
    <cellStyle name="Comma 2 2 10 6" xfId="8949" xr:uid="{8E5C9448-9101-4C85-973B-037803C7E28B}"/>
    <cellStyle name="Comma 2 2 10 6 2" xfId="26293" xr:uid="{7775BA37-B4B7-4BD9-89FD-FCEF7CEE60ED}"/>
    <cellStyle name="Comma 2 2 10 7" xfId="17621" xr:uid="{C9CA5FFA-5B1F-400C-B1A4-AE880CA7DDE1}"/>
    <cellStyle name="Comma 2 2 11" xfId="548" xr:uid="{97727864-8FD9-45C7-9968-5F12E03B5443}"/>
    <cellStyle name="Comma 2 2 11 2" xfId="1632" xr:uid="{EC68A879-17A4-43A9-BC63-5D4847A859B4}"/>
    <cellStyle name="Comma 2 2 11 2 2" xfId="3800" xr:uid="{0EDF9E82-9B14-41AD-817C-CAF0EAC34DFF}"/>
    <cellStyle name="Comma 2 2 11 2 2 2" xfId="8136" xr:uid="{0C7175DB-B720-4F2A-82CF-1A2D745296AB}"/>
    <cellStyle name="Comma 2 2 11 2 2 2 2" xfId="16808" xr:uid="{8E7D4B78-DFEB-45AF-80B4-DB174916D8FA}"/>
    <cellStyle name="Comma 2 2 11 2 2 2 2 2" xfId="34152" xr:uid="{583ECC5C-998E-462A-932E-90D6CCA8A08E}"/>
    <cellStyle name="Comma 2 2 11 2 2 2 3" xfId="25480" xr:uid="{B3FAA1A7-5838-4A1A-A811-902113841014}"/>
    <cellStyle name="Comma 2 2 11 2 2 3" xfId="12472" xr:uid="{F58D5569-3F12-41DF-A390-F658ACFACE38}"/>
    <cellStyle name="Comma 2 2 11 2 2 3 2" xfId="29816" xr:uid="{377A64F3-C561-4F85-A4DC-8D5BAD759063}"/>
    <cellStyle name="Comma 2 2 11 2 2 4" xfId="21144" xr:uid="{AABB8555-3748-4016-BCA2-4A692B611FF6}"/>
    <cellStyle name="Comma 2 2 11 2 3" xfId="5968" xr:uid="{A509961A-8DEC-4C14-8679-FF3B5F2F0AB2}"/>
    <cellStyle name="Comma 2 2 11 2 3 2" xfId="14640" xr:uid="{69E5145F-C34C-4FD9-ACC0-32170EF47592}"/>
    <cellStyle name="Comma 2 2 11 2 3 2 2" xfId="31984" xr:uid="{23081235-28B3-44CF-8C1B-1FCA2B1A4DF0}"/>
    <cellStyle name="Comma 2 2 11 2 3 3" xfId="23312" xr:uid="{CDFDFC12-33B6-4EAA-9A8F-647560A3972B}"/>
    <cellStyle name="Comma 2 2 11 2 4" xfId="10304" xr:uid="{E2F0AE2B-11FD-4110-B120-98A38B25CDC1}"/>
    <cellStyle name="Comma 2 2 11 2 4 2" xfId="27648" xr:uid="{91C80CDD-BF5F-4BC9-B3B3-061C262D141C}"/>
    <cellStyle name="Comma 2 2 11 2 5" xfId="18976" xr:uid="{B6306A74-0AFE-4649-8F6D-667AA0B18DDA}"/>
    <cellStyle name="Comma 2 2 11 3" xfId="2716" xr:uid="{6F45C0ED-75C6-4657-AC6E-01459CCD66ED}"/>
    <cellStyle name="Comma 2 2 11 3 2" xfId="7052" xr:uid="{8494FEEE-3592-4665-B00F-FF3B29F6DBA2}"/>
    <cellStyle name="Comma 2 2 11 3 2 2" xfId="15724" xr:uid="{467E1C35-437C-495D-B595-6056C7151D5D}"/>
    <cellStyle name="Comma 2 2 11 3 2 2 2" xfId="33068" xr:uid="{359FC06D-8828-4F5F-A49A-ACFB4EB411C1}"/>
    <cellStyle name="Comma 2 2 11 3 2 3" xfId="24396" xr:uid="{BAEDCC5B-1CBC-4679-AD59-C2BD48F3A244}"/>
    <cellStyle name="Comma 2 2 11 3 3" xfId="11388" xr:uid="{A882BCF2-00CE-4498-B065-725D7F790806}"/>
    <cellStyle name="Comma 2 2 11 3 3 2" xfId="28732" xr:uid="{D97B6283-497B-4FA8-A080-31EABA1F720A}"/>
    <cellStyle name="Comma 2 2 11 3 4" xfId="20060" xr:uid="{079C6094-5FB6-44C7-AB8F-6801DFF7A41F}"/>
    <cellStyle name="Comma 2 2 11 4" xfId="4884" xr:uid="{76E1FDB6-629E-4C8C-A730-81AD3EECAFFF}"/>
    <cellStyle name="Comma 2 2 11 4 2" xfId="13556" xr:uid="{EBEC6DEA-FB35-4836-9C7C-EE00B64C7243}"/>
    <cellStyle name="Comma 2 2 11 4 2 2" xfId="30900" xr:uid="{2DE98B0E-09B8-4332-A494-6EB9C7AE8A44}"/>
    <cellStyle name="Comma 2 2 11 4 3" xfId="22228" xr:uid="{948DF3F7-C1E4-4078-A2C1-5F712E9FB685}"/>
    <cellStyle name="Comma 2 2 11 5" xfId="9220" xr:uid="{4F0CE4A9-F009-483B-938B-3497AAD434E5}"/>
    <cellStyle name="Comma 2 2 11 5 2" xfId="26564" xr:uid="{82F58325-83B5-4FC6-8341-4E81F4C63EFA}"/>
    <cellStyle name="Comma 2 2 11 6" xfId="17892" xr:uid="{E1DC079A-37F1-4643-9377-F492E1EBA78C}"/>
    <cellStyle name="Comma 2 2 12" xfId="1091" xr:uid="{541F4FB8-9332-4704-9335-7ACF90E3F8A5}"/>
    <cellStyle name="Comma 2 2 12 2" xfId="3259" xr:uid="{DBED0B52-4297-4801-9FDE-CD01D41764FD}"/>
    <cellStyle name="Comma 2 2 12 2 2" xfId="7595" xr:uid="{C1E5D31F-192B-4C61-852B-8A6453C33BBB}"/>
    <cellStyle name="Comma 2 2 12 2 2 2" xfId="16267" xr:uid="{3D29A24A-6E39-4154-A051-BD2111FE81CA}"/>
    <cellStyle name="Comma 2 2 12 2 2 2 2" xfId="33611" xr:uid="{857B76FE-4425-4335-8EA3-C65F9069BBAB}"/>
    <cellStyle name="Comma 2 2 12 2 2 3" xfId="24939" xr:uid="{D8DFE31A-C9B9-45D4-847F-EFC5B90E1EFB}"/>
    <cellStyle name="Comma 2 2 12 2 3" xfId="11931" xr:uid="{1989CCE1-0FDF-4D0A-A434-49FE9DAB2C51}"/>
    <cellStyle name="Comma 2 2 12 2 3 2" xfId="29275" xr:uid="{73BA20CB-33AA-46EA-99F5-C16D8495645C}"/>
    <cellStyle name="Comma 2 2 12 2 4" xfId="20603" xr:uid="{447C53A5-76CC-4EDD-8A79-FB5722DDB263}"/>
    <cellStyle name="Comma 2 2 12 3" xfId="5427" xr:uid="{2CD4FC5C-8344-445F-AAE8-831B054847B9}"/>
    <cellStyle name="Comma 2 2 12 3 2" xfId="14099" xr:uid="{10588A74-D65D-495E-8714-09472587016F}"/>
    <cellStyle name="Comma 2 2 12 3 2 2" xfId="31443" xr:uid="{E83D1BFE-4616-49CD-BCA4-1F3D73C186FA}"/>
    <cellStyle name="Comma 2 2 12 3 3" xfId="22771" xr:uid="{CD3E944A-B2B3-400F-9A34-E86A3C91D6FA}"/>
    <cellStyle name="Comma 2 2 12 4" xfId="9763" xr:uid="{F8F42C47-73A6-422F-B6D8-F84A218DAD8D}"/>
    <cellStyle name="Comma 2 2 12 4 2" xfId="27107" xr:uid="{B04A4341-5E01-4082-AD7C-7DB96B634E7F}"/>
    <cellStyle name="Comma 2 2 12 5" xfId="18435" xr:uid="{18F20303-523E-4C91-BC39-3316C6AB5257}"/>
    <cellStyle name="Comma 2 2 13" xfId="2175" xr:uid="{22027A6A-0ECE-4200-9E22-94199DD692BC}"/>
    <cellStyle name="Comma 2 2 13 2" xfId="6511" xr:uid="{BB76C8CB-FB86-47B0-8029-A58FFD0D999E}"/>
    <cellStyle name="Comma 2 2 13 2 2" xfId="15183" xr:uid="{F291E29C-BB6E-4FFA-8A58-6CEEAFD44320}"/>
    <cellStyle name="Comma 2 2 13 2 2 2" xfId="32527" xr:uid="{7493D274-7A6F-457B-B834-BD9305E5430F}"/>
    <cellStyle name="Comma 2 2 13 2 3" xfId="23855" xr:uid="{658C35F7-6C29-4AE8-9CAC-147A39EB9DBC}"/>
    <cellStyle name="Comma 2 2 13 3" xfId="10847" xr:uid="{9C6FB69E-9D5E-4038-A2B0-71B3DC76AE2B}"/>
    <cellStyle name="Comma 2 2 13 3 2" xfId="28191" xr:uid="{E277A0D5-49D8-4A98-B644-1154036A8291}"/>
    <cellStyle name="Comma 2 2 13 4" xfId="19519" xr:uid="{8925CFE2-29C3-4542-9EC1-88A49EA73F3B}"/>
    <cellStyle name="Comma 2 2 14" xfId="4343" xr:uid="{1856E3DB-153E-4544-8175-CFD775E919D4}"/>
    <cellStyle name="Comma 2 2 14 2" xfId="13015" xr:uid="{C0CB094E-BAC1-4FF4-80DC-6753E4BA1870}"/>
    <cellStyle name="Comma 2 2 14 2 2" xfId="30359" xr:uid="{E3741311-7B0D-4031-9CCC-E8F0EA687911}"/>
    <cellStyle name="Comma 2 2 14 3" xfId="21687" xr:uid="{449F3DF1-0F75-4F45-B060-ED6EF48E8510}"/>
    <cellStyle name="Comma 2 2 15" xfId="8679" xr:uid="{124E90DB-5137-41C7-A99A-6C433073B1D4}"/>
    <cellStyle name="Comma 2 2 15 2" xfId="26023" xr:uid="{3F214DEA-A7DA-4EA6-83D5-487E7E86689E}"/>
    <cellStyle name="Comma 2 2 16" xfId="17351" xr:uid="{68604FAD-6497-43E1-8C21-7B4AFD5149AB}"/>
    <cellStyle name="Comma 2 2 17" xfId="34695" xr:uid="{7327178C-6FD4-491A-B5C9-38A199BBA83F}"/>
    <cellStyle name="Comma 2 2 2" xfId="13" xr:uid="{3276BC49-8B91-4287-9675-E6D1F0B032AF}"/>
    <cellStyle name="Comma 2 2 2 10" xfId="2181" xr:uid="{792EBAD8-D7DF-4451-BDE7-C42D88648240}"/>
    <cellStyle name="Comma 2 2 2 10 2" xfId="6517" xr:uid="{F3960C25-2DCE-4BF0-9FB3-783870C1483C}"/>
    <cellStyle name="Comma 2 2 2 10 2 2" xfId="15189" xr:uid="{C40EEA3F-4759-429A-AF69-A8BA4BE651B0}"/>
    <cellStyle name="Comma 2 2 2 10 2 2 2" xfId="32533" xr:uid="{70CA9FB5-AD37-44B8-935C-A46E24DCF476}"/>
    <cellStyle name="Comma 2 2 2 10 2 3" xfId="23861" xr:uid="{6A81C1FB-1075-44B2-BA0B-8B159D4C71FD}"/>
    <cellStyle name="Comma 2 2 2 10 3" xfId="10853" xr:uid="{3A88961D-5BEE-4F32-A792-350C545DBAF5}"/>
    <cellStyle name="Comma 2 2 2 10 3 2" xfId="28197" xr:uid="{BD735904-3E16-4AD1-A92E-C4E7A7EEA998}"/>
    <cellStyle name="Comma 2 2 2 10 4" xfId="19525" xr:uid="{C9360D58-6496-4F83-A16C-2CDE459915DE}"/>
    <cellStyle name="Comma 2 2 2 11" xfId="4349" xr:uid="{92E811BC-CCC6-4B86-9CC0-1DBAE4921D4F}"/>
    <cellStyle name="Comma 2 2 2 11 2" xfId="13021" xr:uid="{2F79C9B7-EF0E-4425-BFE6-AF3EB6C59072}"/>
    <cellStyle name="Comma 2 2 2 11 2 2" xfId="30365" xr:uid="{2A8183B6-B45F-4E4C-86CF-CA667DA33F18}"/>
    <cellStyle name="Comma 2 2 2 11 3" xfId="21693" xr:uid="{EE48DA2A-E5A2-4F3B-9D32-1D6697700B59}"/>
    <cellStyle name="Comma 2 2 2 12" xfId="8685" xr:uid="{8FF1718B-7813-48A4-A5B9-620476A261B1}"/>
    <cellStyle name="Comma 2 2 2 12 2" xfId="26029" xr:uid="{485EC5E7-E1D3-4521-8542-A65C700CB96D}"/>
    <cellStyle name="Comma 2 2 2 13" xfId="17357" xr:uid="{B951CF81-53DD-41BE-8DAA-A55890AD5613}"/>
    <cellStyle name="Comma 2 2 2 2" xfId="29" xr:uid="{CC9819D9-7319-4213-AE20-60EFBF2B5589}"/>
    <cellStyle name="Comma 2 2 2 2 10" xfId="17373" xr:uid="{FE91F9F3-8B41-4278-A77C-854822BE2BED}"/>
    <cellStyle name="Comma 2 2 2 2 2" xfId="90" xr:uid="{70CAEAB6-0F62-47AE-8C41-01821E12CD82}"/>
    <cellStyle name="Comma 2 2 2 2 2 2" xfId="212" xr:uid="{F98CDD88-F59D-4CB4-8160-972D3BAC86AC}"/>
    <cellStyle name="Comma 2 2 2 2 2 2 2" xfId="482" xr:uid="{BD4A1FE9-5211-407F-B7C3-DDE48FE892F2}"/>
    <cellStyle name="Comma 2 2 2 2 2 2 2 2" xfId="1023" xr:uid="{85126B8D-2CAA-4C0A-9D72-E8BCB3C0E064}"/>
    <cellStyle name="Comma 2 2 2 2 2 2 2 2 2" xfId="2107" xr:uid="{661707BE-4B9F-441C-8722-FF20E1871C25}"/>
    <cellStyle name="Comma 2 2 2 2 2 2 2 2 2 2" xfId="4275" xr:uid="{ADC43638-4566-46C5-B77C-5810F979BCCB}"/>
    <cellStyle name="Comma 2 2 2 2 2 2 2 2 2 2 2" xfId="8611" xr:uid="{43165887-9A2D-439D-B1A6-7052CE30A23A}"/>
    <cellStyle name="Comma 2 2 2 2 2 2 2 2 2 2 2 2" xfId="17283" xr:uid="{CEE7EE06-214D-46D4-8241-960636B56181}"/>
    <cellStyle name="Comma 2 2 2 2 2 2 2 2 2 2 2 2 2" xfId="34627" xr:uid="{93A519CD-F229-4C03-91C5-ACD1A8B57760}"/>
    <cellStyle name="Comma 2 2 2 2 2 2 2 2 2 2 2 3" xfId="25955" xr:uid="{04D0317C-1577-4806-9E6E-D1EC76FB9D80}"/>
    <cellStyle name="Comma 2 2 2 2 2 2 2 2 2 2 3" xfId="12947" xr:uid="{8C6B088C-DB7D-4841-A65E-93655CF7F023}"/>
    <cellStyle name="Comma 2 2 2 2 2 2 2 2 2 2 3 2" xfId="30291" xr:uid="{BA6AE946-9ADA-4198-9D8E-9DB0E81D0F96}"/>
    <cellStyle name="Comma 2 2 2 2 2 2 2 2 2 2 4" xfId="21619" xr:uid="{8FC2275E-A1F7-408D-9B64-93F3BF453A06}"/>
    <cellStyle name="Comma 2 2 2 2 2 2 2 2 2 3" xfId="6443" xr:uid="{E7955F41-5F0B-4FBF-B7BA-AD45367987C1}"/>
    <cellStyle name="Comma 2 2 2 2 2 2 2 2 2 3 2" xfId="15115" xr:uid="{EDC5DA13-E976-4A12-A5D5-BDD8D612F4E9}"/>
    <cellStyle name="Comma 2 2 2 2 2 2 2 2 2 3 2 2" xfId="32459" xr:uid="{D4953141-F2E1-4E88-81A3-1F122FFB70FB}"/>
    <cellStyle name="Comma 2 2 2 2 2 2 2 2 2 3 3" xfId="23787" xr:uid="{A32DE07D-FFD7-4043-AED7-D30730286B76}"/>
    <cellStyle name="Comma 2 2 2 2 2 2 2 2 2 4" xfId="10779" xr:uid="{89743D7B-F762-42C1-8F7E-64E713D1E2D4}"/>
    <cellStyle name="Comma 2 2 2 2 2 2 2 2 2 4 2" xfId="28123" xr:uid="{4FCD3EBF-7ECC-40A6-93B1-11A1C648648A}"/>
    <cellStyle name="Comma 2 2 2 2 2 2 2 2 2 5" xfId="19451" xr:uid="{7BD2173D-F6E0-438E-9721-B404833884AB}"/>
    <cellStyle name="Comma 2 2 2 2 2 2 2 2 3" xfId="3191" xr:uid="{A898AF74-428A-4996-9983-342FFB94A533}"/>
    <cellStyle name="Comma 2 2 2 2 2 2 2 2 3 2" xfId="7527" xr:uid="{9A6B524E-25C2-4DEE-8A55-973BDB2A7255}"/>
    <cellStyle name="Comma 2 2 2 2 2 2 2 2 3 2 2" xfId="16199" xr:uid="{7CD13866-F3F3-47C0-B544-EAA2CE972554}"/>
    <cellStyle name="Comma 2 2 2 2 2 2 2 2 3 2 2 2" xfId="33543" xr:uid="{26072534-2D6C-4CE0-9951-A5096DAA1B8E}"/>
    <cellStyle name="Comma 2 2 2 2 2 2 2 2 3 2 3" xfId="24871" xr:uid="{8F50EE4C-E5A9-4B94-BF6C-5AEA8C32F5CE}"/>
    <cellStyle name="Comma 2 2 2 2 2 2 2 2 3 3" xfId="11863" xr:uid="{ABDC9F83-6952-4C2B-BC9B-C99F0512C779}"/>
    <cellStyle name="Comma 2 2 2 2 2 2 2 2 3 3 2" xfId="29207" xr:uid="{E11B930E-389F-475B-ACB9-3C1239ECBACC}"/>
    <cellStyle name="Comma 2 2 2 2 2 2 2 2 3 4" xfId="20535" xr:uid="{E657CE7C-4D01-4103-A9E8-8ADE5DEB0D22}"/>
    <cellStyle name="Comma 2 2 2 2 2 2 2 2 4" xfId="5359" xr:uid="{2C01BBDF-9803-4546-A507-895F92C24CC4}"/>
    <cellStyle name="Comma 2 2 2 2 2 2 2 2 4 2" xfId="14031" xr:uid="{015D98A4-21AD-4D34-BCDA-1BF759255D91}"/>
    <cellStyle name="Comma 2 2 2 2 2 2 2 2 4 2 2" xfId="31375" xr:uid="{64DD7BC4-E930-41F4-B140-9D56A35D422F}"/>
    <cellStyle name="Comma 2 2 2 2 2 2 2 2 4 3" xfId="22703" xr:uid="{DBF4AF60-9315-4589-BFC9-A63B7B43048C}"/>
    <cellStyle name="Comma 2 2 2 2 2 2 2 2 5" xfId="9695" xr:uid="{1C2CB3CD-4EB5-4191-9F4E-D08F0BDF89CA}"/>
    <cellStyle name="Comma 2 2 2 2 2 2 2 2 5 2" xfId="27039" xr:uid="{C23E0B84-D3E4-4EA6-A202-B75CD1702728}"/>
    <cellStyle name="Comma 2 2 2 2 2 2 2 2 6" xfId="18367" xr:uid="{041EF7B0-D4AF-4282-A2B1-B10E5BE42AD0}"/>
    <cellStyle name="Comma 2 2 2 2 2 2 2 3" xfId="1566" xr:uid="{A982264B-0767-4B43-89EE-5705A37B1979}"/>
    <cellStyle name="Comma 2 2 2 2 2 2 2 3 2" xfId="3734" xr:uid="{2AD25F37-0441-421A-A5EE-934D1CA18793}"/>
    <cellStyle name="Comma 2 2 2 2 2 2 2 3 2 2" xfId="8070" xr:uid="{8B5AD594-6C52-48EA-9E2A-DA5F774FD5D2}"/>
    <cellStyle name="Comma 2 2 2 2 2 2 2 3 2 2 2" xfId="16742" xr:uid="{5D54AAB1-ADE4-479B-BA98-289D9B98D7CD}"/>
    <cellStyle name="Comma 2 2 2 2 2 2 2 3 2 2 2 2" xfId="34086" xr:uid="{A1DDA346-7933-42E9-8C7A-167262BF3A8C}"/>
    <cellStyle name="Comma 2 2 2 2 2 2 2 3 2 2 3" xfId="25414" xr:uid="{6D781B0A-C5EC-45DA-94B9-CE18D0F6240B}"/>
    <cellStyle name="Comma 2 2 2 2 2 2 2 3 2 3" xfId="12406" xr:uid="{3B09ADBA-7C3B-42AE-BCBB-B57046978B89}"/>
    <cellStyle name="Comma 2 2 2 2 2 2 2 3 2 3 2" xfId="29750" xr:uid="{1523FAF0-0282-4FC8-9621-1122B3B323CB}"/>
    <cellStyle name="Comma 2 2 2 2 2 2 2 3 2 4" xfId="21078" xr:uid="{5487B7F4-67A1-43DA-B489-1BC6A29D599D}"/>
    <cellStyle name="Comma 2 2 2 2 2 2 2 3 3" xfId="5902" xr:uid="{86F6DB06-84A8-49C8-B36E-6EAE7A023DEE}"/>
    <cellStyle name="Comma 2 2 2 2 2 2 2 3 3 2" xfId="14574" xr:uid="{687FD5AD-BD0F-4488-969F-D6069974F6D5}"/>
    <cellStyle name="Comma 2 2 2 2 2 2 2 3 3 2 2" xfId="31918" xr:uid="{74803D46-82A4-4E66-8211-C23B34FEF3A6}"/>
    <cellStyle name="Comma 2 2 2 2 2 2 2 3 3 3" xfId="23246" xr:uid="{BDFAB6AD-B9CA-40C4-BC74-F6E6B48E4868}"/>
    <cellStyle name="Comma 2 2 2 2 2 2 2 3 4" xfId="10238" xr:uid="{08A310A0-5320-48C3-8181-94186C09CBCE}"/>
    <cellStyle name="Comma 2 2 2 2 2 2 2 3 4 2" xfId="27582" xr:uid="{68BE9110-A7D3-4979-8CAA-C3B13863F069}"/>
    <cellStyle name="Comma 2 2 2 2 2 2 2 3 5" xfId="18910" xr:uid="{B3C0E7B3-04F7-45B3-B761-BE9BF9AE260D}"/>
    <cellStyle name="Comma 2 2 2 2 2 2 2 4" xfId="2650" xr:uid="{DDA1AFA2-14C1-4513-8803-1BD370E6BE13}"/>
    <cellStyle name="Comma 2 2 2 2 2 2 2 4 2" xfId="6986" xr:uid="{8A714D5B-38F7-4C26-B9A4-EF30B3AE612C}"/>
    <cellStyle name="Comma 2 2 2 2 2 2 2 4 2 2" xfId="15658" xr:uid="{37575B69-3081-4951-899E-1489A3CFC753}"/>
    <cellStyle name="Comma 2 2 2 2 2 2 2 4 2 2 2" xfId="33002" xr:uid="{D4CE8B34-F4C1-4AF6-9471-E7ACCD4A3D6D}"/>
    <cellStyle name="Comma 2 2 2 2 2 2 2 4 2 3" xfId="24330" xr:uid="{B5175D3D-5E73-44A1-8CAD-34F6E3567881}"/>
    <cellStyle name="Comma 2 2 2 2 2 2 2 4 3" xfId="11322" xr:uid="{5B071BF1-7C80-4925-B10A-A44D9E634066}"/>
    <cellStyle name="Comma 2 2 2 2 2 2 2 4 3 2" xfId="28666" xr:uid="{A1F9FDD4-B226-420A-8700-26A05AC0EDEF}"/>
    <cellStyle name="Comma 2 2 2 2 2 2 2 4 4" xfId="19994" xr:uid="{D9174E27-E4BB-4833-8EDB-EAF5ACAE41FD}"/>
    <cellStyle name="Comma 2 2 2 2 2 2 2 5" xfId="4818" xr:uid="{50F6FD10-0B12-4F23-A244-62860156428D}"/>
    <cellStyle name="Comma 2 2 2 2 2 2 2 5 2" xfId="13490" xr:uid="{07DD6283-397C-459D-9F7A-8C960C3159DA}"/>
    <cellStyle name="Comma 2 2 2 2 2 2 2 5 2 2" xfId="30834" xr:uid="{0BD4E0B1-D330-473E-A8DD-72931F11A666}"/>
    <cellStyle name="Comma 2 2 2 2 2 2 2 5 3" xfId="22162" xr:uid="{DEF5FFC0-FBEC-4360-9718-FE77D44040AB}"/>
    <cellStyle name="Comma 2 2 2 2 2 2 2 6" xfId="9154" xr:uid="{D147A15C-73B8-44C3-91CB-21FB320D746B}"/>
    <cellStyle name="Comma 2 2 2 2 2 2 2 6 2" xfId="26498" xr:uid="{208D13EB-E7A0-439A-8CCF-BF195754ECF7}"/>
    <cellStyle name="Comma 2 2 2 2 2 2 2 7" xfId="17826" xr:uid="{D6991FDC-ECE0-4AD8-B607-B9BF675965FA}"/>
    <cellStyle name="Comma 2 2 2 2 2 2 3" xfId="753" xr:uid="{9D9BACD9-FC71-4D4D-80BC-BBC4519D8A98}"/>
    <cellStyle name="Comma 2 2 2 2 2 2 3 2" xfId="1837" xr:uid="{0105B79F-3631-4824-9BA1-8F9350CCA806}"/>
    <cellStyle name="Comma 2 2 2 2 2 2 3 2 2" xfId="4005" xr:uid="{932C1C0D-610B-4BB8-A34F-00D1ABF5FDF8}"/>
    <cellStyle name="Comma 2 2 2 2 2 2 3 2 2 2" xfId="8341" xr:uid="{F57BC033-652E-4E2E-8D67-98972649918F}"/>
    <cellStyle name="Comma 2 2 2 2 2 2 3 2 2 2 2" xfId="17013" xr:uid="{7C636453-4449-4F1A-A3A4-299A0D30F26C}"/>
    <cellStyle name="Comma 2 2 2 2 2 2 3 2 2 2 2 2" xfId="34357" xr:uid="{BF7C106D-7D40-4169-930C-CBF60B3BAA25}"/>
    <cellStyle name="Comma 2 2 2 2 2 2 3 2 2 2 3" xfId="25685" xr:uid="{6ED3F264-16E7-4457-BA03-F19D881E17CE}"/>
    <cellStyle name="Comma 2 2 2 2 2 2 3 2 2 3" xfId="12677" xr:uid="{544B9A1F-F2A9-44C1-9BD0-31A4F2B79C9C}"/>
    <cellStyle name="Comma 2 2 2 2 2 2 3 2 2 3 2" xfId="30021" xr:uid="{57DA07CF-B1B9-45F6-B988-D59239B6863C}"/>
    <cellStyle name="Comma 2 2 2 2 2 2 3 2 2 4" xfId="21349" xr:uid="{B3DB1349-E56A-4CD5-9EB5-41DC2EDAAC5B}"/>
    <cellStyle name="Comma 2 2 2 2 2 2 3 2 3" xfId="6173" xr:uid="{AB92F478-FFDB-4F21-B32C-AACE9FF9A2D8}"/>
    <cellStyle name="Comma 2 2 2 2 2 2 3 2 3 2" xfId="14845" xr:uid="{8057B1C0-F8AB-4345-901D-7BAF04185110}"/>
    <cellStyle name="Comma 2 2 2 2 2 2 3 2 3 2 2" xfId="32189" xr:uid="{C36A9EC3-30DC-4CB7-A782-CB193700B006}"/>
    <cellStyle name="Comma 2 2 2 2 2 2 3 2 3 3" xfId="23517" xr:uid="{9D91F27B-4B25-42FB-A892-8261EA7A8456}"/>
    <cellStyle name="Comma 2 2 2 2 2 2 3 2 4" xfId="10509" xr:uid="{4AE53CC3-7685-454F-8E9F-1DD5F90B51ED}"/>
    <cellStyle name="Comma 2 2 2 2 2 2 3 2 4 2" xfId="27853" xr:uid="{ABE165B8-587D-49D6-BE0F-987E0B00B630}"/>
    <cellStyle name="Comma 2 2 2 2 2 2 3 2 5" xfId="19181" xr:uid="{09EEF2B5-8F24-403A-864E-A28332724693}"/>
    <cellStyle name="Comma 2 2 2 2 2 2 3 3" xfId="2921" xr:uid="{E14CD95D-A395-402B-BA34-7007D5380AAC}"/>
    <cellStyle name="Comma 2 2 2 2 2 2 3 3 2" xfId="7257" xr:uid="{2624449E-FFA7-467D-B9A6-E60924760DCC}"/>
    <cellStyle name="Comma 2 2 2 2 2 2 3 3 2 2" xfId="15929" xr:uid="{41D2D986-6BC0-4766-A784-F67E6F012CA4}"/>
    <cellStyle name="Comma 2 2 2 2 2 2 3 3 2 2 2" xfId="33273" xr:uid="{BD15B1A5-284A-4856-992F-DB52DC9021A8}"/>
    <cellStyle name="Comma 2 2 2 2 2 2 3 3 2 3" xfId="24601" xr:uid="{5231AF7E-EBA8-4AA6-8D9A-A4ABE5947D26}"/>
    <cellStyle name="Comma 2 2 2 2 2 2 3 3 3" xfId="11593" xr:uid="{EA673535-D47E-4B39-A23F-22EE17D47F69}"/>
    <cellStyle name="Comma 2 2 2 2 2 2 3 3 3 2" xfId="28937" xr:uid="{68E306F4-3CC1-4552-950D-16C9C5318267}"/>
    <cellStyle name="Comma 2 2 2 2 2 2 3 3 4" xfId="20265" xr:uid="{F8558CE0-A5F2-47A3-B9CF-D40D3EE5541B}"/>
    <cellStyle name="Comma 2 2 2 2 2 2 3 4" xfId="5089" xr:uid="{DAB15C62-CF93-4B1F-92F7-4C66932217D4}"/>
    <cellStyle name="Comma 2 2 2 2 2 2 3 4 2" xfId="13761" xr:uid="{201834A5-EB7E-4B66-92C4-45A7AFFDEAC1}"/>
    <cellStyle name="Comma 2 2 2 2 2 2 3 4 2 2" xfId="31105" xr:uid="{9FB47260-8DDD-4DD5-B975-5289BCDE66F3}"/>
    <cellStyle name="Comma 2 2 2 2 2 2 3 4 3" xfId="22433" xr:uid="{A44B33C7-6B60-4B9F-AC0E-FF3D3847FB25}"/>
    <cellStyle name="Comma 2 2 2 2 2 2 3 5" xfId="9425" xr:uid="{960745BB-38E4-45E1-9973-A71277E860A7}"/>
    <cellStyle name="Comma 2 2 2 2 2 2 3 5 2" xfId="26769" xr:uid="{FA492849-0A20-4097-97D4-CC56A0FC204C}"/>
    <cellStyle name="Comma 2 2 2 2 2 2 3 6" xfId="18097" xr:uid="{9F718680-67CC-454C-BE5D-2626D13C8039}"/>
    <cellStyle name="Comma 2 2 2 2 2 2 4" xfId="1296" xr:uid="{D3F3017D-493E-41E7-87A3-AF7E25D8EB54}"/>
    <cellStyle name="Comma 2 2 2 2 2 2 4 2" xfId="3464" xr:uid="{82B93227-735D-4D62-BDB6-D3532FAAE251}"/>
    <cellStyle name="Comma 2 2 2 2 2 2 4 2 2" xfId="7800" xr:uid="{D9674D9E-6F40-4CF3-9366-DB90FE313A97}"/>
    <cellStyle name="Comma 2 2 2 2 2 2 4 2 2 2" xfId="16472" xr:uid="{5EB0B04B-FDF4-427D-9BD6-CF75DB57B9B4}"/>
    <cellStyle name="Comma 2 2 2 2 2 2 4 2 2 2 2" xfId="33816" xr:uid="{C5DF97DC-D061-46E0-8B27-C445A48D93D8}"/>
    <cellStyle name="Comma 2 2 2 2 2 2 4 2 2 3" xfId="25144" xr:uid="{6D2C6AF7-C5FE-4950-8BAE-DF3E1EE94990}"/>
    <cellStyle name="Comma 2 2 2 2 2 2 4 2 3" xfId="12136" xr:uid="{DB48336F-F18E-4082-BCB8-AE3739649133}"/>
    <cellStyle name="Comma 2 2 2 2 2 2 4 2 3 2" xfId="29480" xr:uid="{0F3B4806-A710-4FAE-871A-8A5BEB7E7964}"/>
    <cellStyle name="Comma 2 2 2 2 2 2 4 2 4" xfId="20808" xr:uid="{A05875D8-5F5D-4B2B-B28A-CACE22A6821A}"/>
    <cellStyle name="Comma 2 2 2 2 2 2 4 3" xfId="5632" xr:uid="{03FCE73E-CE7A-4819-BFD6-640F7CF831FD}"/>
    <cellStyle name="Comma 2 2 2 2 2 2 4 3 2" xfId="14304" xr:uid="{68F11A58-6BEB-40B2-B186-D22107419A9A}"/>
    <cellStyle name="Comma 2 2 2 2 2 2 4 3 2 2" xfId="31648" xr:uid="{580BDFDE-FB9A-4D1B-A9A5-11976196A375}"/>
    <cellStyle name="Comma 2 2 2 2 2 2 4 3 3" xfId="22976" xr:uid="{B3B54E71-8B0F-40B9-974A-C447FADD4F7F}"/>
    <cellStyle name="Comma 2 2 2 2 2 2 4 4" xfId="9968" xr:uid="{6763B683-E1FD-4046-A9BB-1F5816E72BD6}"/>
    <cellStyle name="Comma 2 2 2 2 2 2 4 4 2" xfId="27312" xr:uid="{1B70E9E6-AB9A-40AE-9102-5DA1C3C51754}"/>
    <cellStyle name="Comma 2 2 2 2 2 2 4 5" xfId="18640" xr:uid="{FF982556-3AFC-4324-9B9C-AFD6AEDD3F27}"/>
    <cellStyle name="Comma 2 2 2 2 2 2 5" xfId="2380" xr:uid="{01729CDD-39CC-49BC-8911-55D603AFEF06}"/>
    <cellStyle name="Comma 2 2 2 2 2 2 5 2" xfId="6716" xr:uid="{77DE6C10-6634-4042-B735-4C4BF8B66051}"/>
    <cellStyle name="Comma 2 2 2 2 2 2 5 2 2" xfId="15388" xr:uid="{38214F43-356B-4CF1-9EB8-12C29B792FDA}"/>
    <cellStyle name="Comma 2 2 2 2 2 2 5 2 2 2" xfId="32732" xr:uid="{7163CA66-DFF4-4AE3-AC30-A822E2E8D079}"/>
    <cellStyle name="Comma 2 2 2 2 2 2 5 2 3" xfId="24060" xr:uid="{E6BA6A43-A3D8-45FD-8677-FF17E1EC4B2E}"/>
    <cellStyle name="Comma 2 2 2 2 2 2 5 3" xfId="11052" xr:uid="{200CB36F-11B2-46D1-99F0-6B29B45F451E}"/>
    <cellStyle name="Comma 2 2 2 2 2 2 5 3 2" xfId="28396" xr:uid="{0F55C96D-D748-42AC-B9CA-083672ACD61F}"/>
    <cellStyle name="Comma 2 2 2 2 2 2 5 4" xfId="19724" xr:uid="{3DEF4129-3407-4B9E-A1B7-F63D74340A68}"/>
    <cellStyle name="Comma 2 2 2 2 2 2 6" xfId="4548" xr:uid="{E5DE556F-A933-448E-BE24-A5EC0A5628CB}"/>
    <cellStyle name="Comma 2 2 2 2 2 2 6 2" xfId="13220" xr:uid="{401425DD-60BE-4CFA-9866-58C329FEFC13}"/>
    <cellStyle name="Comma 2 2 2 2 2 2 6 2 2" xfId="30564" xr:uid="{72F4464F-91B1-45F0-AA56-61B2C39E81F3}"/>
    <cellStyle name="Comma 2 2 2 2 2 2 6 3" xfId="21892" xr:uid="{E4622F63-6EA3-45B8-AC6A-497794A12B33}"/>
    <cellStyle name="Comma 2 2 2 2 2 2 7" xfId="8884" xr:uid="{02EFA334-01F4-451B-95D2-B5F94C75B546}"/>
    <cellStyle name="Comma 2 2 2 2 2 2 7 2" xfId="26228" xr:uid="{1BFB4DFE-964D-44F8-9B31-901D4AEBFCD8}"/>
    <cellStyle name="Comma 2 2 2 2 2 2 8" xfId="17556" xr:uid="{E095B9FA-6840-4B5D-9BD9-C176F034B421}"/>
    <cellStyle name="Comma 2 2 2 2 2 3" xfId="360" xr:uid="{0C33CF74-2D69-4E8C-9D6A-6E6FF3560C0E}"/>
    <cellStyle name="Comma 2 2 2 2 2 3 2" xfId="901" xr:uid="{3CDF450E-EC26-4F3B-946B-0CE679E5BE86}"/>
    <cellStyle name="Comma 2 2 2 2 2 3 2 2" xfId="1985" xr:uid="{2E8A55B9-6ED7-46FD-9A27-26D901E50296}"/>
    <cellStyle name="Comma 2 2 2 2 2 3 2 2 2" xfId="4153" xr:uid="{EE1B805D-D183-4742-B25B-22488AF58C3E}"/>
    <cellStyle name="Comma 2 2 2 2 2 3 2 2 2 2" xfId="8489" xr:uid="{F2B2780B-C81E-4B87-969F-D74981B1C690}"/>
    <cellStyle name="Comma 2 2 2 2 2 3 2 2 2 2 2" xfId="17161" xr:uid="{156B4FB6-6BDB-4295-BC4E-88360FB3BD11}"/>
    <cellStyle name="Comma 2 2 2 2 2 3 2 2 2 2 2 2" xfId="34505" xr:uid="{8C87B2B2-E27B-42FC-8FCB-6671A3DB26F3}"/>
    <cellStyle name="Comma 2 2 2 2 2 3 2 2 2 2 3" xfId="25833" xr:uid="{9381B788-C3B8-4BDC-AF42-686E89636B6D}"/>
    <cellStyle name="Comma 2 2 2 2 2 3 2 2 2 3" xfId="12825" xr:uid="{2C0FD618-4B03-4FBB-B5DA-9E8705A74708}"/>
    <cellStyle name="Comma 2 2 2 2 2 3 2 2 2 3 2" xfId="30169" xr:uid="{EEAF80ED-C853-4B89-9679-5B2AB600582E}"/>
    <cellStyle name="Comma 2 2 2 2 2 3 2 2 2 4" xfId="21497" xr:uid="{076CFCD1-205F-45DD-AA57-95A4D62AA458}"/>
    <cellStyle name="Comma 2 2 2 2 2 3 2 2 3" xfId="6321" xr:uid="{AE0919EA-0CF6-49C0-8508-2D9F2100E5E7}"/>
    <cellStyle name="Comma 2 2 2 2 2 3 2 2 3 2" xfId="14993" xr:uid="{5FE0464B-1A26-4D04-AC3A-85469837DC69}"/>
    <cellStyle name="Comma 2 2 2 2 2 3 2 2 3 2 2" xfId="32337" xr:uid="{974048CE-E7A3-404F-AB33-F9C4B4EA4F1F}"/>
    <cellStyle name="Comma 2 2 2 2 2 3 2 2 3 3" xfId="23665" xr:uid="{ACD4BD3D-6D6A-4782-8145-3C139378314E}"/>
    <cellStyle name="Comma 2 2 2 2 2 3 2 2 4" xfId="10657" xr:uid="{424BD62D-1872-43A2-B5FE-BBBD49A77B23}"/>
    <cellStyle name="Comma 2 2 2 2 2 3 2 2 4 2" xfId="28001" xr:uid="{E94187E6-822D-48FC-B6EF-EF0373D4A343}"/>
    <cellStyle name="Comma 2 2 2 2 2 3 2 2 5" xfId="19329" xr:uid="{597F3E89-EE7B-4FEB-8353-B725579257B6}"/>
    <cellStyle name="Comma 2 2 2 2 2 3 2 3" xfId="3069" xr:uid="{6D5A9C6F-1AF3-493A-B1D2-8009422AB2A4}"/>
    <cellStyle name="Comma 2 2 2 2 2 3 2 3 2" xfId="7405" xr:uid="{3A262038-BB5D-4982-8EF5-2A52DC79EFC6}"/>
    <cellStyle name="Comma 2 2 2 2 2 3 2 3 2 2" xfId="16077" xr:uid="{FECB1CF8-BF73-40DD-8F7E-7DF9B9EA2AAC}"/>
    <cellStyle name="Comma 2 2 2 2 2 3 2 3 2 2 2" xfId="33421" xr:uid="{E4C75490-B765-4089-B02C-ACDD4F1E712D}"/>
    <cellStyle name="Comma 2 2 2 2 2 3 2 3 2 3" xfId="24749" xr:uid="{23F0DFC4-0361-4AB4-A49A-6E6497B40981}"/>
    <cellStyle name="Comma 2 2 2 2 2 3 2 3 3" xfId="11741" xr:uid="{EEB67D67-3594-46D4-A21C-FC0ED87A34D0}"/>
    <cellStyle name="Comma 2 2 2 2 2 3 2 3 3 2" xfId="29085" xr:uid="{C65B6FD7-CC17-44A0-B33D-5E025BA41E7C}"/>
    <cellStyle name="Comma 2 2 2 2 2 3 2 3 4" xfId="20413" xr:uid="{74C8E1EF-5530-40C7-91DC-8E51C640A96A}"/>
    <cellStyle name="Comma 2 2 2 2 2 3 2 4" xfId="5237" xr:uid="{40A82133-4FF6-40DA-AD46-B29E78ACDE01}"/>
    <cellStyle name="Comma 2 2 2 2 2 3 2 4 2" xfId="13909" xr:uid="{57E28F49-2467-4219-BC6B-BDC1FC5FE303}"/>
    <cellStyle name="Comma 2 2 2 2 2 3 2 4 2 2" xfId="31253" xr:uid="{4993F498-2C91-4CEF-8D87-BAA35EED2ABD}"/>
    <cellStyle name="Comma 2 2 2 2 2 3 2 4 3" xfId="22581" xr:uid="{DE00D71C-7CD8-4439-BE85-92BC1EE59C13}"/>
    <cellStyle name="Comma 2 2 2 2 2 3 2 5" xfId="9573" xr:uid="{971B86DA-D595-4833-B20A-7AAC06D5B107}"/>
    <cellStyle name="Comma 2 2 2 2 2 3 2 5 2" xfId="26917" xr:uid="{C8582FDB-EAEC-4BA8-B5D6-A270EB6E26A1}"/>
    <cellStyle name="Comma 2 2 2 2 2 3 2 6" xfId="18245" xr:uid="{EA1A3DDF-B5D3-4F65-9395-C848F169C259}"/>
    <cellStyle name="Comma 2 2 2 2 2 3 3" xfId="1444" xr:uid="{C3FA5596-BD28-4A33-ABE1-E5694B2AAE1F}"/>
    <cellStyle name="Comma 2 2 2 2 2 3 3 2" xfId="3612" xr:uid="{3D9B6F21-4C7D-4383-8D46-2B8251FED471}"/>
    <cellStyle name="Comma 2 2 2 2 2 3 3 2 2" xfId="7948" xr:uid="{7006F3A9-3421-4430-A88D-01F5FC862E75}"/>
    <cellStyle name="Comma 2 2 2 2 2 3 3 2 2 2" xfId="16620" xr:uid="{58769FAD-F2EB-46EB-93CA-B05B8FD8FF6C}"/>
    <cellStyle name="Comma 2 2 2 2 2 3 3 2 2 2 2" xfId="33964" xr:uid="{C006D3E0-6EEA-44DE-A897-7EBEF88127BA}"/>
    <cellStyle name="Comma 2 2 2 2 2 3 3 2 2 3" xfId="25292" xr:uid="{CDB6175D-B1C9-428F-9038-057E89CAC115}"/>
    <cellStyle name="Comma 2 2 2 2 2 3 3 2 3" xfId="12284" xr:uid="{FDB646EC-4129-4E14-85F3-2D1738DF22D6}"/>
    <cellStyle name="Comma 2 2 2 2 2 3 3 2 3 2" xfId="29628" xr:uid="{4B716718-6B05-4A78-82BB-FB2303D7D00D}"/>
    <cellStyle name="Comma 2 2 2 2 2 3 3 2 4" xfId="20956" xr:uid="{AA0167E8-E57F-4716-A31F-5ECFE21CE371}"/>
    <cellStyle name="Comma 2 2 2 2 2 3 3 3" xfId="5780" xr:uid="{EE5879EA-1C5C-4FA0-ABD6-0CE8337681FD}"/>
    <cellStyle name="Comma 2 2 2 2 2 3 3 3 2" xfId="14452" xr:uid="{34113855-B0F2-4A21-B74A-A1327FE74CC3}"/>
    <cellStyle name="Comma 2 2 2 2 2 3 3 3 2 2" xfId="31796" xr:uid="{AC550494-BA8B-4468-B6A8-2CFE9585FD74}"/>
    <cellStyle name="Comma 2 2 2 2 2 3 3 3 3" xfId="23124" xr:uid="{C576B37F-393F-4D1A-AB7A-752C33524A14}"/>
    <cellStyle name="Comma 2 2 2 2 2 3 3 4" xfId="10116" xr:uid="{0C672536-4416-47C7-A07C-045E9DA80ADA}"/>
    <cellStyle name="Comma 2 2 2 2 2 3 3 4 2" xfId="27460" xr:uid="{FC2CB484-8A90-40F6-AF88-95CFAFC42B52}"/>
    <cellStyle name="Comma 2 2 2 2 2 3 3 5" xfId="18788" xr:uid="{C81B86FC-048B-4C0A-8E7B-3138DD65F97C}"/>
    <cellStyle name="Comma 2 2 2 2 2 3 4" xfId="2528" xr:uid="{CB417FD6-9357-4720-909F-F4C9C032CFDF}"/>
    <cellStyle name="Comma 2 2 2 2 2 3 4 2" xfId="6864" xr:uid="{35B38F53-3E86-4A69-B0B1-6A582F4E3D1F}"/>
    <cellStyle name="Comma 2 2 2 2 2 3 4 2 2" xfId="15536" xr:uid="{CA9BB18B-EAB1-414C-B969-81F6FD7E3E06}"/>
    <cellStyle name="Comma 2 2 2 2 2 3 4 2 2 2" xfId="32880" xr:uid="{E68080AA-F2BF-4F9D-892F-92DBF02642B1}"/>
    <cellStyle name="Comma 2 2 2 2 2 3 4 2 3" xfId="24208" xr:uid="{A4BC2EFC-1242-4E63-9CB3-97527B54FEB0}"/>
    <cellStyle name="Comma 2 2 2 2 2 3 4 3" xfId="11200" xr:uid="{72A7B7AC-4E70-40FF-A76D-3F32AA46084E}"/>
    <cellStyle name="Comma 2 2 2 2 2 3 4 3 2" xfId="28544" xr:uid="{CDE813AD-3E75-4835-B62D-C52B45472CFE}"/>
    <cellStyle name="Comma 2 2 2 2 2 3 4 4" xfId="19872" xr:uid="{7B617751-3509-4A81-BE7A-5C26DA4653BF}"/>
    <cellStyle name="Comma 2 2 2 2 2 3 5" xfId="4696" xr:uid="{3A99933E-3ECB-4447-ACF6-B2826735D2BF}"/>
    <cellStyle name="Comma 2 2 2 2 2 3 5 2" xfId="13368" xr:uid="{B42E2976-3409-4207-90B1-18FF3E018FC7}"/>
    <cellStyle name="Comma 2 2 2 2 2 3 5 2 2" xfId="30712" xr:uid="{6CC009FA-0E06-4F6A-9A43-4566E40340CD}"/>
    <cellStyle name="Comma 2 2 2 2 2 3 5 3" xfId="22040" xr:uid="{D87064C7-CBA6-4560-AD30-F3A73F26F226}"/>
    <cellStyle name="Comma 2 2 2 2 2 3 6" xfId="9032" xr:uid="{E32E3C49-76B7-4339-82AC-CA3BD3B84F28}"/>
    <cellStyle name="Comma 2 2 2 2 2 3 6 2" xfId="26376" xr:uid="{74395FDB-7328-4C38-B45F-ECC5E44C3168}"/>
    <cellStyle name="Comma 2 2 2 2 2 3 7" xfId="17704" xr:uid="{AFC36B4F-7F5A-4B78-A924-D85DD35ACB14}"/>
    <cellStyle name="Comma 2 2 2 2 2 4" xfId="631" xr:uid="{555546B7-0243-4A42-9952-6637ED1AC084}"/>
    <cellStyle name="Comma 2 2 2 2 2 4 2" xfId="1715" xr:uid="{EB650E3F-D4B3-4FDC-A108-663A55966309}"/>
    <cellStyle name="Comma 2 2 2 2 2 4 2 2" xfId="3883" xr:uid="{5F4801EF-5982-4F96-8440-057B878F60C1}"/>
    <cellStyle name="Comma 2 2 2 2 2 4 2 2 2" xfId="8219" xr:uid="{981C73A4-A1A4-41BB-B277-040247B3ECBA}"/>
    <cellStyle name="Comma 2 2 2 2 2 4 2 2 2 2" xfId="16891" xr:uid="{35AB5678-D361-41E4-BCE8-0A60E09349F6}"/>
    <cellStyle name="Comma 2 2 2 2 2 4 2 2 2 2 2" xfId="34235" xr:uid="{F234588C-17DA-47EF-96CC-77035B426D51}"/>
    <cellStyle name="Comma 2 2 2 2 2 4 2 2 2 3" xfId="25563" xr:uid="{EF370365-4EED-452E-93E4-945B0466370C}"/>
    <cellStyle name="Comma 2 2 2 2 2 4 2 2 3" xfId="12555" xr:uid="{A9B143B2-6FE2-4180-A28B-D3F7665C343E}"/>
    <cellStyle name="Comma 2 2 2 2 2 4 2 2 3 2" xfId="29899" xr:uid="{06FC66FD-63FE-4565-ADE5-DC042580F7E0}"/>
    <cellStyle name="Comma 2 2 2 2 2 4 2 2 4" xfId="21227" xr:uid="{ED2682F3-A7D2-4ECB-A143-B66DB98FE203}"/>
    <cellStyle name="Comma 2 2 2 2 2 4 2 3" xfId="6051" xr:uid="{60ACEA35-28FB-4776-8F59-0EDDC76B6029}"/>
    <cellStyle name="Comma 2 2 2 2 2 4 2 3 2" xfId="14723" xr:uid="{B195FFCE-F453-4235-BC04-4793C8B7F292}"/>
    <cellStyle name="Comma 2 2 2 2 2 4 2 3 2 2" xfId="32067" xr:uid="{B2072CD1-DCAC-420D-AF88-AFD05F786191}"/>
    <cellStyle name="Comma 2 2 2 2 2 4 2 3 3" xfId="23395" xr:uid="{C5E6ED46-5A91-469F-890E-B45FCE3139B7}"/>
    <cellStyle name="Comma 2 2 2 2 2 4 2 4" xfId="10387" xr:uid="{A371703B-AD5E-4879-B4CE-8000FFF8E024}"/>
    <cellStyle name="Comma 2 2 2 2 2 4 2 4 2" xfId="27731" xr:uid="{6158FDFB-1AF3-497D-B15D-057617E45326}"/>
    <cellStyle name="Comma 2 2 2 2 2 4 2 5" xfId="19059" xr:uid="{C7D4D57D-25C7-4667-B83E-34134C09B3F1}"/>
    <cellStyle name="Comma 2 2 2 2 2 4 3" xfId="2799" xr:uid="{389DAC2B-721F-4A0D-AB1E-5E36C6F1A9AF}"/>
    <cellStyle name="Comma 2 2 2 2 2 4 3 2" xfId="7135" xr:uid="{BB57EDA5-DF7E-4536-AC46-19C9F275752B}"/>
    <cellStyle name="Comma 2 2 2 2 2 4 3 2 2" xfId="15807" xr:uid="{5DAEDBDA-7EB2-46E9-85B6-3A33CDD91669}"/>
    <cellStyle name="Comma 2 2 2 2 2 4 3 2 2 2" xfId="33151" xr:uid="{92C4B9B9-F368-49CC-81B7-F71532F91746}"/>
    <cellStyle name="Comma 2 2 2 2 2 4 3 2 3" xfId="24479" xr:uid="{47B181F4-B11E-446B-B08B-B05DF418936A}"/>
    <cellStyle name="Comma 2 2 2 2 2 4 3 3" xfId="11471" xr:uid="{46E5E8BF-3F6B-4CDD-8674-3839C51B3EC8}"/>
    <cellStyle name="Comma 2 2 2 2 2 4 3 3 2" xfId="28815" xr:uid="{B5EAF5D2-F3E7-4BD3-8F09-315E3CC8DBF0}"/>
    <cellStyle name="Comma 2 2 2 2 2 4 3 4" xfId="20143" xr:uid="{BE8B8B92-886E-4461-ACE8-E1CE994FAD91}"/>
    <cellStyle name="Comma 2 2 2 2 2 4 4" xfId="4967" xr:uid="{A1CFF7B5-5A35-43E0-8754-28D65FC0F428}"/>
    <cellStyle name="Comma 2 2 2 2 2 4 4 2" xfId="13639" xr:uid="{C2D7C473-4BA3-43AB-8BEF-AB500EB62F56}"/>
    <cellStyle name="Comma 2 2 2 2 2 4 4 2 2" xfId="30983" xr:uid="{683597D4-2A58-4497-95BE-11AB3537E24D}"/>
    <cellStyle name="Comma 2 2 2 2 2 4 4 3" xfId="22311" xr:uid="{9CECB8D3-7FED-4AC6-95E4-FFE4AFEBF6C4}"/>
    <cellStyle name="Comma 2 2 2 2 2 4 5" xfId="9303" xr:uid="{536FBBFC-51F2-477F-AC69-D969D07FE9A2}"/>
    <cellStyle name="Comma 2 2 2 2 2 4 5 2" xfId="26647" xr:uid="{3FC8403F-B0B4-48C8-A234-31C568FD4F39}"/>
    <cellStyle name="Comma 2 2 2 2 2 4 6" xfId="17975" xr:uid="{49BAAB2B-AEAA-46CA-A65B-DD4429DA446B}"/>
    <cellStyle name="Comma 2 2 2 2 2 5" xfId="1174" xr:uid="{34B3EFE3-25DF-4ED0-A609-2284C3E44D31}"/>
    <cellStyle name="Comma 2 2 2 2 2 5 2" xfId="3342" xr:uid="{69C96EEA-52A9-4320-BE19-36B4E6DE2E60}"/>
    <cellStyle name="Comma 2 2 2 2 2 5 2 2" xfId="7678" xr:uid="{15E1C947-6A7B-4499-BA0D-C0230D8A592E}"/>
    <cellStyle name="Comma 2 2 2 2 2 5 2 2 2" xfId="16350" xr:uid="{E0D18132-AFBA-43C1-9536-1A3D12C77A3B}"/>
    <cellStyle name="Comma 2 2 2 2 2 5 2 2 2 2" xfId="33694" xr:uid="{04A9FC66-3DF1-482C-B8A1-0810DAE53F74}"/>
    <cellStyle name="Comma 2 2 2 2 2 5 2 2 3" xfId="25022" xr:uid="{639AB0E5-02C7-452B-B292-E67D4B8E10A1}"/>
    <cellStyle name="Comma 2 2 2 2 2 5 2 3" xfId="12014" xr:uid="{C91B5C1D-77BD-4A8A-96EF-15070A56C402}"/>
    <cellStyle name="Comma 2 2 2 2 2 5 2 3 2" xfId="29358" xr:uid="{368C5A1A-DA92-4DB7-9782-E4CAB8BE0548}"/>
    <cellStyle name="Comma 2 2 2 2 2 5 2 4" xfId="20686" xr:uid="{84DE7CEF-3355-4073-8F17-FD789ACFA087}"/>
    <cellStyle name="Comma 2 2 2 2 2 5 3" xfId="5510" xr:uid="{5E676BB2-7604-47DC-860E-2BA5736384F3}"/>
    <cellStyle name="Comma 2 2 2 2 2 5 3 2" xfId="14182" xr:uid="{63376F08-C013-4577-B361-9BC646ED8749}"/>
    <cellStyle name="Comma 2 2 2 2 2 5 3 2 2" xfId="31526" xr:uid="{496E9D64-B033-4CEC-A2A1-AEB7961BDF1A}"/>
    <cellStyle name="Comma 2 2 2 2 2 5 3 3" xfId="22854" xr:uid="{72C58DC3-03CB-49EF-A5FE-C7FA6CE2FBA9}"/>
    <cellStyle name="Comma 2 2 2 2 2 5 4" xfId="9846" xr:uid="{26C4CA0F-E0AB-434C-A149-66C59477178A}"/>
    <cellStyle name="Comma 2 2 2 2 2 5 4 2" xfId="27190" xr:uid="{51ABFB2E-5A51-47EE-BA26-CE7BD3708425}"/>
    <cellStyle name="Comma 2 2 2 2 2 5 5" xfId="18518" xr:uid="{F82EA77E-8CC8-41F4-B0DD-59CA68B0D605}"/>
    <cellStyle name="Comma 2 2 2 2 2 6" xfId="2258" xr:uid="{AAE6918A-483E-44E2-862F-8DFF367368CC}"/>
    <cellStyle name="Comma 2 2 2 2 2 6 2" xfId="6594" xr:uid="{E4995E2A-7E96-4412-823A-DB1CE2380ABD}"/>
    <cellStyle name="Comma 2 2 2 2 2 6 2 2" xfId="15266" xr:uid="{4F4027E4-D264-4421-8600-C2B8EA4710BB}"/>
    <cellStyle name="Comma 2 2 2 2 2 6 2 2 2" xfId="32610" xr:uid="{FF503288-D5DC-4C29-B09D-D0907DA1A2B0}"/>
    <cellStyle name="Comma 2 2 2 2 2 6 2 3" xfId="23938" xr:uid="{069A770C-BA57-4DC8-AD5A-2229CE94596E}"/>
    <cellStyle name="Comma 2 2 2 2 2 6 3" xfId="10930" xr:uid="{B86D4FC9-B779-4581-A165-86D465FE0E33}"/>
    <cellStyle name="Comma 2 2 2 2 2 6 3 2" xfId="28274" xr:uid="{3AD3648B-1FEF-4411-BA13-AB0998BA24C8}"/>
    <cellStyle name="Comma 2 2 2 2 2 6 4" xfId="19602" xr:uid="{1221992D-8DE3-4E68-97FD-7FE692356D06}"/>
    <cellStyle name="Comma 2 2 2 2 2 7" xfId="4426" xr:uid="{A4D87245-AA8F-4738-B58E-0FEA1F80E7A7}"/>
    <cellStyle name="Comma 2 2 2 2 2 7 2" xfId="13098" xr:uid="{7FF7EED1-0901-44EA-A316-5B7C2D7FE209}"/>
    <cellStyle name="Comma 2 2 2 2 2 7 2 2" xfId="30442" xr:uid="{4BED3142-B407-4038-AE63-9E915A160AE8}"/>
    <cellStyle name="Comma 2 2 2 2 2 7 3" xfId="21770" xr:uid="{AB92114C-CF38-43C8-8DB6-6F046CDD8208}"/>
    <cellStyle name="Comma 2 2 2 2 2 8" xfId="8762" xr:uid="{D5D8324C-882B-4047-8A1C-C910DC071D81}"/>
    <cellStyle name="Comma 2 2 2 2 2 8 2" xfId="26106" xr:uid="{4CF4D38E-E8FE-497C-A428-18BB88FCF95D}"/>
    <cellStyle name="Comma 2 2 2 2 2 9" xfId="17434" xr:uid="{EFD12C0B-3322-495E-9990-094BE73AE141}"/>
    <cellStyle name="Comma 2 2 2 2 3" xfId="151" xr:uid="{8A56B4D1-7DBB-47DB-9BBC-B1016931A8F0}"/>
    <cellStyle name="Comma 2 2 2 2 3 2" xfId="421" xr:uid="{EE94AF66-6C08-4028-B206-740DF354FE37}"/>
    <cellStyle name="Comma 2 2 2 2 3 2 2" xfId="962" xr:uid="{16110534-F7B3-4AED-BF95-A8FE4DB84B43}"/>
    <cellStyle name="Comma 2 2 2 2 3 2 2 2" xfId="2046" xr:uid="{C796F461-246C-4F2F-99BE-5E038D7C804B}"/>
    <cellStyle name="Comma 2 2 2 2 3 2 2 2 2" xfId="4214" xr:uid="{F4AFE3F0-9347-4DFE-B6F8-8B1967954475}"/>
    <cellStyle name="Comma 2 2 2 2 3 2 2 2 2 2" xfId="8550" xr:uid="{6CE904E8-9BE6-42BE-9705-E1A98446AB6D}"/>
    <cellStyle name="Comma 2 2 2 2 3 2 2 2 2 2 2" xfId="17222" xr:uid="{B452F1A3-B6EA-41B0-8F21-DEC27B6C6F4C}"/>
    <cellStyle name="Comma 2 2 2 2 3 2 2 2 2 2 2 2" xfId="34566" xr:uid="{6CF6AE9B-2200-44E1-B1D3-F664E5BF5BDC}"/>
    <cellStyle name="Comma 2 2 2 2 3 2 2 2 2 2 3" xfId="25894" xr:uid="{1400733A-6656-406E-A3A2-CA5162001667}"/>
    <cellStyle name="Comma 2 2 2 2 3 2 2 2 2 3" xfId="12886" xr:uid="{E76C6609-3685-45A2-9D30-78C25CB939A6}"/>
    <cellStyle name="Comma 2 2 2 2 3 2 2 2 2 3 2" xfId="30230" xr:uid="{1F39202A-C8D5-4D42-BA9A-A3FB721343BE}"/>
    <cellStyle name="Comma 2 2 2 2 3 2 2 2 2 4" xfId="21558" xr:uid="{D53B9246-E937-4C8D-9C70-960BD1588CF3}"/>
    <cellStyle name="Comma 2 2 2 2 3 2 2 2 3" xfId="6382" xr:uid="{116D231F-57AB-4ABA-BA1F-1569DF8C6E89}"/>
    <cellStyle name="Comma 2 2 2 2 3 2 2 2 3 2" xfId="15054" xr:uid="{0A62B0CD-5C0F-4DB0-871E-0B3EEBE0DFFB}"/>
    <cellStyle name="Comma 2 2 2 2 3 2 2 2 3 2 2" xfId="32398" xr:uid="{4A580A6B-DA4B-4248-8A75-413D3F2A39D5}"/>
    <cellStyle name="Comma 2 2 2 2 3 2 2 2 3 3" xfId="23726" xr:uid="{9CD613F1-6F03-42B3-8DBA-F6C91F481C1C}"/>
    <cellStyle name="Comma 2 2 2 2 3 2 2 2 4" xfId="10718" xr:uid="{66AC46B7-BD72-4A7B-8461-D2E356576C22}"/>
    <cellStyle name="Comma 2 2 2 2 3 2 2 2 4 2" xfId="28062" xr:uid="{C718FF2F-1018-4DA8-99AE-3172492D6979}"/>
    <cellStyle name="Comma 2 2 2 2 3 2 2 2 5" xfId="19390" xr:uid="{34BA7E8F-E061-40F9-B418-FA797B8468FE}"/>
    <cellStyle name="Comma 2 2 2 2 3 2 2 3" xfId="3130" xr:uid="{F56A2EFE-8AF3-43BB-964A-F137B96EDFAB}"/>
    <cellStyle name="Comma 2 2 2 2 3 2 2 3 2" xfId="7466" xr:uid="{A16C7F4C-FCC0-4282-94C6-1D16FD3FEAC6}"/>
    <cellStyle name="Comma 2 2 2 2 3 2 2 3 2 2" xfId="16138" xr:uid="{13731077-B573-431E-93E0-1C61638FF92B}"/>
    <cellStyle name="Comma 2 2 2 2 3 2 2 3 2 2 2" xfId="33482" xr:uid="{840DA6CD-1CF2-478A-A641-B51F58AFF33E}"/>
    <cellStyle name="Comma 2 2 2 2 3 2 2 3 2 3" xfId="24810" xr:uid="{7F4FB5BC-534C-4A59-9EAF-CCE8F0E14943}"/>
    <cellStyle name="Comma 2 2 2 2 3 2 2 3 3" xfId="11802" xr:uid="{1BD1B037-EB5B-4917-9BCA-CAD849072295}"/>
    <cellStyle name="Comma 2 2 2 2 3 2 2 3 3 2" xfId="29146" xr:uid="{1297269A-C87E-4B98-A7B8-B79CEB9071B5}"/>
    <cellStyle name="Comma 2 2 2 2 3 2 2 3 4" xfId="20474" xr:uid="{F3BA3B93-A792-4F75-A8B8-E584C6776FB3}"/>
    <cellStyle name="Comma 2 2 2 2 3 2 2 4" xfId="5298" xr:uid="{2359E79D-3443-48AD-85C5-C0774E7F2F91}"/>
    <cellStyle name="Comma 2 2 2 2 3 2 2 4 2" xfId="13970" xr:uid="{A6109EF2-947F-4AE1-9AC3-822430D4B0C7}"/>
    <cellStyle name="Comma 2 2 2 2 3 2 2 4 2 2" xfId="31314" xr:uid="{C2908B1A-79C7-4EA9-8BA8-C29C7EFF18A0}"/>
    <cellStyle name="Comma 2 2 2 2 3 2 2 4 3" xfId="22642" xr:uid="{2F6DB5D6-9F4F-4CB4-AAA9-E029C1CDFD53}"/>
    <cellStyle name="Comma 2 2 2 2 3 2 2 5" xfId="9634" xr:uid="{511E0120-E62B-410A-82C0-558509E5ECB6}"/>
    <cellStyle name="Comma 2 2 2 2 3 2 2 5 2" xfId="26978" xr:uid="{1FD1805F-A244-43F3-B56E-766E57DE4275}"/>
    <cellStyle name="Comma 2 2 2 2 3 2 2 6" xfId="18306" xr:uid="{92E52A3D-56C0-499C-ACA1-2CBC7FE26E2A}"/>
    <cellStyle name="Comma 2 2 2 2 3 2 3" xfId="1505" xr:uid="{9FEF04B8-40F5-4361-AF4E-059C8A8043FC}"/>
    <cellStyle name="Comma 2 2 2 2 3 2 3 2" xfId="3673" xr:uid="{07F28EE9-1675-4F71-A40F-8D7011A4F0F8}"/>
    <cellStyle name="Comma 2 2 2 2 3 2 3 2 2" xfId="8009" xr:uid="{0004193C-A658-4DD1-B31F-2FA503489F10}"/>
    <cellStyle name="Comma 2 2 2 2 3 2 3 2 2 2" xfId="16681" xr:uid="{6C37C75D-735F-4A6C-8D5F-87F0FB3C7C62}"/>
    <cellStyle name="Comma 2 2 2 2 3 2 3 2 2 2 2" xfId="34025" xr:uid="{FB277EFB-FCAE-4A1F-9F62-6A2AF8E6102A}"/>
    <cellStyle name="Comma 2 2 2 2 3 2 3 2 2 3" xfId="25353" xr:uid="{12A179F8-C29B-4AC2-AFCE-3A170A45DDF5}"/>
    <cellStyle name="Comma 2 2 2 2 3 2 3 2 3" xfId="12345" xr:uid="{B8F99259-B525-49D3-BE1B-438A98C3DF07}"/>
    <cellStyle name="Comma 2 2 2 2 3 2 3 2 3 2" xfId="29689" xr:uid="{50922427-C6D8-4D3E-9040-4F13C62E0416}"/>
    <cellStyle name="Comma 2 2 2 2 3 2 3 2 4" xfId="21017" xr:uid="{D5B5C7CB-3572-4180-BAE0-D22D9FB1BE2D}"/>
    <cellStyle name="Comma 2 2 2 2 3 2 3 3" xfId="5841" xr:uid="{7B6B1516-F9AE-4AD1-B178-402E18A06FFA}"/>
    <cellStyle name="Comma 2 2 2 2 3 2 3 3 2" xfId="14513" xr:uid="{8A03FDBA-1DFB-4403-9882-19E3270C79EB}"/>
    <cellStyle name="Comma 2 2 2 2 3 2 3 3 2 2" xfId="31857" xr:uid="{A2DC0EC6-D89A-4FEA-9F56-1A2144DB92E2}"/>
    <cellStyle name="Comma 2 2 2 2 3 2 3 3 3" xfId="23185" xr:uid="{DFCA37B3-E6CE-4295-9E9F-2F1E08A79A10}"/>
    <cellStyle name="Comma 2 2 2 2 3 2 3 4" xfId="10177" xr:uid="{7A6DA451-3326-4204-B324-28C40E9C0006}"/>
    <cellStyle name="Comma 2 2 2 2 3 2 3 4 2" xfId="27521" xr:uid="{FD1208DA-660C-4E43-AA8E-871B458332EF}"/>
    <cellStyle name="Comma 2 2 2 2 3 2 3 5" xfId="18849" xr:uid="{F17A54DA-54EB-4FCF-8BC1-FDD73DCDA6EE}"/>
    <cellStyle name="Comma 2 2 2 2 3 2 4" xfId="2589" xr:uid="{395971B8-1D83-4F0E-94F5-E073544C1C52}"/>
    <cellStyle name="Comma 2 2 2 2 3 2 4 2" xfId="6925" xr:uid="{62A0A4D3-0DB8-494F-8614-1BF5015F62FB}"/>
    <cellStyle name="Comma 2 2 2 2 3 2 4 2 2" xfId="15597" xr:uid="{BA84B03C-7762-43FE-A727-7A3BFD2287C3}"/>
    <cellStyle name="Comma 2 2 2 2 3 2 4 2 2 2" xfId="32941" xr:uid="{42E8E836-5093-4F44-990A-946C49B3B575}"/>
    <cellStyle name="Comma 2 2 2 2 3 2 4 2 3" xfId="24269" xr:uid="{974770DF-7FCC-49A3-8374-F7CD1DA43F87}"/>
    <cellStyle name="Comma 2 2 2 2 3 2 4 3" xfId="11261" xr:uid="{C8E444E2-C278-44D3-B150-FB28F2F291FA}"/>
    <cellStyle name="Comma 2 2 2 2 3 2 4 3 2" xfId="28605" xr:uid="{EEA2FCF8-0C72-4EF4-B818-75A6958961C7}"/>
    <cellStyle name="Comma 2 2 2 2 3 2 4 4" xfId="19933" xr:uid="{B8EE220E-67B7-4D72-B38E-D73EC231E4CE}"/>
    <cellStyle name="Comma 2 2 2 2 3 2 5" xfId="4757" xr:uid="{7601F1ED-E5A1-4893-9C5B-8AD509525EE2}"/>
    <cellStyle name="Comma 2 2 2 2 3 2 5 2" xfId="13429" xr:uid="{F14872F0-D42A-4875-A510-4633C405425F}"/>
    <cellStyle name="Comma 2 2 2 2 3 2 5 2 2" xfId="30773" xr:uid="{DF16B813-1E96-4957-8A55-D7EF636C3C20}"/>
    <cellStyle name="Comma 2 2 2 2 3 2 5 3" xfId="22101" xr:uid="{8DDCF8CC-E304-47C0-B536-620605FEA512}"/>
    <cellStyle name="Comma 2 2 2 2 3 2 6" xfId="9093" xr:uid="{DB5E4929-C967-4AEA-A6DD-EEA7615490A2}"/>
    <cellStyle name="Comma 2 2 2 2 3 2 6 2" xfId="26437" xr:uid="{BBB46D9C-7C3D-4EA3-9F84-8ACC11F032BF}"/>
    <cellStyle name="Comma 2 2 2 2 3 2 7" xfId="17765" xr:uid="{9E455216-7DFE-4A61-8687-7E01305B7B42}"/>
    <cellStyle name="Comma 2 2 2 2 3 3" xfId="692" xr:uid="{03D77042-4A63-496B-993F-7CF32CEE50B3}"/>
    <cellStyle name="Comma 2 2 2 2 3 3 2" xfId="1776" xr:uid="{C13CB3E5-BC12-4EA5-BBC5-1FF7195C65DE}"/>
    <cellStyle name="Comma 2 2 2 2 3 3 2 2" xfId="3944" xr:uid="{45D54305-A166-4BE9-B101-2E4CD7838F27}"/>
    <cellStyle name="Comma 2 2 2 2 3 3 2 2 2" xfId="8280" xr:uid="{BA09486A-8CD1-4F75-A0B7-F5218B354189}"/>
    <cellStyle name="Comma 2 2 2 2 3 3 2 2 2 2" xfId="16952" xr:uid="{10F0461E-A8EC-418A-8FD3-5211CF372411}"/>
    <cellStyle name="Comma 2 2 2 2 3 3 2 2 2 2 2" xfId="34296" xr:uid="{83DE0F3F-36A7-45E9-AFF6-6F89E24DB768}"/>
    <cellStyle name="Comma 2 2 2 2 3 3 2 2 2 3" xfId="25624" xr:uid="{A896E0DC-992F-4B11-AB92-56220B08D753}"/>
    <cellStyle name="Comma 2 2 2 2 3 3 2 2 3" xfId="12616" xr:uid="{43C1138C-3053-4B66-B277-197BD8F5C6B2}"/>
    <cellStyle name="Comma 2 2 2 2 3 3 2 2 3 2" xfId="29960" xr:uid="{203DC652-3336-4DA0-A90D-68C8853BAD38}"/>
    <cellStyle name="Comma 2 2 2 2 3 3 2 2 4" xfId="21288" xr:uid="{7A5EFE57-97FC-4036-B958-5A2EF544658B}"/>
    <cellStyle name="Comma 2 2 2 2 3 3 2 3" xfId="6112" xr:uid="{C66EBB39-8010-4D74-8C18-FCA339B287EB}"/>
    <cellStyle name="Comma 2 2 2 2 3 3 2 3 2" xfId="14784" xr:uid="{E52A21D2-A55B-43A1-B812-88F8D480190E}"/>
    <cellStyle name="Comma 2 2 2 2 3 3 2 3 2 2" xfId="32128" xr:uid="{0721C5E8-FDAB-4EC3-ADF7-38578A5B1F02}"/>
    <cellStyle name="Comma 2 2 2 2 3 3 2 3 3" xfId="23456" xr:uid="{0A1DD6A1-E890-45B2-B2DB-8DA7BEDE968F}"/>
    <cellStyle name="Comma 2 2 2 2 3 3 2 4" xfId="10448" xr:uid="{7EA228BE-BD88-4B4F-A7B0-980F103AD8E9}"/>
    <cellStyle name="Comma 2 2 2 2 3 3 2 4 2" xfId="27792" xr:uid="{A1AA89DF-C93F-4BB1-8928-E94F6D50F042}"/>
    <cellStyle name="Comma 2 2 2 2 3 3 2 5" xfId="19120" xr:uid="{1044BFC7-1722-49BD-B892-85FBDB56E9ED}"/>
    <cellStyle name="Comma 2 2 2 2 3 3 3" xfId="2860" xr:uid="{92388E54-C590-4523-8CF6-4D0B5A028984}"/>
    <cellStyle name="Comma 2 2 2 2 3 3 3 2" xfId="7196" xr:uid="{91A0100F-9C81-4690-B78D-C8470F75C975}"/>
    <cellStyle name="Comma 2 2 2 2 3 3 3 2 2" xfId="15868" xr:uid="{85B43CAF-6379-43EE-95A2-C470668537E4}"/>
    <cellStyle name="Comma 2 2 2 2 3 3 3 2 2 2" xfId="33212" xr:uid="{50586539-F1AD-4C25-9040-B11C02DE10FE}"/>
    <cellStyle name="Comma 2 2 2 2 3 3 3 2 3" xfId="24540" xr:uid="{76A7D2D0-EAEF-4B45-8D2F-877A415D9C58}"/>
    <cellStyle name="Comma 2 2 2 2 3 3 3 3" xfId="11532" xr:uid="{1B5349EA-2E45-4342-BB47-8E9DAF2B79AA}"/>
    <cellStyle name="Comma 2 2 2 2 3 3 3 3 2" xfId="28876" xr:uid="{A196AD45-5D68-4078-865C-4DA467E00D1E}"/>
    <cellStyle name="Comma 2 2 2 2 3 3 3 4" xfId="20204" xr:uid="{D60259BD-B607-4496-BE1B-4694A967673A}"/>
    <cellStyle name="Comma 2 2 2 2 3 3 4" xfId="5028" xr:uid="{7AC3D121-7E3A-4D48-85FA-4D18DD2DE0C0}"/>
    <cellStyle name="Comma 2 2 2 2 3 3 4 2" xfId="13700" xr:uid="{28D65BD3-0DE0-4B17-9E00-93E13CCE2CB9}"/>
    <cellStyle name="Comma 2 2 2 2 3 3 4 2 2" xfId="31044" xr:uid="{BE04F19A-5626-40AF-892E-1DA2452FB4C3}"/>
    <cellStyle name="Comma 2 2 2 2 3 3 4 3" xfId="22372" xr:uid="{648060B0-AD59-4C9A-A59E-7837EFF403C2}"/>
    <cellStyle name="Comma 2 2 2 2 3 3 5" xfId="9364" xr:uid="{6092A4BB-D77B-4DFA-B20E-89125681D441}"/>
    <cellStyle name="Comma 2 2 2 2 3 3 5 2" xfId="26708" xr:uid="{B355C497-7A12-4173-9FE0-110F18B19B0A}"/>
    <cellStyle name="Comma 2 2 2 2 3 3 6" xfId="18036" xr:uid="{5CE5908E-9BF7-4B6E-BB62-F75E51EF1D79}"/>
    <cellStyle name="Comma 2 2 2 2 3 4" xfId="1235" xr:uid="{36BA0977-2008-4280-9CC0-62AE04AD3AFD}"/>
    <cellStyle name="Comma 2 2 2 2 3 4 2" xfId="3403" xr:uid="{DE5E9314-16F2-4F64-8A63-DAACD642022D}"/>
    <cellStyle name="Comma 2 2 2 2 3 4 2 2" xfId="7739" xr:uid="{4FFA61A4-137D-4660-8E41-29A033867242}"/>
    <cellStyle name="Comma 2 2 2 2 3 4 2 2 2" xfId="16411" xr:uid="{919D283B-3281-431D-A0AD-C11C57C03C8F}"/>
    <cellStyle name="Comma 2 2 2 2 3 4 2 2 2 2" xfId="33755" xr:uid="{72F0BDF7-FA11-4C81-9A3F-7BF36D2D8044}"/>
    <cellStyle name="Comma 2 2 2 2 3 4 2 2 3" xfId="25083" xr:uid="{6A724B82-D72E-40B7-B084-F794052916A2}"/>
    <cellStyle name="Comma 2 2 2 2 3 4 2 3" xfId="12075" xr:uid="{45044FAB-6076-4FCD-AE18-758A14878447}"/>
    <cellStyle name="Comma 2 2 2 2 3 4 2 3 2" xfId="29419" xr:uid="{BB67269F-9C82-4A0C-A5EA-053DEF99E7AA}"/>
    <cellStyle name="Comma 2 2 2 2 3 4 2 4" xfId="20747" xr:uid="{2E043057-A0CF-4703-A060-9F1E68252140}"/>
    <cellStyle name="Comma 2 2 2 2 3 4 3" xfId="5571" xr:uid="{624E834E-811F-47F6-B748-15932F6180D3}"/>
    <cellStyle name="Comma 2 2 2 2 3 4 3 2" xfId="14243" xr:uid="{E0045F93-162E-4416-B4D0-0A93B8149A46}"/>
    <cellStyle name="Comma 2 2 2 2 3 4 3 2 2" xfId="31587" xr:uid="{AE33AB81-0F5A-457B-B6EC-667874323D60}"/>
    <cellStyle name="Comma 2 2 2 2 3 4 3 3" xfId="22915" xr:uid="{CEA4B181-4424-4C73-ADB7-5422B7B7E73B}"/>
    <cellStyle name="Comma 2 2 2 2 3 4 4" xfId="9907" xr:uid="{ED93AD40-78E8-41F8-B49F-E5E207A603D4}"/>
    <cellStyle name="Comma 2 2 2 2 3 4 4 2" xfId="27251" xr:uid="{4CB0D4A9-EBE7-47CB-88FE-0EFB8661250D}"/>
    <cellStyle name="Comma 2 2 2 2 3 4 5" xfId="18579" xr:uid="{6625FCBE-747D-48E3-9ED6-0C423D806F40}"/>
    <cellStyle name="Comma 2 2 2 2 3 5" xfId="2319" xr:uid="{CCD4F507-FCB2-45BE-A8CC-72272A42A2FC}"/>
    <cellStyle name="Comma 2 2 2 2 3 5 2" xfId="6655" xr:uid="{DADF99E3-6A83-4A9D-8C4E-E0CB31EBDB9F}"/>
    <cellStyle name="Comma 2 2 2 2 3 5 2 2" xfId="15327" xr:uid="{2E2CAF67-8E25-4F18-B5DE-9358C0F4E6DD}"/>
    <cellStyle name="Comma 2 2 2 2 3 5 2 2 2" xfId="32671" xr:uid="{DCDC1D12-D326-4510-86E6-7121F482DA65}"/>
    <cellStyle name="Comma 2 2 2 2 3 5 2 3" xfId="23999" xr:uid="{0D206CAF-3F50-4769-AAF3-D96562BE87CE}"/>
    <cellStyle name="Comma 2 2 2 2 3 5 3" xfId="10991" xr:uid="{D825CDAB-B682-4A70-B9ED-7AECAB4FD753}"/>
    <cellStyle name="Comma 2 2 2 2 3 5 3 2" xfId="28335" xr:uid="{80E56345-8EDF-43FE-A0E1-04E9F7FD67F0}"/>
    <cellStyle name="Comma 2 2 2 2 3 5 4" xfId="19663" xr:uid="{201DD0EA-AC39-40F5-8605-26123D96FEBA}"/>
    <cellStyle name="Comma 2 2 2 2 3 6" xfId="4487" xr:uid="{F8546FB7-9DFC-43CB-BDE0-3E7024B5552E}"/>
    <cellStyle name="Comma 2 2 2 2 3 6 2" xfId="13159" xr:uid="{B5C2ACC5-D3E9-4568-95E1-4048BF25343F}"/>
    <cellStyle name="Comma 2 2 2 2 3 6 2 2" xfId="30503" xr:uid="{381E2F6D-F9BF-40FC-A94D-322092AB62EC}"/>
    <cellStyle name="Comma 2 2 2 2 3 6 3" xfId="21831" xr:uid="{7B6ACDDE-FAA7-4DD5-94DA-A9FEA0BC9F84}"/>
    <cellStyle name="Comma 2 2 2 2 3 7" xfId="8823" xr:uid="{B96009A1-3A76-4E07-9E20-608E6A345039}"/>
    <cellStyle name="Comma 2 2 2 2 3 7 2" xfId="26167" xr:uid="{E91C7A40-2FD0-45DA-99F6-0661A718871A}"/>
    <cellStyle name="Comma 2 2 2 2 3 8" xfId="17495" xr:uid="{BC581BE6-F51D-4308-9DF5-EC483ED0341E}"/>
    <cellStyle name="Comma 2 2 2 2 4" xfId="299" xr:uid="{9EF9209D-CC5E-4DBA-97B0-9B106019437E}"/>
    <cellStyle name="Comma 2 2 2 2 4 2" xfId="840" xr:uid="{519D6298-E7B2-417B-BB45-DF5B06FA7E2D}"/>
    <cellStyle name="Comma 2 2 2 2 4 2 2" xfId="1924" xr:uid="{F5192D55-8FD4-47B1-BAE3-F88054652F78}"/>
    <cellStyle name="Comma 2 2 2 2 4 2 2 2" xfId="4092" xr:uid="{EBA9471E-CC95-45DC-8DB3-7A20F258B4FB}"/>
    <cellStyle name="Comma 2 2 2 2 4 2 2 2 2" xfId="8428" xr:uid="{A1523448-0642-405D-BE2B-2473553027AF}"/>
    <cellStyle name="Comma 2 2 2 2 4 2 2 2 2 2" xfId="17100" xr:uid="{0C8A94E8-F722-4787-AD14-8B90F1B2CB6D}"/>
    <cellStyle name="Comma 2 2 2 2 4 2 2 2 2 2 2" xfId="34444" xr:uid="{C68A8F4D-45DD-44A6-BC45-7C2DB524FDEF}"/>
    <cellStyle name="Comma 2 2 2 2 4 2 2 2 2 3" xfId="25772" xr:uid="{9757A4B6-37DF-4014-ADCD-8FE810293EC4}"/>
    <cellStyle name="Comma 2 2 2 2 4 2 2 2 3" xfId="12764" xr:uid="{6623DA3B-87CB-4FA8-9FCA-6653D207D4D1}"/>
    <cellStyle name="Comma 2 2 2 2 4 2 2 2 3 2" xfId="30108" xr:uid="{BE5AA32A-2A7A-44AB-990E-F2FEC42E039B}"/>
    <cellStyle name="Comma 2 2 2 2 4 2 2 2 4" xfId="21436" xr:uid="{BAA402DC-0BE4-4055-BBE6-5CD66224AC2D}"/>
    <cellStyle name="Comma 2 2 2 2 4 2 2 3" xfId="6260" xr:uid="{92B03EA6-927C-46A8-A370-AD49884D0ACA}"/>
    <cellStyle name="Comma 2 2 2 2 4 2 2 3 2" xfId="14932" xr:uid="{83D53180-DF97-4666-A0BE-2B70351093AD}"/>
    <cellStyle name="Comma 2 2 2 2 4 2 2 3 2 2" xfId="32276" xr:uid="{1E8CF870-0A9B-4B79-8A9F-2A9624C7A9BF}"/>
    <cellStyle name="Comma 2 2 2 2 4 2 2 3 3" xfId="23604" xr:uid="{ACCF4303-C32B-4018-93CC-2E7DFDFA424E}"/>
    <cellStyle name="Comma 2 2 2 2 4 2 2 4" xfId="10596" xr:uid="{21978266-BE30-4D5F-B8FC-12E4453FE994}"/>
    <cellStyle name="Comma 2 2 2 2 4 2 2 4 2" xfId="27940" xr:uid="{EA3911F9-FC99-4142-87C0-D1BF36D37305}"/>
    <cellStyle name="Comma 2 2 2 2 4 2 2 5" xfId="19268" xr:uid="{6A41F244-60CF-4E67-B402-D53608D621B4}"/>
    <cellStyle name="Comma 2 2 2 2 4 2 3" xfId="3008" xr:uid="{29EB2A8C-4A18-4BFA-9AAC-86B87D4BAFD1}"/>
    <cellStyle name="Comma 2 2 2 2 4 2 3 2" xfId="7344" xr:uid="{E6CC3B80-04C3-4F44-BE86-B576EFE09CB2}"/>
    <cellStyle name="Comma 2 2 2 2 4 2 3 2 2" xfId="16016" xr:uid="{8702A6B7-3FC9-4401-A2D3-79EFB9B9B16C}"/>
    <cellStyle name="Comma 2 2 2 2 4 2 3 2 2 2" xfId="33360" xr:uid="{173CDBF7-FB82-4134-A482-71579AD3228C}"/>
    <cellStyle name="Comma 2 2 2 2 4 2 3 2 3" xfId="24688" xr:uid="{DE4D4BFF-AD6F-4A35-9829-47AF81B1A195}"/>
    <cellStyle name="Comma 2 2 2 2 4 2 3 3" xfId="11680" xr:uid="{F2CAAF7C-DDBA-4AD3-9797-81B46DB0052E}"/>
    <cellStyle name="Comma 2 2 2 2 4 2 3 3 2" xfId="29024" xr:uid="{E19D8A6E-5F2C-43C7-9D53-F8686F15DB20}"/>
    <cellStyle name="Comma 2 2 2 2 4 2 3 4" xfId="20352" xr:uid="{2E51FDFE-CB3E-490C-9E4F-A2DDE45C2EA8}"/>
    <cellStyle name="Comma 2 2 2 2 4 2 4" xfId="5176" xr:uid="{44B65E2F-DA1E-4D14-90EA-9705DDF64913}"/>
    <cellStyle name="Comma 2 2 2 2 4 2 4 2" xfId="13848" xr:uid="{3C51F313-2E73-49AB-AFDF-61CA2C25FEA2}"/>
    <cellStyle name="Comma 2 2 2 2 4 2 4 2 2" xfId="31192" xr:uid="{C1456D82-4725-4B4F-B12B-486B885EF78E}"/>
    <cellStyle name="Comma 2 2 2 2 4 2 4 3" xfId="22520" xr:uid="{AF555425-FD74-4A8A-875D-1F88F1806370}"/>
    <cellStyle name="Comma 2 2 2 2 4 2 5" xfId="9512" xr:uid="{6DA3660A-7829-47A1-8B98-3715ABCCF4AF}"/>
    <cellStyle name="Comma 2 2 2 2 4 2 5 2" xfId="26856" xr:uid="{3577169D-68C6-4995-BF46-899BFFCE8461}"/>
    <cellStyle name="Comma 2 2 2 2 4 2 6" xfId="18184" xr:uid="{971E125A-DDD6-4CCF-B3E1-0D002C5728DB}"/>
    <cellStyle name="Comma 2 2 2 2 4 3" xfId="1383" xr:uid="{43129F34-A257-42C2-9989-8FA71E10FBD8}"/>
    <cellStyle name="Comma 2 2 2 2 4 3 2" xfId="3551" xr:uid="{59915589-2198-4945-92F2-654E48C388C7}"/>
    <cellStyle name="Comma 2 2 2 2 4 3 2 2" xfId="7887" xr:uid="{4B374B80-B7BE-45AB-9965-0807638D1710}"/>
    <cellStyle name="Comma 2 2 2 2 4 3 2 2 2" xfId="16559" xr:uid="{8233A19F-1368-4BDE-92E6-565868B890BF}"/>
    <cellStyle name="Comma 2 2 2 2 4 3 2 2 2 2" xfId="33903" xr:uid="{8B57B3C7-58BC-4903-9BE9-B915BD2B47D8}"/>
    <cellStyle name="Comma 2 2 2 2 4 3 2 2 3" xfId="25231" xr:uid="{E78BF139-9C88-457F-86B4-7873C707097A}"/>
    <cellStyle name="Comma 2 2 2 2 4 3 2 3" xfId="12223" xr:uid="{D0F20D23-3955-4FDA-9B19-5B4190AC98E4}"/>
    <cellStyle name="Comma 2 2 2 2 4 3 2 3 2" xfId="29567" xr:uid="{EFA06D57-76CF-4956-8931-ED8FB6AFFCC7}"/>
    <cellStyle name="Comma 2 2 2 2 4 3 2 4" xfId="20895" xr:uid="{0B7CE541-135E-4B0B-BF34-D17A6B57589F}"/>
    <cellStyle name="Comma 2 2 2 2 4 3 3" xfId="5719" xr:uid="{9858EF91-C058-47D1-BA10-29EEE8C88ACD}"/>
    <cellStyle name="Comma 2 2 2 2 4 3 3 2" xfId="14391" xr:uid="{D88D8639-4EE6-4512-9FEB-9D5CFD7B1B92}"/>
    <cellStyle name="Comma 2 2 2 2 4 3 3 2 2" xfId="31735" xr:uid="{85F17B04-C30F-42B1-8CFD-3FB38381563B}"/>
    <cellStyle name="Comma 2 2 2 2 4 3 3 3" xfId="23063" xr:uid="{94F6000C-CCC4-43C3-AF4B-82B83536E1E7}"/>
    <cellStyle name="Comma 2 2 2 2 4 3 4" xfId="10055" xr:uid="{9D3546BC-62F5-463F-B323-4A0B41BB8437}"/>
    <cellStyle name="Comma 2 2 2 2 4 3 4 2" xfId="27399" xr:uid="{A46D9A9B-FC0D-4638-AA62-A8FCE0FF6F72}"/>
    <cellStyle name="Comma 2 2 2 2 4 3 5" xfId="18727" xr:uid="{3DEC4379-1FEF-4002-959E-F25B3DDE1CB8}"/>
    <cellStyle name="Comma 2 2 2 2 4 4" xfId="2467" xr:uid="{261022AE-8792-4FB4-849E-F2D423CD6298}"/>
    <cellStyle name="Comma 2 2 2 2 4 4 2" xfId="6803" xr:uid="{8581A124-0831-40AD-B2FD-5C0DA11D1000}"/>
    <cellStyle name="Comma 2 2 2 2 4 4 2 2" xfId="15475" xr:uid="{A3307B80-D713-41B3-8ADA-0A3E465CF1D5}"/>
    <cellStyle name="Comma 2 2 2 2 4 4 2 2 2" xfId="32819" xr:uid="{6CDC736F-1E5C-434F-B1D1-56151EE30267}"/>
    <cellStyle name="Comma 2 2 2 2 4 4 2 3" xfId="24147" xr:uid="{1012D39E-2256-48A8-93F4-47B88C88941A}"/>
    <cellStyle name="Comma 2 2 2 2 4 4 3" xfId="11139" xr:uid="{96909749-CF30-4169-87F0-D3DDED289F13}"/>
    <cellStyle name="Comma 2 2 2 2 4 4 3 2" xfId="28483" xr:uid="{B1C92B67-587B-4BCB-AEBC-B41F4F58FE02}"/>
    <cellStyle name="Comma 2 2 2 2 4 4 4" xfId="19811" xr:uid="{32604B7D-EEDE-4B9F-8240-87A8D29BE35A}"/>
    <cellStyle name="Comma 2 2 2 2 4 5" xfId="4635" xr:uid="{5128F7BC-A1EE-47B7-B41E-C02C07AD077C}"/>
    <cellStyle name="Comma 2 2 2 2 4 5 2" xfId="13307" xr:uid="{88C15546-5BD1-43A1-885B-B05B5813C899}"/>
    <cellStyle name="Comma 2 2 2 2 4 5 2 2" xfId="30651" xr:uid="{3DA35662-0AD0-49BC-85B8-D737B58DD1A4}"/>
    <cellStyle name="Comma 2 2 2 2 4 5 3" xfId="21979" xr:uid="{516D9758-EA25-453C-997A-072D09649498}"/>
    <cellStyle name="Comma 2 2 2 2 4 6" xfId="8971" xr:uid="{D09AB0D2-D62D-490F-9FBA-E78526A08C0F}"/>
    <cellStyle name="Comma 2 2 2 2 4 6 2" xfId="26315" xr:uid="{986CBB5D-0E0A-410D-98D4-3BF2E05F7433}"/>
    <cellStyle name="Comma 2 2 2 2 4 7" xfId="17643" xr:uid="{427EC3ED-DA39-49F9-83D9-AD35C52F482D}"/>
    <cellStyle name="Comma 2 2 2 2 5" xfId="570" xr:uid="{E90FD540-B975-4E4D-AC92-30987DC21AA7}"/>
    <cellStyle name="Comma 2 2 2 2 5 2" xfId="1654" xr:uid="{3A5CC547-7F86-4D3C-B430-0A7445695455}"/>
    <cellStyle name="Comma 2 2 2 2 5 2 2" xfId="3822" xr:uid="{167554FD-E4FF-4160-9B8F-D30AB68F5D53}"/>
    <cellStyle name="Comma 2 2 2 2 5 2 2 2" xfId="8158" xr:uid="{239A6973-D4CD-436A-8733-D1902F2A357F}"/>
    <cellStyle name="Comma 2 2 2 2 5 2 2 2 2" xfId="16830" xr:uid="{EE3EF5E6-3C21-4FF1-BF1B-77BD496791F5}"/>
    <cellStyle name="Comma 2 2 2 2 5 2 2 2 2 2" xfId="34174" xr:uid="{529CA084-833E-4E1C-AA87-08E1A8007894}"/>
    <cellStyle name="Comma 2 2 2 2 5 2 2 2 3" xfId="25502" xr:uid="{81E51065-162B-40B1-9F64-2C5553E776C5}"/>
    <cellStyle name="Comma 2 2 2 2 5 2 2 3" xfId="12494" xr:uid="{64BE268F-8AEE-4FAF-A5E6-B588A83929C8}"/>
    <cellStyle name="Comma 2 2 2 2 5 2 2 3 2" xfId="29838" xr:uid="{4E14AC9D-E61C-4461-A65C-89FB92E2890C}"/>
    <cellStyle name="Comma 2 2 2 2 5 2 2 4" xfId="21166" xr:uid="{3FE52104-FAB5-41CA-A42D-A7DC204EE2B6}"/>
    <cellStyle name="Comma 2 2 2 2 5 2 3" xfId="5990" xr:uid="{A380546F-BEBF-48F2-A80E-8405ACD70C26}"/>
    <cellStyle name="Comma 2 2 2 2 5 2 3 2" xfId="14662" xr:uid="{28D60420-FC7D-462E-8029-F2EFEF210416}"/>
    <cellStyle name="Comma 2 2 2 2 5 2 3 2 2" xfId="32006" xr:uid="{54EBB49A-98A1-419B-ACA4-6B2AEE70CC18}"/>
    <cellStyle name="Comma 2 2 2 2 5 2 3 3" xfId="23334" xr:uid="{84E6783D-9081-4906-BE3E-1D17AF6E793E}"/>
    <cellStyle name="Comma 2 2 2 2 5 2 4" xfId="10326" xr:uid="{B0E9BD83-A902-495F-9BA2-EC5AC8D9BF3D}"/>
    <cellStyle name="Comma 2 2 2 2 5 2 4 2" xfId="27670" xr:uid="{E5FC3C84-4780-4742-B801-B44B82D11107}"/>
    <cellStyle name="Comma 2 2 2 2 5 2 5" xfId="18998" xr:uid="{96352841-D25D-48A9-92AA-158E293E39FE}"/>
    <cellStyle name="Comma 2 2 2 2 5 3" xfId="2738" xr:uid="{B284F757-FAF7-47A2-8E51-272115240CDF}"/>
    <cellStyle name="Comma 2 2 2 2 5 3 2" xfId="7074" xr:uid="{41DF4507-EAA8-4FB0-B0D9-65D915F25C4F}"/>
    <cellStyle name="Comma 2 2 2 2 5 3 2 2" xfId="15746" xr:uid="{7D08A45C-6803-43DE-88F2-6A30E5C80058}"/>
    <cellStyle name="Comma 2 2 2 2 5 3 2 2 2" xfId="33090" xr:uid="{5B9FDF85-BB06-4C5D-909A-D9C9B80EDAD4}"/>
    <cellStyle name="Comma 2 2 2 2 5 3 2 3" xfId="24418" xr:uid="{4AEBC69C-AE4C-4D87-A07F-27F48FE3F7CB}"/>
    <cellStyle name="Comma 2 2 2 2 5 3 3" xfId="11410" xr:uid="{73DCABDA-58EF-4171-8382-FDF1BBDDCDFE}"/>
    <cellStyle name="Comma 2 2 2 2 5 3 3 2" xfId="28754" xr:uid="{7E54D5AA-6532-4728-B92D-E70C3E099298}"/>
    <cellStyle name="Comma 2 2 2 2 5 3 4" xfId="20082" xr:uid="{54AF9E9B-59AE-4E35-984C-E7E6A008BC74}"/>
    <cellStyle name="Comma 2 2 2 2 5 4" xfId="4906" xr:uid="{3D364E3C-BFD9-4A36-B438-472FEDDEA7CF}"/>
    <cellStyle name="Comma 2 2 2 2 5 4 2" xfId="13578" xr:uid="{DD616D69-5B54-4271-9EB9-87F1F4C98683}"/>
    <cellStyle name="Comma 2 2 2 2 5 4 2 2" xfId="30922" xr:uid="{D8B072F8-6AB3-4124-B79B-301064BB8C2B}"/>
    <cellStyle name="Comma 2 2 2 2 5 4 3" xfId="22250" xr:uid="{0D345242-4736-4979-8AAD-D639A41D0C2C}"/>
    <cellStyle name="Comma 2 2 2 2 5 5" xfId="9242" xr:uid="{F229A183-05A4-47EB-8957-93B5A5EC4C1E}"/>
    <cellStyle name="Comma 2 2 2 2 5 5 2" xfId="26586" xr:uid="{15645763-20B2-44CD-BBAB-B90E743D2EA8}"/>
    <cellStyle name="Comma 2 2 2 2 5 6" xfId="17914" xr:uid="{95DF1E4F-B0C2-433D-A60A-19C36C2D645F}"/>
    <cellStyle name="Comma 2 2 2 2 6" xfId="1113" xr:uid="{9B4B990A-DB56-4887-9985-0BC51696A4DA}"/>
    <cellStyle name="Comma 2 2 2 2 6 2" xfId="3281" xr:uid="{2BE21C28-4E8E-407A-8E94-B890C3E33ABF}"/>
    <cellStyle name="Comma 2 2 2 2 6 2 2" xfId="7617" xr:uid="{6CD08361-06C7-48DB-9FC5-C91E0D64B73E}"/>
    <cellStyle name="Comma 2 2 2 2 6 2 2 2" xfId="16289" xr:uid="{A886EA85-6EC8-4DB7-9AC7-B730FD08C975}"/>
    <cellStyle name="Comma 2 2 2 2 6 2 2 2 2" xfId="33633" xr:uid="{1B246F6E-8307-47A4-8420-022D2748CA1F}"/>
    <cellStyle name="Comma 2 2 2 2 6 2 2 3" xfId="24961" xr:uid="{E64A4100-B908-492B-88C2-03E610EAA1D1}"/>
    <cellStyle name="Comma 2 2 2 2 6 2 3" xfId="11953" xr:uid="{7132964C-4B12-4769-9452-8FC07A3E774A}"/>
    <cellStyle name="Comma 2 2 2 2 6 2 3 2" xfId="29297" xr:uid="{93FAF066-0EA3-409A-A1DF-F4E7D70E6BD1}"/>
    <cellStyle name="Comma 2 2 2 2 6 2 4" xfId="20625" xr:uid="{87BE0AFF-74E3-4D5B-82DA-00FB2C0540DE}"/>
    <cellStyle name="Comma 2 2 2 2 6 3" xfId="5449" xr:uid="{E965AE98-5BD7-4072-AC2E-FB43C7936915}"/>
    <cellStyle name="Comma 2 2 2 2 6 3 2" xfId="14121" xr:uid="{FA30B6F5-8EB5-42BD-AC25-FFDB36588F53}"/>
    <cellStyle name="Comma 2 2 2 2 6 3 2 2" xfId="31465" xr:uid="{7BF2DCDF-FBA2-469D-83BA-BE5530434817}"/>
    <cellStyle name="Comma 2 2 2 2 6 3 3" xfId="22793" xr:uid="{8A97E373-3D31-485E-B4CB-2B775EE7861A}"/>
    <cellStyle name="Comma 2 2 2 2 6 4" xfId="9785" xr:uid="{80C0E282-C4A7-46AC-A4D3-7C7B4593D16A}"/>
    <cellStyle name="Comma 2 2 2 2 6 4 2" xfId="27129" xr:uid="{4FF1D524-7DF0-4D97-8B43-723829C63214}"/>
    <cellStyle name="Comma 2 2 2 2 6 5" xfId="18457" xr:uid="{31E2E593-A322-4F36-A1B8-83380CFDB194}"/>
    <cellStyle name="Comma 2 2 2 2 7" xfId="2197" xr:uid="{A7751297-47BE-4FBE-9AA2-67C5CE926105}"/>
    <cellStyle name="Comma 2 2 2 2 7 2" xfId="6533" xr:uid="{E950C64D-F337-408D-8D03-FC1066CE8B4B}"/>
    <cellStyle name="Comma 2 2 2 2 7 2 2" xfId="15205" xr:uid="{A118263C-335C-4B68-B5D7-7188838CAE92}"/>
    <cellStyle name="Comma 2 2 2 2 7 2 2 2" xfId="32549" xr:uid="{D6B26738-E578-495C-A9A4-977B81639FE3}"/>
    <cellStyle name="Comma 2 2 2 2 7 2 3" xfId="23877" xr:uid="{74731739-0AF2-44F6-B0F5-D3ECF4E8054B}"/>
    <cellStyle name="Comma 2 2 2 2 7 3" xfId="10869" xr:uid="{6248C166-D2C9-405F-9A7F-2A5A0260633F}"/>
    <cellStyle name="Comma 2 2 2 2 7 3 2" xfId="28213" xr:uid="{C105AAB9-1389-4365-B13B-154C75A1731D}"/>
    <cellStyle name="Comma 2 2 2 2 7 4" xfId="19541" xr:uid="{3368B927-7A98-4D5A-BB37-98667D21C5B6}"/>
    <cellStyle name="Comma 2 2 2 2 8" xfId="4365" xr:uid="{B7203B88-790A-4C74-BA0C-D8575C52C990}"/>
    <cellStyle name="Comma 2 2 2 2 8 2" xfId="13037" xr:uid="{1ACB8469-E3F5-4684-9398-CBD79C7AE99D}"/>
    <cellStyle name="Comma 2 2 2 2 8 2 2" xfId="30381" xr:uid="{1D07A1E0-6E7A-4019-84A0-559C883D56B3}"/>
    <cellStyle name="Comma 2 2 2 2 8 3" xfId="21709" xr:uid="{1A5BEC3F-2F6E-4C4E-B48C-24BDFB0C0540}"/>
    <cellStyle name="Comma 2 2 2 2 9" xfId="8701" xr:uid="{A987A08D-49B3-42D6-866B-9617057CDCE1}"/>
    <cellStyle name="Comma 2 2 2 2 9 2" xfId="26045" xr:uid="{2665E7AC-32A3-41F1-B83A-D4346C6EB315}"/>
    <cellStyle name="Comma 2 2 2 3" xfId="61" xr:uid="{78586C9D-01CC-46D7-9484-25FCA6C283EF}"/>
    <cellStyle name="Comma 2 2 2 3 10" xfId="17405" xr:uid="{94CE9A25-E5B3-4617-A028-8C4468623176}"/>
    <cellStyle name="Comma 2 2 2 3 2" xfId="122" xr:uid="{345DC791-F86B-4D1B-A8FA-F71DD3990AF0}"/>
    <cellStyle name="Comma 2 2 2 3 2 2" xfId="244" xr:uid="{A4FBB42E-A317-4D00-A494-04F97DD3BD1F}"/>
    <cellStyle name="Comma 2 2 2 3 2 2 2" xfId="514" xr:uid="{18A50CE9-F6E1-4E6A-893A-0E2030A8F266}"/>
    <cellStyle name="Comma 2 2 2 3 2 2 2 2" xfId="1055" xr:uid="{FA53988C-28AD-4D63-B91C-CEFDF263F300}"/>
    <cellStyle name="Comma 2 2 2 3 2 2 2 2 2" xfId="2139" xr:uid="{8D9A3C6D-BE6B-4822-AFFD-C244A9F0EA2F}"/>
    <cellStyle name="Comma 2 2 2 3 2 2 2 2 2 2" xfId="4307" xr:uid="{6357BEF2-005E-4143-8A8E-5B6A9F4C406F}"/>
    <cellStyle name="Comma 2 2 2 3 2 2 2 2 2 2 2" xfId="8643" xr:uid="{FAE036BF-6BF2-406A-B98C-6DEA759519BF}"/>
    <cellStyle name="Comma 2 2 2 3 2 2 2 2 2 2 2 2" xfId="17315" xr:uid="{B1087EC4-F2BA-478F-8623-03D9490A33CB}"/>
    <cellStyle name="Comma 2 2 2 3 2 2 2 2 2 2 2 2 2" xfId="34659" xr:uid="{4C92EDF9-CFE1-4F15-B913-2D4901C0BDC7}"/>
    <cellStyle name="Comma 2 2 2 3 2 2 2 2 2 2 2 3" xfId="25987" xr:uid="{3692DD08-AE77-4523-A9B5-9049D4EB3D06}"/>
    <cellStyle name="Comma 2 2 2 3 2 2 2 2 2 2 3" xfId="12979" xr:uid="{1E14E38D-54CA-4580-9861-2428245C5F12}"/>
    <cellStyle name="Comma 2 2 2 3 2 2 2 2 2 2 3 2" xfId="30323" xr:uid="{6B40AE60-FEC9-4EAF-91E7-B9BC9239382E}"/>
    <cellStyle name="Comma 2 2 2 3 2 2 2 2 2 2 4" xfId="21651" xr:uid="{F37A7C20-5F1F-413B-B62D-26BB32DCCC55}"/>
    <cellStyle name="Comma 2 2 2 3 2 2 2 2 2 3" xfId="6475" xr:uid="{BEF30E35-A412-4CC9-A192-83B21D0D1BDC}"/>
    <cellStyle name="Comma 2 2 2 3 2 2 2 2 2 3 2" xfId="15147" xr:uid="{A77F3859-841E-444C-8AC0-B7BC7D874B47}"/>
    <cellStyle name="Comma 2 2 2 3 2 2 2 2 2 3 2 2" xfId="32491" xr:uid="{D8122E8F-161D-48BD-9B7F-F9B099008969}"/>
    <cellStyle name="Comma 2 2 2 3 2 2 2 2 2 3 3" xfId="23819" xr:uid="{B0CB4C71-5975-4205-AD9A-2F280C89751F}"/>
    <cellStyle name="Comma 2 2 2 3 2 2 2 2 2 4" xfId="10811" xr:uid="{68BD7CB7-A662-4B8C-9077-BCFE03B21714}"/>
    <cellStyle name="Comma 2 2 2 3 2 2 2 2 2 4 2" xfId="28155" xr:uid="{C16A6322-9CF2-4299-8282-94BE9E592C47}"/>
    <cellStyle name="Comma 2 2 2 3 2 2 2 2 2 5" xfId="19483" xr:uid="{172C9151-177F-4AC9-B1EC-6ACB3398F731}"/>
    <cellStyle name="Comma 2 2 2 3 2 2 2 2 3" xfId="3223" xr:uid="{F6E3799F-B6CD-4D89-A281-0D20A522E230}"/>
    <cellStyle name="Comma 2 2 2 3 2 2 2 2 3 2" xfId="7559" xr:uid="{98444BD5-98AA-4A8B-86A5-6088C77E29CD}"/>
    <cellStyle name="Comma 2 2 2 3 2 2 2 2 3 2 2" xfId="16231" xr:uid="{CB6E39F1-C303-4F70-856E-A0944B8F2E92}"/>
    <cellStyle name="Comma 2 2 2 3 2 2 2 2 3 2 2 2" xfId="33575" xr:uid="{40215854-B7A4-4031-B937-6DB0ED5D1DB3}"/>
    <cellStyle name="Comma 2 2 2 3 2 2 2 2 3 2 3" xfId="24903" xr:uid="{944A6F40-6375-41CA-8FA0-49DD6FE66E31}"/>
    <cellStyle name="Comma 2 2 2 3 2 2 2 2 3 3" xfId="11895" xr:uid="{EE6D4F58-F260-4FB0-B59D-72BD566912F1}"/>
    <cellStyle name="Comma 2 2 2 3 2 2 2 2 3 3 2" xfId="29239" xr:uid="{AF76A628-87C1-4EC6-A765-B6C7FA7182EE}"/>
    <cellStyle name="Comma 2 2 2 3 2 2 2 2 3 4" xfId="20567" xr:uid="{66C1D32A-D657-4887-8348-F5C3F90D0E0D}"/>
    <cellStyle name="Comma 2 2 2 3 2 2 2 2 4" xfId="5391" xr:uid="{881E98F6-CE78-47F8-86F3-AEA48A85C1AD}"/>
    <cellStyle name="Comma 2 2 2 3 2 2 2 2 4 2" xfId="14063" xr:uid="{A7DD1A8E-3B49-4FE8-973B-72B62D57A672}"/>
    <cellStyle name="Comma 2 2 2 3 2 2 2 2 4 2 2" xfId="31407" xr:uid="{A04B3EF6-CB00-4B3C-AF6C-C4A8B6A96C21}"/>
    <cellStyle name="Comma 2 2 2 3 2 2 2 2 4 3" xfId="22735" xr:uid="{C1DD2AFB-CCA7-4BC8-AEDD-F4CB87E2BA9D}"/>
    <cellStyle name="Comma 2 2 2 3 2 2 2 2 5" xfId="9727" xr:uid="{F0793D0D-93C7-453B-8B68-10BCF08827D1}"/>
    <cellStyle name="Comma 2 2 2 3 2 2 2 2 5 2" xfId="27071" xr:uid="{96565D1F-C987-43F7-9524-6965FE9040EB}"/>
    <cellStyle name="Comma 2 2 2 3 2 2 2 2 6" xfId="18399" xr:uid="{B98B0794-F6E5-4521-81F3-720C4BE7499F}"/>
    <cellStyle name="Comma 2 2 2 3 2 2 2 3" xfId="1598" xr:uid="{2D91BD07-B6AE-43E9-901E-D9893927D5F7}"/>
    <cellStyle name="Comma 2 2 2 3 2 2 2 3 2" xfId="3766" xr:uid="{3A97FE24-C613-4F90-900A-D2FD8BDEFD6A}"/>
    <cellStyle name="Comma 2 2 2 3 2 2 2 3 2 2" xfId="8102" xr:uid="{CD7276C3-80E1-4134-96D5-21860F9787DA}"/>
    <cellStyle name="Comma 2 2 2 3 2 2 2 3 2 2 2" xfId="16774" xr:uid="{E8DEEE80-9C5B-49DF-9E1A-3AA555F7950E}"/>
    <cellStyle name="Comma 2 2 2 3 2 2 2 3 2 2 2 2" xfId="34118" xr:uid="{7D1BA3D2-35FC-4459-B2A0-2F325FCA8604}"/>
    <cellStyle name="Comma 2 2 2 3 2 2 2 3 2 2 3" xfId="25446" xr:uid="{8FCF200E-65F9-4605-B585-0E39F21CE7D3}"/>
    <cellStyle name="Comma 2 2 2 3 2 2 2 3 2 3" xfId="12438" xr:uid="{7EDE2E33-3EE0-430F-9527-79696B023975}"/>
    <cellStyle name="Comma 2 2 2 3 2 2 2 3 2 3 2" xfId="29782" xr:uid="{719E3502-AC7D-489C-AAF5-DA55C79B3A7E}"/>
    <cellStyle name="Comma 2 2 2 3 2 2 2 3 2 4" xfId="21110" xr:uid="{F046DFD1-E291-4256-85FE-63D63819521E}"/>
    <cellStyle name="Comma 2 2 2 3 2 2 2 3 3" xfId="5934" xr:uid="{78822B9D-3D4B-48C2-9146-B5C853116DD9}"/>
    <cellStyle name="Comma 2 2 2 3 2 2 2 3 3 2" xfId="14606" xr:uid="{5B1CAAEB-31A7-4A7B-BE29-9CE6842DD70D}"/>
    <cellStyle name="Comma 2 2 2 3 2 2 2 3 3 2 2" xfId="31950" xr:uid="{EEE43FF5-AE1C-488C-ADE5-B6B3DD2C2FCD}"/>
    <cellStyle name="Comma 2 2 2 3 2 2 2 3 3 3" xfId="23278" xr:uid="{F852CBEE-553C-4745-8196-EA39770FB916}"/>
    <cellStyle name="Comma 2 2 2 3 2 2 2 3 4" xfId="10270" xr:uid="{11B302BD-00A9-4A25-9DE9-E478A72C525C}"/>
    <cellStyle name="Comma 2 2 2 3 2 2 2 3 4 2" xfId="27614" xr:uid="{BAB73773-0AA6-42F1-AC9E-AD7F109AD7A7}"/>
    <cellStyle name="Comma 2 2 2 3 2 2 2 3 5" xfId="18942" xr:uid="{60C78700-B5F1-4EB1-93BD-3349C6D20049}"/>
    <cellStyle name="Comma 2 2 2 3 2 2 2 4" xfId="2682" xr:uid="{F6781C0D-EDC9-402E-BD3D-85A2454FE785}"/>
    <cellStyle name="Comma 2 2 2 3 2 2 2 4 2" xfId="7018" xr:uid="{84DC0800-5D84-4A5D-8089-8B1FEBC6BFBF}"/>
    <cellStyle name="Comma 2 2 2 3 2 2 2 4 2 2" xfId="15690" xr:uid="{54923A1B-030C-4A68-917F-FBE70C76B012}"/>
    <cellStyle name="Comma 2 2 2 3 2 2 2 4 2 2 2" xfId="33034" xr:uid="{CBBE6804-B96D-491D-B4B4-5E7AF39C4C84}"/>
    <cellStyle name="Comma 2 2 2 3 2 2 2 4 2 3" xfId="24362" xr:uid="{22F0F231-A568-4629-A24F-840BD4D97683}"/>
    <cellStyle name="Comma 2 2 2 3 2 2 2 4 3" xfId="11354" xr:uid="{A35CC453-4C8D-434F-B04C-C39C88BF4695}"/>
    <cellStyle name="Comma 2 2 2 3 2 2 2 4 3 2" xfId="28698" xr:uid="{63C1AA79-61C1-4A7A-9C9C-D64A74BA9E22}"/>
    <cellStyle name="Comma 2 2 2 3 2 2 2 4 4" xfId="20026" xr:uid="{E3357510-F1B4-4514-B54E-8D82D1019A13}"/>
    <cellStyle name="Comma 2 2 2 3 2 2 2 5" xfId="4850" xr:uid="{AD18238E-AD31-41CD-8112-A3EDD61565B3}"/>
    <cellStyle name="Comma 2 2 2 3 2 2 2 5 2" xfId="13522" xr:uid="{16C0A1C7-55AE-4B27-969A-2E0CA3263CE5}"/>
    <cellStyle name="Comma 2 2 2 3 2 2 2 5 2 2" xfId="30866" xr:uid="{3E001058-5B5C-4E32-8AF5-55DF063908B7}"/>
    <cellStyle name="Comma 2 2 2 3 2 2 2 5 3" xfId="22194" xr:uid="{506024DC-CBD8-464B-A6C1-54907CAB60A9}"/>
    <cellStyle name="Comma 2 2 2 3 2 2 2 6" xfId="9186" xr:uid="{65EB5814-E63E-48D3-8A5D-AAFFDDD9C452}"/>
    <cellStyle name="Comma 2 2 2 3 2 2 2 6 2" xfId="26530" xr:uid="{94E0B61C-3E75-4777-A9A0-140E46D2D8AE}"/>
    <cellStyle name="Comma 2 2 2 3 2 2 2 7" xfId="17858" xr:uid="{974E8131-C0B3-4E89-A2F2-E981EB1AF905}"/>
    <cellStyle name="Comma 2 2 2 3 2 2 3" xfId="785" xr:uid="{A0697AF2-5904-41B2-9021-49BB029777F3}"/>
    <cellStyle name="Comma 2 2 2 3 2 2 3 2" xfId="1869" xr:uid="{E3FF809F-3E72-447E-9808-F80DB4019D97}"/>
    <cellStyle name="Comma 2 2 2 3 2 2 3 2 2" xfId="4037" xr:uid="{A2A68D34-3597-4870-982A-6BC230EF460D}"/>
    <cellStyle name="Comma 2 2 2 3 2 2 3 2 2 2" xfId="8373" xr:uid="{5A23DA48-2407-4282-9064-20E8D3F1EC88}"/>
    <cellStyle name="Comma 2 2 2 3 2 2 3 2 2 2 2" xfId="17045" xr:uid="{784DAAAE-C4A6-439F-9D65-66D960788298}"/>
    <cellStyle name="Comma 2 2 2 3 2 2 3 2 2 2 2 2" xfId="34389" xr:uid="{F4DF99E3-2863-4817-85F7-43560B9350CD}"/>
    <cellStyle name="Comma 2 2 2 3 2 2 3 2 2 2 3" xfId="25717" xr:uid="{7FF99CB0-8895-4536-8FE5-DC32124A62E0}"/>
    <cellStyle name="Comma 2 2 2 3 2 2 3 2 2 3" xfId="12709" xr:uid="{9C2525EF-20D4-45FB-B4EE-1E6079D41708}"/>
    <cellStyle name="Comma 2 2 2 3 2 2 3 2 2 3 2" xfId="30053" xr:uid="{8BF08912-F046-44D4-BC82-B2A161E2C1DA}"/>
    <cellStyle name="Comma 2 2 2 3 2 2 3 2 2 4" xfId="21381" xr:uid="{5B5A3EBF-085E-4096-A34D-A4E35710DFD8}"/>
    <cellStyle name="Comma 2 2 2 3 2 2 3 2 3" xfId="6205" xr:uid="{24151E89-685C-4166-9901-04EFE44A3BF5}"/>
    <cellStyle name="Comma 2 2 2 3 2 2 3 2 3 2" xfId="14877" xr:uid="{81D87208-796B-4A5A-A47A-CE8E793CF942}"/>
    <cellStyle name="Comma 2 2 2 3 2 2 3 2 3 2 2" xfId="32221" xr:uid="{E0B9BC5E-375A-4631-9A15-21982FEE8EFE}"/>
    <cellStyle name="Comma 2 2 2 3 2 2 3 2 3 3" xfId="23549" xr:uid="{6B964B57-C6C5-4731-95CA-4A7489ED211B}"/>
    <cellStyle name="Comma 2 2 2 3 2 2 3 2 4" xfId="10541" xr:uid="{F75437B2-FA7C-43E5-A67F-883559CAE811}"/>
    <cellStyle name="Comma 2 2 2 3 2 2 3 2 4 2" xfId="27885" xr:uid="{1BD24904-46A6-4BC3-A25C-B2D1FC397496}"/>
    <cellStyle name="Comma 2 2 2 3 2 2 3 2 5" xfId="19213" xr:uid="{31387D46-A349-4580-952D-6442788CF800}"/>
    <cellStyle name="Comma 2 2 2 3 2 2 3 3" xfId="2953" xr:uid="{023EF664-5A51-481C-9EC5-7BF34A5D9CEE}"/>
    <cellStyle name="Comma 2 2 2 3 2 2 3 3 2" xfId="7289" xr:uid="{676B803D-2F03-4CE9-AE1F-5C9817A65FB6}"/>
    <cellStyle name="Comma 2 2 2 3 2 2 3 3 2 2" xfId="15961" xr:uid="{636975D6-58A1-46F0-995E-EC14FBA6A968}"/>
    <cellStyle name="Comma 2 2 2 3 2 2 3 3 2 2 2" xfId="33305" xr:uid="{62A5CE33-4646-47B6-9663-00FD59614D5A}"/>
    <cellStyle name="Comma 2 2 2 3 2 2 3 3 2 3" xfId="24633" xr:uid="{7B955B05-F116-4ACD-9F93-32771CBFAB41}"/>
    <cellStyle name="Comma 2 2 2 3 2 2 3 3 3" xfId="11625" xr:uid="{D7F9F63D-FAA4-4142-9D89-0424048F0DAE}"/>
    <cellStyle name="Comma 2 2 2 3 2 2 3 3 3 2" xfId="28969" xr:uid="{329BC7E1-00A0-4843-B8B2-EBF274F07E9A}"/>
    <cellStyle name="Comma 2 2 2 3 2 2 3 3 4" xfId="20297" xr:uid="{65C59874-22D4-4FFC-B10C-FAA4C88AB6A7}"/>
    <cellStyle name="Comma 2 2 2 3 2 2 3 4" xfId="5121" xr:uid="{D6BD9A6F-6077-41FD-A7D9-F993C4AD81A0}"/>
    <cellStyle name="Comma 2 2 2 3 2 2 3 4 2" xfId="13793" xr:uid="{D2AE6EF0-3E32-4FDF-8FA6-1433DAB59AEF}"/>
    <cellStyle name="Comma 2 2 2 3 2 2 3 4 2 2" xfId="31137" xr:uid="{9E9035DA-0434-4D48-B8C6-ADFB7B609178}"/>
    <cellStyle name="Comma 2 2 2 3 2 2 3 4 3" xfId="22465" xr:uid="{D06F07F6-68CB-4E07-92C5-602023870D83}"/>
    <cellStyle name="Comma 2 2 2 3 2 2 3 5" xfId="9457" xr:uid="{2986926F-B061-4E89-AE96-91692F30821D}"/>
    <cellStyle name="Comma 2 2 2 3 2 2 3 5 2" xfId="26801" xr:uid="{B57FC5B2-B678-4747-9EB3-DFDBC0C6BA85}"/>
    <cellStyle name="Comma 2 2 2 3 2 2 3 6" xfId="18129" xr:uid="{36E2C2A7-95B8-4569-9B33-D5A0D3F5D8DF}"/>
    <cellStyle name="Comma 2 2 2 3 2 2 4" xfId="1328" xr:uid="{30A923EC-D5E7-4406-B0BE-7F43E0C4F9C6}"/>
    <cellStyle name="Comma 2 2 2 3 2 2 4 2" xfId="3496" xr:uid="{80AE9FAC-BE0E-4E88-8DCB-DDE0FA3489DA}"/>
    <cellStyle name="Comma 2 2 2 3 2 2 4 2 2" xfId="7832" xr:uid="{610B71A3-F3B4-4AD8-AAB0-503AB891D73B}"/>
    <cellStyle name="Comma 2 2 2 3 2 2 4 2 2 2" xfId="16504" xr:uid="{7BF56D81-DC21-427A-8090-D404800D4091}"/>
    <cellStyle name="Comma 2 2 2 3 2 2 4 2 2 2 2" xfId="33848" xr:uid="{90696347-032F-4583-B5DC-0090D8AC808A}"/>
    <cellStyle name="Comma 2 2 2 3 2 2 4 2 2 3" xfId="25176" xr:uid="{344BDE6D-D0CB-444F-8C72-D2C36C55A799}"/>
    <cellStyle name="Comma 2 2 2 3 2 2 4 2 3" xfId="12168" xr:uid="{38780C3A-87D9-44DA-9945-A7573A317C73}"/>
    <cellStyle name="Comma 2 2 2 3 2 2 4 2 3 2" xfId="29512" xr:uid="{BAF3CF47-13E9-414D-BEB1-959FB0FEFDCA}"/>
    <cellStyle name="Comma 2 2 2 3 2 2 4 2 4" xfId="20840" xr:uid="{E390E3CC-36CF-4B75-80DA-3F5E3296C8AD}"/>
    <cellStyle name="Comma 2 2 2 3 2 2 4 3" xfId="5664" xr:uid="{30D8864E-26F0-4F81-97C9-D57D763BF432}"/>
    <cellStyle name="Comma 2 2 2 3 2 2 4 3 2" xfId="14336" xr:uid="{A503DF4B-FFEE-473D-8B3B-93B449B06D4F}"/>
    <cellStyle name="Comma 2 2 2 3 2 2 4 3 2 2" xfId="31680" xr:uid="{395E76EB-502D-4DF1-93CC-38D7A2401040}"/>
    <cellStyle name="Comma 2 2 2 3 2 2 4 3 3" xfId="23008" xr:uid="{CBB3B7E9-F5B0-441E-898A-6AA4E9C58E69}"/>
    <cellStyle name="Comma 2 2 2 3 2 2 4 4" xfId="10000" xr:uid="{27EF6867-0A46-472B-A3E1-79B136C6A751}"/>
    <cellStyle name="Comma 2 2 2 3 2 2 4 4 2" xfId="27344" xr:uid="{4289B297-6756-4839-A86C-5DBE3E328563}"/>
    <cellStyle name="Comma 2 2 2 3 2 2 4 5" xfId="18672" xr:uid="{7C455ABD-D6F1-4A15-9FDF-3E087E1C1C7C}"/>
    <cellStyle name="Comma 2 2 2 3 2 2 5" xfId="2412" xr:uid="{C0D6FA12-6530-426E-B96A-29D9AAE16FA9}"/>
    <cellStyle name="Comma 2 2 2 3 2 2 5 2" xfId="6748" xr:uid="{01141C45-F6E3-422B-B5AF-F713F4F30EF6}"/>
    <cellStyle name="Comma 2 2 2 3 2 2 5 2 2" xfId="15420" xr:uid="{479B7058-97D4-458F-9877-F1482322DB09}"/>
    <cellStyle name="Comma 2 2 2 3 2 2 5 2 2 2" xfId="32764" xr:uid="{768E0D75-7247-4BA1-9F3A-5302E06230BB}"/>
    <cellStyle name="Comma 2 2 2 3 2 2 5 2 3" xfId="24092" xr:uid="{A64B670C-1208-44A6-97ED-2069B0D8325C}"/>
    <cellStyle name="Comma 2 2 2 3 2 2 5 3" xfId="11084" xr:uid="{87D03E96-936D-4F16-BC36-2E35EE20D83B}"/>
    <cellStyle name="Comma 2 2 2 3 2 2 5 3 2" xfId="28428" xr:uid="{72499933-8838-4B74-B698-8E64873849AB}"/>
    <cellStyle name="Comma 2 2 2 3 2 2 5 4" xfId="19756" xr:uid="{B2C61901-3C16-4C0A-922E-223F77EC59BA}"/>
    <cellStyle name="Comma 2 2 2 3 2 2 6" xfId="4580" xr:uid="{16342DDD-0F63-4AA1-952C-3FA5F84AC478}"/>
    <cellStyle name="Comma 2 2 2 3 2 2 6 2" xfId="13252" xr:uid="{04EDBD57-6B0B-4084-AE5F-4C0DA94CA659}"/>
    <cellStyle name="Comma 2 2 2 3 2 2 6 2 2" xfId="30596" xr:uid="{A1B71957-7CA1-49BD-A6CB-CB892B733704}"/>
    <cellStyle name="Comma 2 2 2 3 2 2 6 3" xfId="21924" xr:uid="{F6BBD737-D3E3-4189-B05D-56732AF15F69}"/>
    <cellStyle name="Comma 2 2 2 3 2 2 7" xfId="8916" xr:uid="{2157E831-FD27-47F4-9BE1-D583E7C7E340}"/>
    <cellStyle name="Comma 2 2 2 3 2 2 7 2" xfId="26260" xr:uid="{364D4A95-5CFC-48A3-9A9B-9581B088E39D}"/>
    <cellStyle name="Comma 2 2 2 3 2 2 8" xfId="17588" xr:uid="{CC4FFBE3-A0CE-4DF0-993A-9FDDF1459EF0}"/>
    <cellStyle name="Comma 2 2 2 3 2 3" xfId="392" xr:uid="{270C6417-7920-485F-94D0-D73CD95E95C6}"/>
    <cellStyle name="Comma 2 2 2 3 2 3 2" xfId="933" xr:uid="{5AB14E95-257E-4BE0-8C7B-1577E686F771}"/>
    <cellStyle name="Comma 2 2 2 3 2 3 2 2" xfId="2017" xr:uid="{69DC5A71-FDD0-4791-8383-B7ECA4E0149A}"/>
    <cellStyle name="Comma 2 2 2 3 2 3 2 2 2" xfId="4185" xr:uid="{52538132-2C81-4F47-8F8F-623C31C49800}"/>
    <cellStyle name="Comma 2 2 2 3 2 3 2 2 2 2" xfId="8521" xr:uid="{65C0FC5E-B3F8-4312-A2EC-01ABC94D2B04}"/>
    <cellStyle name="Comma 2 2 2 3 2 3 2 2 2 2 2" xfId="17193" xr:uid="{2EAEAF29-5F65-4054-9F45-D8163CD66376}"/>
    <cellStyle name="Comma 2 2 2 3 2 3 2 2 2 2 2 2" xfId="34537" xr:uid="{38359E59-0239-4853-A863-0DEF762D982D}"/>
    <cellStyle name="Comma 2 2 2 3 2 3 2 2 2 2 3" xfId="25865" xr:uid="{81F45175-75D1-4221-B89E-CDCB911E7A27}"/>
    <cellStyle name="Comma 2 2 2 3 2 3 2 2 2 3" xfId="12857" xr:uid="{ECD06A7A-A29B-42FF-B676-DAD850357941}"/>
    <cellStyle name="Comma 2 2 2 3 2 3 2 2 2 3 2" xfId="30201" xr:uid="{E48DB635-DE74-4249-BEC9-D644A1F7CECB}"/>
    <cellStyle name="Comma 2 2 2 3 2 3 2 2 2 4" xfId="21529" xr:uid="{D14D4929-14AB-4434-A684-56EE48D967F4}"/>
    <cellStyle name="Comma 2 2 2 3 2 3 2 2 3" xfId="6353" xr:uid="{DB563604-B22E-4902-9420-BCC4AAA53FE8}"/>
    <cellStyle name="Comma 2 2 2 3 2 3 2 2 3 2" xfId="15025" xr:uid="{997BBCB2-4E6B-48FB-959C-4D7999A3B65E}"/>
    <cellStyle name="Comma 2 2 2 3 2 3 2 2 3 2 2" xfId="32369" xr:uid="{F597A0C0-0D2F-48B3-8D88-FA4FDF1D5438}"/>
    <cellStyle name="Comma 2 2 2 3 2 3 2 2 3 3" xfId="23697" xr:uid="{317E8684-AC94-48B1-942B-FFFDF268ED54}"/>
    <cellStyle name="Comma 2 2 2 3 2 3 2 2 4" xfId="10689" xr:uid="{5B7BA945-A35C-4767-8F5B-F09FC15A3F00}"/>
    <cellStyle name="Comma 2 2 2 3 2 3 2 2 4 2" xfId="28033" xr:uid="{90E20CB3-1096-4B55-B8BE-1E2C4E948B31}"/>
    <cellStyle name="Comma 2 2 2 3 2 3 2 2 5" xfId="19361" xr:uid="{1697160F-3D3D-47C5-8243-6C65E00662B1}"/>
    <cellStyle name="Comma 2 2 2 3 2 3 2 3" xfId="3101" xr:uid="{22AF60E3-011B-48FF-BD01-DB0A276D95F5}"/>
    <cellStyle name="Comma 2 2 2 3 2 3 2 3 2" xfId="7437" xr:uid="{DEF51F6C-8055-4FE9-AF49-7A27DE4D93B2}"/>
    <cellStyle name="Comma 2 2 2 3 2 3 2 3 2 2" xfId="16109" xr:uid="{700020AC-AD15-4911-9582-15B236F90774}"/>
    <cellStyle name="Comma 2 2 2 3 2 3 2 3 2 2 2" xfId="33453" xr:uid="{561F4128-6F80-45C4-9B86-E412F9573F5D}"/>
    <cellStyle name="Comma 2 2 2 3 2 3 2 3 2 3" xfId="24781" xr:uid="{1FACE4E3-C547-4E3E-B884-8F80E1D55911}"/>
    <cellStyle name="Comma 2 2 2 3 2 3 2 3 3" xfId="11773" xr:uid="{87D29528-D983-4DAD-BC67-A41736F65C90}"/>
    <cellStyle name="Comma 2 2 2 3 2 3 2 3 3 2" xfId="29117" xr:uid="{7226B967-913E-4910-9E2D-66D80A159CFC}"/>
    <cellStyle name="Comma 2 2 2 3 2 3 2 3 4" xfId="20445" xr:uid="{20D4C782-003E-47AA-90C7-40CD7D555547}"/>
    <cellStyle name="Comma 2 2 2 3 2 3 2 4" xfId="5269" xr:uid="{D945D37F-6826-4790-88C7-7D505C526CB6}"/>
    <cellStyle name="Comma 2 2 2 3 2 3 2 4 2" xfId="13941" xr:uid="{1665ABE7-7866-41FF-BA50-B66D95283E78}"/>
    <cellStyle name="Comma 2 2 2 3 2 3 2 4 2 2" xfId="31285" xr:uid="{9CF6D366-E0E8-49AB-A279-8BFBA3BC9CEE}"/>
    <cellStyle name="Comma 2 2 2 3 2 3 2 4 3" xfId="22613" xr:uid="{3C4D07C0-4ADD-4CE2-B1C2-62D8C5027DA1}"/>
    <cellStyle name="Comma 2 2 2 3 2 3 2 5" xfId="9605" xr:uid="{C4AEE19B-FF4D-4E53-866C-BBDE4D01BE48}"/>
    <cellStyle name="Comma 2 2 2 3 2 3 2 5 2" xfId="26949" xr:uid="{2401780F-D9C0-4523-B266-D97636D9D802}"/>
    <cellStyle name="Comma 2 2 2 3 2 3 2 6" xfId="18277" xr:uid="{086E096D-DE78-46AD-87C5-4C84314C28C9}"/>
    <cellStyle name="Comma 2 2 2 3 2 3 3" xfId="1476" xr:uid="{4854EF72-2A82-4BF0-9D0A-D68DF16A8D99}"/>
    <cellStyle name="Comma 2 2 2 3 2 3 3 2" xfId="3644" xr:uid="{8FAB5955-F911-475E-A915-9482499336BF}"/>
    <cellStyle name="Comma 2 2 2 3 2 3 3 2 2" xfId="7980" xr:uid="{5814CD27-A111-4142-ABAE-0CCC263DC7EA}"/>
    <cellStyle name="Comma 2 2 2 3 2 3 3 2 2 2" xfId="16652" xr:uid="{96B58A4E-79C8-437A-9C2B-D7F08A0E7124}"/>
    <cellStyle name="Comma 2 2 2 3 2 3 3 2 2 2 2" xfId="33996" xr:uid="{CE302A5A-26BB-4CFA-82CA-D2A76F86C7BD}"/>
    <cellStyle name="Comma 2 2 2 3 2 3 3 2 2 3" xfId="25324" xr:uid="{FA7C5075-D1DD-4B4F-A52B-34A1CCD74635}"/>
    <cellStyle name="Comma 2 2 2 3 2 3 3 2 3" xfId="12316" xr:uid="{2B8A7023-492A-4250-AEDF-A1E24949449F}"/>
    <cellStyle name="Comma 2 2 2 3 2 3 3 2 3 2" xfId="29660" xr:uid="{E7F07980-3866-45B1-AEA3-5782AC9C926E}"/>
    <cellStyle name="Comma 2 2 2 3 2 3 3 2 4" xfId="20988" xr:uid="{0F78D1A5-F212-461C-90AC-452ABB0AE863}"/>
    <cellStyle name="Comma 2 2 2 3 2 3 3 3" xfId="5812" xr:uid="{C02026FA-C276-4E6D-8F0E-7EEBB155A303}"/>
    <cellStyle name="Comma 2 2 2 3 2 3 3 3 2" xfId="14484" xr:uid="{5C526E59-CC9C-4806-AA09-131C7B7F0AB0}"/>
    <cellStyle name="Comma 2 2 2 3 2 3 3 3 2 2" xfId="31828" xr:uid="{BEC44739-6856-4AD6-BFF1-702135DE3B06}"/>
    <cellStyle name="Comma 2 2 2 3 2 3 3 3 3" xfId="23156" xr:uid="{E1ADE2C6-BE81-492C-BB6E-064FB910AB68}"/>
    <cellStyle name="Comma 2 2 2 3 2 3 3 4" xfId="10148" xr:uid="{44BD96A7-DF60-4959-9339-79A53A3AE92B}"/>
    <cellStyle name="Comma 2 2 2 3 2 3 3 4 2" xfId="27492" xr:uid="{92F2B60F-8E45-498B-9721-865C3FDDA1C5}"/>
    <cellStyle name="Comma 2 2 2 3 2 3 3 5" xfId="18820" xr:uid="{5474550A-4EA7-4EA1-A49B-D4B19A329A47}"/>
    <cellStyle name="Comma 2 2 2 3 2 3 4" xfId="2560" xr:uid="{CC03692C-9C2E-4805-9E8A-56FAAF13302B}"/>
    <cellStyle name="Comma 2 2 2 3 2 3 4 2" xfId="6896" xr:uid="{51CA74B6-7C15-4766-9E03-AAA4DA34C1BD}"/>
    <cellStyle name="Comma 2 2 2 3 2 3 4 2 2" xfId="15568" xr:uid="{75126D60-5067-45D1-8620-CC20A5955C72}"/>
    <cellStyle name="Comma 2 2 2 3 2 3 4 2 2 2" xfId="32912" xr:uid="{84A23F43-A221-4680-9D18-D9A1768CA880}"/>
    <cellStyle name="Comma 2 2 2 3 2 3 4 2 3" xfId="24240" xr:uid="{8809CDE3-E0BB-426E-93F4-6DFB5AE2CCB0}"/>
    <cellStyle name="Comma 2 2 2 3 2 3 4 3" xfId="11232" xr:uid="{1CDC9541-A3F7-4C2B-BEC1-0452E9F599EA}"/>
    <cellStyle name="Comma 2 2 2 3 2 3 4 3 2" xfId="28576" xr:uid="{28EC39F0-2B1E-4771-B175-5041A4ABF58F}"/>
    <cellStyle name="Comma 2 2 2 3 2 3 4 4" xfId="19904" xr:uid="{ECB9B75A-D350-47B7-842B-BB9B8560C389}"/>
    <cellStyle name="Comma 2 2 2 3 2 3 5" xfId="4728" xr:uid="{B7013FA7-ED85-4A97-BF7E-A8A2E9B54194}"/>
    <cellStyle name="Comma 2 2 2 3 2 3 5 2" xfId="13400" xr:uid="{A344AFBC-BBF4-47EA-A09A-48FA266602A1}"/>
    <cellStyle name="Comma 2 2 2 3 2 3 5 2 2" xfId="30744" xr:uid="{3EDF6FC5-99D8-453C-82FC-AAE5D63AE52D}"/>
    <cellStyle name="Comma 2 2 2 3 2 3 5 3" xfId="22072" xr:uid="{E75228C1-A725-4AA4-AEAD-B262C5A309B7}"/>
    <cellStyle name="Comma 2 2 2 3 2 3 6" xfId="9064" xr:uid="{E6311552-71A1-4139-BFE8-EFE67BBFAE02}"/>
    <cellStyle name="Comma 2 2 2 3 2 3 6 2" xfId="26408" xr:uid="{1D5C4088-FC60-425A-A15D-DD18F772949B}"/>
    <cellStyle name="Comma 2 2 2 3 2 3 7" xfId="17736" xr:uid="{72E72924-9FCA-41ED-8DEF-551D3BBCEB78}"/>
    <cellStyle name="Comma 2 2 2 3 2 4" xfId="663" xr:uid="{CE35338A-B24B-4DFB-BDF2-860E9394755B}"/>
    <cellStyle name="Comma 2 2 2 3 2 4 2" xfId="1747" xr:uid="{12A77074-D704-4444-BAC0-7A894F5CDC00}"/>
    <cellStyle name="Comma 2 2 2 3 2 4 2 2" xfId="3915" xr:uid="{6ED113CD-3B89-49F3-A04D-73F5F13D4213}"/>
    <cellStyle name="Comma 2 2 2 3 2 4 2 2 2" xfId="8251" xr:uid="{25EE8DF7-18BD-496E-B3AB-F4992C89B81B}"/>
    <cellStyle name="Comma 2 2 2 3 2 4 2 2 2 2" xfId="16923" xr:uid="{939D4FEB-5C80-486E-9E0E-8315AEF9FDEB}"/>
    <cellStyle name="Comma 2 2 2 3 2 4 2 2 2 2 2" xfId="34267" xr:uid="{99570EAD-316E-413A-8DB6-4A0F2B9A6FCE}"/>
    <cellStyle name="Comma 2 2 2 3 2 4 2 2 2 3" xfId="25595" xr:uid="{3EAC4997-5D25-4EB3-B7F8-222A3E79C86D}"/>
    <cellStyle name="Comma 2 2 2 3 2 4 2 2 3" xfId="12587" xr:uid="{3D562634-61A6-4044-95E0-D387D8F1FF8D}"/>
    <cellStyle name="Comma 2 2 2 3 2 4 2 2 3 2" xfId="29931" xr:uid="{3B0BFCB8-3456-4AFD-B043-B39277F172D9}"/>
    <cellStyle name="Comma 2 2 2 3 2 4 2 2 4" xfId="21259" xr:uid="{4F020D2F-1A02-4A0F-90B3-3BBB8C25F413}"/>
    <cellStyle name="Comma 2 2 2 3 2 4 2 3" xfId="6083" xr:uid="{9BE55365-1546-44A7-A456-FFAF680F1B79}"/>
    <cellStyle name="Comma 2 2 2 3 2 4 2 3 2" xfId="14755" xr:uid="{6DE31509-E02E-45DB-A240-CE15B8B255D6}"/>
    <cellStyle name="Comma 2 2 2 3 2 4 2 3 2 2" xfId="32099" xr:uid="{26F2261D-0B4B-4136-9CFA-E4F21440B292}"/>
    <cellStyle name="Comma 2 2 2 3 2 4 2 3 3" xfId="23427" xr:uid="{B1254896-E7ED-4FBC-9E63-9ED7DBE7D42E}"/>
    <cellStyle name="Comma 2 2 2 3 2 4 2 4" xfId="10419" xr:uid="{9E2F229C-0EAF-4577-ABD7-96DCD2D527E6}"/>
    <cellStyle name="Comma 2 2 2 3 2 4 2 4 2" xfId="27763" xr:uid="{B16B51DA-C65D-4564-A125-AB42675A7CC8}"/>
    <cellStyle name="Comma 2 2 2 3 2 4 2 5" xfId="19091" xr:uid="{E47F97A8-1EAC-4A78-A47A-DE4454661136}"/>
    <cellStyle name="Comma 2 2 2 3 2 4 3" xfId="2831" xr:uid="{B136DD5A-DA57-4C5E-9052-222DDD11B780}"/>
    <cellStyle name="Comma 2 2 2 3 2 4 3 2" xfId="7167" xr:uid="{A02301C5-0B8F-452A-96EA-987B0D083CA2}"/>
    <cellStyle name="Comma 2 2 2 3 2 4 3 2 2" xfId="15839" xr:uid="{19807D8A-19D2-4DD8-88F5-266C81F45E39}"/>
    <cellStyle name="Comma 2 2 2 3 2 4 3 2 2 2" xfId="33183" xr:uid="{DB02FBD0-FB81-458E-A37B-252B4D6D7114}"/>
    <cellStyle name="Comma 2 2 2 3 2 4 3 2 3" xfId="24511" xr:uid="{38D252AE-7262-4D83-8AB8-EAA6559F7D48}"/>
    <cellStyle name="Comma 2 2 2 3 2 4 3 3" xfId="11503" xr:uid="{BE1E7602-FFBA-4B1B-A475-B6892E6B875D}"/>
    <cellStyle name="Comma 2 2 2 3 2 4 3 3 2" xfId="28847" xr:uid="{448050BF-8223-4DC4-BD13-01F7DB08411B}"/>
    <cellStyle name="Comma 2 2 2 3 2 4 3 4" xfId="20175" xr:uid="{6BF9D4E1-61A9-471B-A86F-3D902DF79CE4}"/>
    <cellStyle name="Comma 2 2 2 3 2 4 4" xfId="4999" xr:uid="{8B39ADF3-1C5D-47CF-8132-1313808FA933}"/>
    <cellStyle name="Comma 2 2 2 3 2 4 4 2" xfId="13671" xr:uid="{8AF2E83D-5569-4050-91A8-9995B7E44676}"/>
    <cellStyle name="Comma 2 2 2 3 2 4 4 2 2" xfId="31015" xr:uid="{48CEF122-51B9-4F67-B5E5-F8FD7ED2EAB1}"/>
    <cellStyle name="Comma 2 2 2 3 2 4 4 3" xfId="22343" xr:uid="{245D23D3-DE56-425B-80E6-7CD934E02E24}"/>
    <cellStyle name="Comma 2 2 2 3 2 4 5" xfId="9335" xr:uid="{C4A7F8D1-9196-4EE2-9A04-6753DCD69946}"/>
    <cellStyle name="Comma 2 2 2 3 2 4 5 2" xfId="26679" xr:uid="{D8A17643-FF83-4D3D-9D9E-70DBB34B9306}"/>
    <cellStyle name="Comma 2 2 2 3 2 4 6" xfId="18007" xr:uid="{27C5372D-0DF2-4119-A987-344156801822}"/>
    <cellStyle name="Comma 2 2 2 3 2 5" xfId="1206" xr:uid="{3F771DFD-09CC-4A12-A500-DA0EBCDD5DEF}"/>
    <cellStyle name="Comma 2 2 2 3 2 5 2" xfId="3374" xr:uid="{975F2889-C13E-4D74-BEDF-E090D72DA540}"/>
    <cellStyle name="Comma 2 2 2 3 2 5 2 2" xfId="7710" xr:uid="{6637C996-45B3-47FE-BA82-36200F6502A8}"/>
    <cellStyle name="Comma 2 2 2 3 2 5 2 2 2" xfId="16382" xr:uid="{D3068FD2-CE7C-4DAD-B465-E527498A37A3}"/>
    <cellStyle name="Comma 2 2 2 3 2 5 2 2 2 2" xfId="33726" xr:uid="{8475C3B3-2BCE-49A5-9641-FADD82D8BAFC}"/>
    <cellStyle name="Comma 2 2 2 3 2 5 2 2 3" xfId="25054" xr:uid="{5BE1ABDF-6263-4FF5-99B7-5FBDB22930A4}"/>
    <cellStyle name="Comma 2 2 2 3 2 5 2 3" xfId="12046" xr:uid="{388AA346-188C-4E42-AFFD-7C30281CBF33}"/>
    <cellStyle name="Comma 2 2 2 3 2 5 2 3 2" xfId="29390" xr:uid="{28FE55AB-9E82-4E74-A680-956CEFCCBCAB}"/>
    <cellStyle name="Comma 2 2 2 3 2 5 2 4" xfId="20718" xr:uid="{1B612AE0-E4F2-4CD2-8B26-B6E23C616B3B}"/>
    <cellStyle name="Comma 2 2 2 3 2 5 3" xfId="5542" xr:uid="{F8AF6EBD-2F83-4082-BCA1-06C9AC9D42C4}"/>
    <cellStyle name="Comma 2 2 2 3 2 5 3 2" xfId="14214" xr:uid="{F6B872EA-0D77-486D-8719-CC23DEAF30AB}"/>
    <cellStyle name="Comma 2 2 2 3 2 5 3 2 2" xfId="31558" xr:uid="{50816272-3EE2-4FDA-A84D-B12DB6EA96B2}"/>
    <cellStyle name="Comma 2 2 2 3 2 5 3 3" xfId="22886" xr:uid="{8F171EF4-89A7-4B94-BA3B-D4F3B800467A}"/>
    <cellStyle name="Comma 2 2 2 3 2 5 4" xfId="9878" xr:uid="{D6BB5DA4-228D-4AA0-8A55-9A4BF0A722B3}"/>
    <cellStyle name="Comma 2 2 2 3 2 5 4 2" xfId="27222" xr:uid="{C3D83FCB-5621-4F07-A45B-24962B23FFB6}"/>
    <cellStyle name="Comma 2 2 2 3 2 5 5" xfId="18550" xr:uid="{D303F484-034C-4C47-BF50-B42226210576}"/>
    <cellStyle name="Comma 2 2 2 3 2 6" xfId="2290" xr:uid="{280992F8-5C8E-46B7-ABFB-7479C205704E}"/>
    <cellStyle name="Comma 2 2 2 3 2 6 2" xfId="6626" xr:uid="{5EE0937E-320C-49A9-BA2F-E923CE37528C}"/>
    <cellStyle name="Comma 2 2 2 3 2 6 2 2" xfId="15298" xr:uid="{DB788D33-639A-417B-927F-8A640D442B9E}"/>
    <cellStyle name="Comma 2 2 2 3 2 6 2 2 2" xfId="32642" xr:uid="{C8F4C693-61E1-4454-86D8-F1D689169D5C}"/>
    <cellStyle name="Comma 2 2 2 3 2 6 2 3" xfId="23970" xr:uid="{AEE5F3D4-8234-446F-8A0F-23AD13F0A957}"/>
    <cellStyle name="Comma 2 2 2 3 2 6 3" xfId="10962" xr:uid="{DDED4FA2-9F5C-42F1-B189-6B345B248899}"/>
    <cellStyle name="Comma 2 2 2 3 2 6 3 2" xfId="28306" xr:uid="{86A6905F-2472-45A6-8F36-D724D1AE0F4A}"/>
    <cellStyle name="Comma 2 2 2 3 2 6 4" xfId="19634" xr:uid="{36EA5E5F-BD14-4C6B-B27A-5240404F6828}"/>
    <cellStyle name="Comma 2 2 2 3 2 7" xfId="4458" xr:uid="{6860FC78-6630-41A7-A02E-3E18874A6FBD}"/>
    <cellStyle name="Comma 2 2 2 3 2 7 2" xfId="13130" xr:uid="{031D5C17-3B2E-4EC9-9C8D-791248DA00AA}"/>
    <cellStyle name="Comma 2 2 2 3 2 7 2 2" xfId="30474" xr:uid="{466D03BA-C0A3-43BF-BF2E-62A5B2FD12A7}"/>
    <cellStyle name="Comma 2 2 2 3 2 7 3" xfId="21802" xr:uid="{940B6315-A299-475B-B35B-CEE6EC90D214}"/>
    <cellStyle name="Comma 2 2 2 3 2 8" xfId="8794" xr:uid="{3F7EDDD3-F392-4061-A57F-53BA497E06A9}"/>
    <cellStyle name="Comma 2 2 2 3 2 8 2" xfId="26138" xr:uid="{3FB9AB07-F18A-46C4-8F65-2821A6A2AD30}"/>
    <cellStyle name="Comma 2 2 2 3 2 9" xfId="17466" xr:uid="{61A385F2-2DEC-4C80-8C08-4C8BF407E82D}"/>
    <cellStyle name="Comma 2 2 2 3 3" xfId="183" xr:uid="{2B10274A-69D5-4BD5-9802-867685169A4E}"/>
    <cellStyle name="Comma 2 2 2 3 3 2" xfId="453" xr:uid="{6EF46603-CE2C-45B3-AA7B-6B54A0ED83C6}"/>
    <cellStyle name="Comma 2 2 2 3 3 2 2" xfId="994" xr:uid="{141D68DF-CF6D-4A47-879B-E43E4E9E3476}"/>
    <cellStyle name="Comma 2 2 2 3 3 2 2 2" xfId="2078" xr:uid="{031F20B3-FF50-4F26-AF36-1497711972A1}"/>
    <cellStyle name="Comma 2 2 2 3 3 2 2 2 2" xfId="4246" xr:uid="{FAE9ABC6-2AF0-405F-A54C-E3FE1286CAAC}"/>
    <cellStyle name="Comma 2 2 2 3 3 2 2 2 2 2" xfId="8582" xr:uid="{AFD76924-5F31-4C6B-9FF7-7C73F7C46E64}"/>
    <cellStyle name="Comma 2 2 2 3 3 2 2 2 2 2 2" xfId="17254" xr:uid="{0CC0AC47-10A8-4938-8B81-AB42EB21B7F5}"/>
    <cellStyle name="Comma 2 2 2 3 3 2 2 2 2 2 2 2" xfId="34598" xr:uid="{8CD8386A-B478-4272-9EEF-3CC95C69D971}"/>
    <cellStyle name="Comma 2 2 2 3 3 2 2 2 2 2 3" xfId="25926" xr:uid="{777C7945-BD48-4B45-BA0B-47C843A97315}"/>
    <cellStyle name="Comma 2 2 2 3 3 2 2 2 2 3" xfId="12918" xr:uid="{46533CCB-99EB-4DE3-A4BB-4EE5CF6970E7}"/>
    <cellStyle name="Comma 2 2 2 3 3 2 2 2 2 3 2" xfId="30262" xr:uid="{3710B4A9-20B4-4700-858A-70ED179CA1C4}"/>
    <cellStyle name="Comma 2 2 2 3 3 2 2 2 2 4" xfId="21590" xr:uid="{E9307212-9431-4948-B634-686822921039}"/>
    <cellStyle name="Comma 2 2 2 3 3 2 2 2 3" xfId="6414" xr:uid="{92307B89-D434-4B77-BDB9-99036C7E2A54}"/>
    <cellStyle name="Comma 2 2 2 3 3 2 2 2 3 2" xfId="15086" xr:uid="{21430C3D-5B4B-46FF-9E84-4246824600B3}"/>
    <cellStyle name="Comma 2 2 2 3 3 2 2 2 3 2 2" xfId="32430" xr:uid="{D3C006EB-9595-4E22-9568-2945AAE40A4B}"/>
    <cellStyle name="Comma 2 2 2 3 3 2 2 2 3 3" xfId="23758" xr:uid="{468EC912-2380-4D54-9051-F1C4E1ABE0F4}"/>
    <cellStyle name="Comma 2 2 2 3 3 2 2 2 4" xfId="10750" xr:uid="{0DF1A614-B8E8-45DF-B704-80DE7D8205D2}"/>
    <cellStyle name="Comma 2 2 2 3 3 2 2 2 4 2" xfId="28094" xr:uid="{EF6AE825-1043-452F-A0F7-4FC6D820398B}"/>
    <cellStyle name="Comma 2 2 2 3 3 2 2 2 5" xfId="19422" xr:uid="{27D9C5AB-B5F3-4814-A40F-AC7B06CB1F95}"/>
    <cellStyle name="Comma 2 2 2 3 3 2 2 3" xfId="3162" xr:uid="{0D00E884-0524-4263-8CF6-9362A77E5F89}"/>
    <cellStyle name="Comma 2 2 2 3 3 2 2 3 2" xfId="7498" xr:uid="{99B6F7C0-808C-4DDE-A836-07D7F933103B}"/>
    <cellStyle name="Comma 2 2 2 3 3 2 2 3 2 2" xfId="16170" xr:uid="{C706F148-3BD7-4754-B747-411B38F1FFC3}"/>
    <cellStyle name="Comma 2 2 2 3 3 2 2 3 2 2 2" xfId="33514" xr:uid="{F6C9C990-3DBB-43C1-A0FF-F663EB946D1D}"/>
    <cellStyle name="Comma 2 2 2 3 3 2 2 3 2 3" xfId="24842" xr:uid="{C4921BDE-DD85-46A8-B7E8-8879DD4D1854}"/>
    <cellStyle name="Comma 2 2 2 3 3 2 2 3 3" xfId="11834" xr:uid="{115D2A47-B710-4487-BEFF-B08DE19E50E3}"/>
    <cellStyle name="Comma 2 2 2 3 3 2 2 3 3 2" xfId="29178" xr:uid="{1A89F855-8AFD-44F9-85EB-F29C85817052}"/>
    <cellStyle name="Comma 2 2 2 3 3 2 2 3 4" xfId="20506" xr:uid="{E709FD3E-8007-4A2A-A80E-38B73329815B}"/>
    <cellStyle name="Comma 2 2 2 3 3 2 2 4" xfId="5330" xr:uid="{4057F4A9-FD93-43E2-8930-16D1A7D2CDB5}"/>
    <cellStyle name="Comma 2 2 2 3 3 2 2 4 2" xfId="14002" xr:uid="{C5C43C29-83B7-43D3-A3EE-F1D36D6013DB}"/>
    <cellStyle name="Comma 2 2 2 3 3 2 2 4 2 2" xfId="31346" xr:uid="{C158F11A-4DA0-4557-8318-C68395A0C7E9}"/>
    <cellStyle name="Comma 2 2 2 3 3 2 2 4 3" xfId="22674" xr:uid="{DDE93332-CC2E-4062-9482-7B05DC99F12B}"/>
    <cellStyle name="Comma 2 2 2 3 3 2 2 5" xfId="9666" xr:uid="{79288A0A-D11C-472D-A862-167080A5EF46}"/>
    <cellStyle name="Comma 2 2 2 3 3 2 2 5 2" xfId="27010" xr:uid="{63F9B3A5-CABA-4568-AB47-B1B9F9B13E82}"/>
    <cellStyle name="Comma 2 2 2 3 3 2 2 6" xfId="18338" xr:uid="{681F846A-712C-452C-8780-9F43D7CB638B}"/>
    <cellStyle name="Comma 2 2 2 3 3 2 3" xfId="1537" xr:uid="{B0C53CD9-0C17-4435-8E54-51820F13795D}"/>
    <cellStyle name="Comma 2 2 2 3 3 2 3 2" xfId="3705" xr:uid="{3D325A46-A40B-4D3C-A233-DAFE40562170}"/>
    <cellStyle name="Comma 2 2 2 3 3 2 3 2 2" xfId="8041" xr:uid="{91E1D23F-CBAC-4977-9FC1-E181406CB4C6}"/>
    <cellStyle name="Comma 2 2 2 3 3 2 3 2 2 2" xfId="16713" xr:uid="{3802FC14-49EE-4F1D-96B7-FBBF9624D493}"/>
    <cellStyle name="Comma 2 2 2 3 3 2 3 2 2 2 2" xfId="34057" xr:uid="{41E3A6B8-B126-4B2A-9E0D-CAF7BD6AAE44}"/>
    <cellStyle name="Comma 2 2 2 3 3 2 3 2 2 3" xfId="25385" xr:uid="{D27D0DED-4B92-4FD1-88E0-82C4F5354881}"/>
    <cellStyle name="Comma 2 2 2 3 3 2 3 2 3" xfId="12377" xr:uid="{EC7A8C7F-0B7E-4199-98F0-2DB66AD7C95E}"/>
    <cellStyle name="Comma 2 2 2 3 3 2 3 2 3 2" xfId="29721" xr:uid="{4ACF9CBB-47CE-4118-AA3C-AA20A9C2B1B9}"/>
    <cellStyle name="Comma 2 2 2 3 3 2 3 2 4" xfId="21049" xr:uid="{62474190-26D8-4C3F-9C41-7F35D211913D}"/>
    <cellStyle name="Comma 2 2 2 3 3 2 3 3" xfId="5873" xr:uid="{9CC328CB-78B4-4A6F-BEDB-A19B8438BAB6}"/>
    <cellStyle name="Comma 2 2 2 3 3 2 3 3 2" xfId="14545" xr:uid="{A6626098-962A-4CEE-9916-C927A992B734}"/>
    <cellStyle name="Comma 2 2 2 3 3 2 3 3 2 2" xfId="31889" xr:uid="{6365C81E-ACF4-4DC8-90C1-2023F89A9DD0}"/>
    <cellStyle name="Comma 2 2 2 3 3 2 3 3 3" xfId="23217" xr:uid="{13314D26-2CB4-4B72-8DA4-8E1526584C97}"/>
    <cellStyle name="Comma 2 2 2 3 3 2 3 4" xfId="10209" xr:uid="{3D8D675E-7B61-476E-B299-5E1F2D9F4139}"/>
    <cellStyle name="Comma 2 2 2 3 3 2 3 4 2" xfId="27553" xr:uid="{F9834D1E-011D-41FE-85F8-423565393127}"/>
    <cellStyle name="Comma 2 2 2 3 3 2 3 5" xfId="18881" xr:uid="{79139ADA-854A-414E-9F98-BE7561C4DB75}"/>
    <cellStyle name="Comma 2 2 2 3 3 2 4" xfId="2621" xr:uid="{50C7DC2D-1A33-44AA-9FA7-5873B7CAACEC}"/>
    <cellStyle name="Comma 2 2 2 3 3 2 4 2" xfId="6957" xr:uid="{135F55D5-F6B1-4B1A-86CA-B958956A20AF}"/>
    <cellStyle name="Comma 2 2 2 3 3 2 4 2 2" xfId="15629" xr:uid="{579D436D-85ED-4A17-9A83-9868BDA889E9}"/>
    <cellStyle name="Comma 2 2 2 3 3 2 4 2 2 2" xfId="32973" xr:uid="{5466350C-E66C-4052-BA66-E95A8357D88B}"/>
    <cellStyle name="Comma 2 2 2 3 3 2 4 2 3" xfId="24301" xr:uid="{E99060E4-9B6C-458C-954E-BB985B22B5B5}"/>
    <cellStyle name="Comma 2 2 2 3 3 2 4 3" xfId="11293" xr:uid="{F975853D-90C3-491B-8B35-59185CD69AD5}"/>
    <cellStyle name="Comma 2 2 2 3 3 2 4 3 2" xfId="28637" xr:uid="{3CD9DAEC-C5A5-48B1-ADC8-93E6DDF70EEE}"/>
    <cellStyle name="Comma 2 2 2 3 3 2 4 4" xfId="19965" xr:uid="{826B0417-046E-4519-9AA1-0F192046C8A2}"/>
    <cellStyle name="Comma 2 2 2 3 3 2 5" xfId="4789" xr:uid="{896189CB-F37E-419D-BC54-7EA44F21A7C8}"/>
    <cellStyle name="Comma 2 2 2 3 3 2 5 2" xfId="13461" xr:uid="{083E2126-54C2-431B-B1B1-24CB341356BD}"/>
    <cellStyle name="Comma 2 2 2 3 3 2 5 2 2" xfId="30805" xr:uid="{A7CB98E9-6553-4F43-A7FA-764FC070EC36}"/>
    <cellStyle name="Comma 2 2 2 3 3 2 5 3" xfId="22133" xr:uid="{52563D45-A8B7-4430-8205-F8829B478416}"/>
    <cellStyle name="Comma 2 2 2 3 3 2 6" xfId="9125" xr:uid="{88F29CAB-B096-4075-BDA6-CC360E8DA765}"/>
    <cellStyle name="Comma 2 2 2 3 3 2 6 2" xfId="26469" xr:uid="{8F7A3073-3C5C-4BF3-A396-9E19493567A9}"/>
    <cellStyle name="Comma 2 2 2 3 3 2 7" xfId="17797" xr:uid="{C93E4C5A-66B4-447E-8EDF-C5DEB685C163}"/>
    <cellStyle name="Comma 2 2 2 3 3 3" xfId="724" xr:uid="{7F73F1A2-D34B-42D6-8559-AA2B94BF13A9}"/>
    <cellStyle name="Comma 2 2 2 3 3 3 2" xfId="1808" xr:uid="{3397596F-0647-4FEF-8B17-62A60F92E1D0}"/>
    <cellStyle name="Comma 2 2 2 3 3 3 2 2" xfId="3976" xr:uid="{53AC6D23-98B2-49EB-B3C3-4114120C1966}"/>
    <cellStyle name="Comma 2 2 2 3 3 3 2 2 2" xfId="8312" xr:uid="{C5B5B665-52C6-46CB-A6F4-0946FA6AE2FF}"/>
    <cellStyle name="Comma 2 2 2 3 3 3 2 2 2 2" xfId="16984" xr:uid="{90A03F85-E6F2-45F5-82A8-63E613B5B953}"/>
    <cellStyle name="Comma 2 2 2 3 3 3 2 2 2 2 2" xfId="34328" xr:uid="{883F588F-7723-48B2-B0D4-C677A5C03F2F}"/>
    <cellStyle name="Comma 2 2 2 3 3 3 2 2 2 3" xfId="25656" xr:uid="{DBE580DB-A00E-4ECC-8E85-EC2B0EB4B81F}"/>
    <cellStyle name="Comma 2 2 2 3 3 3 2 2 3" xfId="12648" xr:uid="{BBEE5D5E-6EE9-4E30-861B-0D758C6954DD}"/>
    <cellStyle name="Comma 2 2 2 3 3 3 2 2 3 2" xfId="29992" xr:uid="{72E74AD1-BDE1-47DF-848D-C06306E5A7C4}"/>
    <cellStyle name="Comma 2 2 2 3 3 3 2 2 4" xfId="21320" xr:uid="{05122676-917E-443C-B107-35CAC31B4AA8}"/>
    <cellStyle name="Comma 2 2 2 3 3 3 2 3" xfId="6144" xr:uid="{3E7B366E-A408-4F81-A8C6-919BCAD338F4}"/>
    <cellStyle name="Comma 2 2 2 3 3 3 2 3 2" xfId="14816" xr:uid="{1E73D001-CCEA-4370-8B9E-758779923E28}"/>
    <cellStyle name="Comma 2 2 2 3 3 3 2 3 2 2" xfId="32160" xr:uid="{F097BC06-F3B3-4A28-B63C-6BD84EB4D8A5}"/>
    <cellStyle name="Comma 2 2 2 3 3 3 2 3 3" xfId="23488" xr:uid="{D889D9EF-7D78-475D-B361-8E2826D3F17B}"/>
    <cellStyle name="Comma 2 2 2 3 3 3 2 4" xfId="10480" xr:uid="{2976BE11-84EE-479C-9B79-7E4781087071}"/>
    <cellStyle name="Comma 2 2 2 3 3 3 2 4 2" xfId="27824" xr:uid="{D2E7B20B-43E4-40B3-A201-2A5BDD1A96C8}"/>
    <cellStyle name="Comma 2 2 2 3 3 3 2 5" xfId="19152" xr:uid="{F0C23AA7-2E4E-49C4-A2E2-5ECC5CB18308}"/>
    <cellStyle name="Comma 2 2 2 3 3 3 3" xfId="2892" xr:uid="{E2E85DDA-1083-4133-8187-81E825EA1F02}"/>
    <cellStyle name="Comma 2 2 2 3 3 3 3 2" xfId="7228" xr:uid="{DB0393FD-A361-4462-A7C2-462144FBD351}"/>
    <cellStyle name="Comma 2 2 2 3 3 3 3 2 2" xfId="15900" xr:uid="{A72EE22D-1D84-4381-9079-8E384664D9CA}"/>
    <cellStyle name="Comma 2 2 2 3 3 3 3 2 2 2" xfId="33244" xr:uid="{70E8BA73-7C09-4F01-B8A8-6D8682AACE7A}"/>
    <cellStyle name="Comma 2 2 2 3 3 3 3 2 3" xfId="24572" xr:uid="{FA9CA2C9-24CF-4175-8374-9E97EE311D86}"/>
    <cellStyle name="Comma 2 2 2 3 3 3 3 3" xfId="11564" xr:uid="{000C866A-AEF4-449E-8922-ED4666CE03AA}"/>
    <cellStyle name="Comma 2 2 2 3 3 3 3 3 2" xfId="28908" xr:uid="{7D098F1A-7E6B-424F-B8EC-2CA02C086630}"/>
    <cellStyle name="Comma 2 2 2 3 3 3 3 4" xfId="20236" xr:uid="{41F29160-9A75-49B8-B478-2F2C0FD5C475}"/>
    <cellStyle name="Comma 2 2 2 3 3 3 4" xfId="5060" xr:uid="{943924C9-1310-428D-840C-FF3CA1A75660}"/>
    <cellStyle name="Comma 2 2 2 3 3 3 4 2" xfId="13732" xr:uid="{D777C6A5-F88E-4FF9-B055-977C9C55C006}"/>
    <cellStyle name="Comma 2 2 2 3 3 3 4 2 2" xfId="31076" xr:uid="{184B013C-9BFF-4C02-9CBC-B187FAD1B3C6}"/>
    <cellStyle name="Comma 2 2 2 3 3 3 4 3" xfId="22404" xr:uid="{F1F58AEC-0B7D-47BA-8148-BEB6CD85F931}"/>
    <cellStyle name="Comma 2 2 2 3 3 3 5" xfId="9396" xr:uid="{15DFF211-8B17-4D33-8377-38F4369A7F7F}"/>
    <cellStyle name="Comma 2 2 2 3 3 3 5 2" xfId="26740" xr:uid="{E2FB8D05-43C2-4127-B20C-8A2FFBA70660}"/>
    <cellStyle name="Comma 2 2 2 3 3 3 6" xfId="18068" xr:uid="{68CB024F-634E-43C5-810D-945E1CE3B866}"/>
    <cellStyle name="Comma 2 2 2 3 3 4" xfId="1267" xr:uid="{9D8226F7-7265-4234-A56E-C041A17732F5}"/>
    <cellStyle name="Comma 2 2 2 3 3 4 2" xfId="3435" xr:uid="{7C03F448-6164-4B92-A905-FF4FD94CEA7F}"/>
    <cellStyle name="Comma 2 2 2 3 3 4 2 2" xfId="7771" xr:uid="{CF217059-4D8B-4889-8B3C-B96D89A3F118}"/>
    <cellStyle name="Comma 2 2 2 3 3 4 2 2 2" xfId="16443" xr:uid="{BE7B0118-036C-4445-AB07-FDF0604EEB88}"/>
    <cellStyle name="Comma 2 2 2 3 3 4 2 2 2 2" xfId="33787" xr:uid="{406EF97E-9A86-43A6-A148-6824C876A4A6}"/>
    <cellStyle name="Comma 2 2 2 3 3 4 2 2 3" xfId="25115" xr:uid="{B7A23DA4-2B4A-451F-980D-A20A0CE04C8E}"/>
    <cellStyle name="Comma 2 2 2 3 3 4 2 3" xfId="12107" xr:uid="{0F872F71-CBCC-4790-B19D-20624108E6BD}"/>
    <cellStyle name="Comma 2 2 2 3 3 4 2 3 2" xfId="29451" xr:uid="{4B075401-9218-45A5-924E-A563A5077BA9}"/>
    <cellStyle name="Comma 2 2 2 3 3 4 2 4" xfId="20779" xr:uid="{2420DD8E-9B61-459F-9D50-78CD0C1BA212}"/>
    <cellStyle name="Comma 2 2 2 3 3 4 3" xfId="5603" xr:uid="{265DC47A-16BE-4635-A072-642E61C9C480}"/>
    <cellStyle name="Comma 2 2 2 3 3 4 3 2" xfId="14275" xr:uid="{D190553A-A22E-4A71-B83A-D613F0CD4F09}"/>
    <cellStyle name="Comma 2 2 2 3 3 4 3 2 2" xfId="31619" xr:uid="{84001926-C55B-4397-8662-00AFC1E11851}"/>
    <cellStyle name="Comma 2 2 2 3 3 4 3 3" xfId="22947" xr:uid="{13CB2DB5-B8A7-41D5-A358-40E5E31AF79D}"/>
    <cellStyle name="Comma 2 2 2 3 3 4 4" xfId="9939" xr:uid="{607CA5CB-847D-49A0-8067-B4697B8759ED}"/>
    <cellStyle name="Comma 2 2 2 3 3 4 4 2" xfId="27283" xr:uid="{B66EE58E-6A01-497C-A70C-FCDEE712B30C}"/>
    <cellStyle name="Comma 2 2 2 3 3 4 5" xfId="18611" xr:uid="{DDFB773F-693C-4788-9C40-D505CCB27BE5}"/>
    <cellStyle name="Comma 2 2 2 3 3 5" xfId="2351" xr:uid="{7235D64D-B1A9-4B46-AF1D-077834685089}"/>
    <cellStyle name="Comma 2 2 2 3 3 5 2" xfId="6687" xr:uid="{94919671-8CA6-4E51-86EE-7C508A1B1E53}"/>
    <cellStyle name="Comma 2 2 2 3 3 5 2 2" xfId="15359" xr:uid="{E112F6BD-C725-4F6B-96BC-2EDB4CA557D0}"/>
    <cellStyle name="Comma 2 2 2 3 3 5 2 2 2" xfId="32703" xr:uid="{6DC49B69-4B10-41CF-9B20-5D78AFE0EAAB}"/>
    <cellStyle name="Comma 2 2 2 3 3 5 2 3" xfId="24031" xr:uid="{D2B73EC9-3D36-4B86-8471-BDC82ECA5527}"/>
    <cellStyle name="Comma 2 2 2 3 3 5 3" xfId="11023" xr:uid="{C96095C8-0418-4D93-83E0-72D9AFF72AE5}"/>
    <cellStyle name="Comma 2 2 2 3 3 5 3 2" xfId="28367" xr:uid="{58A87E67-E956-4ACA-B676-AF573DAE7732}"/>
    <cellStyle name="Comma 2 2 2 3 3 5 4" xfId="19695" xr:uid="{C5DF7C08-0D85-4906-8169-E8F0D29A458A}"/>
    <cellStyle name="Comma 2 2 2 3 3 6" xfId="4519" xr:uid="{2C99A23C-ED1D-4080-AD60-0B54871357D0}"/>
    <cellStyle name="Comma 2 2 2 3 3 6 2" xfId="13191" xr:uid="{19541986-BCC8-4FCC-9609-9378FA658870}"/>
    <cellStyle name="Comma 2 2 2 3 3 6 2 2" xfId="30535" xr:uid="{0E3C8D94-8E7E-4273-B869-6EA77EF82F6A}"/>
    <cellStyle name="Comma 2 2 2 3 3 6 3" xfId="21863" xr:uid="{D9CEA25D-77CF-4390-8CA0-B007E9940E54}"/>
    <cellStyle name="Comma 2 2 2 3 3 7" xfId="8855" xr:uid="{23253F3B-BFD4-4F79-A41A-EA761947F567}"/>
    <cellStyle name="Comma 2 2 2 3 3 7 2" xfId="26199" xr:uid="{53041196-C5F2-45DF-9EDC-87FEE55EB1B5}"/>
    <cellStyle name="Comma 2 2 2 3 3 8" xfId="17527" xr:uid="{02580B34-7583-4984-A7EB-AA979E26CB94}"/>
    <cellStyle name="Comma 2 2 2 3 4" xfId="331" xr:uid="{28D0E5C6-EBF9-4912-88EA-EA5220343022}"/>
    <cellStyle name="Comma 2 2 2 3 4 2" xfId="872" xr:uid="{DCF2A2A6-12A0-4FD3-9993-4FFCD6C21CA2}"/>
    <cellStyle name="Comma 2 2 2 3 4 2 2" xfId="1956" xr:uid="{CEDAD541-DF72-48AE-BE22-87E240D2CFAF}"/>
    <cellStyle name="Comma 2 2 2 3 4 2 2 2" xfId="4124" xr:uid="{BD7B466A-ECF0-46DF-8860-04069375A9F2}"/>
    <cellStyle name="Comma 2 2 2 3 4 2 2 2 2" xfId="8460" xr:uid="{DCFE8561-D198-4619-AB60-12880A5B8FB2}"/>
    <cellStyle name="Comma 2 2 2 3 4 2 2 2 2 2" xfId="17132" xr:uid="{69152F90-D3CB-4FFF-A3A9-4957925CCA2A}"/>
    <cellStyle name="Comma 2 2 2 3 4 2 2 2 2 2 2" xfId="34476" xr:uid="{B2AFA122-ADE6-4342-A4A8-B963E1F1F916}"/>
    <cellStyle name="Comma 2 2 2 3 4 2 2 2 2 3" xfId="25804" xr:uid="{5E5DD3C9-A901-4F0C-9AA1-CE3C16AA6086}"/>
    <cellStyle name="Comma 2 2 2 3 4 2 2 2 3" xfId="12796" xr:uid="{5F6B2D31-1DB1-4E3B-9A3C-7C4DDB2F1D37}"/>
    <cellStyle name="Comma 2 2 2 3 4 2 2 2 3 2" xfId="30140" xr:uid="{90947635-0848-486E-AD23-D5D46B20481F}"/>
    <cellStyle name="Comma 2 2 2 3 4 2 2 2 4" xfId="21468" xr:uid="{C2559B0B-5013-4CD6-B13D-64D6D1E06477}"/>
    <cellStyle name="Comma 2 2 2 3 4 2 2 3" xfId="6292" xr:uid="{974F43F4-3998-488E-8E5C-5BAD382C9D76}"/>
    <cellStyle name="Comma 2 2 2 3 4 2 2 3 2" xfId="14964" xr:uid="{90AA94DF-7C58-4439-9D9D-76E99359D3C9}"/>
    <cellStyle name="Comma 2 2 2 3 4 2 2 3 2 2" xfId="32308" xr:uid="{28487B86-6C9D-4D38-9F94-5C29E39BA610}"/>
    <cellStyle name="Comma 2 2 2 3 4 2 2 3 3" xfId="23636" xr:uid="{0CF3D265-A30C-40AC-B0B5-DA142C6B6E9D}"/>
    <cellStyle name="Comma 2 2 2 3 4 2 2 4" xfId="10628" xr:uid="{E7B673BB-F2A9-4D93-8EB7-BA715967B392}"/>
    <cellStyle name="Comma 2 2 2 3 4 2 2 4 2" xfId="27972" xr:uid="{6AFBB7E4-F3CD-48F2-A3F9-A78B3833F777}"/>
    <cellStyle name="Comma 2 2 2 3 4 2 2 5" xfId="19300" xr:uid="{A598191A-4257-4925-AB2D-9452E6607640}"/>
    <cellStyle name="Comma 2 2 2 3 4 2 3" xfId="3040" xr:uid="{D39A9522-D307-43A3-9B09-5E996EBADE76}"/>
    <cellStyle name="Comma 2 2 2 3 4 2 3 2" xfId="7376" xr:uid="{3CF45F74-7E64-4A17-83EB-BDA4A00E84F4}"/>
    <cellStyle name="Comma 2 2 2 3 4 2 3 2 2" xfId="16048" xr:uid="{1788F137-3A22-49B2-B258-67B7C55AECA5}"/>
    <cellStyle name="Comma 2 2 2 3 4 2 3 2 2 2" xfId="33392" xr:uid="{ED06E2D4-43D5-451E-881C-1E1291C122AF}"/>
    <cellStyle name="Comma 2 2 2 3 4 2 3 2 3" xfId="24720" xr:uid="{C671DBA8-6229-46DF-A07F-3B3D7143AF10}"/>
    <cellStyle name="Comma 2 2 2 3 4 2 3 3" xfId="11712" xr:uid="{98BA911C-1999-4E75-A8F2-7F2B18CB8E66}"/>
    <cellStyle name="Comma 2 2 2 3 4 2 3 3 2" xfId="29056" xr:uid="{DBB02EE6-5FB5-4FB8-8CC3-FE44DAA2D19D}"/>
    <cellStyle name="Comma 2 2 2 3 4 2 3 4" xfId="20384" xr:uid="{2D6BEF53-041C-4340-89C2-33983CEAD54B}"/>
    <cellStyle name="Comma 2 2 2 3 4 2 4" xfId="5208" xr:uid="{19EA2D7E-C4E6-4E4D-AAF5-6348EFDF21A9}"/>
    <cellStyle name="Comma 2 2 2 3 4 2 4 2" xfId="13880" xr:uid="{9EFE6F04-662F-4132-A728-FD27B737B6BA}"/>
    <cellStyle name="Comma 2 2 2 3 4 2 4 2 2" xfId="31224" xr:uid="{8AA35C5F-709D-4A31-8E07-D0441224EEA7}"/>
    <cellStyle name="Comma 2 2 2 3 4 2 4 3" xfId="22552" xr:uid="{8B4414B8-3427-437B-889A-391D9532356E}"/>
    <cellStyle name="Comma 2 2 2 3 4 2 5" xfId="9544" xr:uid="{7ECF352C-6062-44FA-960F-FB3D625E5BA0}"/>
    <cellStyle name="Comma 2 2 2 3 4 2 5 2" xfId="26888" xr:uid="{E2D25E11-6D06-4A22-9D83-33E7B9039240}"/>
    <cellStyle name="Comma 2 2 2 3 4 2 6" xfId="18216" xr:uid="{8E40C67F-3625-4E72-8AEB-3F210DF12ADD}"/>
    <cellStyle name="Comma 2 2 2 3 4 3" xfId="1415" xr:uid="{4F91121D-D9A3-411D-B83B-BF752A60FF60}"/>
    <cellStyle name="Comma 2 2 2 3 4 3 2" xfId="3583" xr:uid="{9B3E39B9-4278-402D-BCFC-7C75F7B5AEBC}"/>
    <cellStyle name="Comma 2 2 2 3 4 3 2 2" xfId="7919" xr:uid="{CA955690-6526-4E68-A3F1-64424660AB3D}"/>
    <cellStyle name="Comma 2 2 2 3 4 3 2 2 2" xfId="16591" xr:uid="{EB61E880-51CE-4D75-BB52-F26E5770A79C}"/>
    <cellStyle name="Comma 2 2 2 3 4 3 2 2 2 2" xfId="33935" xr:uid="{E8F52AA0-17A9-4569-B4CB-6EBFA1FDD151}"/>
    <cellStyle name="Comma 2 2 2 3 4 3 2 2 3" xfId="25263" xr:uid="{AC8D0519-92AA-47D9-8D19-2A3A5472750E}"/>
    <cellStyle name="Comma 2 2 2 3 4 3 2 3" xfId="12255" xr:uid="{B4515191-317F-441B-9FC5-25E9314714F7}"/>
    <cellStyle name="Comma 2 2 2 3 4 3 2 3 2" xfId="29599" xr:uid="{4A8338EB-5B9A-4EA5-8999-633E576CE6EF}"/>
    <cellStyle name="Comma 2 2 2 3 4 3 2 4" xfId="20927" xr:uid="{87932138-F9C8-461F-9711-4816AC1584FD}"/>
    <cellStyle name="Comma 2 2 2 3 4 3 3" xfId="5751" xr:uid="{0C4D909F-77F4-475F-A407-C52D79FBCE20}"/>
    <cellStyle name="Comma 2 2 2 3 4 3 3 2" xfId="14423" xr:uid="{448C300C-A496-429F-89C8-648FBFD3FFE8}"/>
    <cellStyle name="Comma 2 2 2 3 4 3 3 2 2" xfId="31767" xr:uid="{C24DBEF2-1B86-46DB-969D-A3E2656C9A65}"/>
    <cellStyle name="Comma 2 2 2 3 4 3 3 3" xfId="23095" xr:uid="{EE70B36D-CA26-4079-9918-F83D7E710A06}"/>
    <cellStyle name="Comma 2 2 2 3 4 3 4" xfId="10087" xr:uid="{C2A407D6-2108-4747-9BAB-D370BBC626FB}"/>
    <cellStyle name="Comma 2 2 2 3 4 3 4 2" xfId="27431" xr:uid="{F0AFD48F-10AB-4054-AB2F-44C14284E9AF}"/>
    <cellStyle name="Comma 2 2 2 3 4 3 5" xfId="18759" xr:uid="{725EDF95-F76A-49BE-848C-BA4C0491E85C}"/>
    <cellStyle name="Comma 2 2 2 3 4 4" xfId="2499" xr:uid="{67AD707B-F12F-47A8-AD40-C60632781BE0}"/>
    <cellStyle name="Comma 2 2 2 3 4 4 2" xfId="6835" xr:uid="{D269C4A7-11C3-44D3-8C6D-24492D8F5056}"/>
    <cellStyle name="Comma 2 2 2 3 4 4 2 2" xfId="15507" xr:uid="{654C4D51-6608-42E4-BA4B-1093C810FEAC}"/>
    <cellStyle name="Comma 2 2 2 3 4 4 2 2 2" xfId="32851" xr:uid="{DB41995A-99D4-4B1E-8579-FADE59F6BCBC}"/>
    <cellStyle name="Comma 2 2 2 3 4 4 2 3" xfId="24179" xr:uid="{A43F558F-505D-40B3-93EE-42E707FFE306}"/>
    <cellStyle name="Comma 2 2 2 3 4 4 3" xfId="11171" xr:uid="{E602052B-7E84-4E50-8F15-8FB249A42683}"/>
    <cellStyle name="Comma 2 2 2 3 4 4 3 2" xfId="28515" xr:uid="{24D98FAB-FEF9-472C-9E15-4C6D4C06E6B5}"/>
    <cellStyle name="Comma 2 2 2 3 4 4 4" xfId="19843" xr:uid="{2C5B7FCF-DA82-4042-924C-A00E17AC322C}"/>
    <cellStyle name="Comma 2 2 2 3 4 5" xfId="4667" xr:uid="{9DD1B880-524D-4DFE-8815-406A5CDDF013}"/>
    <cellStyle name="Comma 2 2 2 3 4 5 2" xfId="13339" xr:uid="{F9D48AE0-53C9-4349-A4E9-F3E0C438D24E}"/>
    <cellStyle name="Comma 2 2 2 3 4 5 2 2" xfId="30683" xr:uid="{2C7F0FFF-B115-4711-9A13-9A6663A09940}"/>
    <cellStyle name="Comma 2 2 2 3 4 5 3" xfId="22011" xr:uid="{2792490A-DA77-4640-8A77-354BFE451E30}"/>
    <cellStyle name="Comma 2 2 2 3 4 6" xfId="9003" xr:uid="{05726831-AC0D-4F8D-94BC-DE9D0559833F}"/>
    <cellStyle name="Comma 2 2 2 3 4 6 2" xfId="26347" xr:uid="{A6DABD4B-9847-43C9-B280-33CCC5DF475B}"/>
    <cellStyle name="Comma 2 2 2 3 4 7" xfId="17675" xr:uid="{5EA8FCFD-A2B0-49C0-82C2-5E068C642C54}"/>
    <cellStyle name="Comma 2 2 2 3 5" xfId="602" xr:uid="{BB096944-EFAC-472C-B25D-4B50B932328B}"/>
    <cellStyle name="Comma 2 2 2 3 5 2" xfId="1686" xr:uid="{BBA48075-ED1E-4C3F-9C55-32CF1917CFAE}"/>
    <cellStyle name="Comma 2 2 2 3 5 2 2" xfId="3854" xr:uid="{70330050-F104-460F-A40A-5CDEA5C139A3}"/>
    <cellStyle name="Comma 2 2 2 3 5 2 2 2" xfId="8190" xr:uid="{33488201-3D74-4FDC-925C-759993A61066}"/>
    <cellStyle name="Comma 2 2 2 3 5 2 2 2 2" xfId="16862" xr:uid="{22941AFF-3DE7-4D33-AD15-2AAE4393AE2F}"/>
    <cellStyle name="Comma 2 2 2 3 5 2 2 2 2 2" xfId="34206" xr:uid="{DD0D6DC9-8F03-4A82-A5AD-157CFB490F56}"/>
    <cellStyle name="Comma 2 2 2 3 5 2 2 2 3" xfId="25534" xr:uid="{BCE2F0A9-9653-4276-871D-257DF98F0F0E}"/>
    <cellStyle name="Comma 2 2 2 3 5 2 2 3" xfId="12526" xr:uid="{86833B6A-5E97-4002-BD29-9FB94B254313}"/>
    <cellStyle name="Comma 2 2 2 3 5 2 2 3 2" xfId="29870" xr:uid="{6F320CA2-A22B-45EB-8953-373268645993}"/>
    <cellStyle name="Comma 2 2 2 3 5 2 2 4" xfId="21198" xr:uid="{28F64DAA-AAB0-4792-9054-1D1BB6E16059}"/>
    <cellStyle name="Comma 2 2 2 3 5 2 3" xfId="6022" xr:uid="{75157F4C-30F3-491B-AAF8-C0E4171C8F3D}"/>
    <cellStyle name="Comma 2 2 2 3 5 2 3 2" xfId="14694" xr:uid="{DF3DCF19-C3F5-4823-B6FF-18914A626E66}"/>
    <cellStyle name="Comma 2 2 2 3 5 2 3 2 2" xfId="32038" xr:uid="{DC071CF5-358C-4245-B0E8-A778478A284C}"/>
    <cellStyle name="Comma 2 2 2 3 5 2 3 3" xfId="23366" xr:uid="{CC55458A-9B48-444E-B543-4CCA6019CB90}"/>
    <cellStyle name="Comma 2 2 2 3 5 2 4" xfId="10358" xr:uid="{DC166358-E8CC-405A-AD9D-D27635A216CA}"/>
    <cellStyle name="Comma 2 2 2 3 5 2 4 2" xfId="27702" xr:uid="{B0498396-C348-4B5B-A546-2B649A6F4F9F}"/>
    <cellStyle name="Comma 2 2 2 3 5 2 5" xfId="19030" xr:uid="{CCF5F4A3-151C-4EAF-B8CF-A9A18C92D1DB}"/>
    <cellStyle name="Comma 2 2 2 3 5 3" xfId="2770" xr:uid="{8D9DBF80-D74A-4CE9-B5AA-D69484C0E5AD}"/>
    <cellStyle name="Comma 2 2 2 3 5 3 2" xfId="7106" xr:uid="{625E7715-A3FD-4861-A20C-F7DD45F8D50C}"/>
    <cellStyle name="Comma 2 2 2 3 5 3 2 2" xfId="15778" xr:uid="{ADA7A769-D8E4-4AF5-AC60-EA073124D134}"/>
    <cellStyle name="Comma 2 2 2 3 5 3 2 2 2" xfId="33122" xr:uid="{06CDE6F5-58E2-4717-B06D-8D2CA1FEBCDA}"/>
    <cellStyle name="Comma 2 2 2 3 5 3 2 3" xfId="24450" xr:uid="{B2BB4EC4-CDBB-4D9F-A4B6-75147C9732FD}"/>
    <cellStyle name="Comma 2 2 2 3 5 3 3" xfId="11442" xr:uid="{6F6F8D7A-BF2F-4F92-A5E5-A6835EAB8858}"/>
    <cellStyle name="Comma 2 2 2 3 5 3 3 2" xfId="28786" xr:uid="{F6F97121-623B-44A3-AF8A-8D92A4A7EB4C}"/>
    <cellStyle name="Comma 2 2 2 3 5 3 4" xfId="20114" xr:uid="{3DF2CE12-07E6-4D80-9F89-2872E76CA94E}"/>
    <cellStyle name="Comma 2 2 2 3 5 4" xfId="4938" xr:uid="{DBAA2A3C-E29D-4FFB-8536-463C7DFB240B}"/>
    <cellStyle name="Comma 2 2 2 3 5 4 2" xfId="13610" xr:uid="{EF090EA1-B6CC-472A-BAB3-C001EC9DAB23}"/>
    <cellStyle name="Comma 2 2 2 3 5 4 2 2" xfId="30954" xr:uid="{1BFBB5B7-1030-4E2C-BA4B-76ECD4677D8E}"/>
    <cellStyle name="Comma 2 2 2 3 5 4 3" xfId="22282" xr:uid="{F71CDBD3-EA2B-40FD-BF90-BE849C16A8FD}"/>
    <cellStyle name="Comma 2 2 2 3 5 5" xfId="9274" xr:uid="{1E7A25C7-4334-4C9E-8023-F0891D6EBD93}"/>
    <cellStyle name="Comma 2 2 2 3 5 5 2" xfId="26618" xr:uid="{32C23F04-A8F7-47B8-8958-B5DD685A0C78}"/>
    <cellStyle name="Comma 2 2 2 3 5 6" xfId="17946" xr:uid="{612A4045-F717-4F8D-BB33-5E37B71ACC22}"/>
    <cellStyle name="Comma 2 2 2 3 6" xfId="1145" xr:uid="{75595963-F2DB-490D-B5DE-477BC86F05B0}"/>
    <cellStyle name="Comma 2 2 2 3 6 2" xfId="3313" xr:uid="{B9983246-9ADB-4255-A76C-2F5F5A640BAA}"/>
    <cellStyle name="Comma 2 2 2 3 6 2 2" xfId="7649" xr:uid="{E0A814E4-3474-42CB-9700-E39E8D3EAB64}"/>
    <cellStyle name="Comma 2 2 2 3 6 2 2 2" xfId="16321" xr:uid="{5E70A3BA-B631-4EF1-80AD-210056EFC812}"/>
    <cellStyle name="Comma 2 2 2 3 6 2 2 2 2" xfId="33665" xr:uid="{D056A334-2621-4C51-AB31-9F927344B881}"/>
    <cellStyle name="Comma 2 2 2 3 6 2 2 3" xfId="24993" xr:uid="{B7BBE936-9C6A-4B34-9612-79DD2E157B1D}"/>
    <cellStyle name="Comma 2 2 2 3 6 2 3" xfId="11985" xr:uid="{022DFD93-0D7B-42D1-85DA-51A840CF4AA6}"/>
    <cellStyle name="Comma 2 2 2 3 6 2 3 2" xfId="29329" xr:uid="{119AE967-0C7F-4249-A859-3F5C027BD4F0}"/>
    <cellStyle name="Comma 2 2 2 3 6 2 4" xfId="20657" xr:uid="{9BA25EDC-5744-448D-89BE-A5D0B6FBC31E}"/>
    <cellStyle name="Comma 2 2 2 3 6 3" xfId="5481" xr:uid="{B038E66B-A4B3-4995-B4D8-8947FAD30C76}"/>
    <cellStyle name="Comma 2 2 2 3 6 3 2" xfId="14153" xr:uid="{6C293726-F430-4B9F-9068-1D042F2548FD}"/>
    <cellStyle name="Comma 2 2 2 3 6 3 2 2" xfId="31497" xr:uid="{F793E168-BBAF-4C80-9219-36346EC831F9}"/>
    <cellStyle name="Comma 2 2 2 3 6 3 3" xfId="22825" xr:uid="{F18515C7-C4B0-42B7-91F5-85A02787E289}"/>
    <cellStyle name="Comma 2 2 2 3 6 4" xfId="9817" xr:uid="{A075E409-3E4C-49C2-B34C-1B30B2F34358}"/>
    <cellStyle name="Comma 2 2 2 3 6 4 2" xfId="27161" xr:uid="{784FABEB-8218-4E93-BECC-2B5F2FB341EB}"/>
    <cellStyle name="Comma 2 2 2 3 6 5" xfId="18489" xr:uid="{5BFDE5E6-EF52-47B8-A43E-8EE94334C221}"/>
    <cellStyle name="Comma 2 2 2 3 7" xfId="2229" xr:uid="{7BD182F9-5925-48BD-BD86-FBC2803DB1F4}"/>
    <cellStyle name="Comma 2 2 2 3 7 2" xfId="6565" xr:uid="{60AB86DE-165D-4B67-B9DE-3169725DC741}"/>
    <cellStyle name="Comma 2 2 2 3 7 2 2" xfId="15237" xr:uid="{CFE79814-F1F8-4C20-86B3-BA06E9B2F577}"/>
    <cellStyle name="Comma 2 2 2 3 7 2 2 2" xfId="32581" xr:uid="{9193295F-27A6-4105-B258-D1C5B12CD83C}"/>
    <cellStyle name="Comma 2 2 2 3 7 2 3" xfId="23909" xr:uid="{B8087BB4-88F2-410F-BBA2-7A2E29702EAF}"/>
    <cellStyle name="Comma 2 2 2 3 7 3" xfId="10901" xr:uid="{7A0F105A-2F5F-4EA0-9216-342542205D2F}"/>
    <cellStyle name="Comma 2 2 2 3 7 3 2" xfId="28245" xr:uid="{E29C07B5-4225-4488-8350-68FEE4325BD2}"/>
    <cellStyle name="Comma 2 2 2 3 7 4" xfId="19573" xr:uid="{5FA1025E-74A5-4112-81E7-F99EA0163426}"/>
    <cellStyle name="Comma 2 2 2 3 8" xfId="4397" xr:uid="{6C78844E-D0F5-4C05-AA65-859DDEAF5D02}"/>
    <cellStyle name="Comma 2 2 2 3 8 2" xfId="13069" xr:uid="{0559EBE4-AE2F-497B-96DE-774F371B6957}"/>
    <cellStyle name="Comma 2 2 2 3 8 2 2" xfId="30413" xr:uid="{7F668DE2-06F6-43B3-88D0-21C888B2900E}"/>
    <cellStyle name="Comma 2 2 2 3 8 3" xfId="21741" xr:uid="{F0FC952E-BAEA-4E7B-962B-8583F1277C3D}"/>
    <cellStyle name="Comma 2 2 2 3 9" xfId="8733" xr:uid="{1B3C8615-9FA9-46A3-9E57-A813B7BC8CEB}"/>
    <cellStyle name="Comma 2 2 2 3 9 2" xfId="26077" xr:uid="{D9DBA7B3-79E5-4831-9FBD-6448E0FEFA65}"/>
    <cellStyle name="Comma 2 2 2 4" xfId="74" xr:uid="{A9C6BB37-8567-4D1A-8764-E29D5BDDC2C5}"/>
    <cellStyle name="Comma 2 2 2 4 2" xfId="196" xr:uid="{255C916B-A460-452A-B198-B47656D594BC}"/>
    <cellStyle name="Comma 2 2 2 4 2 2" xfId="466" xr:uid="{60F2552C-515C-46ED-8AB9-E86BD74C963D}"/>
    <cellStyle name="Comma 2 2 2 4 2 2 2" xfId="1007" xr:uid="{E4EBBFDF-B0F6-4F6B-A78B-22EE219BB55E}"/>
    <cellStyle name="Comma 2 2 2 4 2 2 2 2" xfId="2091" xr:uid="{668C1B17-A35A-4300-B668-82B6C152BBA1}"/>
    <cellStyle name="Comma 2 2 2 4 2 2 2 2 2" xfId="4259" xr:uid="{8B43910D-F3BA-4689-9D64-9A244D6B5EC4}"/>
    <cellStyle name="Comma 2 2 2 4 2 2 2 2 2 2" xfId="8595" xr:uid="{C2D57379-05A8-4D25-B97F-B55AB0FE28D3}"/>
    <cellStyle name="Comma 2 2 2 4 2 2 2 2 2 2 2" xfId="17267" xr:uid="{257169EC-995A-42A2-AB23-E428C135E135}"/>
    <cellStyle name="Comma 2 2 2 4 2 2 2 2 2 2 2 2" xfId="34611" xr:uid="{C748D8FA-0FDF-4FDB-BE5D-C5C547C315CA}"/>
    <cellStyle name="Comma 2 2 2 4 2 2 2 2 2 2 3" xfId="25939" xr:uid="{F2CC1E59-DFA3-463C-B2DA-026F61A0AAEB}"/>
    <cellStyle name="Comma 2 2 2 4 2 2 2 2 2 3" xfId="12931" xr:uid="{3F2F1F81-362F-4365-A20C-A20EB5EB48D0}"/>
    <cellStyle name="Comma 2 2 2 4 2 2 2 2 2 3 2" xfId="30275" xr:uid="{B5AED2DC-6E43-46FB-B8AC-8CF5F094D2BF}"/>
    <cellStyle name="Comma 2 2 2 4 2 2 2 2 2 4" xfId="21603" xr:uid="{8A1EC16B-1A19-48D4-9280-425C5D41A1FB}"/>
    <cellStyle name="Comma 2 2 2 4 2 2 2 2 3" xfId="6427" xr:uid="{C8D483CA-F819-4722-B8D9-FDA9D60F4FC1}"/>
    <cellStyle name="Comma 2 2 2 4 2 2 2 2 3 2" xfId="15099" xr:uid="{CE407565-6C59-4C01-B3DA-C70F30779E82}"/>
    <cellStyle name="Comma 2 2 2 4 2 2 2 2 3 2 2" xfId="32443" xr:uid="{D0DF9E1D-41D5-40AA-AB16-F7009A9578DF}"/>
    <cellStyle name="Comma 2 2 2 4 2 2 2 2 3 3" xfId="23771" xr:uid="{E717027F-CDFE-41EC-A47C-5DA618F205D1}"/>
    <cellStyle name="Comma 2 2 2 4 2 2 2 2 4" xfId="10763" xr:uid="{CFCB27DB-A585-4B65-A725-A8EAC2F67A23}"/>
    <cellStyle name="Comma 2 2 2 4 2 2 2 2 4 2" xfId="28107" xr:uid="{A2CE06E6-5466-4CD1-9A22-19A23F3C7345}"/>
    <cellStyle name="Comma 2 2 2 4 2 2 2 2 5" xfId="19435" xr:uid="{DD0FB3A3-8E3D-459A-BC91-8113EB1BD91B}"/>
    <cellStyle name="Comma 2 2 2 4 2 2 2 3" xfId="3175" xr:uid="{C39099C8-072B-407E-9E63-4F3159C093E8}"/>
    <cellStyle name="Comma 2 2 2 4 2 2 2 3 2" xfId="7511" xr:uid="{A0397B07-7D82-48A8-ADC7-895FADB6EF31}"/>
    <cellStyle name="Comma 2 2 2 4 2 2 2 3 2 2" xfId="16183" xr:uid="{33CB76D2-2439-40C1-946D-E293EF516457}"/>
    <cellStyle name="Comma 2 2 2 4 2 2 2 3 2 2 2" xfId="33527" xr:uid="{72280CD8-1309-402B-80C5-B0AE35D163F9}"/>
    <cellStyle name="Comma 2 2 2 4 2 2 2 3 2 3" xfId="24855" xr:uid="{7D0200DF-6C49-41AA-80EE-E87B3B7F920E}"/>
    <cellStyle name="Comma 2 2 2 4 2 2 2 3 3" xfId="11847" xr:uid="{B5956E88-DB09-4570-906D-866139CDD8BF}"/>
    <cellStyle name="Comma 2 2 2 4 2 2 2 3 3 2" xfId="29191" xr:uid="{479F8B47-E11D-4FB8-BB38-179DD8E1D887}"/>
    <cellStyle name="Comma 2 2 2 4 2 2 2 3 4" xfId="20519" xr:uid="{D7A66760-4DF7-4352-B0E7-FEC6BF1F4205}"/>
    <cellStyle name="Comma 2 2 2 4 2 2 2 4" xfId="5343" xr:uid="{F721F437-551F-49B3-9405-B68A35F31EB1}"/>
    <cellStyle name="Comma 2 2 2 4 2 2 2 4 2" xfId="14015" xr:uid="{06239EDA-5EF4-4CEF-8E63-E41E992709C6}"/>
    <cellStyle name="Comma 2 2 2 4 2 2 2 4 2 2" xfId="31359" xr:uid="{65F0644A-BC5C-4126-8972-6E46E83789B7}"/>
    <cellStyle name="Comma 2 2 2 4 2 2 2 4 3" xfId="22687" xr:uid="{B6B241EA-EC23-42EE-A127-0168E18031B3}"/>
    <cellStyle name="Comma 2 2 2 4 2 2 2 5" xfId="9679" xr:uid="{81CB5DBD-EFFE-4ACF-BE27-8E815BDE5937}"/>
    <cellStyle name="Comma 2 2 2 4 2 2 2 5 2" xfId="27023" xr:uid="{6061D0C4-B9CA-4408-8FFC-AF27BA243942}"/>
    <cellStyle name="Comma 2 2 2 4 2 2 2 6" xfId="18351" xr:uid="{A8BFF6BC-8610-47ED-AC72-3F6DB8B60C9F}"/>
    <cellStyle name="Comma 2 2 2 4 2 2 3" xfId="1550" xr:uid="{6AA23996-52F4-4BCD-B9A6-D2B37E9A9B3C}"/>
    <cellStyle name="Comma 2 2 2 4 2 2 3 2" xfId="3718" xr:uid="{D6DFFFC0-1802-4ACA-98E9-8A2701403053}"/>
    <cellStyle name="Comma 2 2 2 4 2 2 3 2 2" xfId="8054" xr:uid="{D27227C1-1245-4946-83A8-48D21417E929}"/>
    <cellStyle name="Comma 2 2 2 4 2 2 3 2 2 2" xfId="16726" xr:uid="{ADECEB96-733B-4CFA-876A-EDC32C4637B7}"/>
    <cellStyle name="Comma 2 2 2 4 2 2 3 2 2 2 2" xfId="34070" xr:uid="{2A83EC9A-956E-4C35-BE28-4963A2BB064C}"/>
    <cellStyle name="Comma 2 2 2 4 2 2 3 2 2 3" xfId="25398" xr:uid="{30D03ECE-E357-4F38-9AB2-9C74773029D3}"/>
    <cellStyle name="Comma 2 2 2 4 2 2 3 2 3" xfId="12390" xr:uid="{78BA6F1A-F4D3-41A2-B39D-2FAE6D6F2365}"/>
    <cellStyle name="Comma 2 2 2 4 2 2 3 2 3 2" xfId="29734" xr:uid="{BECF3212-ABDF-474C-A2D3-BE4005DF9AC7}"/>
    <cellStyle name="Comma 2 2 2 4 2 2 3 2 4" xfId="21062" xr:uid="{4832DADD-5A1F-4555-8CD4-DD8F4FBB1F71}"/>
    <cellStyle name="Comma 2 2 2 4 2 2 3 3" xfId="5886" xr:uid="{1343DD8E-4576-4BFF-B2B3-BDAD9734C992}"/>
    <cellStyle name="Comma 2 2 2 4 2 2 3 3 2" xfId="14558" xr:uid="{99DB6E76-527F-4035-A1E8-6A62BE7B9EA7}"/>
    <cellStyle name="Comma 2 2 2 4 2 2 3 3 2 2" xfId="31902" xr:uid="{FB13C0BB-F6BE-473E-8683-88D225451086}"/>
    <cellStyle name="Comma 2 2 2 4 2 2 3 3 3" xfId="23230" xr:uid="{D0436D3E-8946-4AD4-88A2-784257E6B262}"/>
    <cellStyle name="Comma 2 2 2 4 2 2 3 4" xfId="10222" xr:uid="{E6B6057D-82B9-4204-A1E9-F549C3B1B82D}"/>
    <cellStyle name="Comma 2 2 2 4 2 2 3 4 2" xfId="27566" xr:uid="{4F61B35E-05FE-409C-843A-F7ED2233A31E}"/>
    <cellStyle name="Comma 2 2 2 4 2 2 3 5" xfId="18894" xr:uid="{99A1F3AA-D8B2-4AD3-ABBE-C464267BFAF7}"/>
    <cellStyle name="Comma 2 2 2 4 2 2 4" xfId="2634" xr:uid="{8A0CA8D1-D78E-4D48-914F-B24A16687C46}"/>
    <cellStyle name="Comma 2 2 2 4 2 2 4 2" xfId="6970" xr:uid="{1AEACA98-A2F5-4695-ADA8-EA980FE7E6B3}"/>
    <cellStyle name="Comma 2 2 2 4 2 2 4 2 2" xfId="15642" xr:uid="{5575711B-2313-4C07-94D9-602C7F177197}"/>
    <cellStyle name="Comma 2 2 2 4 2 2 4 2 2 2" xfId="32986" xr:uid="{FFA9645A-E0F0-4D21-9626-0B72E20ECDE6}"/>
    <cellStyle name="Comma 2 2 2 4 2 2 4 2 3" xfId="24314" xr:uid="{BFFF3C76-5F3B-465C-94D3-3AD95BA9989E}"/>
    <cellStyle name="Comma 2 2 2 4 2 2 4 3" xfId="11306" xr:uid="{7CD009D9-C455-4785-8DC2-ABA93C9AA372}"/>
    <cellStyle name="Comma 2 2 2 4 2 2 4 3 2" xfId="28650" xr:uid="{2E03A728-5F01-43D9-BA01-5187C18BE539}"/>
    <cellStyle name="Comma 2 2 2 4 2 2 4 4" xfId="19978" xr:uid="{3FEFC518-CECF-48F9-97A4-07CEB30F9AA7}"/>
    <cellStyle name="Comma 2 2 2 4 2 2 5" xfId="4802" xr:uid="{6D59E8A2-A9DE-49BB-8119-861D6A899569}"/>
    <cellStyle name="Comma 2 2 2 4 2 2 5 2" xfId="13474" xr:uid="{0569681C-6B01-4881-BFC0-F1620E3E9939}"/>
    <cellStyle name="Comma 2 2 2 4 2 2 5 2 2" xfId="30818" xr:uid="{8534B334-DB80-48D9-855E-94398550A59D}"/>
    <cellStyle name="Comma 2 2 2 4 2 2 5 3" xfId="22146" xr:uid="{C9BF3855-5E38-4D87-BD52-142E66C060EC}"/>
    <cellStyle name="Comma 2 2 2 4 2 2 6" xfId="9138" xr:uid="{0FF935AB-24F6-42B8-9BC7-B57A5AE62E82}"/>
    <cellStyle name="Comma 2 2 2 4 2 2 6 2" xfId="26482" xr:uid="{32D1C237-45A1-484C-8CF1-476E7E17FE90}"/>
    <cellStyle name="Comma 2 2 2 4 2 2 7" xfId="17810" xr:uid="{3A9EB593-E5D9-43DB-B178-FA337FA4A2BC}"/>
    <cellStyle name="Comma 2 2 2 4 2 3" xfId="737" xr:uid="{AD07C689-2809-482D-86D4-5EECBEA81F08}"/>
    <cellStyle name="Comma 2 2 2 4 2 3 2" xfId="1821" xr:uid="{3BC9AA72-2725-427F-B95D-7EF97C63D23E}"/>
    <cellStyle name="Comma 2 2 2 4 2 3 2 2" xfId="3989" xr:uid="{371A7CA7-D328-4BBA-A7B9-10290366679D}"/>
    <cellStyle name="Comma 2 2 2 4 2 3 2 2 2" xfId="8325" xr:uid="{E8E179FA-E09A-47EC-923C-F52EC66D8217}"/>
    <cellStyle name="Comma 2 2 2 4 2 3 2 2 2 2" xfId="16997" xr:uid="{5DDC31BF-85FD-4366-A705-B44BDE708480}"/>
    <cellStyle name="Comma 2 2 2 4 2 3 2 2 2 2 2" xfId="34341" xr:uid="{2175392D-95A6-4360-8E04-7E461F1AA8C9}"/>
    <cellStyle name="Comma 2 2 2 4 2 3 2 2 2 3" xfId="25669" xr:uid="{1ADA9B69-FC27-459C-9031-453F86DD5E99}"/>
    <cellStyle name="Comma 2 2 2 4 2 3 2 2 3" xfId="12661" xr:uid="{04294D14-2C8A-4C3A-972F-E78B2DE750CE}"/>
    <cellStyle name="Comma 2 2 2 4 2 3 2 2 3 2" xfId="30005" xr:uid="{8A1F1344-777F-4D70-9375-9B6A5EADE757}"/>
    <cellStyle name="Comma 2 2 2 4 2 3 2 2 4" xfId="21333" xr:uid="{C9CA3D62-7289-436B-B680-8927871C6165}"/>
    <cellStyle name="Comma 2 2 2 4 2 3 2 3" xfId="6157" xr:uid="{0DECEFA5-693F-4BA1-8167-9C84471A550F}"/>
    <cellStyle name="Comma 2 2 2 4 2 3 2 3 2" xfId="14829" xr:uid="{E6CD7856-876C-485F-8392-C16C34EE2313}"/>
    <cellStyle name="Comma 2 2 2 4 2 3 2 3 2 2" xfId="32173" xr:uid="{B0F6AF54-FA2F-45C3-93C6-430879C4AFB0}"/>
    <cellStyle name="Comma 2 2 2 4 2 3 2 3 3" xfId="23501" xr:uid="{22D7F206-4640-4B11-A92F-014FAC725C35}"/>
    <cellStyle name="Comma 2 2 2 4 2 3 2 4" xfId="10493" xr:uid="{48BCE67C-DD42-4802-B2A8-AD795FB1C477}"/>
    <cellStyle name="Comma 2 2 2 4 2 3 2 4 2" xfId="27837" xr:uid="{4DC9DEA4-EAB7-48E8-B5EC-7FAF926325BE}"/>
    <cellStyle name="Comma 2 2 2 4 2 3 2 5" xfId="19165" xr:uid="{B58A8D6E-1CBD-4A70-BDE7-2BE5A99850F8}"/>
    <cellStyle name="Comma 2 2 2 4 2 3 3" xfId="2905" xr:uid="{B1C36037-6D35-462B-8266-8A1A44069BB9}"/>
    <cellStyle name="Comma 2 2 2 4 2 3 3 2" xfId="7241" xr:uid="{7192ED4A-223B-4031-B31D-09C99886B53F}"/>
    <cellStyle name="Comma 2 2 2 4 2 3 3 2 2" xfId="15913" xr:uid="{395A8355-DA96-4690-9617-74D04C4AF048}"/>
    <cellStyle name="Comma 2 2 2 4 2 3 3 2 2 2" xfId="33257" xr:uid="{6106F671-FC3C-41D9-90D3-1D668F2E0327}"/>
    <cellStyle name="Comma 2 2 2 4 2 3 3 2 3" xfId="24585" xr:uid="{559B6AD4-094C-48A8-B4BE-A4B137E6D5E9}"/>
    <cellStyle name="Comma 2 2 2 4 2 3 3 3" xfId="11577" xr:uid="{967B28DA-A059-4791-B70E-64B306A4CD7C}"/>
    <cellStyle name="Comma 2 2 2 4 2 3 3 3 2" xfId="28921" xr:uid="{D89AA106-3CB3-46EA-BB01-E31CD3B6E4FF}"/>
    <cellStyle name="Comma 2 2 2 4 2 3 3 4" xfId="20249" xr:uid="{5E704EC4-7390-4808-BB33-F2D9BDDA854F}"/>
    <cellStyle name="Comma 2 2 2 4 2 3 4" xfId="5073" xr:uid="{2243806B-60BD-468A-9913-6835C6B2E9CD}"/>
    <cellStyle name="Comma 2 2 2 4 2 3 4 2" xfId="13745" xr:uid="{B7B71B3F-E2B2-4ACD-8D80-3146FE7AC76E}"/>
    <cellStyle name="Comma 2 2 2 4 2 3 4 2 2" xfId="31089" xr:uid="{3EA0535F-BCE4-4C65-96E1-0F24C13439B1}"/>
    <cellStyle name="Comma 2 2 2 4 2 3 4 3" xfId="22417" xr:uid="{17FEBBE1-374E-44C8-80DB-FBE1A8AC844F}"/>
    <cellStyle name="Comma 2 2 2 4 2 3 5" xfId="9409" xr:uid="{36E82743-D1BA-41CC-A536-C0A411CE5732}"/>
    <cellStyle name="Comma 2 2 2 4 2 3 5 2" xfId="26753" xr:uid="{74C350D9-7F8F-4641-ACC1-2EE176EC8D81}"/>
    <cellStyle name="Comma 2 2 2 4 2 3 6" xfId="18081" xr:uid="{83C113D4-BA58-4A29-ADAA-29057A0E0424}"/>
    <cellStyle name="Comma 2 2 2 4 2 4" xfId="1280" xr:uid="{E448B5A1-A8B6-4EAA-A295-EC54E762338B}"/>
    <cellStyle name="Comma 2 2 2 4 2 4 2" xfId="3448" xr:uid="{A4B3EA8C-1A1D-4CF6-B08F-FCB67A164C32}"/>
    <cellStyle name="Comma 2 2 2 4 2 4 2 2" xfId="7784" xr:uid="{E916461C-865C-4E71-8A2D-6C77897D24FC}"/>
    <cellStyle name="Comma 2 2 2 4 2 4 2 2 2" xfId="16456" xr:uid="{191E1010-C257-4605-A66B-55520A042A0E}"/>
    <cellStyle name="Comma 2 2 2 4 2 4 2 2 2 2" xfId="33800" xr:uid="{EFA818EC-DC8E-400B-90F1-B4321ABF6B6B}"/>
    <cellStyle name="Comma 2 2 2 4 2 4 2 2 3" xfId="25128" xr:uid="{34593DEF-DD7E-4B2D-A40C-1C2136FDC349}"/>
    <cellStyle name="Comma 2 2 2 4 2 4 2 3" xfId="12120" xr:uid="{3079E648-1D7A-4C87-8FD0-7C85AD8BF361}"/>
    <cellStyle name="Comma 2 2 2 4 2 4 2 3 2" xfId="29464" xr:uid="{8D24F807-66DA-44B4-8069-4CBD195EFB1E}"/>
    <cellStyle name="Comma 2 2 2 4 2 4 2 4" xfId="20792" xr:uid="{A495CF51-3CDE-473C-B805-507E8856CEF9}"/>
    <cellStyle name="Comma 2 2 2 4 2 4 3" xfId="5616" xr:uid="{7127785F-C1D8-4425-9402-AC94747A912B}"/>
    <cellStyle name="Comma 2 2 2 4 2 4 3 2" xfId="14288" xr:uid="{19E272F3-1B1D-435E-BFFC-8020C8CBD20E}"/>
    <cellStyle name="Comma 2 2 2 4 2 4 3 2 2" xfId="31632" xr:uid="{50170F16-A4BB-4DC5-B40B-F275FB9C07DB}"/>
    <cellStyle name="Comma 2 2 2 4 2 4 3 3" xfId="22960" xr:uid="{A4821D5F-DE05-4C8F-8BA8-E01C1E3E41B9}"/>
    <cellStyle name="Comma 2 2 2 4 2 4 4" xfId="9952" xr:uid="{B1536B30-23C2-4C45-8581-5AE865986B7E}"/>
    <cellStyle name="Comma 2 2 2 4 2 4 4 2" xfId="27296" xr:uid="{11DF3DD2-F9A3-462B-B387-08BE0A39DC3C}"/>
    <cellStyle name="Comma 2 2 2 4 2 4 5" xfId="18624" xr:uid="{01C22B2D-65AA-4BFA-B810-1859BC5AE417}"/>
    <cellStyle name="Comma 2 2 2 4 2 5" xfId="2364" xr:uid="{2439F677-3923-4697-A4A4-4D5FCF76DE07}"/>
    <cellStyle name="Comma 2 2 2 4 2 5 2" xfId="6700" xr:uid="{C56EFA0E-F4CD-4984-8080-7A391FAEB351}"/>
    <cellStyle name="Comma 2 2 2 4 2 5 2 2" xfId="15372" xr:uid="{50B31FEC-6D3E-44E4-BA3D-C86D1B2874CE}"/>
    <cellStyle name="Comma 2 2 2 4 2 5 2 2 2" xfId="32716" xr:uid="{9087B2D7-A64B-4BBF-AD63-83DB4102E260}"/>
    <cellStyle name="Comma 2 2 2 4 2 5 2 3" xfId="24044" xr:uid="{B15EFB84-F621-48E4-96A4-BFC2284D09CE}"/>
    <cellStyle name="Comma 2 2 2 4 2 5 3" xfId="11036" xr:uid="{F89AE68A-6064-486C-BF64-C48CC115E8A3}"/>
    <cellStyle name="Comma 2 2 2 4 2 5 3 2" xfId="28380" xr:uid="{D8065051-1D73-4CB9-95EF-E0D1E1B45C31}"/>
    <cellStyle name="Comma 2 2 2 4 2 5 4" xfId="19708" xr:uid="{DC578652-C29A-4B7F-9D82-419AE77D3E71}"/>
    <cellStyle name="Comma 2 2 2 4 2 6" xfId="4532" xr:uid="{D86DE7B8-CC57-4952-A80B-7EB8742EB459}"/>
    <cellStyle name="Comma 2 2 2 4 2 6 2" xfId="13204" xr:uid="{A7B116DF-46E6-4A6F-B798-6FA6E025E604}"/>
    <cellStyle name="Comma 2 2 2 4 2 6 2 2" xfId="30548" xr:uid="{7D900F4D-0C4D-4C4D-8749-70310E21804C}"/>
    <cellStyle name="Comma 2 2 2 4 2 6 3" xfId="21876" xr:uid="{A095F3A3-0808-4DA0-8BC7-47F6E573E966}"/>
    <cellStyle name="Comma 2 2 2 4 2 7" xfId="8868" xr:uid="{792F7463-48A7-44A4-9976-0864181B7A8A}"/>
    <cellStyle name="Comma 2 2 2 4 2 7 2" xfId="26212" xr:uid="{A03F3ED0-3FFB-4B75-A9EA-063B40011950}"/>
    <cellStyle name="Comma 2 2 2 4 2 8" xfId="17540" xr:uid="{F3850ED8-CD2F-4C0B-8D61-56E1047AC60E}"/>
    <cellStyle name="Comma 2 2 2 4 3" xfId="344" xr:uid="{82690C61-36ED-43C1-8C00-BF60A71E0E6F}"/>
    <cellStyle name="Comma 2 2 2 4 3 2" xfId="885" xr:uid="{052C5AFF-D573-4FFC-A7A2-D4D2578CE45E}"/>
    <cellStyle name="Comma 2 2 2 4 3 2 2" xfId="1969" xr:uid="{0A94A78D-6940-4740-869B-A08E5D99209A}"/>
    <cellStyle name="Comma 2 2 2 4 3 2 2 2" xfId="4137" xr:uid="{1555DFED-F45B-44A5-BEE1-922C09508026}"/>
    <cellStyle name="Comma 2 2 2 4 3 2 2 2 2" xfId="8473" xr:uid="{A6D4162F-C09D-4710-8859-3239B43B3008}"/>
    <cellStyle name="Comma 2 2 2 4 3 2 2 2 2 2" xfId="17145" xr:uid="{302FC4DB-6FF2-47FD-9F88-3FD3CD3387E9}"/>
    <cellStyle name="Comma 2 2 2 4 3 2 2 2 2 2 2" xfId="34489" xr:uid="{D55A0850-3515-4714-9218-C38BAEEFF597}"/>
    <cellStyle name="Comma 2 2 2 4 3 2 2 2 2 3" xfId="25817" xr:uid="{58B3C447-8B1A-4134-996B-783655170414}"/>
    <cellStyle name="Comma 2 2 2 4 3 2 2 2 3" xfId="12809" xr:uid="{7DBF802B-E03B-47C8-AC79-173F35439A20}"/>
    <cellStyle name="Comma 2 2 2 4 3 2 2 2 3 2" xfId="30153" xr:uid="{42994EFB-044E-4711-90C9-4F09457DACC3}"/>
    <cellStyle name="Comma 2 2 2 4 3 2 2 2 4" xfId="21481" xr:uid="{D111B562-A815-4E42-8BAC-9D374041F8DB}"/>
    <cellStyle name="Comma 2 2 2 4 3 2 2 3" xfId="6305" xr:uid="{6A013CD1-52EC-415D-A0C5-8467CDFAFF78}"/>
    <cellStyle name="Comma 2 2 2 4 3 2 2 3 2" xfId="14977" xr:uid="{917D01BC-5C7E-42DC-B7DF-7FB3DAB262B5}"/>
    <cellStyle name="Comma 2 2 2 4 3 2 2 3 2 2" xfId="32321" xr:uid="{2740F958-B05C-4005-8DC0-DBD141F8FD73}"/>
    <cellStyle name="Comma 2 2 2 4 3 2 2 3 3" xfId="23649" xr:uid="{D6306ECB-E406-47DC-B06C-5EBCD703F0A0}"/>
    <cellStyle name="Comma 2 2 2 4 3 2 2 4" xfId="10641" xr:uid="{42A37CE6-0EF1-4F93-B930-E94AC0E1436C}"/>
    <cellStyle name="Comma 2 2 2 4 3 2 2 4 2" xfId="27985" xr:uid="{303AFC86-7063-4206-815E-7DA1FA17A8D0}"/>
    <cellStyle name="Comma 2 2 2 4 3 2 2 5" xfId="19313" xr:uid="{4C845ABC-3CA4-446A-9EDE-E9500EDF30FA}"/>
    <cellStyle name="Comma 2 2 2 4 3 2 3" xfId="3053" xr:uid="{7444C397-2184-40D1-A349-F0FDEF29C21D}"/>
    <cellStyle name="Comma 2 2 2 4 3 2 3 2" xfId="7389" xr:uid="{B5271554-3301-4C91-9562-42899E6B885F}"/>
    <cellStyle name="Comma 2 2 2 4 3 2 3 2 2" xfId="16061" xr:uid="{89096D44-D2F0-4E88-9FEE-CF47052B106A}"/>
    <cellStyle name="Comma 2 2 2 4 3 2 3 2 2 2" xfId="33405" xr:uid="{2AC395DE-1576-455A-9666-8E348AEF092C}"/>
    <cellStyle name="Comma 2 2 2 4 3 2 3 2 3" xfId="24733" xr:uid="{E62FE514-1873-4AC2-9436-BAE4FB6C56DE}"/>
    <cellStyle name="Comma 2 2 2 4 3 2 3 3" xfId="11725" xr:uid="{7BDBF884-6E7F-42B8-94B9-386431FA96D3}"/>
    <cellStyle name="Comma 2 2 2 4 3 2 3 3 2" xfId="29069" xr:uid="{2023A0C9-8520-4EA6-8747-019BBEB3A370}"/>
    <cellStyle name="Comma 2 2 2 4 3 2 3 4" xfId="20397" xr:uid="{0DDEEAF4-4025-4826-83B2-1A52DE67EECD}"/>
    <cellStyle name="Comma 2 2 2 4 3 2 4" xfId="5221" xr:uid="{B87E260B-C831-4019-95D9-CE5DFBEE988D}"/>
    <cellStyle name="Comma 2 2 2 4 3 2 4 2" xfId="13893" xr:uid="{47113E99-5F59-425A-8D64-048C81154554}"/>
    <cellStyle name="Comma 2 2 2 4 3 2 4 2 2" xfId="31237" xr:uid="{6855623B-F110-4DD2-99E6-3D2284A6B784}"/>
    <cellStyle name="Comma 2 2 2 4 3 2 4 3" xfId="22565" xr:uid="{060E422D-996F-48BE-B0B3-07955D9AB53D}"/>
    <cellStyle name="Comma 2 2 2 4 3 2 5" xfId="9557" xr:uid="{A5FFFFF6-3BF0-477B-BA25-11EF661A5597}"/>
    <cellStyle name="Comma 2 2 2 4 3 2 5 2" xfId="26901" xr:uid="{55C95108-B3FD-4016-92E0-9B740E87EACC}"/>
    <cellStyle name="Comma 2 2 2 4 3 2 6" xfId="18229" xr:uid="{474E70DC-B7D1-44F8-93AE-9DE519692AC7}"/>
    <cellStyle name="Comma 2 2 2 4 3 3" xfId="1428" xr:uid="{0A993EFC-ABF3-461D-B499-395B3C0DFF84}"/>
    <cellStyle name="Comma 2 2 2 4 3 3 2" xfId="3596" xr:uid="{16748AF5-FD01-41C1-860F-969CB823E022}"/>
    <cellStyle name="Comma 2 2 2 4 3 3 2 2" xfId="7932" xr:uid="{877A0C99-6A68-45FB-9468-D5BB2815E148}"/>
    <cellStyle name="Comma 2 2 2 4 3 3 2 2 2" xfId="16604" xr:uid="{74285113-CA23-446D-A2F2-51DACF2FEC99}"/>
    <cellStyle name="Comma 2 2 2 4 3 3 2 2 2 2" xfId="33948" xr:uid="{C8FB5717-9A7F-4A46-89CA-67979C304AF2}"/>
    <cellStyle name="Comma 2 2 2 4 3 3 2 2 3" xfId="25276" xr:uid="{8856B112-E3F0-410F-BA73-A599589839C5}"/>
    <cellStyle name="Comma 2 2 2 4 3 3 2 3" xfId="12268" xr:uid="{F2FB63E3-4AA5-430E-A017-F6CB5BD0FBC2}"/>
    <cellStyle name="Comma 2 2 2 4 3 3 2 3 2" xfId="29612" xr:uid="{EC65E415-94AF-4947-9CED-C0C4B01514DC}"/>
    <cellStyle name="Comma 2 2 2 4 3 3 2 4" xfId="20940" xr:uid="{1BCD0E2A-DD5E-4E9C-8ECE-A56EC98B0F9F}"/>
    <cellStyle name="Comma 2 2 2 4 3 3 3" xfId="5764" xr:uid="{8CF336AB-3230-4AFA-8771-CDC97DC6E7FB}"/>
    <cellStyle name="Comma 2 2 2 4 3 3 3 2" xfId="14436" xr:uid="{B1C3DF3F-3A14-4B9C-8A8B-5BD0F5B8A8A2}"/>
    <cellStyle name="Comma 2 2 2 4 3 3 3 2 2" xfId="31780" xr:uid="{ABFCC6A0-1F3B-462A-8545-D4BB006189F4}"/>
    <cellStyle name="Comma 2 2 2 4 3 3 3 3" xfId="23108" xr:uid="{63F321F0-09B4-4A6B-83D3-AE3779CF30AD}"/>
    <cellStyle name="Comma 2 2 2 4 3 3 4" xfId="10100" xr:uid="{B17AB781-0BB7-41B2-83A9-BDA6EB7DFB3A}"/>
    <cellStyle name="Comma 2 2 2 4 3 3 4 2" xfId="27444" xr:uid="{A7C9C911-EE5F-4E83-9A70-036069D9012B}"/>
    <cellStyle name="Comma 2 2 2 4 3 3 5" xfId="18772" xr:uid="{5C8D48D8-7BC5-472C-ABD7-EC55F3489CCD}"/>
    <cellStyle name="Comma 2 2 2 4 3 4" xfId="2512" xr:uid="{6CA2846A-2D7A-42C0-B0A1-1138BC86A7EC}"/>
    <cellStyle name="Comma 2 2 2 4 3 4 2" xfId="6848" xr:uid="{3C75F4DC-B88B-4A28-A921-6EFCDD52CECA}"/>
    <cellStyle name="Comma 2 2 2 4 3 4 2 2" xfId="15520" xr:uid="{FC451FEC-C43D-4DEA-887C-16A44B3BA1C9}"/>
    <cellStyle name="Comma 2 2 2 4 3 4 2 2 2" xfId="32864" xr:uid="{098AEB42-4728-4891-B20D-B8726A4761E4}"/>
    <cellStyle name="Comma 2 2 2 4 3 4 2 3" xfId="24192" xr:uid="{EE684A17-1D23-44E5-89DF-F5BAAB5C02B4}"/>
    <cellStyle name="Comma 2 2 2 4 3 4 3" xfId="11184" xr:uid="{7C2B2BF8-D479-4373-9D3E-853A0BF37E3B}"/>
    <cellStyle name="Comma 2 2 2 4 3 4 3 2" xfId="28528" xr:uid="{5586321B-1A01-4ABD-81FA-0090C3F00EF7}"/>
    <cellStyle name="Comma 2 2 2 4 3 4 4" xfId="19856" xr:uid="{AADBB808-043C-4302-9D49-AE679D230695}"/>
    <cellStyle name="Comma 2 2 2 4 3 5" xfId="4680" xr:uid="{0812B41F-8DBE-4620-B7F4-186B802B2B56}"/>
    <cellStyle name="Comma 2 2 2 4 3 5 2" xfId="13352" xr:uid="{1B0A27DB-D1D7-4BD2-93BE-45E85B944BDF}"/>
    <cellStyle name="Comma 2 2 2 4 3 5 2 2" xfId="30696" xr:uid="{0AB8A74D-F9B6-4058-BB04-BE3DDCF5FCFD}"/>
    <cellStyle name="Comma 2 2 2 4 3 5 3" xfId="22024" xr:uid="{6A49BCBA-C034-435B-9889-3551C5E72332}"/>
    <cellStyle name="Comma 2 2 2 4 3 6" xfId="9016" xr:uid="{BA5A7998-9D2F-4810-9DF0-1FE57D8DE151}"/>
    <cellStyle name="Comma 2 2 2 4 3 6 2" xfId="26360" xr:uid="{7BF25DDA-AE9C-4C89-B626-F6CF14D84E84}"/>
    <cellStyle name="Comma 2 2 2 4 3 7" xfId="17688" xr:uid="{695D368E-55BA-46E3-A768-E3E871AA0E4D}"/>
    <cellStyle name="Comma 2 2 2 4 4" xfId="615" xr:uid="{1C8562FB-B8E7-4757-84A9-6C723019439C}"/>
    <cellStyle name="Comma 2 2 2 4 4 2" xfId="1699" xr:uid="{8C219760-F4FC-4577-910C-AE89D3E2BDD4}"/>
    <cellStyle name="Comma 2 2 2 4 4 2 2" xfId="3867" xr:uid="{60F74260-8232-463F-9A0A-A349E9043F43}"/>
    <cellStyle name="Comma 2 2 2 4 4 2 2 2" xfId="8203" xr:uid="{446A0EB3-8B01-47FE-9299-8A8AE569B63F}"/>
    <cellStyle name="Comma 2 2 2 4 4 2 2 2 2" xfId="16875" xr:uid="{924B797D-20C0-4957-AB58-305860AE5C34}"/>
    <cellStyle name="Comma 2 2 2 4 4 2 2 2 2 2" xfId="34219" xr:uid="{4AE38DAF-A7A0-49ED-9BCF-94044ABA47E0}"/>
    <cellStyle name="Comma 2 2 2 4 4 2 2 2 3" xfId="25547" xr:uid="{EA496739-424E-45BF-B85E-18FB3842FABA}"/>
    <cellStyle name="Comma 2 2 2 4 4 2 2 3" xfId="12539" xr:uid="{EA597043-C929-4761-977A-3AAFCBFFEFB0}"/>
    <cellStyle name="Comma 2 2 2 4 4 2 2 3 2" xfId="29883" xr:uid="{E19F6A2B-EC13-44C3-A44B-6542E582DF17}"/>
    <cellStyle name="Comma 2 2 2 4 4 2 2 4" xfId="21211" xr:uid="{301A7D08-9319-4668-A783-F8E1F94FB15D}"/>
    <cellStyle name="Comma 2 2 2 4 4 2 3" xfId="6035" xr:uid="{894695A7-E94A-4E9D-A642-6C58E414D650}"/>
    <cellStyle name="Comma 2 2 2 4 4 2 3 2" xfId="14707" xr:uid="{26DCB54D-0A5F-4FEA-BBF9-6A53A8DBC3E1}"/>
    <cellStyle name="Comma 2 2 2 4 4 2 3 2 2" xfId="32051" xr:uid="{7AE2545F-5D6D-4321-A443-A057D0336D89}"/>
    <cellStyle name="Comma 2 2 2 4 4 2 3 3" xfId="23379" xr:uid="{A4606362-836B-4027-931E-F955857C3B3B}"/>
    <cellStyle name="Comma 2 2 2 4 4 2 4" xfId="10371" xr:uid="{DF92C4C5-E0D1-4DB5-932A-55EF447BA819}"/>
    <cellStyle name="Comma 2 2 2 4 4 2 4 2" xfId="27715" xr:uid="{BD0CEBBA-3117-4D7B-9397-570D8E38A0BE}"/>
    <cellStyle name="Comma 2 2 2 4 4 2 5" xfId="19043" xr:uid="{88D87903-C2D2-4106-91D4-C504B3EE7BD5}"/>
    <cellStyle name="Comma 2 2 2 4 4 3" xfId="2783" xr:uid="{5B70BC6A-D7A9-4BBF-A6AB-337FC9C28108}"/>
    <cellStyle name="Comma 2 2 2 4 4 3 2" xfId="7119" xr:uid="{ACF030AD-2D12-405A-9D13-A1E27DC9457E}"/>
    <cellStyle name="Comma 2 2 2 4 4 3 2 2" xfId="15791" xr:uid="{7359C9EE-E3D8-4020-96B1-067BE7AB2518}"/>
    <cellStyle name="Comma 2 2 2 4 4 3 2 2 2" xfId="33135" xr:uid="{183A7E6D-3624-4550-B3FF-DCF21373AEDB}"/>
    <cellStyle name="Comma 2 2 2 4 4 3 2 3" xfId="24463" xr:uid="{4555B141-28FF-4D00-942F-A969B76B4FEA}"/>
    <cellStyle name="Comma 2 2 2 4 4 3 3" xfId="11455" xr:uid="{4D02F7CA-D151-4037-AA54-E08D934F0517}"/>
    <cellStyle name="Comma 2 2 2 4 4 3 3 2" xfId="28799" xr:uid="{B971ECB4-8EDD-4670-8A47-4A72F1BF402A}"/>
    <cellStyle name="Comma 2 2 2 4 4 3 4" xfId="20127" xr:uid="{CAD1E79C-BC8A-4250-8166-BAD1BA8D091D}"/>
    <cellStyle name="Comma 2 2 2 4 4 4" xfId="4951" xr:uid="{285C9F8D-313E-48C0-8DF4-15E749D8FEAC}"/>
    <cellStyle name="Comma 2 2 2 4 4 4 2" xfId="13623" xr:uid="{E78AF09B-56D6-41C2-A26B-83C4C64ED0F9}"/>
    <cellStyle name="Comma 2 2 2 4 4 4 2 2" xfId="30967" xr:uid="{F3BEF033-0EB7-4305-88C1-B6EB369B7FF2}"/>
    <cellStyle name="Comma 2 2 2 4 4 4 3" xfId="22295" xr:uid="{1BCAB6A9-A80F-4722-A806-116FEA46C07C}"/>
    <cellStyle name="Comma 2 2 2 4 4 5" xfId="9287" xr:uid="{FF7E4644-AD6D-4C2B-820E-AF94AE7E99EA}"/>
    <cellStyle name="Comma 2 2 2 4 4 5 2" xfId="26631" xr:uid="{BCFF2C0B-BF07-4BAA-8760-7CEAC728E763}"/>
    <cellStyle name="Comma 2 2 2 4 4 6" xfId="17959" xr:uid="{F68C9B37-719E-4D34-873B-278476FBD57D}"/>
    <cellStyle name="Comma 2 2 2 4 5" xfId="1158" xr:uid="{426DEC4A-0691-4B40-922A-D507FEB83E8E}"/>
    <cellStyle name="Comma 2 2 2 4 5 2" xfId="3326" xr:uid="{F1EAD182-C51F-4034-B77C-4EA10DB85225}"/>
    <cellStyle name="Comma 2 2 2 4 5 2 2" xfId="7662" xr:uid="{8F08DDBB-37D0-4B16-AF9F-FA7428FC47CB}"/>
    <cellStyle name="Comma 2 2 2 4 5 2 2 2" xfId="16334" xr:uid="{ABA444DD-2136-477B-961B-B1BCE9054716}"/>
    <cellStyle name="Comma 2 2 2 4 5 2 2 2 2" xfId="33678" xr:uid="{3DFE2667-C320-4A5C-9B87-ADDE7F5DDAE5}"/>
    <cellStyle name="Comma 2 2 2 4 5 2 2 3" xfId="25006" xr:uid="{EDDFD477-B201-49A6-B5A8-4AC14387120B}"/>
    <cellStyle name="Comma 2 2 2 4 5 2 3" xfId="11998" xr:uid="{77F7CFB7-F08D-4A98-BFB0-69F8AA678FEF}"/>
    <cellStyle name="Comma 2 2 2 4 5 2 3 2" xfId="29342" xr:uid="{CFBCD31B-C7FD-4B88-939D-53F7364E487D}"/>
    <cellStyle name="Comma 2 2 2 4 5 2 4" xfId="20670" xr:uid="{057CDF49-F063-48F4-AAD3-1891E1C54A95}"/>
    <cellStyle name="Comma 2 2 2 4 5 3" xfId="5494" xr:uid="{FD7C8FC0-5C5C-47F2-854B-45515B85089D}"/>
    <cellStyle name="Comma 2 2 2 4 5 3 2" xfId="14166" xr:uid="{8FDEFDBA-3A66-4EFF-9042-6EF1E5BC4F1F}"/>
    <cellStyle name="Comma 2 2 2 4 5 3 2 2" xfId="31510" xr:uid="{360DD5C8-E76A-4EBC-9F6C-228780B162C2}"/>
    <cellStyle name="Comma 2 2 2 4 5 3 3" xfId="22838" xr:uid="{86268C47-0F10-42A9-B294-481447E0B0E1}"/>
    <cellStyle name="Comma 2 2 2 4 5 4" xfId="9830" xr:uid="{B4084B3C-B8E4-4764-B376-E6A122B28A71}"/>
    <cellStyle name="Comma 2 2 2 4 5 4 2" xfId="27174" xr:uid="{716F46AD-4423-425B-8EBE-01D316991F59}"/>
    <cellStyle name="Comma 2 2 2 4 5 5" xfId="18502" xr:uid="{D505EF6B-513D-4468-9870-4605D98F6D82}"/>
    <cellStyle name="Comma 2 2 2 4 6" xfId="2242" xr:uid="{E8629AC8-A896-4E8D-A4FB-0A59621F3D03}"/>
    <cellStyle name="Comma 2 2 2 4 6 2" xfId="6578" xr:uid="{AEFC79D3-4A80-4228-891F-9A4C929B4EA9}"/>
    <cellStyle name="Comma 2 2 2 4 6 2 2" xfId="15250" xr:uid="{DFAD0188-CA29-4049-AE61-9455280166CA}"/>
    <cellStyle name="Comma 2 2 2 4 6 2 2 2" xfId="32594" xr:uid="{0A611245-94B2-4B61-AD1D-3B1FF83D42C0}"/>
    <cellStyle name="Comma 2 2 2 4 6 2 3" xfId="23922" xr:uid="{C9EE4808-985C-458C-8F2B-183C4BC1B41D}"/>
    <cellStyle name="Comma 2 2 2 4 6 3" xfId="10914" xr:uid="{D1CAFDAA-9E0D-4D9D-B7BD-C145C5AD4A20}"/>
    <cellStyle name="Comma 2 2 2 4 6 3 2" xfId="28258" xr:uid="{8C403E1C-6FD2-486B-9BBB-A88BE7F9A188}"/>
    <cellStyle name="Comma 2 2 2 4 6 4" xfId="19586" xr:uid="{2A04CA93-E4A4-4837-B96A-5C66790190CF}"/>
    <cellStyle name="Comma 2 2 2 4 7" xfId="4410" xr:uid="{8A72FA2E-B4A6-481D-91D6-33300BE3A3CE}"/>
    <cellStyle name="Comma 2 2 2 4 7 2" xfId="13082" xr:uid="{5B2621F9-63E9-4897-AE2D-40C2A5EF0495}"/>
    <cellStyle name="Comma 2 2 2 4 7 2 2" xfId="30426" xr:uid="{40BCC650-0E4A-432B-84CF-3596D3B8CEF6}"/>
    <cellStyle name="Comma 2 2 2 4 7 3" xfId="21754" xr:uid="{7C9B5BAC-D2E8-47D2-BB82-5530E92993D1}"/>
    <cellStyle name="Comma 2 2 2 4 8" xfId="8746" xr:uid="{60A7699A-E1FB-4741-B983-2D901BF2B750}"/>
    <cellStyle name="Comma 2 2 2 4 8 2" xfId="26090" xr:uid="{3FCA23C0-887C-474D-A3B1-621598B3D659}"/>
    <cellStyle name="Comma 2 2 2 4 9" xfId="17418" xr:uid="{5915F6BA-EB86-4264-B4A8-9B09660B7593}"/>
    <cellStyle name="Comma 2 2 2 5" xfId="135" xr:uid="{1A8E78B8-6AF6-4367-A8BA-619F2161D3E4}"/>
    <cellStyle name="Comma 2 2 2 5 2" xfId="405" xr:uid="{DD436B04-43F0-41C9-885D-491547DB6510}"/>
    <cellStyle name="Comma 2 2 2 5 2 2" xfId="946" xr:uid="{F42750FC-5BFD-4FF0-8CE1-68B4662F24F9}"/>
    <cellStyle name="Comma 2 2 2 5 2 2 2" xfId="2030" xr:uid="{4CE13390-935D-4044-AE48-CB50BD80CC00}"/>
    <cellStyle name="Comma 2 2 2 5 2 2 2 2" xfId="4198" xr:uid="{D51C6346-9AA0-4E5F-A364-399064E5AD18}"/>
    <cellStyle name="Comma 2 2 2 5 2 2 2 2 2" xfId="8534" xr:uid="{BD13EDC0-69DF-4900-9A16-FB0D344C11C5}"/>
    <cellStyle name="Comma 2 2 2 5 2 2 2 2 2 2" xfId="17206" xr:uid="{14E11481-6908-4145-A622-200BF08E3E0F}"/>
    <cellStyle name="Comma 2 2 2 5 2 2 2 2 2 2 2" xfId="34550" xr:uid="{F2EEC523-AE83-40FE-85F2-58F13E99E040}"/>
    <cellStyle name="Comma 2 2 2 5 2 2 2 2 2 3" xfId="25878" xr:uid="{37F01139-D58E-4E39-A84F-7457395BD3A9}"/>
    <cellStyle name="Comma 2 2 2 5 2 2 2 2 3" xfId="12870" xr:uid="{7FE08BA3-B8F7-401F-B7A9-01CC370C471C}"/>
    <cellStyle name="Comma 2 2 2 5 2 2 2 2 3 2" xfId="30214" xr:uid="{44E92245-9D12-46F0-86FC-1FE841813B26}"/>
    <cellStyle name="Comma 2 2 2 5 2 2 2 2 4" xfId="21542" xr:uid="{EB27B03E-B61A-458B-B3A4-10ECFB0556CB}"/>
    <cellStyle name="Comma 2 2 2 5 2 2 2 3" xfId="6366" xr:uid="{F9BE8A2A-CB6C-49E5-920D-DF2DAFD82EC4}"/>
    <cellStyle name="Comma 2 2 2 5 2 2 2 3 2" xfId="15038" xr:uid="{DF10C018-1AF8-4369-91A5-79B52CD26E9B}"/>
    <cellStyle name="Comma 2 2 2 5 2 2 2 3 2 2" xfId="32382" xr:uid="{2693483D-2386-4BE8-9E38-53ABCC0D63F1}"/>
    <cellStyle name="Comma 2 2 2 5 2 2 2 3 3" xfId="23710" xr:uid="{F401C358-22E8-4B9D-B095-894DAE4C4392}"/>
    <cellStyle name="Comma 2 2 2 5 2 2 2 4" xfId="10702" xr:uid="{877381CC-874B-45ED-92B9-CE3FA4CDF893}"/>
    <cellStyle name="Comma 2 2 2 5 2 2 2 4 2" xfId="28046" xr:uid="{A510343F-1AC6-4823-AB6A-25B987D4BA46}"/>
    <cellStyle name="Comma 2 2 2 5 2 2 2 5" xfId="19374" xr:uid="{B64AF29B-13A4-4A7C-B1DC-BE33A743FA9C}"/>
    <cellStyle name="Comma 2 2 2 5 2 2 3" xfId="3114" xr:uid="{86597528-21AC-4ECD-843E-9A449B2D615D}"/>
    <cellStyle name="Comma 2 2 2 5 2 2 3 2" xfId="7450" xr:uid="{3A843BEE-B5DD-4286-BABC-C2C8D1256790}"/>
    <cellStyle name="Comma 2 2 2 5 2 2 3 2 2" xfId="16122" xr:uid="{6EC6DDA9-24C0-4425-91F5-57BAA6C64BE3}"/>
    <cellStyle name="Comma 2 2 2 5 2 2 3 2 2 2" xfId="33466" xr:uid="{7F9DE7BC-D405-43F1-B429-65AE2C1DF9E6}"/>
    <cellStyle name="Comma 2 2 2 5 2 2 3 2 3" xfId="24794" xr:uid="{F6971F6C-ABA6-4736-B81E-1170369126E2}"/>
    <cellStyle name="Comma 2 2 2 5 2 2 3 3" xfId="11786" xr:uid="{FF9E5F09-8DD3-4AFE-8F6F-F3EF3165B470}"/>
    <cellStyle name="Comma 2 2 2 5 2 2 3 3 2" xfId="29130" xr:uid="{9B936B55-E75E-4633-AF01-8CE2D2A9E242}"/>
    <cellStyle name="Comma 2 2 2 5 2 2 3 4" xfId="20458" xr:uid="{9CC7BF6A-D123-466F-B351-9433BC9ED363}"/>
    <cellStyle name="Comma 2 2 2 5 2 2 4" xfId="5282" xr:uid="{020FA9BE-6D5C-41C2-A77E-49D28EF8B5E6}"/>
    <cellStyle name="Comma 2 2 2 5 2 2 4 2" xfId="13954" xr:uid="{27FB3647-FDA3-4C8D-A666-FFB1481FC172}"/>
    <cellStyle name="Comma 2 2 2 5 2 2 4 2 2" xfId="31298" xr:uid="{77C6825F-E71D-4A77-8F39-6857BB4222B1}"/>
    <cellStyle name="Comma 2 2 2 5 2 2 4 3" xfId="22626" xr:uid="{71074237-242A-4788-BB53-EF716119F2C8}"/>
    <cellStyle name="Comma 2 2 2 5 2 2 5" xfId="9618" xr:uid="{8536DBA6-BB87-4DEE-8062-0BB4A3FC90E1}"/>
    <cellStyle name="Comma 2 2 2 5 2 2 5 2" xfId="26962" xr:uid="{CFC6BA07-29F9-4864-A620-905A17B100EF}"/>
    <cellStyle name="Comma 2 2 2 5 2 2 6" xfId="18290" xr:uid="{95B91B47-29C1-49B9-958E-48B16CB48055}"/>
    <cellStyle name="Comma 2 2 2 5 2 3" xfId="1489" xr:uid="{EEDE0573-E0CD-48CD-8866-F7BDFF64018C}"/>
    <cellStyle name="Comma 2 2 2 5 2 3 2" xfId="3657" xr:uid="{C6ABC856-36F5-499C-85A8-19B26C40C176}"/>
    <cellStyle name="Comma 2 2 2 5 2 3 2 2" xfId="7993" xr:uid="{BCD353C1-FDEB-4BD2-AE4E-64771F2853A5}"/>
    <cellStyle name="Comma 2 2 2 5 2 3 2 2 2" xfId="16665" xr:uid="{3EB8E645-A5C9-401B-A5FA-ABB6853C673D}"/>
    <cellStyle name="Comma 2 2 2 5 2 3 2 2 2 2" xfId="34009" xr:uid="{55D476CF-C87F-4CE6-B99A-E6399B87C84F}"/>
    <cellStyle name="Comma 2 2 2 5 2 3 2 2 3" xfId="25337" xr:uid="{DCD7E9D0-8EBC-4214-87B1-69C904142BA1}"/>
    <cellStyle name="Comma 2 2 2 5 2 3 2 3" xfId="12329" xr:uid="{49EB8561-9A46-4672-95E1-427FC96FFEE2}"/>
    <cellStyle name="Comma 2 2 2 5 2 3 2 3 2" xfId="29673" xr:uid="{E7F31F3D-61E5-4CF7-8A5C-6E4DC97A8E75}"/>
    <cellStyle name="Comma 2 2 2 5 2 3 2 4" xfId="21001" xr:uid="{DCFE5E42-6B4E-48B9-B8DE-0F1EB81D4B5D}"/>
    <cellStyle name="Comma 2 2 2 5 2 3 3" xfId="5825" xr:uid="{14CB1830-5A26-46B3-9CA7-033753A99BD0}"/>
    <cellStyle name="Comma 2 2 2 5 2 3 3 2" xfId="14497" xr:uid="{5ACCF74F-251C-4C9B-AF7B-79D195B25477}"/>
    <cellStyle name="Comma 2 2 2 5 2 3 3 2 2" xfId="31841" xr:uid="{91ABE7DD-5DBA-4312-80B3-A541A3EB12E1}"/>
    <cellStyle name="Comma 2 2 2 5 2 3 3 3" xfId="23169" xr:uid="{AE94099F-BB10-43AC-9732-4D9C658BD95A}"/>
    <cellStyle name="Comma 2 2 2 5 2 3 4" xfId="10161" xr:uid="{4BDFE658-54EC-4B2B-A69F-EFB7FBEAD14F}"/>
    <cellStyle name="Comma 2 2 2 5 2 3 4 2" xfId="27505" xr:uid="{2570EB89-E0B4-42BC-8801-A81D04E6548C}"/>
    <cellStyle name="Comma 2 2 2 5 2 3 5" xfId="18833" xr:uid="{329FDC4E-BD2A-4896-A1AA-E55A18F69BC1}"/>
    <cellStyle name="Comma 2 2 2 5 2 4" xfId="2573" xr:uid="{8F6F5AC2-735E-4F06-9890-C99736B65810}"/>
    <cellStyle name="Comma 2 2 2 5 2 4 2" xfId="6909" xr:uid="{08CDBA22-070A-457A-B142-28323B230ABB}"/>
    <cellStyle name="Comma 2 2 2 5 2 4 2 2" xfId="15581" xr:uid="{611CC0AB-4E82-4B6F-8B52-D9682CF2591B}"/>
    <cellStyle name="Comma 2 2 2 5 2 4 2 2 2" xfId="32925" xr:uid="{FE2BA66C-F680-4860-8EC5-B756BE96C69F}"/>
    <cellStyle name="Comma 2 2 2 5 2 4 2 3" xfId="24253" xr:uid="{49F8977C-3834-4C55-87AD-93CD1CD1539F}"/>
    <cellStyle name="Comma 2 2 2 5 2 4 3" xfId="11245" xr:uid="{75A1D213-BE95-4E43-9107-D7F254BA1B7C}"/>
    <cellStyle name="Comma 2 2 2 5 2 4 3 2" xfId="28589" xr:uid="{BB2F6178-1AF1-41EC-9F63-197094F601AB}"/>
    <cellStyle name="Comma 2 2 2 5 2 4 4" xfId="19917" xr:uid="{9853BAD9-97AD-480B-959C-6EAAA1B80354}"/>
    <cellStyle name="Comma 2 2 2 5 2 5" xfId="4741" xr:uid="{F973485C-893C-4EAA-9203-C6DAD8F42884}"/>
    <cellStyle name="Comma 2 2 2 5 2 5 2" xfId="13413" xr:uid="{810F74DA-30FD-4246-B04C-2DA6D1A54812}"/>
    <cellStyle name="Comma 2 2 2 5 2 5 2 2" xfId="30757" xr:uid="{2E6E1BD4-B750-45A9-91A4-BCEBE677B69E}"/>
    <cellStyle name="Comma 2 2 2 5 2 5 3" xfId="22085" xr:uid="{972922D4-7785-41EB-9C8F-1260EDE72DE2}"/>
    <cellStyle name="Comma 2 2 2 5 2 6" xfId="9077" xr:uid="{047D4A09-C8FA-49D7-B618-18DEC5C5BC8D}"/>
    <cellStyle name="Comma 2 2 2 5 2 6 2" xfId="26421" xr:uid="{C80D41F3-5813-49D3-BEA3-EB99832FB0F6}"/>
    <cellStyle name="Comma 2 2 2 5 2 7" xfId="17749" xr:uid="{EE4C5B64-C72E-4EBF-93B6-507A7381EFAA}"/>
    <cellStyle name="Comma 2 2 2 5 3" xfId="676" xr:uid="{FC4AACA3-8FA8-4F3D-8EC8-6BDDE3B9ECC8}"/>
    <cellStyle name="Comma 2 2 2 5 3 2" xfId="1760" xr:uid="{1538493E-6F82-4140-B2BA-0D7564088DBF}"/>
    <cellStyle name="Comma 2 2 2 5 3 2 2" xfId="3928" xr:uid="{8E306E44-9424-40BF-9084-1431EAA433BB}"/>
    <cellStyle name="Comma 2 2 2 5 3 2 2 2" xfId="8264" xr:uid="{BA238FE4-2670-4CEA-9006-8ABCB1794EA8}"/>
    <cellStyle name="Comma 2 2 2 5 3 2 2 2 2" xfId="16936" xr:uid="{9B8C65A4-A2D2-47BC-822F-E305C3266758}"/>
    <cellStyle name="Comma 2 2 2 5 3 2 2 2 2 2" xfId="34280" xr:uid="{424A2F3A-4866-486B-9872-EFE9CD84B5CE}"/>
    <cellStyle name="Comma 2 2 2 5 3 2 2 2 3" xfId="25608" xr:uid="{1FDCD232-E62F-41E9-932F-DA9AD341FF9D}"/>
    <cellStyle name="Comma 2 2 2 5 3 2 2 3" xfId="12600" xr:uid="{F05D012E-0191-4280-A5D1-3942262F7C1E}"/>
    <cellStyle name="Comma 2 2 2 5 3 2 2 3 2" xfId="29944" xr:uid="{215BA8C9-B853-4562-987E-9AA9A10F425B}"/>
    <cellStyle name="Comma 2 2 2 5 3 2 2 4" xfId="21272" xr:uid="{86729001-7F2B-42A6-92E3-9C6EC47AF462}"/>
    <cellStyle name="Comma 2 2 2 5 3 2 3" xfId="6096" xr:uid="{0AAE64BC-9AC3-4FD3-B549-BF82B5192546}"/>
    <cellStyle name="Comma 2 2 2 5 3 2 3 2" xfId="14768" xr:uid="{BA92174E-F7DF-4C99-963C-61782FB25BFF}"/>
    <cellStyle name="Comma 2 2 2 5 3 2 3 2 2" xfId="32112" xr:uid="{12169555-5F0D-43C0-BC41-FB2F98E8EA4C}"/>
    <cellStyle name="Comma 2 2 2 5 3 2 3 3" xfId="23440" xr:uid="{038940C4-3517-4950-B506-F845F588B10E}"/>
    <cellStyle name="Comma 2 2 2 5 3 2 4" xfId="10432" xr:uid="{AE750FF1-3454-407F-964D-B13BA4793D9D}"/>
    <cellStyle name="Comma 2 2 2 5 3 2 4 2" xfId="27776" xr:uid="{262DF329-9153-4ADA-B05A-7751337FDC5C}"/>
    <cellStyle name="Comma 2 2 2 5 3 2 5" xfId="19104" xr:uid="{AC4E28B9-6C84-48A1-81DE-725A793F9E89}"/>
    <cellStyle name="Comma 2 2 2 5 3 3" xfId="2844" xr:uid="{54FE90BD-9567-42B8-9506-BAAED567F173}"/>
    <cellStyle name="Comma 2 2 2 5 3 3 2" xfId="7180" xr:uid="{EF1681CD-A10D-4B0C-9A4A-FEE11145BB7A}"/>
    <cellStyle name="Comma 2 2 2 5 3 3 2 2" xfId="15852" xr:uid="{1BA72997-08C8-44AC-BBCA-38C34BB54AA7}"/>
    <cellStyle name="Comma 2 2 2 5 3 3 2 2 2" xfId="33196" xr:uid="{F75FE5CF-3FC3-4E2D-8869-4FE91B46C76C}"/>
    <cellStyle name="Comma 2 2 2 5 3 3 2 3" xfId="24524" xr:uid="{FBEA64BE-79FD-4B93-BC94-5F31D385A0E5}"/>
    <cellStyle name="Comma 2 2 2 5 3 3 3" xfId="11516" xr:uid="{8969AADA-2776-49C0-B2F5-334BF2C7C18B}"/>
    <cellStyle name="Comma 2 2 2 5 3 3 3 2" xfId="28860" xr:uid="{C4A55140-26E5-4F62-A399-B346211ACD42}"/>
    <cellStyle name="Comma 2 2 2 5 3 3 4" xfId="20188" xr:uid="{0F80FD1A-EB33-4C2F-984E-B5C0D79EC920}"/>
    <cellStyle name="Comma 2 2 2 5 3 4" xfId="5012" xr:uid="{7A2BA81B-FF02-4891-82EC-2BB978EBB0FE}"/>
    <cellStyle name="Comma 2 2 2 5 3 4 2" xfId="13684" xr:uid="{F70781D0-54EB-4811-BAB4-3A23F3F9A535}"/>
    <cellStyle name="Comma 2 2 2 5 3 4 2 2" xfId="31028" xr:uid="{F3DD180C-442C-4096-B0E7-5762A505B928}"/>
    <cellStyle name="Comma 2 2 2 5 3 4 3" xfId="22356" xr:uid="{F9A827DE-3940-4753-9226-45ABC8FEB772}"/>
    <cellStyle name="Comma 2 2 2 5 3 5" xfId="9348" xr:uid="{66D03F73-A107-46FE-BF57-01BDF3C9AF2B}"/>
    <cellStyle name="Comma 2 2 2 5 3 5 2" xfId="26692" xr:uid="{C02FA202-C48A-4471-84E2-53FB29979D1C}"/>
    <cellStyle name="Comma 2 2 2 5 3 6" xfId="18020" xr:uid="{F078A435-C281-4D5C-8892-DD6EC8BC5FDC}"/>
    <cellStyle name="Comma 2 2 2 5 4" xfId="1219" xr:uid="{9B382C03-112D-4257-B663-9860E6480F48}"/>
    <cellStyle name="Comma 2 2 2 5 4 2" xfId="3387" xr:uid="{CFDCD958-E2DA-42D5-A039-D1E576D8ABD8}"/>
    <cellStyle name="Comma 2 2 2 5 4 2 2" xfId="7723" xr:uid="{25C24070-0A94-4852-B2BF-5292FC0E6A2F}"/>
    <cellStyle name="Comma 2 2 2 5 4 2 2 2" xfId="16395" xr:uid="{534C9939-C7E8-4718-B06E-4A822BCEA08D}"/>
    <cellStyle name="Comma 2 2 2 5 4 2 2 2 2" xfId="33739" xr:uid="{49979F8A-8657-4855-8603-F167A2F2EF3F}"/>
    <cellStyle name="Comma 2 2 2 5 4 2 2 3" xfId="25067" xr:uid="{3EE98AA2-0E87-4001-BAEE-98AC4D284C4D}"/>
    <cellStyle name="Comma 2 2 2 5 4 2 3" xfId="12059" xr:uid="{437E431C-B0E8-406F-8E0E-CC0323B1444C}"/>
    <cellStyle name="Comma 2 2 2 5 4 2 3 2" xfId="29403" xr:uid="{06DB4571-4318-4E51-98B7-E22031E14AE9}"/>
    <cellStyle name="Comma 2 2 2 5 4 2 4" xfId="20731" xr:uid="{47826E01-3A36-4118-A8ED-424CD4B295F6}"/>
    <cellStyle name="Comma 2 2 2 5 4 3" xfId="5555" xr:uid="{810CDA42-ACC8-46E1-A760-06A030FFD2BF}"/>
    <cellStyle name="Comma 2 2 2 5 4 3 2" xfId="14227" xr:uid="{8E830FE2-D407-4ACB-8DEE-5AB59C0882F0}"/>
    <cellStyle name="Comma 2 2 2 5 4 3 2 2" xfId="31571" xr:uid="{229A586C-94F7-4834-9462-E91452BF6BD7}"/>
    <cellStyle name="Comma 2 2 2 5 4 3 3" xfId="22899" xr:uid="{DEBEB1A4-59B2-48BE-8A93-77A86A1C6C8E}"/>
    <cellStyle name="Comma 2 2 2 5 4 4" xfId="9891" xr:uid="{77D79C53-10EB-4F18-B548-7E16681BAEF2}"/>
    <cellStyle name="Comma 2 2 2 5 4 4 2" xfId="27235" xr:uid="{8BE56175-6D7C-4738-9D90-8462BFF806A5}"/>
    <cellStyle name="Comma 2 2 2 5 4 5" xfId="18563" xr:uid="{105D052C-6577-4ECD-8147-2B1A07C079F7}"/>
    <cellStyle name="Comma 2 2 2 5 5" xfId="2303" xr:uid="{9C24D2B1-233D-4BBB-8BA3-73B2E456F337}"/>
    <cellStyle name="Comma 2 2 2 5 5 2" xfId="6639" xr:uid="{A4EFEF02-19B7-470D-852A-88C2F62A2247}"/>
    <cellStyle name="Comma 2 2 2 5 5 2 2" xfId="15311" xr:uid="{2E17E676-558D-4C45-A14A-5EE0A2B55084}"/>
    <cellStyle name="Comma 2 2 2 5 5 2 2 2" xfId="32655" xr:uid="{9AAF1344-3920-418A-914F-EECFA4009C94}"/>
    <cellStyle name="Comma 2 2 2 5 5 2 3" xfId="23983" xr:uid="{7FF126BE-B20D-476B-8B38-0B059854182F}"/>
    <cellStyle name="Comma 2 2 2 5 5 3" xfId="10975" xr:uid="{9D145DB2-5731-4066-8B84-003AFFDFD5F0}"/>
    <cellStyle name="Comma 2 2 2 5 5 3 2" xfId="28319" xr:uid="{E9E1B97C-5511-409B-B039-487D2B44D22F}"/>
    <cellStyle name="Comma 2 2 2 5 5 4" xfId="19647" xr:uid="{4C6FDF02-4309-4F57-95C6-370120CE66E2}"/>
    <cellStyle name="Comma 2 2 2 5 6" xfId="4471" xr:uid="{045BFA0F-1DD8-4FE3-BD28-055336055E67}"/>
    <cellStyle name="Comma 2 2 2 5 6 2" xfId="13143" xr:uid="{DB0D8350-E2A2-4314-B7EB-10032648A8BC}"/>
    <cellStyle name="Comma 2 2 2 5 6 2 2" xfId="30487" xr:uid="{CF130DDF-ADCB-4F1B-A5A0-5B764F2E3556}"/>
    <cellStyle name="Comma 2 2 2 5 6 3" xfId="21815" xr:uid="{29AC3336-6D09-4602-AA3A-12FCAE0FB2BA}"/>
    <cellStyle name="Comma 2 2 2 5 7" xfId="8807" xr:uid="{DDB47179-ED22-4309-9B0B-525D3E69A8C3}"/>
    <cellStyle name="Comma 2 2 2 5 7 2" xfId="26151" xr:uid="{ADD96AD9-A8E5-48BB-B4B0-CCEB8A2E89E2}"/>
    <cellStyle name="Comma 2 2 2 5 8" xfId="17479" xr:uid="{57A31E28-8257-4A83-943E-B93245A7444A}"/>
    <cellStyle name="Comma 2 2 2 6" xfId="261" xr:uid="{16D89CE3-0E74-4241-AC3C-787E1B845FDD}"/>
    <cellStyle name="Comma 2 2 2 6 2" xfId="531" xr:uid="{9EA40C2F-F57B-4030-872A-D0CDE03A9791}"/>
    <cellStyle name="Comma 2 2 2 6 2 2" xfId="1072" xr:uid="{C392E120-9007-4D5C-8BE5-794638538550}"/>
    <cellStyle name="Comma 2 2 2 6 2 2 2" xfId="2156" xr:uid="{A28435A0-5450-4DDD-AC07-13039029E7FB}"/>
    <cellStyle name="Comma 2 2 2 6 2 2 2 2" xfId="4324" xr:uid="{95801162-E683-4ACD-A5DC-CD36C866DA6E}"/>
    <cellStyle name="Comma 2 2 2 6 2 2 2 2 2" xfId="8660" xr:uid="{C4B4A637-DF3D-4F7B-B1BF-85CDBCCDB801}"/>
    <cellStyle name="Comma 2 2 2 6 2 2 2 2 2 2" xfId="17332" xr:uid="{C72049BB-5147-4F2F-A582-E1DABA9A8589}"/>
    <cellStyle name="Comma 2 2 2 6 2 2 2 2 2 2 2" xfId="34676" xr:uid="{3C95F16D-57E3-4090-8EA3-C5A2B950B68D}"/>
    <cellStyle name="Comma 2 2 2 6 2 2 2 2 2 3" xfId="26004" xr:uid="{B43DE8AF-53ED-4824-AB04-3F2849D85CB1}"/>
    <cellStyle name="Comma 2 2 2 6 2 2 2 2 3" xfId="12996" xr:uid="{99B063A5-10E9-4320-B873-BDEA7BFA7A1B}"/>
    <cellStyle name="Comma 2 2 2 6 2 2 2 2 3 2" xfId="30340" xr:uid="{233D401E-1968-4C35-BA9E-20A1B4AC4E40}"/>
    <cellStyle name="Comma 2 2 2 6 2 2 2 2 4" xfId="21668" xr:uid="{7FAD1694-2EE2-47FB-9A9D-FC369934E4D1}"/>
    <cellStyle name="Comma 2 2 2 6 2 2 2 3" xfId="6492" xr:uid="{1EBDFB5D-7A72-469E-9E9C-F708ABDD4A9F}"/>
    <cellStyle name="Comma 2 2 2 6 2 2 2 3 2" xfId="15164" xr:uid="{A115CCAF-CAA5-4FEC-AF54-2751638DF1FC}"/>
    <cellStyle name="Comma 2 2 2 6 2 2 2 3 2 2" xfId="32508" xr:uid="{5C05C55C-D717-4DD7-9185-4AA0F9A5EFDC}"/>
    <cellStyle name="Comma 2 2 2 6 2 2 2 3 3" xfId="23836" xr:uid="{DBD2B06A-2D63-4B8D-9211-F23FCA69385F}"/>
    <cellStyle name="Comma 2 2 2 6 2 2 2 4" xfId="10828" xr:uid="{00091E26-CDCC-4E2B-9EDC-4C7FDB880B86}"/>
    <cellStyle name="Comma 2 2 2 6 2 2 2 4 2" xfId="28172" xr:uid="{63776034-AC66-42B3-A34E-C03698009FFC}"/>
    <cellStyle name="Comma 2 2 2 6 2 2 2 5" xfId="19500" xr:uid="{DAEDA9CB-F6C8-4005-9FC6-27E86A107305}"/>
    <cellStyle name="Comma 2 2 2 6 2 2 3" xfId="3240" xr:uid="{E4C6CDB0-F3B4-4644-A218-DA4B21A53D53}"/>
    <cellStyle name="Comma 2 2 2 6 2 2 3 2" xfId="7576" xr:uid="{D40FEFCE-2FDA-4D3B-98E2-C800629A2F6D}"/>
    <cellStyle name="Comma 2 2 2 6 2 2 3 2 2" xfId="16248" xr:uid="{78F32483-781B-428A-8FD6-8B3677153AFB}"/>
    <cellStyle name="Comma 2 2 2 6 2 2 3 2 2 2" xfId="33592" xr:uid="{C6E6B11C-5667-4564-9D4D-52E207224DF0}"/>
    <cellStyle name="Comma 2 2 2 6 2 2 3 2 3" xfId="24920" xr:uid="{280F8520-A173-4A42-94AC-87E88B18AD9D}"/>
    <cellStyle name="Comma 2 2 2 6 2 2 3 3" xfId="11912" xr:uid="{AA687066-631F-4309-8316-6F6ABD58DB79}"/>
    <cellStyle name="Comma 2 2 2 6 2 2 3 3 2" xfId="29256" xr:uid="{A8023437-58F3-440B-9B4F-5331DB116EAB}"/>
    <cellStyle name="Comma 2 2 2 6 2 2 3 4" xfId="20584" xr:uid="{6683FA25-181E-4FA0-A01A-A68F82F60260}"/>
    <cellStyle name="Comma 2 2 2 6 2 2 4" xfId="5408" xr:uid="{3ABA4458-F5EB-44E6-9077-A82DCF345482}"/>
    <cellStyle name="Comma 2 2 2 6 2 2 4 2" xfId="14080" xr:uid="{E07F9A48-8E47-4CFA-9652-9FD27E60F2DF}"/>
    <cellStyle name="Comma 2 2 2 6 2 2 4 2 2" xfId="31424" xr:uid="{A0EB2062-B46A-48C6-A545-F15FD50E5C27}"/>
    <cellStyle name="Comma 2 2 2 6 2 2 4 3" xfId="22752" xr:uid="{13A54E66-06DA-424B-8E0A-BB87CB62D306}"/>
    <cellStyle name="Comma 2 2 2 6 2 2 5" xfId="9744" xr:uid="{496796FE-5998-4421-B0DA-26498C29BA48}"/>
    <cellStyle name="Comma 2 2 2 6 2 2 5 2" xfId="27088" xr:uid="{2FFA631F-343F-4D8B-999E-11740DCE3682}"/>
    <cellStyle name="Comma 2 2 2 6 2 2 6" xfId="18416" xr:uid="{73523D73-E683-48AE-B8C3-1BFD6F3FBABB}"/>
    <cellStyle name="Comma 2 2 2 6 2 3" xfId="1615" xr:uid="{150D5665-CAB3-40AF-AC1E-F41F5ADD7ED0}"/>
    <cellStyle name="Comma 2 2 2 6 2 3 2" xfId="3783" xr:uid="{DC83FD3F-59B7-48BD-BB4A-8431B43620BB}"/>
    <cellStyle name="Comma 2 2 2 6 2 3 2 2" xfId="8119" xr:uid="{353F7E35-1C45-4779-B679-8AFB85F46678}"/>
    <cellStyle name="Comma 2 2 2 6 2 3 2 2 2" xfId="16791" xr:uid="{2E3C1553-32A8-40DC-8C01-0C220D4B31FB}"/>
    <cellStyle name="Comma 2 2 2 6 2 3 2 2 2 2" xfId="34135" xr:uid="{000A8B4F-823A-41AA-9044-BC4631795153}"/>
    <cellStyle name="Comma 2 2 2 6 2 3 2 2 3" xfId="25463" xr:uid="{8CA299E3-EC07-42F0-ABFE-A09DF7887392}"/>
    <cellStyle name="Comma 2 2 2 6 2 3 2 3" xfId="12455" xr:uid="{21D0A4F0-C5FE-40EB-B102-74BB28B0EFDF}"/>
    <cellStyle name="Comma 2 2 2 6 2 3 2 3 2" xfId="29799" xr:uid="{CBB662A6-DA28-4348-ADC4-271E9F8116DC}"/>
    <cellStyle name="Comma 2 2 2 6 2 3 2 4" xfId="21127" xr:uid="{76E2D1E6-56FD-4B1E-8C93-CD54845056E2}"/>
    <cellStyle name="Comma 2 2 2 6 2 3 3" xfId="5951" xr:uid="{E0E806E8-EC2E-4F73-B3DB-F873DF21EEA7}"/>
    <cellStyle name="Comma 2 2 2 6 2 3 3 2" xfId="14623" xr:uid="{6C6AEDF1-4268-47C8-840E-AEFB025A9D19}"/>
    <cellStyle name="Comma 2 2 2 6 2 3 3 2 2" xfId="31967" xr:uid="{F46901DB-A1B9-48F4-BDDF-0507D58633AE}"/>
    <cellStyle name="Comma 2 2 2 6 2 3 3 3" xfId="23295" xr:uid="{445E94DF-E00B-4E93-A941-305DCC718B8A}"/>
    <cellStyle name="Comma 2 2 2 6 2 3 4" xfId="10287" xr:uid="{83E50AAC-A31D-4F8A-9227-575965D041D0}"/>
    <cellStyle name="Comma 2 2 2 6 2 3 4 2" xfId="27631" xr:uid="{70F1AC4F-D1D6-4F46-98E5-1AE173D2FA10}"/>
    <cellStyle name="Comma 2 2 2 6 2 3 5" xfId="18959" xr:uid="{3BD7F784-96B5-44AA-BDB8-3F590452D0E3}"/>
    <cellStyle name="Comma 2 2 2 6 2 4" xfId="2699" xr:uid="{C99BE6E7-A9A3-40C9-92E0-F129D97F7A58}"/>
    <cellStyle name="Comma 2 2 2 6 2 4 2" xfId="7035" xr:uid="{3E9FA5E9-64FC-4B1E-A6FC-61F207BAC13A}"/>
    <cellStyle name="Comma 2 2 2 6 2 4 2 2" xfId="15707" xr:uid="{C445055D-D2B1-49B2-887E-BE4BD3BFE112}"/>
    <cellStyle name="Comma 2 2 2 6 2 4 2 2 2" xfId="33051" xr:uid="{200D506D-9987-4045-8A0F-6BA5BA1016EE}"/>
    <cellStyle name="Comma 2 2 2 6 2 4 2 3" xfId="24379" xr:uid="{4D4A34B9-213E-4BCC-842F-9BC93258C525}"/>
    <cellStyle name="Comma 2 2 2 6 2 4 3" xfId="11371" xr:uid="{9149FC1F-9872-4DEA-B5B8-29D7C2FE80F9}"/>
    <cellStyle name="Comma 2 2 2 6 2 4 3 2" xfId="28715" xr:uid="{48AF3399-6C06-4893-93B0-3F57BF165FBF}"/>
    <cellStyle name="Comma 2 2 2 6 2 4 4" xfId="20043" xr:uid="{B87E5615-D4E7-4142-A33E-13433B12EDEA}"/>
    <cellStyle name="Comma 2 2 2 6 2 5" xfId="4867" xr:uid="{15076527-E7CE-4184-9B89-52003DCB873B}"/>
    <cellStyle name="Comma 2 2 2 6 2 5 2" xfId="13539" xr:uid="{0C26A2ED-F0F8-4E9A-987C-07F2727B826E}"/>
    <cellStyle name="Comma 2 2 2 6 2 5 2 2" xfId="30883" xr:uid="{6B324BDE-3DDC-4A5A-8DDB-227C9B691A94}"/>
    <cellStyle name="Comma 2 2 2 6 2 5 3" xfId="22211" xr:uid="{EAE5F0DF-6117-416C-A405-6C04E0D20DD3}"/>
    <cellStyle name="Comma 2 2 2 6 2 6" xfId="9203" xr:uid="{925ABCEC-84E0-4608-BB68-7F056A64298E}"/>
    <cellStyle name="Comma 2 2 2 6 2 6 2" xfId="26547" xr:uid="{E4C9C791-7CE3-416D-8B30-8EC5BFF7A516}"/>
    <cellStyle name="Comma 2 2 2 6 2 7" xfId="17875" xr:uid="{C41C5DF3-8645-4610-AE4F-28A6AD3E8101}"/>
    <cellStyle name="Comma 2 2 2 6 3" xfId="802" xr:uid="{C54512D0-F5FF-4360-A6CB-CDF0AD5AAAB8}"/>
    <cellStyle name="Comma 2 2 2 6 3 2" xfId="1886" xr:uid="{49BEE08C-9A1F-4F10-AD85-422AE856AA5D}"/>
    <cellStyle name="Comma 2 2 2 6 3 2 2" xfId="4054" xr:uid="{342F353A-C158-4CCB-AF1C-73D151F5BA43}"/>
    <cellStyle name="Comma 2 2 2 6 3 2 2 2" xfId="8390" xr:uid="{8A528CF1-C97C-4344-A788-E9CD877FE1E4}"/>
    <cellStyle name="Comma 2 2 2 6 3 2 2 2 2" xfId="17062" xr:uid="{433EDE1D-5775-422A-8047-F9FF73C95A6C}"/>
    <cellStyle name="Comma 2 2 2 6 3 2 2 2 2 2" xfId="34406" xr:uid="{12C02E70-8925-458D-85EA-BA3BB82BA408}"/>
    <cellStyle name="Comma 2 2 2 6 3 2 2 2 3" xfId="25734" xr:uid="{F5C469C2-D649-42A6-9AE9-4311D8504374}"/>
    <cellStyle name="Comma 2 2 2 6 3 2 2 3" xfId="12726" xr:uid="{25BF4E75-4DE0-48A3-ABEC-40DBAADDA5CD}"/>
    <cellStyle name="Comma 2 2 2 6 3 2 2 3 2" xfId="30070" xr:uid="{58BF7F1F-2D92-4F84-97C4-4B6DD79C1BC6}"/>
    <cellStyle name="Comma 2 2 2 6 3 2 2 4" xfId="21398" xr:uid="{95B9A8F1-6A39-448A-838C-75CFDF67C8D3}"/>
    <cellStyle name="Comma 2 2 2 6 3 2 3" xfId="6222" xr:uid="{2072C93A-432B-45B2-B548-4E9E9DF86EDC}"/>
    <cellStyle name="Comma 2 2 2 6 3 2 3 2" xfId="14894" xr:uid="{B8649A73-BA68-4627-8AF2-F62B5F04DA48}"/>
    <cellStyle name="Comma 2 2 2 6 3 2 3 2 2" xfId="32238" xr:uid="{69172B2A-35FD-4A3D-AAE2-2770B641E38A}"/>
    <cellStyle name="Comma 2 2 2 6 3 2 3 3" xfId="23566" xr:uid="{F3E044F7-24FC-4C7B-BCC2-88B4188FC4C4}"/>
    <cellStyle name="Comma 2 2 2 6 3 2 4" xfId="10558" xr:uid="{AB8B6B4F-7FF7-48CC-BC8D-FAE6281713A6}"/>
    <cellStyle name="Comma 2 2 2 6 3 2 4 2" xfId="27902" xr:uid="{2020FB85-E67B-43CA-BB2D-9B3FC2583814}"/>
    <cellStyle name="Comma 2 2 2 6 3 2 5" xfId="19230" xr:uid="{9C5EA6CF-EFB2-4EC8-85AA-303B050A324A}"/>
    <cellStyle name="Comma 2 2 2 6 3 3" xfId="2970" xr:uid="{CA789A6C-6DF5-4BB9-947B-75A26EE80EFC}"/>
    <cellStyle name="Comma 2 2 2 6 3 3 2" xfId="7306" xr:uid="{F7A62354-D41B-4203-A72C-88A76E475A79}"/>
    <cellStyle name="Comma 2 2 2 6 3 3 2 2" xfId="15978" xr:uid="{072E78C6-FDB1-4313-88E5-E43E7CBD54F3}"/>
    <cellStyle name="Comma 2 2 2 6 3 3 2 2 2" xfId="33322" xr:uid="{4C6BF00F-26CB-4329-8E5F-B596412A9319}"/>
    <cellStyle name="Comma 2 2 2 6 3 3 2 3" xfId="24650" xr:uid="{68DE0BBB-1325-40AC-A9A8-6FFF295CEE3E}"/>
    <cellStyle name="Comma 2 2 2 6 3 3 3" xfId="11642" xr:uid="{D8475FCB-F79F-4F8A-911E-915F59BB8941}"/>
    <cellStyle name="Comma 2 2 2 6 3 3 3 2" xfId="28986" xr:uid="{A98D2AC5-F4A9-474F-8E9B-A09D5981420B}"/>
    <cellStyle name="Comma 2 2 2 6 3 3 4" xfId="20314" xr:uid="{6B820970-CF57-4F9D-91E4-873AACAA43C0}"/>
    <cellStyle name="Comma 2 2 2 6 3 4" xfId="5138" xr:uid="{C7FF9C26-4D3D-4098-AA5C-30602B67755C}"/>
    <cellStyle name="Comma 2 2 2 6 3 4 2" xfId="13810" xr:uid="{C2728B3E-CD41-4F84-8C2F-021BBD0EE899}"/>
    <cellStyle name="Comma 2 2 2 6 3 4 2 2" xfId="31154" xr:uid="{8C57D9DB-D303-4131-A090-D98AB217C380}"/>
    <cellStyle name="Comma 2 2 2 6 3 4 3" xfId="22482" xr:uid="{6D4DE61D-705F-43DC-AC71-87241E71AFE2}"/>
    <cellStyle name="Comma 2 2 2 6 3 5" xfId="9474" xr:uid="{59C36677-B82B-4CFA-A034-9A59A73A2FBE}"/>
    <cellStyle name="Comma 2 2 2 6 3 5 2" xfId="26818" xr:uid="{FC04B493-E708-4E97-AC13-C9941D518518}"/>
    <cellStyle name="Comma 2 2 2 6 3 6" xfId="18146" xr:uid="{A8074423-B213-46D0-AD0D-1B32342ECDA1}"/>
    <cellStyle name="Comma 2 2 2 6 4" xfId="1345" xr:uid="{7507380C-6F15-4458-B0A6-A786BAE49329}"/>
    <cellStyle name="Comma 2 2 2 6 4 2" xfId="3513" xr:uid="{30ADF204-8F14-4B59-A31C-27F6751C5DCD}"/>
    <cellStyle name="Comma 2 2 2 6 4 2 2" xfId="7849" xr:uid="{30511E77-F955-4308-9C34-98C7D8FCF17D}"/>
    <cellStyle name="Comma 2 2 2 6 4 2 2 2" xfId="16521" xr:uid="{4650A4A2-17EF-44D6-9F70-B755C6811566}"/>
    <cellStyle name="Comma 2 2 2 6 4 2 2 2 2" xfId="33865" xr:uid="{B8CCC7D0-8827-42FE-98FB-6A49ED3711DF}"/>
    <cellStyle name="Comma 2 2 2 6 4 2 2 3" xfId="25193" xr:uid="{62681836-E776-4283-9FB6-FC86F56743F1}"/>
    <cellStyle name="Comma 2 2 2 6 4 2 3" xfId="12185" xr:uid="{63197EF2-9035-4881-A217-665511EAADE3}"/>
    <cellStyle name="Comma 2 2 2 6 4 2 3 2" xfId="29529" xr:uid="{1F1C973F-30BD-4849-9DE0-5F8A0A24077E}"/>
    <cellStyle name="Comma 2 2 2 6 4 2 4" xfId="20857" xr:uid="{DAB60080-5776-4099-9F23-F32FA53F50A4}"/>
    <cellStyle name="Comma 2 2 2 6 4 3" xfId="5681" xr:uid="{64F0E3E7-1FA0-4E67-A23D-9B501DE77952}"/>
    <cellStyle name="Comma 2 2 2 6 4 3 2" xfId="14353" xr:uid="{273821D2-4A3A-4865-A38C-45EBCDF88F0D}"/>
    <cellStyle name="Comma 2 2 2 6 4 3 2 2" xfId="31697" xr:uid="{B85B6C4D-8C4A-4FC8-9672-71EBDFDA352C}"/>
    <cellStyle name="Comma 2 2 2 6 4 3 3" xfId="23025" xr:uid="{4F54DCA6-5101-4014-8476-DE01DBF1738F}"/>
    <cellStyle name="Comma 2 2 2 6 4 4" xfId="10017" xr:uid="{CBAB03BD-A148-4DD6-878C-0130A8A9AF41}"/>
    <cellStyle name="Comma 2 2 2 6 4 4 2" xfId="27361" xr:uid="{3DEEAB3E-CACE-49D3-B270-704B5E1405CD}"/>
    <cellStyle name="Comma 2 2 2 6 4 5" xfId="18689" xr:uid="{7D73B489-A8AC-4F5A-8DCE-04CE83A08282}"/>
    <cellStyle name="Comma 2 2 2 6 5" xfId="2429" xr:uid="{9748DD05-B5E4-47F9-B915-E433CAF5EAA7}"/>
    <cellStyle name="Comma 2 2 2 6 5 2" xfId="6765" xr:uid="{C0A541C3-BB48-49E0-B2EC-564577D3488D}"/>
    <cellStyle name="Comma 2 2 2 6 5 2 2" xfId="15437" xr:uid="{237B4435-8AC8-44AD-AF6D-722FA3FE0422}"/>
    <cellStyle name="Comma 2 2 2 6 5 2 2 2" xfId="32781" xr:uid="{516EB0B3-8098-44B7-87AE-9CE5056B6939}"/>
    <cellStyle name="Comma 2 2 2 6 5 2 3" xfId="24109" xr:uid="{52500D65-4855-4954-A706-CC7A139E8C39}"/>
    <cellStyle name="Comma 2 2 2 6 5 3" xfId="11101" xr:uid="{7FD52E8A-5D81-415F-8F22-E0E9557444E7}"/>
    <cellStyle name="Comma 2 2 2 6 5 3 2" xfId="28445" xr:uid="{6F462A7C-D54E-4A51-A94F-0BED526136AD}"/>
    <cellStyle name="Comma 2 2 2 6 5 4" xfId="19773" xr:uid="{08A955D7-8FBF-489D-A344-F4DE829F771D}"/>
    <cellStyle name="Comma 2 2 2 6 6" xfId="4597" xr:uid="{CA0E6F31-3996-4D2C-A17E-DDE888D57FB6}"/>
    <cellStyle name="Comma 2 2 2 6 6 2" xfId="13269" xr:uid="{56728B86-4E9F-4B2A-9E74-A6CF22CB2689}"/>
    <cellStyle name="Comma 2 2 2 6 6 2 2" xfId="30613" xr:uid="{1D486F86-59C0-4A30-A35A-BE7C93FBBC1F}"/>
    <cellStyle name="Comma 2 2 2 6 6 3" xfId="21941" xr:uid="{CD4DB806-3249-4AF0-9205-0E0307F15463}"/>
    <cellStyle name="Comma 2 2 2 6 7" xfId="8933" xr:uid="{9B8C5D5C-98EA-405A-AA1C-5BB21AACD130}"/>
    <cellStyle name="Comma 2 2 2 6 7 2" xfId="26277" xr:uid="{225EF0CB-9603-49E8-A116-37E0D7AA2A45}"/>
    <cellStyle name="Comma 2 2 2 6 8" xfId="17605" xr:uid="{A471C792-3C0C-41C1-B5FD-3A3721CFC8EA}"/>
    <cellStyle name="Comma 2 2 2 7" xfId="283" xr:uid="{CC746D75-6ACD-4DB2-B1AE-49310ABC1A52}"/>
    <cellStyle name="Comma 2 2 2 7 2" xfId="824" xr:uid="{95405CB1-9051-4341-B02A-E8A42B128BE6}"/>
    <cellStyle name="Comma 2 2 2 7 2 2" xfId="1908" xr:uid="{C084035D-E320-4FFE-A4D4-AAA96C06C2E9}"/>
    <cellStyle name="Comma 2 2 2 7 2 2 2" xfId="4076" xr:uid="{D22D1E17-4B27-4C8A-9B3C-D9CD743AD202}"/>
    <cellStyle name="Comma 2 2 2 7 2 2 2 2" xfId="8412" xr:uid="{EAD1A449-9BCF-4F35-807A-440DAA9B2CAF}"/>
    <cellStyle name="Comma 2 2 2 7 2 2 2 2 2" xfId="17084" xr:uid="{534554B4-C223-4596-837D-6C3975F04501}"/>
    <cellStyle name="Comma 2 2 2 7 2 2 2 2 2 2" xfId="34428" xr:uid="{AF57A106-B62B-40CB-A7FB-417CEA7286FE}"/>
    <cellStyle name="Comma 2 2 2 7 2 2 2 2 3" xfId="25756" xr:uid="{DF9FD668-27A8-48F6-AC45-679C0C13FAD0}"/>
    <cellStyle name="Comma 2 2 2 7 2 2 2 3" xfId="12748" xr:uid="{E95C5A0C-B8EC-4E95-A1DD-30460F8EF161}"/>
    <cellStyle name="Comma 2 2 2 7 2 2 2 3 2" xfId="30092" xr:uid="{DF946265-872E-415A-9735-001CDD77BFAC}"/>
    <cellStyle name="Comma 2 2 2 7 2 2 2 4" xfId="21420" xr:uid="{626C5396-0FE1-4D98-AE02-73630A0D5E1B}"/>
    <cellStyle name="Comma 2 2 2 7 2 2 3" xfId="6244" xr:uid="{7B915D84-AB8A-408F-A062-FB647A2F85AB}"/>
    <cellStyle name="Comma 2 2 2 7 2 2 3 2" xfId="14916" xr:uid="{0C299E53-57DB-4414-B601-794DAF4F4DCC}"/>
    <cellStyle name="Comma 2 2 2 7 2 2 3 2 2" xfId="32260" xr:uid="{C4F8A174-3EC7-44C2-848E-B2BC9B909F0F}"/>
    <cellStyle name="Comma 2 2 2 7 2 2 3 3" xfId="23588" xr:uid="{FAE68D76-5BA7-468F-A2ED-AC52461B02CC}"/>
    <cellStyle name="Comma 2 2 2 7 2 2 4" xfId="10580" xr:uid="{9DF7830A-81C6-4407-A922-87BAEAE7ADC3}"/>
    <cellStyle name="Comma 2 2 2 7 2 2 4 2" xfId="27924" xr:uid="{F0D0603E-34E7-48C8-BA12-405613907CE6}"/>
    <cellStyle name="Comma 2 2 2 7 2 2 5" xfId="19252" xr:uid="{0262A379-4CB2-4ECB-A2D7-3989A6CA1652}"/>
    <cellStyle name="Comma 2 2 2 7 2 3" xfId="2992" xr:uid="{96FAC95A-C2B4-44C5-8AB5-278E93BB8EE7}"/>
    <cellStyle name="Comma 2 2 2 7 2 3 2" xfId="7328" xr:uid="{E33E5450-A085-46AF-9961-FC8FEC4D0B3B}"/>
    <cellStyle name="Comma 2 2 2 7 2 3 2 2" xfId="16000" xr:uid="{22F50E9D-A8B6-4CC7-A3F5-F24A32D8E4F6}"/>
    <cellStyle name="Comma 2 2 2 7 2 3 2 2 2" xfId="33344" xr:uid="{453DC1DF-4409-4878-91A7-DD7EFB7329E6}"/>
    <cellStyle name="Comma 2 2 2 7 2 3 2 3" xfId="24672" xr:uid="{0DA29CD8-1B66-4E15-9FF0-251493821F6F}"/>
    <cellStyle name="Comma 2 2 2 7 2 3 3" xfId="11664" xr:uid="{423D77B9-A242-40AC-8CCB-C88482B43067}"/>
    <cellStyle name="Comma 2 2 2 7 2 3 3 2" xfId="29008" xr:uid="{E462DA4A-DBEA-4547-B713-6CB48E1B7DB5}"/>
    <cellStyle name="Comma 2 2 2 7 2 3 4" xfId="20336" xr:uid="{A439B28F-A28D-487E-973B-378A7AB8EC86}"/>
    <cellStyle name="Comma 2 2 2 7 2 4" xfId="5160" xr:uid="{B37CA52E-DE00-4CAD-9338-877851543BA2}"/>
    <cellStyle name="Comma 2 2 2 7 2 4 2" xfId="13832" xr:uid="{D1E546BF-A5CF-49F8-B746-6B8CB652AC57}"/>
    <cellStyle name="Comma 2 2 2 7 2 4 2 2" xfId="31176" xr:uid="{BE4DB326-6695-4381-AD9C-59C41201B85F}"/>
    <cellStyle name="Comma 2 2 2 7 2 4 3" xfId="22504" xr:uid="{7FF85DBF-10FB-444C-AE0B-4F348E45A85C}"/>
    <cellStyle name="Comma 2 2 2 7 2 5" xfId="9496" xr:uid="{AEB08192-DB7D-4365-B414-A7C8E0BF7843}"/>
    <cellStyle name="Comma 2 2 2 7 2 5 2" xfId="26840" xr:uid="{8B99E57A-A036-4ACF-9E99-C17F769F1E3D}"/>
    <cellStyle name="Comma 2 2 2 7 2 6" xfId="18168" xr:uid="{C0DFC391-DAE7-423E-B15E-933033FF2F42}"/>
    <cellStyle name="Comma 2 2 2 7 3" xfId="1367" xr:uid="{FBF152F6-7D89-43AA-B72E-A47C2ECD7C29}"/>
    <cellStyle name="Comma 2 2 2 7 3 2" xfId="3535" xr:uid="{06170A4A-7029-466A-8873-3E19AAF80382}"/>
    <cellStyle name="Comma 2 2 2 7 3 2 2" xfId="7871" xr:uid="{E26002CC-28DC-404D-89F9-60F8400960FB}"/>
    <cellStyle name="Comma 2 2 2 7 3 2 2 2" xfId="16543" xr:uid="{F6FCC914-BAED-424C-BC1C-9A39DF84072D}"/>
    <cellStyle name="Comma 2 2 2 7 3 2 2 2 2" xfId="33887" xr:uid="{E455572E-5E29-4244-8D92-34DD3A1603F8}"/>
    <cellStyle name="Comma 2 2 2 7 3 2 2 3" xfId="25215" xr:uid="{7D344F5A-D1CF-4DAD-9DBC-7234396C2EC3}"/>
    <cellStyle name="Comma 2 2 2 7 3 2 3" xfId="12207" xr:uid="{626D6081-4F68-403A-89C9-54123BEA76CE}"/>
    <cellStyle name="Comma 2 2 2 7 3 2 3 2" xfId="29551" xr:uid="{F7D030AB-AD6E-42E9-83F6-E5957DD75176}"/>
    <cellStyle name="Comma 2 2 2 7 3 2 4" xfId="20879" xr:uid="{134391B9-50F3-461D-B0B4-08AAA1288D1E}"/>
    <cellStyle name="Comma 2 2 2 7 3 3" xfId="5703" xr:uid="{8B100630-0F34-48BA-AF7B-BCF392DE0D2B}"/>
    <cellStyle name="Comma 2 2 2 7 3 3 2" xfId="14375" xr:uid="{D249241D-9075-490C-8FB6-BBAD49923748}"/>
    <cellStyle name="Comma 2 2 2 7 3 3 2 2" xfId="31719" xr:uid="{086AD671-2A47-412C-8391-9F52AF163FBB}"/>
    <cellStyle name="Comma 2 2 2 7 3 3 3" xfId="23047" xr:uid="{3E7DEFBF-CCA3-4BB1-91AB-EBADAB592657}"/>
    <cellStyle name="Comma 2 2 2 7 3 4" xfId="10039" xr:uid="{1EDE4AB7-7A1A-4480-A75B-98FC61C69A65}"/>
    <cellStyle name="Comma 2 2 2 7 3 4 2" xfId="27383" xr:uid="{835C1F6C-4B0C-4459-B956-3F56C0BF7C90}"/>
    <cellStyle name="Comma 2 2 2 7 3 5" xfId="18711" xr:uid="{BB050FCC-0AB7-497C-9905-CFB523537BE6}"/>
    <cellStyle name="Comma 2 2 2 7 4" xfId="2451" xr:uid="{5DB0AC0B-608F-4EE1-B09D-31477F776E56}"/>
    <cellStyle name="Comma 2 2 2 7 4 2" xfId="6787" xr:uid="{2F5CC218-14DC-44DE-B42F-D0D29A176074}"/>
    <cellStyle name="Comma 2 2 2 7 4 2 2" xfId="15459" xr:uid="{27666D55-76A3-4B92-958C-98549AEBD908}"/>
    <cellStyle name="Comma 2 2 2 7 4 2 2 2" xfId="32803" xr:uid="{FE4DF8EE-7FF9-47A3-BDB9-C27C4AD6DB9A}"/>
    <cellStyle name="Comma 2 2 2 7 4 2 3" xfId="24131" xr:uid="{BDDDAB7D-D915-4EAA-8C67-F107A2EE75A7}"/>
    <cellStyle name="Comma 2 2 2 7 4 3" xfId="11123" xr:uid="{66EFE935-8EEE-4F93-84DA-6C54A0C2F19E}"/>
    <cellStyle name="Comma 2 2 2 7 4 3 2" xfId="28467" xr:uid="{B740DB62-7FD9-40AE-BEC9-8F6F08511C11}"/>
    <cellStyle name="Comma 2 2 2 7 4 4" xfId="19795" xr:uid="{D2185ADB-5A9C-4ACA-88C6-DFEAFEE0C373}"/>
    <cellStyle name="Comma 2 2 2 7 5" xfId="4619" xr:uid="{01CAACBE-1AFB-4D49-9DD6-3E6E55485887}"/>
    <cellStyle name="Comma 2 2 2 7 5 2" xfId="13291" xr:uid="{57DF5C8D-344B-43B2-AC46-B3582C6B4124}"/>
    <cellStyle name="Comma 2 2 2 7 5 2 2" xfId="30635" xr:uid="{90C13ACD-2BC7-46DD-AF29-649FCAD4AD90}"/>
    <cellStyle name="Comma 2 2 2 7 5 3" xfId="21963" xr:uid="{2EDB7AFA-9082-4715-847B-2558C82DFF87}"/>
    <cellStyle name="Comma 2 2 2 7 6" xfId="8955" xr:uid="{A00EC267-91F0-465A-87B2-A104EEE218BB}"/>
    <cellStyle name="Comma 2 2 2 7 6 2" xfId="26299" xr:uid="{12F7164B-113B-45A1-A2F3-8FA77ABB0463}"/>
    <cellStyle name="Comma 2 2 2 7 7" xfId="17627" xr:uid="{D36AA507-69A0-4CA0-97AB-C77E39BB4E2A}"/>
    <cellStyle name="Comma 2 2 2 8" xfId="554" xr:uid="{4EE9F4FE-A96D-4751-A0B5-C9379A715E2D}"/>
    <cellStyle name="Comma 2 2 2 8 2" xfId="1638" xr:uid="{1E5DC3CC-EBAE-4572-9861-D9031C9C6144}"/>
    <cellStyle name="Comma 2 2 2 8 2 2" xfId="3806" xr:uid="{3A511E44-548A-4A5F-9CA1-73356E6A13A5}"/>
    <cellStyle name="Comma 2 2 2 8 2 2 2" xfId="8142" xr:uid="{ADC5DC29-F999-4C0A-AFD5-AE2AF2742567}"/>
    <cellStyle name="Comma 2 2 2 8 2 2 2 2" xfId="16814" xr:uid="{2BD89658-CF8B-465F-9105-2D7245DABF1E}"/>
    <cellStyle name="Comma 2 2 2 8 2 2 2 2 2" xfId="34158" xr:uid="{3784B201-BB6B-4120-A226-344DCBE66361}"/>
    <cellStyle name="Comma 2 2 2 8 2 2 2 3" xfId="25486" xr:uid="{7F21B928-87D8-4A05-B92A-5F1CD9346B7A}"/>
    <cellStyle name="Comma 2 2 2 8 2 2 3" xfId="12478" xr:uid="{492F87F3-7EEC-44F6-90AE-A40EEEE452BF}"/>
    <cellStyle name="Comma 2 2 2 8 2 2 3 2" xfId="29822" xr:uid="{C15FFE99-A74D-43A0-A788-697A6BC7685A}"/>
    <cellStyle name="Comma 2 2 2 8 2 2 4" xfId="21150" xr:uid="{CE3B9AF6-0CDE-4FCC-9136-B973875B755D}"/>
    <cellStyle name="Comma 2 2 2 8 2 3" xfId="5974" xr:uid="{E8D03D37-7EB3-4F9D-9BEA-6227BC38EA25}"/>
    <cellStyle name="Comma 2 2 2 8 2 3 2" xfId="14646" xr:uid="{2ABB8DEF-3D9B-4894-A9C8-45B27933F949}"/>
    <cellStyle name="Comma 2 2 2 8 2 3 2 2" xfId="31990" xr:uid="{C0CAC807-1792-421E-A4FC-A5D0D779EFDE}"/>
    <cellStyle name="Comma 2 2 2 8 2 3 3" xfId="23318" xr:uid="{2F5AB8E2-79AD-4095-9DE2-8688B5E7751C}"/>
    <cellStyle name="Comma 2 2 2 8 2 4" xfId="10310" xr:uid="{74AD64C5-8C39-4E26-A6A1-147A78DC54D9}"/>
    <cellStyle name="Comma 2 2 2 8 2 4 2" xfId="27654" xr:uid="{15181728-FCE4-4D53-9985-FE33DD0B34B3}"/>
    <cellStyle name="Comma 2 2 2 8 2 5" xfId="18982" xr:uid="{FCEEDF16-0DC7-4857-AC56-71E0E16D7E9E}"/>
    <cellStyle name="Comma 2 2 2 8 3" xfId="2722" xr:uid="{62D5C105-D68D-431F-95F7-D8A3AF998C2A}"/>
    <cellStyle name="Comma 2 2 2 8 3 2" xfId="7058" xr:uid="{E56EA581-0BE1-4850-B0D9-0F4D870FDAB4}"/>
    <cellStyle name="Comma 2 2 2 8 3 2 2" xfId="15730" xr:uid="{BC766495-19E5-431D-9059-82C7AED08873}"/>
    <cellStyle name="Comma 2 2 2 8 3 2 2 2" xfId="33074" xr:uid="{E1F6A040-F282-4825-BB79-FD3F98BC275C}"/>
    <cellStyle name="Comma 2 2 2 8 3 2 3" xfId="24402" xr:uid="{1D3E513E-DEC3-4BC3-8701-CE7761AA6366}"/>
    <cellStyle name="Comma 2 2 2 8 3 3" xfId="11394" xr:uid="{31353BF2-A90D-4B9B-A9B9-3104981A8F8F}"/>
    <cellStyle name="Comma 2 2 2 8 3 3 2" xfId="28738" xr:uid="{4887DDF0-DAF5-4B41-AE5B-5A485C91710A}"/>
    <cellStyle name="Comma 2 2 2 8 3 4" xfId="20066" xr:uid="{69D1AF65-5A93-4784-BB07-1B7FA575415C}"/>
    <cellStyle name="Comma 2 2 2 8 4" xfId="4890" xr:uid="{B1749A55-31D6-40B5-8C0E-809393A39937}"/>
    <cellStyle name="Comma 2 2 2 8 4 2" xfId="13562" xr:uid="{830D323D-FA35-4EB9-93B5-C7AB3CABCBFE}"/>
    <cellStyle name="Comma 2 2 2 8 4 2 2" xfId="30906" xr:uid="{016557ED-5CA0-4B4B-B953-9D0E2C83440E}"/>
    <cellStyle name="Comma 2 2 2 8 4 3" xfId="22234" xr:uid="{6D16AA3C-940B-4987-80CE-91A5E4575056}"/>
    <cellStyle name="Comma 2 2 2 8 5" xfId="9226" xr:uid="{57D20CF1-E5E9-44C0-9DBD-5BF5D49D4706}"/>
    <cellStyle name="Comma 2 2 2 8 5 2" xfId="26570" xr:uid="{B4255611-2F39-4913-B6E6-67A39526C82B}"/>
    <cellStyle name="Comma 2 2 2 8 6" xfId="17898" xr:uid="{1FF8FD90-DFFE-442B-A676-5E58DF72D852}"/>
    <cellStyle name="Comma 2 2 2 9" xfId="1097" xr:uid="{DC124B46-BD62-4C02-B31A-175892C239D0}"/>
    <cellStyle name="Comma 2 2 2 9 2" xfId="3265" xr:uid="{D3C32AFC-FCF6-475E-8604-58862C7FC5BA}"/>
    <cellStyle name="Comma 2 2 2 9 2 2" xfId="7601" xr:uid="{4C69162A-9C42-4814-89AD-C64F7DB53598}"/>
    <cellStyle name="Comma 2 2 2 9 2 2 2" xfId="16273" xr:uid="{912D6270-1A4A-470E-8AAD-650DC860F63C}"/>
    <cellStyle name="Comma 2 2 2 9 2 2 2 2" xfId="33617" xr:uid="{060C4C5D-FC2B-4869-B279-537F5E98C14C}"/>
    <cellStyle name="Comma 2 2 2 9 2 2 3" xfId="24945" xr:uid="{6BBBB947-6995-4E51-A9D3-36EF61C3D08E}"/>
    <cellStyle name="Comma 2 2 2 9 2 3" xfId="11937" xr:uid="{B72FD269-BB28-4CD4-84A3-7C523E39BD19}"/>
    <cellStyle name="Comma 2 2 2 9 2 3 2" xfId="29281" xr:uid="{EBEC3B60-0696-43D4-A9B8-B16C891D304C}"/>
    <cellStyle name="Comma 2 2 2 9 2 4" xfId="20609" xr:uid="{CC277671-7754-4A3B-B8EA-372841219583}"/>
    <cellStyle name="Comma 2 2 2 9 3" xfId="5433" xr:uid="{3375AB71-248E-4A24-BAB0-2B6FD1FD6DA3}"/>
    <cellStyle name="Comma 2 2 2 9 3 2" xfId="14105" xr:uid="{FBDA61E6-CE13-4201-BA4D-5FFB23ABA2EC}"/>
    <cellStyle name="Comma 2 2 2 9 3 2 2" xfId="31449" xr:uid="{C3F12C2C-F050-4E63-8FF9-E0DAA39B1A82}"/>
    <cellStyle name="Comma 2 2 2 9 3 3" xfId="22777" xr:uid="{454AC7B9-1674-4757-ADBF-25F96B182FCE}"/>
    <cellStyle name="Comma 2 2 2 9 4" xfId="9769" xr:uid="{C5812794-8646-4BED-A40E-7942B352F303}"/>
    <cellStyle name="Comma 2 2 2 9 4 2" xfId="27113" xr:uid="{B0285F29-79FB-48B1-8F77-4B933A241F8E}"/>
    <cellStyle name="Comma 2 2 2 9 5" xfId="18441" xr:uid="{83616314-9F41-4AF7-AFA2-CF76747A138A}"/>
    <cellStyle name="Comma 2 2 3" xfId="23" xr:uid="{CA5CAC82-BCDD-4E0A-B8BE-61389FD4F7CF}"/>
    <cellStyle name="Comma 2 2 3 10" xfId="8695" xr:uid="{0E74625F-79F1-463F-9378-920679A65388}"/>
    <cellStyle name="Comma 2 2 3 10 2" xfId="26039" xr:uid="{33CFD764-1043-4956-BD2C-E6EB5D0C824E}"/>
    <cellStyle name="Comma 2 2 3 11" xfId="17367" xr:uid="{64882756-74F7-4456-BF1A-DEA78FB435AD}"/>
    <cellStyle name="Comma 2 2 3 2" xfId="84" xr:uid="{F58FD49A-1BB9-4768-BBD6-A655DBD5FB48}"/>
    <cellStyle name="Comma 2 2 3 2 2" xfId="206" xr:uid="{2DB7C6E4-EF17-4A1D-9CCB-3A245CE5D113}"/>
    <cellStyle name="Comma 2 2 3 2 2 2" xfId="476" xr:uid="{6CA02C7C-18F7-4C9D-B0FA-2F5E94799C0C}"/>
    <cellStyle name="Comma 2 2 3 2 2 2 2" xfId="1017" xr:uid="{C4EAEF44-7092-48B7-99D4-2D6E357EEEED}"/>
    <cellStyle name="Comma 2 2 3 2 2 2 2 2" xfId="2101" xr:uid="{41368565-568F-48A8-A594-123C392704A4}"/>
    <cellStyle name="Comma 2 2 3 2 2 2 2 2 2" xfId="4269" xr:uid="{418D1B24-AC1D-4C36-BB74-9823C5EEA189}"/>
    <cellStyle name="Comma 2 2 3 2 2 2 2 2 2 2" xfId="8605" xr:uid="{3C2D2800-0193-457F-B763-BF9D3193A77B}"/>
    <cellStyle name="Comma 2 2 3 2 2 2 2 2 2 2 2" xfId="17277" xr:uid="{18E1973F-EA65-4F27-B08B-48F4FFD4DAE2}"/>
    <cellStyle name="Comma 2 2 3 2 2 2 2 2 2 2 2 2" xfId="34621" xr:uid="{6C74773D-43AE-4AA7-BF94-45BB76DFA953}"/>
    <cellStyle name="Comma 2 2 3 2 2 2 2 2 2 2 3" xfId="25949" xr:uid="{3651F30C-4CBB-4C4E-A17E-95C1B57FE4E9}"/>
    <cellStyle name="Comma 2 2 3 2 2 2 2 2 2 3" xfId="12941" xr:uid="{484AFBBD-D615-482C-9724-2B57E929182D}"/>
    <cellStyle name="Comma 2 2 3 2 2 2 2 2 2 3 2" xfId="30285" xr:uid="{B27F6B9D-D82D-40F4-9DBA-E36666ABF063}"/>
    <cellStyle name="Comma 2 2 3 2 2 2 2 2 2 4" xfId="21613" xr:uid="{DDC5619F-7562-47F2-8769-FD0259CA323A}"/>
    <cellStyle name="Comma 2 2 3 2 2 2 2 2 3" xfId="6437" xr:uid="{FDE9C73B-322A-4AE5-AF79-BFB9028D78D0}"/>
    <cellStyle name="Comma 2 2 3 2 2 2 2 2 3 2" xfId="15109" xr:uid="{FC17286B-18A6-4D5C-A349-60B5F80B95B0}"/>
    <cellStyle name="Comma 2 2 3 2 2 2 2 2 3 2 2" xfId="32453" xr:uid="{7B59C16E-6B33-49BF-8006-D3407611A752}"/>
    <cellStyle name="Comma 2 2 3 2 2 2 2 2 3 3" xfId="23781" xr:uid="{30A09C79-A706-4454-AF77-A5215482C88A}"/>
    <cellStyle name="Comma 2 2 3 2 2 2 2 2 4" xfId="10773" xr:uid="{C5211C8E-8AB0-4F5D-BFA2-BAD2C1BDD6C4}"/>
    <cellStyle name="Comma 2 2 3 2 2 2 2 2 4 2" xfId="28117" xr:uid="{6F7EBD18-1A5B-4312-9D11-1A275F589CE8}"/>
    <cellStyle name="Comma 2 2 3 2 2 2 2 2 5" xfId="19445" xr:uid="{3BBD8088-1863-40C1-AF52-91ACE098B827}"/>
    <cellStyle name="Comma 2 2 3 2 2 2 2 3" xfId="3185" xr:uid="{1D925728-DCF5-40ED-A807-4E6E4771BDB8}"/>
    <cellStyle name="Comma 2 2 3 2 2 2 2 3 2" xfId="7521" xr:uid="{06BB3261-0660-4EBA-A0F7-D2430081987C}"/>
    <cellStyle name="Comma 2 2 3 2 2 2 2 3 2 2" xfId="16193" xr:uid="{6EB2DAD9-B005-4411-A421-0EB758D6DE69}"/>
    <cellStyle name="Comma 2 2 3 2 2 2 2 3 2 2 2" xfId="33537" xr:uid="{DC4BD61D-E004-4EF6-9C52-1181449B0907}"/>
    <cellStyle name="Comma 2 2 3 2 2 2 2 3 2 3" xfId="24865" xr:uid="{A787E200-D8B1-45E5-8B7B-84254F619BF5}"/>
    <cellStyle name="Comma 2 2 3 2 2 2 2 3 3" xfId="11857" xr:uid="{B5B4ECFD-C95F-428A-86A8-BDAA77181F44}"/>
    <cellStyle name="Comma 2 2 3 2 2 2 2 3 3 2" xfId="29201" xr:uid="{6ADED2B7-DA4E-470C-833C-58381DAB9F15}"/>
    <cellStyle name="Comma 2 2 3 2 2 2 2 3 4" xfId="20529" xr:uid="{35ED8DDF-BFD2-441B-BF97-012C23D88A79}"/>
    <cellStyle name="Comma 2 2 3 2 2 2 2 4" xfId="5353" xr:uid="{AA28C568-D291-466F-AAED-A696004110B9}"/>
    <cellStyle name="Comma 2 2 3 2 2 2 2 4 2" xfId="14025" xr:uid="{DF2E4E1D-587F-460C-A9D5-350E06616FA0}"/>
    <cellStyle name="Comma 2 2 3 2 2 2 2 4 2 2" xfId="31369" xr:uid="{5F884A42-1DA7-4BC5-B27F-427A56EE2B44}"/>
    <cellStyle name="Comma 2 2 3 2 2 2 2 4 3" xfId="22697" xr:uid="{CBCF9AE6-7C38-4BFF-A70B-24FC35172199}"/>
    <cellStyle name="Comma 2 2 3 2 2 2 2 5" xfId="9689" xr:uid="{D908E140-EC3D-411C-BAA6-8153C00401A0}"/>
    <cellStyle name="Comma 2 2 3 2 2 2 2 5 2" xfId="27033" xr:uid="{36A83804-6825-4B6E-A2BA-919D1925439B}"/>
    <cellStyle name="Comma 2 2 3 2 2 2 2 6" xfId="18361" xr:uid="{917BE32A-1B39-48F3-97D1-DE27A535872C}"/>
    <cellStyle name="Comma 2 2 3 2 2 2 3" xfId="1560" xr:uid="{C82652C8-EB8C-423F-8F2B-8A0274ADBA0C}"/>
    <cellStyle name="Comma 2 2 3 2 2 2 3 2" xfId="3728" xr:uid="{32D925F3-291D-4174-9BE5-F3DBB89DEDE7}"/>
    <cellStyle name="Comma 2 2 3 2 2 2 3 2 2" xfId="8064" xr:uid="{2D9B4EBB-05A8-4A56-A073-EE7535D090BB}"/>
    <cellStyle name="Comma 2 2 3 2 2 2 3 2 2 2" xfId="16736" xr:uid="{7A212A9A-B11A-4F34-BFBD-3110AF74959C}"/>
    <cellStyle name="Comma 2 2 3 2 2 2 3 2 2 2 2" xfId="34080" xr:uid="{73B25F25-DA41-4D30-8237-4F29841FC39F}"/>
    <cellStyle name="Comma 2 2 3 2 2 2 3 2 2 3" xfId="25408" xr:uid="{2589E169-E482-4DB2-9905-AF8CE655B5BF}"/>
    <cellStyle name="Comma 2 2 3 2 2 2 3 2 3" xfId="12400" xr:uid="{839D4C7B-C58A-4414-9570-5FED331DEE56}"/>
    <cellStyle name="Comma 2 2 3 2 2 2 3 2 3 2" xfId="29744" xr:uid="{C4EFCD84-E93E-4426-A789-7D167075AA6F}"/>
    <cellStyle name="Comma 2 2 3 2 2 2 3 2 4" xfId="21072" xr:uid="{CA13B913-8588-417F-9BF0-5B38F10C7BA8}"/>
    <cellStyle name="Comma 2 2 3 2 2 2 3 3" xfId="5896" xr:uid="{E564F80E-D5F2-422E-AC30-D4355E9A15C5}"/>
    <cellStyle name="Comma 2 2 3 2 2 2 3 3 2" xfId="14568" xr:uid="{FA2A772A-31A8-4841-8355-30AA73B020FD}"/>
    <cellStyle name="Comma 2 2 3 2 2 2 3 3 2 2" xfId="31912" xr:uid="{510F34B6-0477-41FC-AF2F-3C41D3710C14}"/>
    <cellStyle name="Comma 2 2 3 2 2 2 3 3 3" xfId="23240" xr:uid="{9DA41F43-7865-4A5E-BFA8-CB7C55703BAA}"/>
    <cellStyle name="Comma 2 2 3 2 2 2 3 4" xfId="10232" xr:uid="{DFBD3B4E-44E4-4762-AACF-DEEF3C882B8D}"/>
    <cellStyle name="Comma 2 2 3 2 2 2 3 4 2" xfId="27576" xr:uid="{E08929E4-C562-4728-A76F-B249FD70E291}"/>
    <cellStyle name="Comma 2 2 3 2 2 2 3 5" xfId="18904" xr:uid="{EA4BABA6-D415-4E9F-89A6-7F3B87EBD034}"/>
    <cellStyle name="Comma 2 2 3 2 2 2 4" xfId="2644" xr:uid="{904C17DC-64B6-4594-AEC8-036B297BB121}"/>
    <cellStyle name="Comma 2 2 3 2 2 2 4 2" xfId="6980" xr:uid="{94812089-FED5-458A-B81A-B4690947516F}"/>
    <cellStyle name="Comma 2 2 3 2 2 2 4 2 2" xfId="15652" xr:uid="{0C153FC7-49C8-4C36-A7E5-DA22CD5D2F17}"/>
    <cellStyle name="Comma 2 2 3 2 2 2 4 2 2 2" xfId="32996" xr:uid="{BF32FCD3-E284-406C-B463-8EA26B50397D}"/>
    <cellStyle name="Comma 2 2 3 2 2 2 4 2 3" xfId="24324" xr:uid="{4CFA273D-2881-48AC-BFB6-265F1AD5D960}"/>
    <cellStyle name="Comma 2 2 3 2 2 2 4 3" xfId="11316" xr:uid="{E1027D00-F9DC-4C9E-BABE-401E19ED661A}"/>
    <cellStyle name="Comma 2 2 3 2 2 2 4 3 2" xfId="28660" xr:uid="{8A13B9A5-B59B-4ECD-923F-CA99959850B7}"/>
    <cellStyle name="Comma 2 2 3 2 2 2 4 4" xfId="19988" xr:uid="{4AB3CC14-1627-4993-A1BA-2FB3AA11A912}"/>
    <cellStyle name="Comma 2 2 3 2 2 2 5" xfId="4812" xr:uid="{63C7E461-6951-4B46-B922-7955F76B4048}"/>
    <cellStyle name="Comma 2 2 3 2 2 2 5 2" xfId="13484" xr:uid="{6ECB1AD6-D29C-413E-887F-72F47689DBB5}"/>
    <cellStyle name="Comma 2 2 3 2 2 2 5 2 2" xfId="30828" xr:uid="{742DDCEE-CD43-4538-93C6-5639A7B327E3}"/>
    <cellStyle name="Comma 2 2 3 2 2 2 5 3" xfId="22156" xr:uid="{6B3D8046-3ECC-4D78-894A-5E7107A84986}"/>
    <cellStyle name="Comma 2 2 3 2 2 2 6" xfId="9148" xr:uid="{AA173A13-FF65-44C6-AB00-675DDCBABCEB}"/>
    <cellStyle name="Comma 2 2 3 2 2 2 6 2" xfId="26492" xr:uid="{FD26B753-B558-48D6-B8C6-032F9AE3D413}"/>
    <cellStyle name="Comma 2 2 3 2 2 2 7" xfId="17820" xr:uid="{7BDFC1FF-EC25-469E-8598-7E85CAF69CD6}"/>
    <cellStyle name="Comma 2 2 3 2 2 3" xfId="747" xr:uid="{9C00265D-0E47-487D-9145-DF76BD4017C6}"/>
    <cellStyle name="Comma 2 2 3 2 2 3 2" xfId="1831" xr:uid="{7C85BFEB-C367-4332-A828-7EF0F5D98182}"/>
    <cellStyle name="Comma 2 2 3 2 2 3 2 2" xfId="3999" xr:uid="{8A719B41-CEA5-430C-89E2-C09965C41FE1}"/>
    <cellStyle name="Comma 2 2 3 2 2 3 2 2 2" xfId="8335" xr:uid="{9BC49148-78BB-4FC6-B3E4-D5B3FD4ECAAB}"/>
    <cellStyle name="Comma 2 2 3 2 2 3 2 2 2 2" xfId="17007" xr:uid="{81A24053-FD06-4F74-BC9E-5819BA3DF05C}"/>
    <cellStyle name="Comma 2 2 3 2 2 3 2 2 2 2 2" xfId="34351" xr:uid="{B6A55410-440B-411D-A46F-998C13760F26}"/>
    <cellStyle name="Comma 2 2 3 2 2 3 2 2 2 3" xfId="25679" xr:uid="{A3C4E012-459C-43E9-8A2B-E1B76FB907F6}"/>
    <cellStyle name="Comma 2 2 3 2 2 3 2 2 3" xfId="12671" xr:uid="{1B3AC428-B61E-4D2C-AF41-FB941D82C5A1}"/>
    <cellStyle name="Comma 2 2 3 2 2 3 2 2 3 2" xfId="30015" xr:uid="{02EDB1DC-2BB2-489E-BD2F-94054DEED735}"/>
    <cellStyle name="Comma 2 2 3 2 2 3 2 2 4" xfId="21343" xr:uid="{AD11CE1E-AD2F-4B8D-993C-09260E6FFDB8}"/>
    <cellStyle name="Comma 2 2 3 2 2 3 2 3" xfId="6167" xr:uid="{D3A16C59-6F43-4D29-8E68-9FCA25607255}"/>
    <cellStyle name="Comma 2 2 3 2 2 3 2 3 2" xfId="14839" xr:uid="{84DF1D06-7797-4C11-9FB4-66FCA2F01845}"/>
    <cellStyle name="Comma 2 2 3 2 2 3 2 3 2 2" xfId="32183" xr:uid="{AD9D6ACA-EA35-4BB5-9633-E62FA2B48B3F}"/>
    <cellStyle name="Comma 2 2 3 2 2 3 2 3 3" xfId="23511" xr:uid="{6D02F214-5C6B-4791-9E15-4F8FB69FB620}"/>
    <cellStyle name="Comma 2 2 3 2 2 3 2 4" xfId="10503" xr:uid="{211E0679-EF53-49B0-B140-8B912D7CC9D1}"/>
    <cellStyle name="Comma 2 2 3 2 2 3 2 4 2" xfId="27847" xr:uid="{21B5EE1C-7B05-4647-9154-1C9EAAFFC959}"/>
    <cellStyle name="Comma 2 2 3 2 2 3 2 5" xfId="19175" xr:uid="{94DF0A09-E279-41FC-BCD6-8781E50E5A2C}"/>
    <cellStyle name="Comma 2 2 3 2 2 3 3" xfId="2915" xr:uid="{6C2E1066-B04C-4FBA-A642-A584F452A975}"/>
    <cellStyle name="Comma 2 2 3 2 2 3 3 2" xfId="7251" xr:uid="{965AA2B4-A29A-4E24-8771-108BDE3CE871}"/>
    <cellStyle name="Comma 2 2 3 2 2 3 3 2 2" xfId="15923" xr:uid="{AB1DC441-55FA-41C0-9C75-210836FD4673}"/>
    <cellStyle name="Comma 2 2 3 2 2 3 3 2 2 2" xfId="33267" xr:uid="{49912DA9-059B-408A-B5C4-CBBB3D1471CF}"/>
    <cellStyle name="Comma 2 2 3 2 2 3 3 2 3" xfId="24595" xr:uid="{4C6B5EAD-49FC-4A51-AF8F-A62D1406D891}"/>
    <cellStyle name="Comma 2 2 3 2 2 3 3 3" xfId="11587" xr:uid="{DDA74A53-CC17-4384-8835-0A8A6F493C35}"/>
    <cellStyle name="Comma 2 2 3 2 2 3 3 3 2" xfId="28931" xr:uid="{47B530BF-A292-4D30-AD09-A80FFA082F4F}"/>
    <cellStyle name="Comma 2 2 3 2 2 3 3 4" xfId="20259" xr:uid="{73104915-D3AC-499D-B332-422D5CF6B4D2}"/>
    <cellStyle name="Comma 2 2 3 2 2 3 4" xfId="5083" xr:uid="{F63EDBD9-F350-4810-9069-8CB1A9C1459B}"/>
    <cellStyle name="Comma 2 2 3 2 2 3 4 2" xfId="13755" xr:uid="{EFED785F-FE04-4FB9-B280-1920B76005EE}"/>
    <cellStyle name="Comma 2 2 3 2 2 3 4 2 2" xfId="31099" xr:uid="{40F3E66F-3791-4EED-B2F0-07E2A08264D7}"/>
    <cellStyle name="Comma 2 2 3 2 2 3 4 3" xfId="22427" xr:uid="{9BDA6925-37AE-40A4-81FE-D6CE5158A2B7}"/>
    <cellStyle name="Comma 2 2 3 2 2 3 5" xfId="9419" xr:uid="{F2DC65B3-AB31-49AA-86C0-F684935C4CF7}"/>
    <cellStyle name="Comma 2 2 3 2 2 3 5 2" xfId="26763" xr:uid="{9F186FB1-932A-4F82-8FD8-F622E559F80F}"/>
    <cellStyle name="Comma 2 2 3 2 2 3 6" xfId="18091" xr:uid="{E05890FA-F5C5-408A-A0F6-9E27D95BA583}"/>
    <cellStyle name="Comma 2 2 3 2 2 4" xfId="1290" xr:uid="{C77A7218-221F-4BC6-BB25-0CEC7D659E72}"/>
    <cellStyle name="Comma 2 2 3 2 2 4 2" xfId="3458" xr:uid="{8ACE0BFC-D882-4BDB-90E1-A05DE9C3C055}"/>
    <cellStyle name="Comma 2 2 3 2 2 4 2 2" xfId="7794" xr:uid="{B25263BA-9179-4E51-B5F0-F8824126C673}"/>
    <cellStyle name="Comma 2 2 3 2 2 4 2 2 2" xfId="16466" xr:uid="{C19801BC-2A13-4E17-B1F9-65C09CFF9DB7}"/>
    <cellStyle name="Comma 2 2 3 2 2 4 2 2 2 2" xfId="33810" xr:uid="{01D963D4-DE5B-4E94-842F-CD62CCE116A2}"/>
    <cellStyle name="Comma 2 2 3 2 2 4 2 2 3" xfId="25138" xr:uid="{EAEB560C-6152-4556-ABCA-F82612FC3F32}"/>
    <cellStyle name="Comma 2 2 3 2 2 4 2 3" xfId="12130" xr:uid="{AEDCAC39-B028-42C1-A56A-67E7A84B5E96}"/>
    <cellStyle name="Comma 2 2 3 2 2 4 2 3 2" xfId="29474" xr:uid="{CA8F5825-6DFB-44DC-BC1C-42470C4E822D}"/>
    <cellStyle name="Comma 2 2 3 2 2 4 2 4" xfId="20802" xr:uid="{A28F30A5-6B04-4A85-8A01-DFD3B57FA9BC}"/>
    <cellStyle name="Comma 2 2 3 2 2 4 3" xfId="5626" xr:uid="{2A671175-057D-4788-B860-F41CFB8E692A}"/>
    <cellStyle name="Comma 2 2 3 2 2 4 3 2" xfId="14298" xr:uid="{2B33ACF1-8997-4317-BF45-3FF61BCC8EFA}"/>
    <cellStyle name="Comma 2 2 3 2 2 4 3 2 2" xfId="31642" xr:uid="{37C08935-661D-4DC1-9005-FE1E073CEB32}"/>
    <cellStyle name="Comma 2 2 3 2 2 4 3 3" xfId="22970" xr:uid="{446362CF-3C4A-4184-B297-1EBB7B5035DD}"/>
    <cellStyle name="Comma 2 2 3 2 2 4 4" xfId="9962" xr:uid="{2A7CD3CF-0650-4F33-BF5A-81DB92D920FE}"/>
    <cellStyle name="Comma 2 2 3 2 2 4 4 2" xfId="27306" xr:uid="{353C8B7C-A191-4E86-9D7D-99460B3987C8}"/>
    <cellStyle name="Comma 2 2 3 2 2 4 5" xfId="18634" xr:uid="{E8E144DD-5129-43C8-9E1D-B607A73F337E}"/>
    <cellStyle name="Comma 2 2 3 2 2 5" xfId="2374" xr:uid="{0FB2B2EF-A15F-4CE8-9DFD-8752CA0967F2}"/>
    <cellStyle name="Comma 2 2 3 2 2 5 2" xfId="6710" xr:uid="{0693AEB3-1832-4212-A167-DCC8C8A7DA1D}"/>
    <cellStyle name="Comma 2 2 3 2 2 5 2 2" xfId="15382" xr:uid="{5D5AF88C-370A-4FB0-8BBE-9D5A6837846E}"/>
    <cellStyle name="Comma 2 2 3 2 2 5 2 2 2" xfId="32726" xr:uid="{46F747E6-F14A-4BE6-9BA8-39FD30BECCD7}"/>
    <cellStyle name="Comma 2 2 3 2 2 5 2 3" xfId="24054" xr:uid="{21D755D6-62CD-44D7-86F0-1E173363FB95}"/>
    <cellStyle name="Comma 2 2 3 2 2 5 3" xfId="11046" xr:uid="{B26FCC00-0A2D-46BE-A859-8A1CC8298C69}"/>
    <cellStyle name="Comma 2 2 3 2 2 5 3 2" xfId="28390" xr:uid="{4FB789E1-C93F-4483-8281-18963DED10EF}"/>
    <cellStyle name="Comma 2 2 3 2 2 5 4" xfId="19718" xr:uid="{BB101CB2-50AA-4C69-8BD5-67FAAE16633D}"/>
    <cellStyle name="Comma 2 2 3 2 2 6" xfId="4542" xr:uid="{67DAD810-A0D9-47BB-ACA2-961C847FA30D}"/>
    <cellStyle name="Comma 2 2 3 2 2 6 2" xfId="13214" xr:uid="{3FB88750-45B4-4148-9710-CFDC4ADA5B1F}"/>
    <cellStyle name="Comma 2 2 3 2 2 6 2 2" xfId="30558" xr:uid="{780656AF-51EE-41F7-B7A7-E71411436B71}"/>
    <cellStyle name="Comma 2 2 3 2 2 6 3" xfId="21886" xr:uid="{2DEACC52-B71C-4F20-BF27-8883DD422768}"/>
    <cellStyle name="Comma 2 2 3 2 2 7" xfId="8878" xr:uid="{45F95BCD-6659-43D4-A61F-FA26A09AA53B}"/>
    <cellStyle name="Comma 2 2 3 2 2 7 2" xfId="26222" xr:uid="{945DFC43-98D9-4CAE-BC58-45716717DDCD}"/>
    <cellStyle name="Comma 2 2 3 2 2 8" xfId="17550" xr:uid="{EB0E1056-C226-4311-979E-3130133572C1}"/>
    <cellStyle name="Comma 2 2 3 2 3" xfId="354" xr:uid="{7F5035D4-20E6-41F9-92E0-A2AA373B99A3}"/>
    <cellStyle name="Comma 2 2 3 2 3 2" xfId="895" xr:uid="{90256359-DE51-4D72-9DE4-4F1BC2669B5A}"/>
    <cellStyle name="Comma 2 2 3 2 3 2 2" xfId="1979" xr:uid="{18F6553F-EF6D-4835-8F2E-94FF33A0A942}"/>
    <cellStyle name="Comma 2 2 3 2 3 2 2 2" xfId="4147" xr:uid="{084D709D-1F6C-440E-8917-8E1ACEC5E893}"/>
    <cellStyle name="Comma 2 2 3 2 3 2 2 2 2" xfId="8483" xr:uid="{A3D0C5E2-DD86-431F-8CE4-F388A4B6C930}"/>
    <cellStyle name="Comma 2 2 3 2 3 2 2 2 2 2" xfId="17155" xr:uid="{70A23376-6AAB-4C22-BA57-0FC3B6A5C3A9}"/>
    <cellStyle name="Comma 2 2 3 2 3 2 2 2 2 2 2" xfId="34499" xr:uid="{76B833A1-CFA4-47D9-AB98-5BB8E9C0236D}"/>
    <cellStyle name="Comma 2 2 3 2 3 2 2 2 2 3" xfId="25827" xr:uid="{A762E47C-A685-4C8F-B1F2-23C7F7DFF3A5}"/>
    <cellStyle name="Comma 2 2 3 2 3 2 2 2 3" xfId="12819" xr:uid="{36D19457-1138-4EA9-A986-C1A4AA66446B}"/>
    <cellStyle name="Comma 2 2 3 2 3 2 2 2 3 2" xfId="30163" xr:uid="{527B8232-7658-44C5-8AD9-45F01456949E}"/>
    <cellStyle name="Comma 2 2 3 2 3 2 2 2 4" xfId="21491" xr:uid="{423864E4-D091-43C6-865F-1DDAEBFB8897}"/>
    <cellStyle name="Comma 2 2 3 2 3 2 2 3" xfId="6315" xr:uid="{BC9F5E5E-59DE-49F8-8F69-6461DDADD7D4}"/>
    <cellStyle name="Comma 2 2 3 2 3 2 2 3 2" xfId="14987" xr:uid="{C8A0C1D9-9089-495A-8108-FE35B9B853B1}"/>
    <cellStyle name="Comma 2 2 3 2 3 2 2 3 2 2" xfId="32331" xr:uid="{1B9AB9A1-66B2-42A1-BFE0-89AA9187D662}"/>
    <cellStyle name="Comma 2 2 3 2 3 2 2 3 3" xfId="23659" xr:uid="{D6F9B9A9-D9E9-4CAF-A22F-966A867170C5}"/>
    <cellStyle name="Comma 2 2 3 2 3 2 2 4" xfId="10651" xr:uid="{5220950F-B685-4098-87FD-E92ED6751084}"/>
    <cellStyle name="Comma 2 2 3 2 3 2 2 4 2" xfId="27995" xr:uid="{55F03678-5D5E-4EE9-94D0-02830DC783C6}"/>
    <cellStyle name="Comma 2 2 3 2 3 2 2 5" xfId="19323" xr:uid="{8D18D0C1-4F05-4C99-A422-C44A9599B462}"/>
    <cellStyle name="Comma 2 2 3 2 3 2 3" xfId="3063" xr:uid="{2E718A07-2636-43F0-83AC-E24A530F005A}"/>
    <cellStyle name="Comma 2 2 3 2 3 2 3 2" xfId="7399" xr:uid="{BC0361AC-F42E-4A27-8FB0-EBC03478CCB6}"/>
    <cellStyle name="Comma 2 2 3 2 3 2 3 2 2" xfId="16071" xr:uid="{7FB61DFC-043D-481D-89A0-1C0DED233391}"/>
    <cellStyle name="Comma 2 2 3 2 3 2 3 2 2 2" xfId="33415" xr:uid="{A0AE13D9-4F5E-4D61-9401-F536EF4F1F7E}"/>
    <cellStyle name="Comma 2 2 3 2 3 2 3 2 3" xfId="24743" xr:uid="{91165C4A-E3BE-487D-82AC-2B2FE3F3B99A}"/>
    <cellStyle name="Comma 2 2 3 2 3 2 3 3" xfId="11735" xr:uid="{DAC3A9D4-3AAF-4F88-9BD1-217AA72AC78C}"/>
    <cellStyle name="Comma 2 2 3 2 3 2 3 3 2" xfId="29079" xr:uid="{58A0EA8A-CC0D-44E1-93D4-EE1CBED470B3}"/>
    <cellStyle name="Comma 2 2 3 2 3 2 3 4" xfId="20407" xr:uid="{72E05FA4-9564-4CE3-BA7B-FD31C5FC0007}"/>
    <cellStyle name="Comma 2 2 3 2 3 2 4" xfId="5231" xr:uid="{8F3BD87E-82F4-449D-81D6-CB21DAF341B9}"/>
    <cellStyle name="Comma 2 2 3 2 3 2 4 2" xfId="13903" xr:uid="{48D48716-E70A-4DDF-A1BC-A2E5219F4411}"/>
    <cellStyle name="Comma 2 2 3 2 3 2 4 2 2" xfId="31247" xr:uid="{E95B2633-18F9-42D1-840E-BD1C9F57BA3F}"/>
    <cellStyle name="Comma 2 2 3 2 3 2 4 3" xfId="22575" xr:uid="{14765F1B-0173-4FA0-A40D-BBEF25ED3AFF}"/>
    <cellStyle name="Comma 2 2 3 2 3 2 5" xfId="9567" xr:uid="{FBB3FFA0-8383-41FF-B33F-8439FA5E5D02}"/>
    <cellStyle name="Comma 2 2 3 2 3 2 5 2" xfId="26911" xr:uid="{9F0185EF-F91D-46A0-AAA1-6D81DE42C8A4}"/>
    <cellStyle name="Comma 2 2 3 2 3 2 6" xfId="18239" xr:uid="{3787F62F-B32E-4DE9-915A-45343B53D5EF}"/>
    <cellStyle name="Comma 2 2 3 2 3 3" xfId="1438" xr:uid="{54352B07-434C-40BB-9476-873A9F0768B6}"/>
    <cellStyle name="Comma 2 2 3 2 3 3 2" xfId="3606" xr:uid="{1E740101-DD89-454B-B402-EC6B25339F46}"/>
    <cellStyle name="Comma 2 2 3 2 3 3 2 2" xfId="7942" xr:uid="{8E497879-2CD6-48B3-A662-7FC9560A884B}"/>
    <cellStyle name="Comma 2 2 3 2 3 3 2 2 2" xfId="16614" xr:uid="{C62B6983-71E3-44F2-A446-C7E61F4514E4}"/>
    <cellStyle name="Comma 2 2 3 2 3 3 2 2 2 2" xfId="33958" xr:uid="{7C255DFE-D6D6-4917-B082-1C731E4D92D8}"/>
    <cellStyle name="Comma 2 2 3 2 3 3 2 2 3" xfId="25286" xr:uid="{9FFCE7F7-6673-4248-9F6E-DF6766BE472B}"/>
    <cellStyle name="Comma 2 2 3 2 3 3 2 3" xfId="12278" xr:uid="{AC73AEDE-EB5E-472B-B763-B9E816DE62E3}"/>
    <cellStyle name="Comma 2 2 3 2 3 3 2 3 2" xfId="29622" xr:uid="{D9AD17AF-DF92-4D68-9759-36B3376C2DD8}"/>
    <cellStyle name="Comma 2 2 3 2 3 3 2 4" xfId="20950" xr:uid="{4C33092F-56E0-4A0D-A5E0-E43983CA5A9E}"/>
    <cellStyle name="Comma 2 2 3 2 3 3 3" xfId="5774" xr:uid="{78541CAE-1A3D-4956-A873-7EE854463235}"/>
    <cellStyle name="Comma 2 2 3 2 3 3 3 2" xfId="14446" xr:uid="{269228A8-A0BF-4216-8708-56ADD1081F6E}"/>
    <cellStyle name="Comma 2 2 3 2 3 3 3 2 2" xfId="31790" xr:uid="{7A8CD4E1-A42D-4646-A8E6-F93696501655}"/>
    <cellStyle name="Comma 2 2 3 2 3 3 3 3" xfId="23118" xr:uid="{BEAB0549-9A2D-4B20-A7FC-73FD7F5CADF9}"/>
    <cellStyle name="Comma 2 2 3 2 3 3 4" xfId="10110" xr:uid="{F57A5A1F-8832-4F76-9872-0DD1FD3C5D76}"/>
    <cellStyle name="Comma 2 2 3 2 3 3 4 2" xfId="27454" xr:uid="{73C2791A-DED8-4437-B31A-C711D53ACE2A}"/>
    <cellStyle name="Comma 2 2 3 2 3 3 5" xfId="18782" xr:uid="{28731194-62F8-4765-A6FA-9CAF0F510625}"/>
    <cellStyle name="Comma 2 2 3 2 3 4" xfId="2522" xr:uid="{355EAB7F-670D-42ED-83F5-B4320D765E80}"/>
    <cellStyle name="Comma 2 2 3 2 3 4 2" xfId="6858" xr:uid="{5C96DEA1-DF1F-49C4-9DB3-73AF10D7507C}"/>
    <cellStyle name="Comma 2 2 3 2 3 4 2 2" xfId="15530" xr:uid="{2FEAF9D0-BE33-4251-8D59-6ED863EC1439}"/>
    <cellStyle name="Comma 2 2 3 2 3 4 2 2 2" xfId="32874" xr:uid="{A57CDA50-6AA1-49AA-9193-0F4838575A90}"/>
    <cellStyle name="Comma 2 2 3 2 3 4 2 3" xfId="24202" xr:uid="{24F56284-35E7-4C7F-AACE-BCE27AFE3988}"/>
    <cellStyle name="Comma 2 2 3 2 3 4 3" xfId="11194" xr:uid="{CA7C08B3-F8A0-43C2-930D-5613FF2A852D}"/>
    <cellStyle name="Comma 2 2 3 2 3 4 3 2" xfId="28538" xr:uid="{28100428-388F-4A59-B4A9-B418C50794BE}"/>
    <cellStyle name="Comma 2 2 3 2 3 4 4" xfId="19866" xr:uid="{9DA5E117-771D-45EF-91B3-2833BAF7E52C}"/>
    <cellStyle name="Comma 2 2 3 2 3 5" xfId="4690" xr:uid="{D8EFF91A-CD8B-4EE3-A6B7-5CFC86E5857F}"/>
    <cellStyle name="Comma 2 2 3 2 3 5 2" xfId="13362" xr:uid="{BBBAC6C3-117F-434E-BD83-30ADE0931625}"/>
    <cellStyle name="Comma 2 2 3 2 3 5 2 2" xfId="30706" xr:uid="{871042E8-EDDD-4072-9627-4F7BC1366F23}"/>
    <cellStyle name="Comma 2 2 3 2 3 5 3" xfId="22034" xr:uid="{FFBED05E-E5E0-49B8-B5C5-201B3B69E0F9}"/>
    <cellStyle name="Comma 2 2 3 2 3 6" xfId="9026" xr:uid="{53EC199E-0184-4BCF-A390-76EDB1FB77C8}"/>
    <cellStyle name="Comma 2 2 3 2 3 6 2" xfId="26370" xr:uid="{F2E154F8-EB98-4EB0-BA39-B0B46E99209B}"/>
    <cellStyle name="Comma 2 2 3 2 3 7" xfId="17698" xr:uid="{6B58C323-EE66-41DC-97E9-C97C82BEE15D}"/>
    <cellStyle name="Comma 2 2 3 2 4" xfId="625" xr:uid="{35174D36-AD6B-4F5E-901B-0BC25C132ADB}"/>
    <cellStyle name="Comma 2 2 3 2 4 2" xfId="1709" xr:uid="{D158714A-509E-4A01-87EF-52924D84C0B8}"/>
    <cellStyle name="Comma 2 2 3 2 4 2 2" xfId="3877" xr:uid="{DAD3260A-3BE9-455B-8E11-67A2267080AF}"/>
    <cellStyle name="Comma 2 2 3 2 4 2 2 2" xfId="8213" xr:uid="{6F13968F-E427-466E-94F0-D4C328B9BAA6}"/>
    <cellStyle name="Comma 2 2 3 2 4 2 2 2 2" xfId="16885" xr:uid="{52FF8326-4BA9-48FE-B3A1-4ED58D5FE4F6}"/>
    <cellStyle name="Comma 2 2 3 2 4 2 2 2 2 2" xfId="34229" xr:uid="{5B1E70C3-C7D9-4773-83AC-43357E6EDEAF}"/>
    <cellStyle name="Comma 2 2 3 2 4 2 2 2 3" xfId="25557" xr:uid="{D7D89232-EC8B-462A-B8B1-5DA9DFD2A4AA}"/>
    <cellStyle name="Comma 2 2 3 2 4 2 2 3" xfId="12549" xr:uid="{FE993B79-060A-4F9B-9217-F615A6265569}"/>
    <cellStyle name="Comma 2 2 3 2 4 2 2 3 2" xfId="29893" xr:uid="{D62E893B-0831-4240-80B1-66838E14AC6C}"/>
    <cellStyle name="Comma 2 2 3 2 4 2 2 4" xfId="21221" xr:uid="{CBE00091-B98B-4CCC-8E9A-9F8F37F5B00A}"/>
    <cellStyle name="Comma 2 2 3 2 4 2 3" xfId="6045" xr:uid="{60BCC306-9FAA-4A29-9C95-9E974EF2545A}"/>
    <cellStyle name="Comma 2 2 3 2 4 2 3 2" xfId="14717" xr:uid="{C9A3B3B7-7E69-46DB-9B3D-32D94D48F471}"/>
    <cellStyle name="Comma 2 2 3 2 4 2 3 2 2" xfId="32061" xr:uid="{13F07228-ACEC-4F7A-85FE-58BEFB48E4AF}"/>
    <cellStyle name="Comma 2 2 3 2 4 2 3 3" xfId="23389" xr:uid="{C18C10C6-6738-47AF-A82B-9DAB2F37B76B}"/>
    <cellStyle name="Comma 2 2 3 2 4 2 4" xfId="10381" xr:uid="{8EB23261-7097-4D67-9600-1E7E149D6402}"/>
    <cellStyle name="Comma 2 2 3 2 4 2 4 2" xfId="27725" xr:uid="{62ADAB2A-364C-4891-AF80-BD04343B2C96}"/>
    <cellStyle name="Comma 2 2 3 2 4 2 5" xfId="19053" xr:uid="{0DFC9D18-937A-405A-9E1C-B8BF315ACBCD}"/>
    <cellStyle name="Comma 2 2 3 2 4 3" xfId="2793" xr:uid="{17924A60-67EC-4332-9E3C-12406CA6AA1E}"/>
    <cellStyle name="Comma 2 2 3 2 4 3 2" xfId="7129" xr:uid="{600FB079-44FC-48B1-9066-7125BE7EBA3D}"/>
    <cellStyle name="Comma 2 2 3 2 4 3 2 2" xfId="15801" xr:uid="{D5B628F5-C534-43BB-B46D-49E1F33CE79E}"/>
    <cellStyle name="Comma 2 2 3 2 4 3 2 2 2" xfId="33145" xr:uid="{9F6B4BE5-874E-48A0-A4F5-5623FC6E613B}"/>
    <cellStyle name="Comma 2 2 3 2 4 3 2 3" xfId="24473" xr:uid="{F1AF53C5-0F60-4B1A-96D7-1572BEFC6375}"/>
    <cellStyle name="Comma 2 2 3 2 4 3 3" xfId="11465" xr:uid="{A4A283A4-CF12-424E-BAB3-2DC6865424FF}"/>
    <cellStyle name="Comma 2 2 3 2 4 3 3 2" xfId="28809" xr:uid="{080BB8F4-7408-4C16-B346-125D61D2B83D}"/>
    <cellStyle name="Comma 2 2 3 2 4 3 4" xfId="20137" xr:uid="{9B02D36A-316B-4CC9-A077-2B241DADAB1C}"/>
    <cellStyle name="Comma 2 2 3 2 4 4" xfId="4961" xr:uid="{DA6D1115-4C3B-4668-B920-D398E21DD1C3}"/>
    <cellStyle name="Comma 2 2 3 2 4 4 2" xfId="13633" xr:uid="{D4E2EAC1-7E05-4D6F-B425-FEA08CB0D527}"/>
    <cellStyle name="Comma 2 2 3 2 4 4 2 2" xfId="30977" xr:uid="{EC0A6F0B-87C1-461A-8CAA-4F69BAA68B91}"/>
    <cellStyle name="Comma 2 2 3 2 4 4 3" xfId="22305" xr:uid="{13CE1F1D-880D-4174-9BA6-9269CEAE1BB1}"/>
    <cellStyle name="Comma 2 2 3 2 4 5" xfId="9297" xr:uid="{89F1F20D-A7B4-495C-923A-C1E8898D6EF8}"/>
    <cellStyle name="Comma 2 2 3 2 4 5 2" xfId="26641" xr:uid="{C3184569-72DF-45AA-A6A5-FB2C35F7A9EB}"/>
    <cellStyle name="Comma 2 2 3 2 4 6" xfId="17969" xr:uid="{C66E8470-6CCE-45FD-8F7E-790FE1630BCF}"/>
    <cellStyle name="Comma 2 2 3 2 5" xfId="1168" xr:uid="{0B3DE720-D598-455A-A385-2F2F3043A57C}"/>
    <cellStyle name="Comma 2 2 3 2 5 2" xfId="3336" xr:uid="{A96A83B9-882E-45D8-86C2-7F45D562FBE5}"/>
    <cellStyle name="Comma 2 2 3 2 5 2 2" xfId="7672" xr:uid="{2996AFAE-99EC-4A7D-BE12-C38929B9C666}"/>
    <cellStyle name="Comma 2 2 3 2 5 2 2 2" xfId="16344" xr:uid="{0892BA71-FC72-4EC8-BB4A-E37C52EE3E86}"/>
    <cellStyle name="Comma 2 2 3 2 5 2 2 2 2" xfId="33688" xr:uid="{FFA1409A-92E8-480B-AFF3-A8720B729F93}"/>
    <cellStyle name="Comma 2 2 3 2 5 2 2 3" xfId="25016" xr:uid="{4F4F86E9-5833-4087-AE97-1BC9FBA2531F}"/>
    <cellStyle name="Comma 2 2 3 2 5 2 3" xfId="12008" xr:uid="{1D850744-5E84-495D-B780-8FAE22B6C53F}"/>
    <cellStyle name="Comma 2 2 3 2 5 2 3 2" xfId="29352" xr:uid="{DC27EA4A-BA9B-418D-9350-9993693F67EE}"/>
    <cellStyle name="Comma 2 2 3 2 5 2 4" xfId="20680" xr:uid="{6C846C3A-419B-41A2-AA5C-8E842B59D466}"/>
    <cellStyle name="Comma 2 2 3 2 5 3" xfId="5504" xr:uid="{DEC24B29-0E7E-4C7F-935A-FDA7B29CF4CE}"/>
    <cellStyle name="Comma 2 2 3 2 5 3 2" xfId="14176" xr:uid="{CA85910F-C277-4B01-ADA6-F573A5130585}"/>
    <cellStyle name="Comma 2 2 3 2 5 3 2 2" xfId="31520" xr:uid="{0493912D-99FA-4CDF-AD38-62D7524027C7}"/>
    <cellStyle name="Comma 2 2 3 2 5 3 3" xfId="22848" xr:uid="{24B8F607-4E25-4D4F-9A92-A590B1037D41}"/>
    <cellStyle name="Comma 2 2 3 2 5 4" xfId="9840" xr:uid="{191975CB-7DD3-43A0-8F15-8BA105E52ECE}"/>
    <cellStyle name="Comma 2 2 3 2 5 4 2" xfId="27184" xr:uid="{C84E3771-AE2E-42E3-AFEF-01CBF713D758}"/>
    <cellStyle name="Comma 2 2 3 2 5 5" xfId="18512" xr:uid="{25BA71D2-BFFD-4BDD-8657-2A9BF412FC98}"/>
    <cellStyle name="Comma 2 2 3 2 6" xfId="2252" xr:uid="{3365ED88-5215-45B0-9A1F-EFE2871934D3}"/>
    <cellStyle name="Comma 2 2 3 2 6 2" xfId="6588" xr:uid="{F90387DD-FAB6-4EEB-87D3-BF84B8512059}"/>
    <cellStyle name="Comma 2 2 3 2 6 2 2" xfId="15260" xr:uid="{C44DADDA-0036-4F96-99D9-61E4267F9C94}"/>
    <cellStyle name="Comma 2 2 3 2 6 2 2 2" xfId="32604" xr:uid="{C5D31A74-8842-4915-BE59-593DC409EB36}"/>
    <cellStyle name="Comma 2 2 3 2 6 2 3" xfId="23932" xr:uid="{65B0DD61-6DAB-4644-9FB2-5E8D5E890691}"/>
    <cellStyle name="Comma 2 2 3 2 6 3" xfId="10924" xr:uid="{6BB57B62-D32B-4E23-A12C-5575FE6D06CC}"/>
    <cellStyle name="Comma 2 2 3 2 6 3 2" xfId="28268" xr:uid="{4D070BC8-26A7-4CD2-B6F6-A3EC73F9743D}"/>
    <cellStyle name="Comma 2 2 3 2 6 4" xfId="19596" xr:uid="{AEE3C5A3-626E-4350-989C-E415CC7A254F}"/>
    <cellStyle name="Comma 2 2 3 2 7" xfId="4420" xr:uid="{4D673A18-E799-40B2-9263-B00594AAED2A}"/>
    <cellStyle name="Comma 2 2 3 2 7 2" xfId="13092" xr:uid="{DB2AE6B2-6387-4E60-A054-6B1304E75F26}"/>
    <cellStyle name="Comma 2 2 3 2 7 2 2" xfId="30436" xr:uid="{9A4DF8D9-032D-44FC-8EBF-BF44E812562E}"/>
    <cellStyle name="Comma 2 2 3 2 7 3" xfId="21764" xr:uid="{FEE4EF01-5A38-45CC-9060-83A766B11D73}"/>
    <cellStyle name="Comma 2 2 3 2 8" xfId="8756" xr:uid="{D4465F3E-9B29-468E-BE92-8F15D7EE0723}"/>
    <cellStyle name="Comma 2 2 3 2 8 2" xfId="26100" xr:uid="{D1AF05C1-6EFC-40C0-B76D-53B0C22D1D18}"/>
    <cellStyle name="Comma 2 2 3 2 9" xfId="17428" xr:uid="{AF8BE59E-DB78-4C72-9653-AC3B2EA6F273}"/>
    <cellStyle name="Comma 2 2 3 3" xfId="145" xr:uid="{ACB3903D-AA58-4200-BCF8-0EC470346BE8}"/>
    <cellStyle name="Comma 2 2 3 3 2" xfId="415" xr:uid="{49997D73-BA5B-444E-B7F2-A648AFC88604}"/>
    <cellStyle name="Comma 2 2 3 3 2 2" xfId="956" xr:uid="{A77493B0-F6F2-4600-AE84-F777A3BB465D}"/>
    <cellStyle name="Comma 2 2 3 3 2 2 2" xfId="2040" xr:uid="{A952167B-932D-4D99-8550-25CD998140C2}"/>
    <cellStyle name="Comma 2 2 3 3 2 2 2 2" xfId="4208" xr:uid="{21721D87-A7B1-473D-8187-19E69A5370D0}"/>
    <cellStyle name="Comma 2 2 3 3 2 2 2 2 2" xfId="8544" xr:uid="{E650D06A-AF61-4948-9C2F-4555D94D5A71}"/>
    <cellStyle name="Comma 2 2 3 3 2 2 2 2 2 2" xfId="17216" xr:uid="{A6D49890-A94B-4028-BEB1-BD0634BD5810}"/>
    <cellStyle name="Comma 2 2 3 3 2 2 2 2 2 2 2" xfId="34560" xr:uid="{AD8B21EB-E091-498C-8709-48C4299CB429}"/>
    <cellStyle name="Comma 2 2 3 3 2 2 2 2 2 3" xfId="25888" xr:uid="{58A538E3-AD80-41C9-B310-029335A8083A}"/>
    <cellStyle name="Comma 2 2 3 3 2 2 2 2 3" xfId="12880" xr:uid="{DC05D1BE-A10A-4445-891C-B2ACAFEE4A48}"/>
    <cellStyle name="Comma 2 2 3 3 2 2 2 2 3 2" xfId="30224" xr:uid="{1FD8E5E0-F32D-4EE0-8118-FA982C9D6EDA}"/>
    <cellStyle name="Comma 2 2 3 3 2 2 2 2 4" xfId="21552" xr:uid="{8D7C7486-949D-4D79-A89F-E9A3B45D73AA}"/>
    <cellStyle name="Comma 2 2 3 3 2 2 2 3" xfId="6376" xr:uid="{55E17F30-C00A-4B8A-9460-691E2D1189B1}"/>
    <cellStyle name="Comma 2 2 3 3 2 2 2 3 2" xfId="15048" xr:uid="{383DED01-3874-4162-B240-71A72C445C8F}"/>
    <cellStyle name="Comma 2 2 3 3 2 2 2 3 2 2" xfId="32392" xr:uid="{15AA86B7-DAED-48C7-B2B0-F5BD53BF4C5E}"/>
    <cellStyle name="Comma 2 2 3 3 2 2 2 3 3" xfId="23720" xr:uid="{CF18EEF7-5EFD-4203-B054-486D94EF0E35}"/>
    <cellStyle name="Comma 2 2 3 3 2 2 2 4" xfId="10712" xr:uid="{A4426E61-E4C0-403A-977D-6DA46D70C24A}"/>
    <cellStyle name="Comma 2 2 3 3 2 2 2 4 2" xfId="28056" xr:uid="{D69BB609-B216-4FDA-996A-76BF8EA90CB6}"/>
    <cellStyle name="Comma 2 2 3 3 2 2 2 5" xfId="19384" xr:uid="{01F23CDB-BE87-41C2-8F60-A4C92DB93F46}"/>
    <cellStyle name="Comma 2 2 3 3 2 2 3" xfId="3124" xr:uid="{E7B7D9EA-322F-4E02-AF3F-C05C7F7ED3C7}"/>
    <cellStyle name="Comma 2 2 3 3 2 2 3 2" xfId="7460" xr:uid="{BD5D61A5-0049-47E3-A238-40036CC02D43}"/>
    <cellStyle name="Comma 2 2 3 3 2 2 3 2 2" xfId="16132" xr:uid="{61BDA1C1-9FD0-4D1F-A7EF-950E78F6DBC0}"/>
    <cellStyle name="Comma 2 2 3 3 2 2 3 2 2 2" xfId="33476" xr:uid="{5DEA725F-0A57-40EE-90C3-582A75BB37E9}"/>
    <cellStyle name="Comma 2 2 3 3 2 2 3 2 3" xfId="24804" xr:uid="{5E66B42D-982D-4FF3-A06E-AFEE79E777EF}"/>
    <cellStyle name="Comma 2 2 3 3 2 2 3 3" xfId="11796" xr:uid="{C4A77F09-723A-4B8A-AD55-414E4C0ED091}"/>
    <cellStyle name="Comma 2 2 3 3 2 2 3 3 2" xfId="29140" xr:uid="{120DB14F-F4BF-4923-9217-F6B3FA91FB58}"/>
    <cellStyle name="Comma 2 2 3 3 2 2 3 4" xfId="20468" xr:uid="{043ABAC4-27D1-42E4-9CD6-4168D84944B3}"/>
    <cellStyle name="Comma 2 2 3 3 2 2 4" xfId="5292" xr:uid="{CBB539B8-66C2-4952-9271-1FAE57A224F1}"/>
    <cellStyle name="Comma 2 2 3 3 2 2 4 2" xfId="13964" xr:uid="{00BC0CD9-008F-49BC-92E4-A95B2D778506}"/>
    <cellStyle name="Comma 2 2 3 3 2 2 4 2 2" xfId="31308" xr:uid="{2FC9B1E0-F3BE-4CB7-B194-25E5DCC136F6}"/>
    <cellStyle name="Comma 2 2 3 3 2 2 4 3" xfId="22636" xr:uid="{33646A94-0BDD-49B3-B53A-69FBE94BBFFA}"/>
    <cellStyle name="Comma 2 2 3 3 2 2 5" xfId="9628" xr:uid="{365FDADB-20C2-4E70-9808-65A51FA16534}"/>
    <cellStyle name="Comma 2 2 3 3 2 2 5 2" xfId="26972" xr:uid="{1CC32785-444A-4A2B-852C-F5637CA58B09}"/>
    <cellStyle name="Comma 2 2 3 3 2 2 6" xfId="18300" xr:uid="{243A63D8-A9C4-448C-8496-0D2CE7411759}"/>
    <cellStyle name="Comma 2 2 3 3 2 3" xfId="1499" xr:uid="{490D3B02-F462-418E-9725-4A819F5E63F3}"/>
    <cellStyle name="Comma 2 2 3 3 2 3 2" xfId="3667" xr:uid="{50F35F4C-7B77-46EC-BB3B-10F06B383C5E}"/>
    <cellStyle name="Comma 2 2 3 3 2 3 2 2" xfId="8003" xr:uid="{23D12066-56DF-4A33-A411-C8743AFC4A82}"/>
    <cellStyle name="Comma 2 2 3 3 2 3 2 2 2" xfId="16675" xr:uid="{B3972CD5-A60A-4804-AE60-BA34112D69D0}"/>
    <cellStyle name="Comma 2 2 3 3 2 3 2 2 2 2" xfId="34019" xr:uid="{F3DD1731-F92B-45C5-9228-476E827B78E8}"/>
    <cellStyle name="Comma 2 2 3 3 2 3 2 2 3" xfId="25347" xr:uid="{05B4AB68-DAB5-4FE3-B9AF-52891E22F4BA}"/>
    <cellStyle name="Comma 2 2 3 3 2 3 2 3" xfId="12339" xr:uid="{609C33A9-5056-4D00-AB42-DE50B039E56C}"/>
    <cellStyle name="Comma 2 2 3 3 2 3 2 3 2" xfId="29683" xr:uid="{11D21740-363C-4522-89BD-9D8431CE1D07}"/>
    <cellStyle name="Comma 2 2 3 3 2 3 2 4" xfId="21011" xr:uid="{305EE8C5-52C4-422A-965C-7C925C783800}"/>
    <cellStyle name="Comma 2 2 3 3 2 3 3" xfId="5835" xr:uid="{44D71C2A-0454-4E4E-9DDD-D5603CAD51BC}"/>
    <cellStyle name="Comma 2 2 3 3 2 3 3 2" xfId="14507" xr:uid="{5C1A1EBB-1B5D-4E53-8594-A54E1122E658}"/>
    <cellStyle name="Comma 2 2 3 3 2 3 3 2 2" xfId="31851" xr:uid="{0FC2DFD4-4EF9-4BD0-A001-5A892407B651}"/>
    <cellStyle name="Comma 2 2 3 3 2 3 3 3" xfId="23179" xr:uid="{2CBB3E6A-8DE7-4B44-A882-73ECAEFE431B}"/>
    <cellStyle name="Comma 2 2 3 3 2 3 4" xfId="10171" xr:uid="{ABB22395-34B8-4147-9541-C7DB08B11227}"/>
    <cellStyle name="Comma 2 2 3 3 2 3 4 2" xfId="27515" xr:uid="{B60A4A79-D338-40B1-88BC-0C1C1E786B1E}"/>
    <cellStyle name="Comma 2 2 3 3 2 3 5" xfId="18843" xr:uid="{8036F20A-B513-4D0B-A9E1-2F1CCE6C90B3}"/>
    <cellStyle name="Comma 2 2 3 3 2 4" xfId="2583" xr:uid="{5B279601-8AAE-43DD-8DF8-9AD78CA21563}"/>
    <cellStyle name="Comma 2 2 3 3 2 4 2" xfId="6919" xr:uid="{9F596C90-F84E-41DF-B74E-578E6BD21FCC}"/>
    <cellStyle name="Comma 2 2 3 3 2 4 2 2" xfId="15591" xr:uid="{7B0C599C-690C-4205-907D-F7B4884BB6B1}"/>
    <cellStyle name="Comma 2 2 3 3 2 4 2 2 2" xfId="32935" xr:uid="{4416B7E4-725E-429E-B947-C9D4D32CA734}"/>
    <cellStyle name="Comma 2 2 3 3 2 4 2 3" xfId="24263" xr:uid="{AEF01BE5-D7C8-46D5-9555-3EA436149F58}"/>
    <cellStyle name="Comma 2 2 3 3 2 4 3" xfId="11255" xr:uid="{A932687F-8369-44B5-AC42-A94F38B265AB}"/>
    <cellStyle name="Comma 2 2 3 3 2 4 3 2" xfId="28599" xr:uid="{0FD6A502-7E88-40D1-9AFD-0FBA5FCF1823}"/>
    <cellStyle name="Comma 2 2 3 3 2 4 4" xfId="19927" xr:uid="{E5F65E5A-3FFB-42FF-9EC9-6F0F2ECA0D4B}"/>
    <cellStyle name="Comma 2 2 3 3 2 5" xfId="4751" xr:uid="{455DC848-DFAC-44C7-AEFE-B1CECF0D9C85}"/>
    <cellStyle name="Comma 2 2 3 3 2 5 2" xfId="13423" xr:uid="{4E179EE7-3944-449C-A1F3-CF4F2F446E8F}"/>
    <cellStyle name="Comma 2 2 3 3 2 5 2 2" xfId="30767" xr:uid="{B58C5F83-BE24-458F-B674-F3DCC6E98148}"/>
    <cellStyle name="Comma 2 2 3 3 2 5 3" xfId="22095" xr:uid="{6DF2F6FC-14C2-4657-9659-25BDE2A778D8}"/>
    <cellStyle name="Comma 2 2 3 3 2 6" xfId="9087" xr:uid="{6320DCF9-DFD2-4F85-AD2E-C5DD73EB722D}"/>
    <cellStyle name="Comma 2 2 3 3 2 6 2" xfId="26431" xr:uid="{EB3DE55E-FBFB-4517-8538-2F31EB2BF582}"/>
    <cellStyle name="Comma 2 2 3 3 2 7" xfId="17759" xr:uid="{9F2EEBBF-7FD2-446D-B946-B15BF2B4BD40}"/>
    <cellStyle name="Comma 2 2 3 3 3" xfId="686" xr:uid="{F96D7175-99E8-4959-98A3-9F3C15F0EA11}"/>
    <cellStyle name="Comma 2 2 3 3 3 2" xfId="1770" xr:uid="{49ED21CA-4344-4C29-9175-61F0BFFE5294}"/>
    <cellStyle name="Comma 2 2 3 3 3 2 2" xfId="3938" xr:uid="{0884DE23-BDC0-4078-A781-E3C8B2BD2742}"/>
    <cellStyle name="Comma 2 2 3 3 3 2 2 2" xfId="8274" xr:uid="{59911885-13A4-407E-98C8-1644CEBC209D}"/>
    <cellStyle name="Comma 2 2 3 3 3 2 2 2 2" xfId="16946" xr:uid="{2B5BC23B-6D09-4C7B-A78E-C09E52797C87}"/>
    <cellStyle name="Comma 2 2 3 3 3 2 2 2 2 2" xfId="34290" xr:uid="{FB611E8E-53F1-4D07-88C3-168DEE7EF10B}"/>
    <cellStyle name="Comma 2 2 3 3 3 2 2 2 3" xfId="25618" xr:uid="{8E1B7A54-8131-4752-9753-67AA9DEAFCAB}"/>
    <cellStyle name="Comma 2 2 3 3 3 2 2 3" xfId="12610" xr:uid="{13204EB3-1681-4050-86B6-B18B822C27A1}"/>
    <cellStyle name="Comma 2 2 3 3 3 2 2 3 2" xfId="29954" xr:uid="{4AAE081B-1142-4015-8AAD-B976B46D3746}"/>
    <cellStyle name="Comma 2 2 3 3 3 2 2 4" xfId="21282" xr:uid="{43849159-F165-415E-85F6-52F6D5CDCF25}"/>
    <cellStyle name="Comma 2 2 3 3 3 2 3" xfId="6106" xr:uid="{4A842813-CE96-4CA7-8B0C-B94CA2D0C8ED}"/>
    <cellStyle name="Comma 2 2 3 3 3 2 3 2" xfId="14778" xr:uid="{099D6E81-85BF-4E34-ABA8-1F27FAF3A956}"/>
    <cellStyle name="Comma 2 2 3 3 3 2 3 2 2" xfId="32122" xr:uid="{69404332-46F0-4C0B-B8DC-41412BF65EE1}"/>
    <cellStyle name="Comma 2 2 3 3 3 2 3 3" xfId="23450" xr:uid="{E3369002-7B95-465C-A46A-FB369D35FCD6}"/>
    <cellStyle name="Comma 2 2 3 3 3 2 4" xfId="10442" xr:uid="{9BDCCCA6-76F6-4FF8-9E54-97E2E0258651}"/>
    <cellStyle name="Comma 2 2 3 3 3 2 4 2" xfId="27786" xr:uid="{38A08FAA-CB1C-4CA1-9EC2-A7604D920F7F}"/>
    <cellStyle name="Comma 2 2 3 3 3 2 5" xfId="19114" xr:uid="{F9728BF0-2090-48DD-8A33-02F14795EC70}"/>
    <cellStyle name="Comma 2 2 3 3 3 3" xfId="2854" xr:uid="{B0232BC2-33C2-4B74-A1C4-C114631F4ABE}"/>
    <cellStyle name="Comma 2 2 3 3 3 3 2" xfId="7190" xr:uid="{5336A7D8-FD6C-4378-A5AE-ACC14EC1ED6B}"/>
    <cellStyle name="Comma 2 2 3 3 3 3 2 2" xfId="15862" xr:uid="{7A549207-95E6-4EA9-86F1-5EF1573BA98A}"/>
    <cellStyle name="Comma 2 2 3 3 3 3 2 2 2" xfId="33206" xr:uid="{82E216C8-9662-427C-A533-2A73E09F7DF3}"/>
    <cellStyle name="Comma 2 2 3 3 3 3 2 3" xfId="24534" xr:uid="{812B9388-5A2B-4858-9FFB-C36D2AD07340}"/>
    <cellStyle name="Comma 2 2 3 3 3 3 3" xfId="11526" xr:uid="{359AE585-3E8E-4E3C-8131-E29A14CA7876}"/>
    <cellStyle name="Comma 2 2 3 3 3 3 3 2" xfId="28870" xr:uid="{098733B9-4935-46A0-ACE7-EC561EC3D231}"/>
    <cellStyle name="Comma 2 2 3 3 3 3 4" xfId="20198" xr:uid="{50C5BC3F-E006-46F9-8D6F-EEFEDEB93EEE}"/>
    <cellStyle name="Comma 2 2 3 3 3 4" xfId="5022" xr:uid="{2937D2BE-3D3F-4B41-B490-13A52A91E8CB}"/>
    <cellStyle name="Comma 2 2 3 3 3 4 2" xfId="13694" xr:uid="{43BA35E0-2B2D-435D-B983-FCF94EAA9F67}"/>
    <cellStyle name="Comma 2 2 3 3 3 4 2 2" xfId="31038" xr:uid="{448CE689-34A6-4F0F-9DB1-FE483614CDB5}"/>
    <cellStyle name="Comma 2 2 3 3 3 4 3" xfId="22366" xr:uid="{E9783925-F215-4A3C-9623-3B89E99F4BA8}"/>
    <cellStyle name="Comma 2 2 3 3 3 5" xfId="9358" xr:uid="{C7B8C227-E575-4455-A8D6-7C95A5DF0763}"/>
    <cellStyle name="Comma 2 2 3 3 3 5 2" xfId="26702" xr:uid="{0922F895-EB8B-44CF-8C86-D54F6D146D10}"/>
    <cellStyle name="Comma 2 2 3 3 3 6" xfId="18030" xr:uid="{64723433-EDFC-43C1-B502-C47A4621FE47}"/>
    <cellStyle name="Comma 2 2 3 3 4" xfId="1229" xr:uid="{F3C6D049-A354-44EB-8880-CB41DEA447F2}"/>
    <cellStyle name="Comma 2 2 3 3 4 2" xfId="3397" xr:uid="{DA437FB4-7DE2-43F0-A0C1-AAEE7F588567}"/>
    <cellStyle name="Comma 2 2 3 3 4 2 2" xfId="7733" xr:uid="{0BB14218-1AC6-4A4B-A1B0-C6F6E1A04711}"/>
    <cellStyle name="Comma 2 2 3 3 4 2 2 2" xfId="16405" xr:uid="{139EBEEF-15DE-4F6E-B661-F55EA3AA3891}"/>
    <cellStyle name="Comma 2 2 3 3 4 2 2 2 2" xfId="33749" xr:uid="{700DE86D-080C-4798-B22F-46C724915FEB}"/>
    <cellStyle name="Comma 2 2 3 3 4 2 2 3" xfId="25077" xr:uid="{C5A13FC4-39FD-41FB-9997-24B631D37EB2}"/>
    <cellStyle name="Comma 2 2 3 3 4 2 3" xfId="12069" xr:uid="{DC0A80A2-BF87-48A2-B404-E15CF2E7A721}"/>
    <cellStyle name="Comma 2 2 3 3 4 2 3 2" xfId="29413" xr:uid="{3689F009-B5C0-4F32-8685-B72095CA1593}"/>
    <cellStyle name="Comma 2 2 3 3 4 2 4" xfId="20741" xr:uid="{6692C977-3A9F-413E-94D2-3ABCE3448FB1}"/>
    <cellStyle name="Comma 2 2 3 3 4 3" xfId="5565" xr:uid="{18FA8770-6E95-4992-8E6D-0CA461866380}"/>
    <cellStyle name="Comma 2 2 3 3 4 3 2" xfId="14237" xr:uid="{18B0E069-0D0C-4D9C-944F-B1A144AA92BF}"/>
    <cellStyle name="Comma 2 2 3 3 4 3 2 2" xfId="31581" xr:uid="{552F7E48-D9B5-4357-9B7C-3DEDDBFB4A67}"/>
    <cellStyle name="Comma 2 2 3 3 4 3 3" xfId="22909" xr:uid="{EFD45933-1D0C-4374-96D2-31BE1BA2D444}"/>
    <cellStyle name="Comma 2 2 3 3 4 4" xfId="9901" xr:uid="{46A86C48-C707-4BE2-A5DE-45C7DC465D3F}"/>
    <cellStyle name="Comma 2 2 3 3 4 4 2" xfId="27245" xr:uid="{FBD67B16-6822-4A21-9969-60265880EBD3}"/>
    <cellStyle name="Comma 2 2 3 3 4 5" xfId="18573" xr:uid="{9B861E60-2B25-424C-B583-A300E4500EBE}"/>
    <cellStyle name="Comma 2 2 3 3 5" xfId="2313" xr:uid="{3F47DB56-B574-4BB4-A2AE-02CCB1F03F65}"/>
    <cellStyle name="Comma 2 2 3 3 5 2" xfId="6649" xr:uid="{2EB53AA2-1C2C-40EB-9FCA-C92846773E47}"/>
    <cellStyle name="Comma 2 2 3 3 5 2 2" xfId="15321" xr:uid="{0B74F6BB-51B5-45CD-949D-2E33704CD366}"/>
    <cellStyle name="Comma 2 2 3 3 5 2 2 2" xfId="32665" xr:uid="{CBDEF99C-D13F-4AAF-AD72-A2A6AAF55826}"/>
    <cellStyle name="Comma 2 2 3 3 5 2 3" xfId="23993" xr:uid="{D9980DB5-25A1-4037-81E9-8C0C350A0BD3}"/>
    <cellStyle name="Comma 2 2 3 3 5 3" xfId="10985" xr:uid="{0C853297-01D6-4C0D-AF7C-7196ACAF542F}"/>
    <cellStyle name="Comma 2 2 3 3 5 3 2" xfId="28329" xr:uid="{54CB2B3F-85AB-4B41-A22F-AABB875022CC}"/>
    <cellStyle name="Comma 2 2 3 3 5 4" xfId="19657" xr:uid="{CD9C24B3-6EFA-439E-8412-127A2D0E3379}"/>
    <cellStyle name="Comma 2 2 3 3 6" xfId="4481" xr:uid="{96181E04-7C9F-49B7-8993-EFF79313F27E}"/>
    <cellStyle name="Comma 2 2 3 3 6 2" xfId="13153" xr:uid="{586B4131-3501-4C8B-B6DD-55829AD98831}"/>
    <cellStyle name="Comma 2 2 3 3 6 2 2" xfId="30497" xr:uid="{819A1314-9A56-4085-9FD0-C426EC1D4D6B}"/>
    <cellStyle name="Comma 2 2 3 3 6 3" xfId="21825" xr:uid="{C80F5D4E-484D-4BA8-A4DE-49EC6526B54A}"/>
    <cellStyle name="Comma 2 2 3 3 7" xfId="8817" xr:uid="{803748D2-D9CA-4AC8-8D94-EC9DA65E4C5D}"/>
    <cellStyle name="Comma 2 2 3 3 7 2" xfId="26161" xr:uid="{69F0739B-4878-42D4-9065-CC312714234C}"/>
    <cellStyle name="Comma 2 2 3 3 8" xfId="17489" xr:uid="{64FC9508-F569-446A-B4FA-DCC8F8D4219A}"/>
    <cellStyle name="Comma 2 2 3 4" xfId="269" xr:uid="{584D3161-C1BD-45BF-8939-35C2114936C5}"/>
    <cellStyle name="Comma 2 2 3 4 2" xfId="539" xr:uid="{C1CA4DFE-4513-4F4E-83FB-414FD1DA19BF}"/>
    <cellStyle name="Comma 2 2 3 4 2 2" xfId="1080" xr:uid="{A7203EE4-3648-4698-887B-BB9448B30732}"/>
    <cellStyle name="Comma 2 2 3 4 2 2 2" xfId="2164" xr:uid="{2101E589-C22F-40FB-AD5D-D80ED0D8DED1}"/>
    <cellStyle name="Comma 2 2 3 4 2 2 2 2" xfId="4332" xr:uid="{4A9AFB08-9D1A-407C-B271-85C7A3F4EDFA}"/>
    <cellStyle name="Comma 2 2 3 4 2 2 2 2 2" xfId="8668" xr:uid="{A6ACFDCE-78D2-4EF5-AFF2-829F54A829AF}"/>
    <cellStyle name="Comma 2 2 3 4 2 2 2 2 2 2" xfId="17340" xr:uid="{530ED713-21CF-435E-A040-9EED213F1B4D}"/>
    <cellStyle name="Comma 2 2 3 4 2 2 2 2 2 2 2" xfId="34684" xr:uid="{9AADAAD4-DC17-4E05-ABF2-A0085EB95BEE}"/>
    <cellStyle name="Comma 2 2 3 4 2 2 2 2 2 3" xfId="26012" xr:uid="{E1648FA0-B1BE-4F44-AEC9-D61C6494182D}"/>
    <cellStyle name="Comma 2 2 3 4 2 2 2 2 3" xfId="13004" xr:uid="{29EEDD43-3CB0-4ECB-9272-30E42C7DD5C0}"/>
    <cellStyle name="Comma 2 2 3 4 2 2 2 2 3 2" xfId="30348" xr:uid="{D56361B4-7393-48FB-83AC-519959FF656D}"/>
    <cellStyle name="Comma 2 2 3 4 2 2 2 2 4" xfId="21676" xr:uid="{5E26D2B6-89CD-4428-96D2-CB1757D69B9A}"/>
    <cellStyle name="Comma 2 2 3 4 2 2 2 3" xfId="6500" xr:uid="{50D2A9AC-D612-4198-B505-65DDAB2E48F8}"/>
    <cellStyle name="Comma 2 2 3 4 2 2 2 3 2" xfId="15172" xr:uid="{191C9E93-DAD4-4083-A05E-D245DEB4A802}"/>
    <cellStyle name="Comma 2 2 3 4 2 2 2 3 2 2" xfId="32516" xr:uid="{34164347-1EAC-40FA-9EA1-8CF7DDE835FC}"/>
    <cellStyle name="Comma 2 2 3 4 2 2 2 3 3" xfId="23844" xr:uid="{01698860-78AA-43DD-92EC-C79ADE00FE6C}"/>
    <cellStyle name="Comma 2 2 3 4 2 2 2 4" xfId="10836" xr:uid="{3226FE90-55D4-4785-8C95-9C1011CA67B3}"/>
    <cellStyle name="Comma 2 2 3 4 2 2 2 4 2" xfId="28180" xr:uid="{C5EF09AB-B078-4C08-A467-B78074630D9A}"/>
    <cellStyle name="Comma 2 2 3 4 2 2 2 5" xfId="19508" xr:uid="{53B14F30-CA16-47D1-967A-5408A791779E}"/>
    <cellStyle name="Comma 2 2 3 4 2 2 3" xfId="3248" xr:uid="{0BDDFF7E-9A95-4944-B927-A3F9409C0856}"/>
    <cellStyle name="Comma 2 2 3 4 2 2 3 2" xfId="7584" xr:uid="{800DCEAC-2DC8-4382-8F1F-749FB87A2EAF}"/>
    <cellStyle name="Comma 2 2 3 4 2 2 3 2 2" xfId="16256" xr:uid="{A5DBE508-2B4C-40E8-A330-79C72ABC8911}"/>
    <cellStyle name="Comma 2 2 3 4 2 2 3 2 2 2" xfId="33600" xr:uid="{6F026F1E-3592-4DFA-BF9F-CE542C22079B}"/>
    <cellStyle name="Comma 2 2 3 4 2 2 3 2 3" xfId="24928" xr:uid="{F56A480C-9C2B-4910-9946-31DBA567085F}"/>
    <cellStyle name="Comma 2 2 3 4 2 2 3 3" xfId="11920" xr:uid="{8CEECF25-1746-49BA-BA23-7D9DA0026529}"/>
    <cellStyle name="Comma 2 2 3 4 2 2 3 3 2" xfId="29264" xr:uid="{D77B80E0-41CD-4D00-AFB4-DB4310D3E5B4}"/>
    <cellStyle name="Comma 2 2 3 4 2 2 3 4" xfId="20592" xr:uid="{C422D8E4-3680-451F-9570-A6DCAC0C6A57}"/>
    <cellStyle name="Comma 2 2 3 4 2 2 4" xfId="5416" xr:uid="{9709A3F5-675A-474B-BB6B-1249FC7864FA}"/>
    <cellStyle name="Comma 2 2 3 4 2 2 4 2" xfId="14088" xr:uid="{4148BBFC-4B17-4E09-A1E3-FF7840F6A910}"/>
    <cellStyle name="Comma 2 2 3 4 2 2 4 2 2" xfId="31432" xr:uid="{BB6FAF20-F884-460F-A4B9-C4454FA1A517}"/>
    <cellStyle name="Comma 2 2 3 4 2 2 4 3" xfId="22760" xr:uid="{DB5A6537-0ACC-495A-BA3E-B0ED43C9531E}"/>
    <cellStyle name="Comma 2 2 3 4 2 2 5" xfId="9752" xr:uid="{30EFFB05-DC07-47C9-9BA0-D4F0487BB10C}"/>
    <cellStyle name="Comma 2 2 3 4 2 2 5 2" xfId="27096" xr:uid="{1AE76061-C360-404B-A774-7CC0094B1BC1}"/>
    <cellStyle name="Comma 2 2 3 4 2 2 6" xfId="18424" xr:uid="{55764E64-7344-4879-9B59-632B79411DC7}"/>
    <cellStyle name="Comma 2 2 3 4 2 3" xfId="1623" xr:uid="{445A8CFF-7D55-4593-8ABF-B77730937BCC}"/>
    <cellStyle name="Comma 2 2 3 4 2 3 2" xfId="3791" xr:uid="{01327FA5-46D9-4850-B291-4DBF6B10DE9A}"/>
    <cellStyle name="Comma 2 2 3 4 2 3 2 2" xfId="8127" xr:uid="{D7886F88-7C49-4EA3-9A7F-35FF30E128F9}"/>
    <cellStyle name="Comma 2 2 3 4 2 3 2 2 2" xfId="16799" xr:uid="{D587D255-6386-4F7B-800A-BC86E6ABE9E6}"/>
    <cellStyle name="Comma 2 2 3 4 2 3 2 2 2 2" xfId="34143" xr:uid="{5D43D31A-E183-43F1-8919-CA8A7725A14B}"/>
    <cellStyle name="Comma 2 2 3 4 2 3 2 2 3" xfId="25471" xr:uid="{366B6DE9-3DBB-4A25-ACA7-ACB9E894D501}"/>
    <cellStyle name="Comma 2 2 3 4 2 3 2 3" xfId="12463" xr:uid="{1E7E6854-C18E-4B43-B62B-E1122ACF7CED}"/>
    <cellStyle name="Comma 2 2 3 4 2 3 2 3 2" xfId="29807" xr:uid="{2B1B430D-A754-4840-9CA1-24B1D1E8618F}"/>
    <cellStyle name="Comma 2 2 3 4 2 3 2 4" xfId="21135" xr:uid="{40D346B6-FF91-43F3-AA3C-5AA7C07516D0}"/>
    <cellStyle name="Comma 2 2 3 4 2 3 3" xfId="5959" xr:uid="{6CABAA88-9DCC-4FC4-BBFD-0C9F455C29A0}"/>
    <cellStyle name="Comma 2 2 3 4 2 3 3 2" xfId="14631" xr:uid="{BD940E24-175E-43E1-AB10-154C6F9ED084}"/>
    <cellStyle name="Comma 2 2 3 4 2 3 3 2 2" xfId="31975" xr:uid="{0FA27C07-0639-49D8-990A-CEBA98E82CF9}"/>
    <cellStyle name="Comma 2 2 3 4 2 3 3 3" xfId="23303" xr:uid="{613BF6FF-5AC3-4055-A440-E6EBFC5C2A94}"/>
    <cellStyle name="Comma 2 2 3 4 2 3 4" xfId="10295" xr:uid="{13324457-3753-432B-B191-9107CDCDBB06}"/>
    <cellStyle name="Comma 2 2 3 4 2 3 4 2" xfId="27639" xr:uid="{C7496363-33E9-40A3-8CCC-750C4F088780}"/>
    <cellStyle name="Comma 2 2 3 4 2 3 5" xfId="18967" xr:uid="{21CE4F11-17CB-4E67-88A1-EA0B9C03D251}"/>
    <cellStyle name="Comma 2 2 3 4 2 4" xfId="2707" xr:uid="{42C0060C-5FC8-495B-97C3-207AAFB37C6B}"/>
    <cellStyle name="Comma 2 2 3 4 2 4 2" xfId="7043" xr:uid="{4226528B-C3A8-488F-B133-7F77ABF150C2}"/>
    <cellStyle name="Comma 2 2 3 4 2 4 2 2" xfId="15715" xr:uid="{553698B2-7E50-437B-8293-17D0E5A51B02}"/>
    <cellStyle name="Comma 2 2 3 4 2 4 2 2 2" xfId="33059" xr:uid="{E7275AC7-4077-4E94-BB28-70391D2FFCC0}"/>
    <cellStyle name="Comma 2 2 3 4 2 4 2 3" xfId="24387" xr:uid="{DC531F02-7801-46D0-A9E7-7FD5576DD51E}"/>
    <cellStyle name="Comma 2 2 3 4 2 4 3" xfId="11379" xr:uid="{9F6B61D7-8F08-4B55-9B4A-5160C91F48E0}"/>
    <cellStyle name="Comma 2 2 3 4 2 4 3 2" xfId="28723" xr:uid="{8066816A-30E1-469C-9149-B94348E1530E}"/>
    <cellStyle name="Comma 2 2 3 4 2 4 4" xfId="20051" xr:uid="{0860BCFE-793C-4D94-8059-7E02FA7C3366}"/>
    <cellStyle name="Comma 2 2 3 4 2 5" xfId="4875" xr:uid="{9DF24E3D-6045-468C-B4E0-36B502865299}"/>
    <cellStyle name="Comma 2 2 3 4 2 5 2" xfId="13547" xr:uid="{C7AC858D-9EC5-4085-A154-BB46F12DFD39}"/>
    <cellStyle name="Comma 2 2 3 4 2 5 2 2" xfId="30891" xr:uid="{41942029-F83F-48A0-963A-0B47D65C213C}"/>
    <cellStyle name="Comma 2 2 3 4 2 5 3" xfId="22219" xr:uid="{D3961F3D-729F-4881-A6A2-078254BD3F41}"/>
    <cellStyle name="Comma 2 2 3 4 2 6" xfId="9211" xr:uid="{E8BA8998-2814-4661-BB8B-40AC89829445}"/>
    <cellStyle name="Comma 2 2 3 4 2 6 2" xfId="26555" xr:uid="{F12C5664-0266-430A-82AB-A8D428BDCFE0}"/>
    <cellStyle name="Comma 2 2 3 4 2 7" xfId="17883" xr:uid="{D7E9C291-F2DE-428C-BFD5-C0B0BE8DCBC0}"/>
    <cellStyle name="Comma 2 2 3 4 3" xfId="810" xr:uid="{457F8DC0-3FA9-49C5-A4C3-AA4F80105971}"/>
    <cellStyle name="Comma 2 2 3 4 3 2" xfId="1894" xr:uid="{7EBD8566-967B-4467-ADE0-DD67BEB38CDA}"/>
    <cellStyle name="Comma 2 2 3 4 3 2 2" xfId="4062" xr:uid="{69F9565F-A7F2-483C-A000-ADC7351FF6E9}"/>
    <cellStyle name="Comma 2 2 3 4 3 2 2 2" xfId="8398" xr:uid="{95091DF8-3BD1-4484-AB5F-C15CEE4169B3}"/>
    <cellStyle name="Comma 2 2 3 4 3 2 2 2 2" xfId="17070" xr:uid="{99BECC02-B0AF-4DC2-B355-B564C78E142F}"/>
    <cellStyle name="Comma 2 2 3 4 3 2 2 2 2 2" xfId="34414" xr:uid="{09D47406-4398-4B22-8D45-14E25641271D}"/>
    <cellStyle name="Comma 2 2 3 4 3 2 2 2 3" xfId="25742" xr:uid="{CE4EC23F-B8CF-47E0-9910-2DB59AC085B1}"/>
    <cellStyle name="Comma 2 2 3 4 3 2 2 3" xfId="12734" xr:uid="{3E2D5A1B-C113-4413-B89C-E043C03F9238}"/>
    <cellStyle name="Comma 2 2 3 4 3 2 2 3 2" xfId="30078" xr:uid="{D8363F90-BCA2-435C-BEAD-3242151D6027}"/>
    <cellStyle name="Comma 2 2 3 4 3 2 2 4" xfId="21406" xr:uid="{24AFFF4E-5641-49C7-9BF0-0F58918C848E}"/>
    <cellStyle name="Comma 2 2 3 4 3 2 3" xfId="6230" xr:uid="{4BE5C779-69D6-4338-ADF0-EA3CCF265611}"/>
    <cellStyle name="Comma 2 2 3 4 3 2 3 2" xfId="14902" xr:uid="{347206BD-BA92-4E02-BAE2-27B89739BE49}"/>
    <cellStyle name="Comma 2 2 3 4 3 2 3 2 2" xfId="32246" xr:uid="{B83820CD-A1FA-42FD-8016-88DFD992AB36}"/>
    <cellStyle name="Comma 2 2 3 4 3 2 3 3" xfId="23574" xr:uid="{37666850-2743-4A16-BF0E-CB42F7AF017E}"/>
    <cellStyle name="Comma 2 2 3 4 3 2 4" xfId="10566" xr:uid="{EA170EBD-9F16-439F-8F50-ECA708DD707D}"/>
    <cellStyle name="Comma 2 2 3 4 3 2 4 2" xfId="27910" xr:uid="{4FA1D6DC-329F-454D-9EAA-8BA160FAD491}"/>
    <cellStyle name="Comma 2 2 3 4 3 2 5" xfId="19238" xr:uid="{3918A855-4D95-4814-9358-4914C5E3D5D1}"/>
    <cellStyle name="Comma 2 2 3 4 3 3" xfId="2978" xr:uid="{A0BFD7A8-DF5B-443C-96FA-C8D9AF23DDEA}"/>
    <cellStyle name="Comma 2 2 3 4 3 3 2" xfId="7314" xr:uid="{21062464-7BD5-4304-8387-23A9D7582396}"/>
    <cellStyle name="Comma 2 2 3 4 3 3 2 2" xfId="15986" xr:uid="{6332485F-5B8D-44DD-824D-54319157366B}"/>
    <cellStyle name="Comma 2 2 3 4 3 3 2 2 2" xfId="33330" xr:uid="{298FF889-72B8-4D18-80A4-6BC0AFFF6548}"/>
    <cellStyle name="Comma 2 2 3 4 3 3 2 3" xfId="24658" xr:uid="{5D5332CD-E43D-44D5-BA9E-7403B6F2BB9B}"/>
    <cellStyle name="Comma 2 2 3 4 3 3 3" xfId="11650" xr:uid="{FB7B9F2C-2706-4469-8BA8-6DCC184D5732}"/>
    <cellStyle name="Comma 2 2 3 4 3 3 3 2" xfId="28994" xr:uid="{4BA16E9E-AA07-43B9-AB04-6912BD212072}"/>
    <cellStyle name="Comma 2 2 3 4 3 3 4" xfId="20322" xr:uid="{F45EB532-AF54-4709-AC77-D48525EB28C4}"/>
    <cellStyle name="Comma 2 2 3 4 3 4" xfId="5146" xr:uid="{0B4939F0-FF17-4A6E-A424-7001FCF3353B}"/>
    <cellStyle name="Comma 2 2 3 4 3 4 2" xfId="13818" xr:uid="{CBD7D994-C9CE-4442-9E3F-6D3BFF155CBD}"/>
    <cellStyle name="Comma 2 2 3 4 3 4 2 2" xfId="31162" xr:uid="{457ACF51-61F8-447D-B6A9-E4A638AEFEAF}"/>
    <cellStyle name="Comma 2 2 3 4 3 4 3" xfId="22490" xr:uid="{F8B69985-D7DF-42E0-B4CC-452259A5D53D}"/>
    <cellStyle name="Comma 2 2 3 4 3 5" xfId="9482" xr:uid="{02EE9C8D-507E-4B59-B713-D32F22CBF6E3}"/>
    <cellStyle name="Comma 2 2 3 4 3 5 2" xfId="26826" xr:uid="{528F48D6-3E15-4C3E-B7EC-9E1853EF9EAE}"/>
    <cellStyle name="Comma 2 2 3 4 3 6" xfId="18154" xr:uid="{7907174A-3A52-42C2-9DBC-C654D4D964A1}"/>
    <cellStyle name="Comma 2 2 3 4 4" xfId="1353" xr:uid="{0A44B3D9-97BD-45FB-9EB6-357150F0DC4A}"/>
    <cellStyle name="Comma 2 2 3 4 4 2" xfId="3521" xr:uid="{5A65C8B9-7F4E-4516-91D8-3B9661185CBF}"/>
    <cellStyle name="Comma 2 2 3 4 4 2 2" xfId="7857" xr:uid="{25029A20-D487-424F-9AAE-D0D7B7FF249F}"/>
    <cellStyle name="Comma 2 2 3 4 4 2 2 2" xfId="16529" xr:uid="{101BBED2-6CEC-4DF6-8D32-98841E4CA32E}"/>
    <cellStyle name="Comma 2 2 3 4 4 2 2 2 2" xfId="33873" xr:uid="{B2AC939D-465C-487E-BEFF-20EFAF6A6795}"/>
    <cellStyle name="Comma 2 2 3 4 4 2 2 3" xfId="25201" xr:uid="{1A46E044-C5C4-41E8-8515-5EA8D7EA8776}"/>
    <cellStyle name="Comma 2 2 3 4 4 2 3" xfId="12193" xr:uid="{84A6DE49-C109-4C0B-8DD8-4FE0A979B5B2}"/>
    <cellStyle name="Comma 2 2 3 4 4 2 3 2" xfId="29537" xr:uid="{6087ABF2-EE91-4557-B5F3-E96970C571E6}"/>
    <cellStyle name="Comma 2 2 3 4 4 2 4" xfId="20865" xr:uid="{AFADBD90-5E9D-4CE0-A3A4-40EEC14511EF}"/>
    <cellStyle name="Comma 2 2 3 4 4 3" xfId="5689" xr:uid="{53AAD27B-F02A-430D-B781-7A69C94ED8A9}"/>
    <cellStyle name="Comma 2 2 3 4 4 3 2" xfId="14361" xr:uid="{B3002439-183B-4D75-B7B1-2D94BF2A8101}"/>
    <cellStyle name="Comma 2 2 3 4 4 3 2 2" xfId="31705" xr:uid="{E2CC8BA3-8D0F-4DD5-A189-7471C2E9D7C5}"/>
    <cellStyle name="Comma 2 2 3 4 4 3 3" xfId="23033" xr:uid="{036F3B44-3575-4504-9C85-F8823447F90A}"/>
    <cellStyle name="Comma 2 2 3 4 4 4" xfId="10025" xr:uid="{A3252331-5D74-4AD5-9A0E-C7018F8E30F8}"/>
    <cellStyle name="Comma 2 2 3 4 4 4 2" xfId="27369" xr:uid="{3003795E-4F35-4785-9A13-F89EC250FF16}"/>
    <cellStyle name="Comma 2 2 3 4 4 5" xfId="18697" xr:uid="{478A47B2-5DB9-4918-88D3-38966E3E9DDC}"/>
    <cellStyle name="Comma 2 2 3 4 5" xfId="2437" xr:uid="{4357E882-6FB3-4AA2-A7B1-276C03C070B7}"/>
    <cellStyle name="Comma 2 2 3 4 5 2" xfId="6773" xr:uid="{7C33DE96-216E-4D87-820C-DE534B020BE9}"/>
    <cellStyle name="Comma 2 2 3 4 5 2 2" xfId="15445" xr:uid="{95106808-DBBA-422B-8542-5ACDA0083E30}"/>
    <cellStyle name="Comma 2 2 3 4 5 2 2 2" xfId="32789" xr:uid="{332F05C5-742B-4371-B6FA-5672D44C5CAD}"/>
    <cellStyle name="Comma 2 2 3 4 5 2 3" xfId="24117" xr:uid="{B70F9179-8B6D-41B6-ABB4-CE2E35014037}"/>
    <cellStyle name="Comma 2 2 3 4 5 3" xfId="11109" xr:uid="{27541D58-3363-4FA6-B41C-7EA2771AC001}"/>
    <cellStyle name="Comma 2 2 3 4 5 3 2" xfId="28453" xr:uid="{8570A038-2240-4AB3-BD8D-1351B05FA19D}"/>
    <cellStyle name="Comma 2 2 3 4 5 4" xfId="19781" xr:uid="{4A0237B9-2070-426F-A690-15DD2BBAD55D}"/>
    <cellStyle name="Comma 2 2 3 4 6" xfId="4605" xr:uid="{E4C51EE4-65E3-483F-A58A-BEC06D8FA09E}"/>
    <cellStyle name="Comma 2 2 3 4 6 2" xfId="13277" xr:uid="{7AD82C09-FD32-47F8-837E-AC32CF0E0876}"/>
    <cellStyle name="Comma 2 2 3 4 6 2 2" xfId="30621" xr:uid="{B75384EE-6B06-4231-885A-9365397646DF}"/>
    <cellStyle name="Comma 2 2 3 4 6 3" xfId="21949" xr:uid="{6D8E4601-A7C5-4173-A42D-C04F5FBA6CF8}"/>
    <cellStyle name="Comma 2 2 3 4 7" xfId="8941" xr:uid="{DAC469DA-B1C4-46D4-A07D-3D39D36139A3}"/>
    <cellStyle name="Comma 2 2 3 4 7 2" xfId="26285" xr:uid="{22CBD46E-A7C1-4FB6-BD53-9FA7D7EB9574}"/>
    <cellStyle name="Comma 2 2 3 4 8" xfId="17613" xr:uid="{5B6CFAF1-2611-4108-8DAD-AC1748C83597}"/>
    <cellStyle name="Comma 2 2 3 5" xfId="293" xr:uid="{C967AFB4-F39E-47B9-8757-291CDD11AD1F}"/>
    <cellStyle name="Comma 2 2 3 5 2" xfId="834" xr:uid="{FCAA3167-3643-493C-B792-4540A33F4680}"/>
    <cellStyle name="Comma 2 2 3 5 2 2" xfId="1918" xr:uid="{62B75B7A-4B15-4ECF-87E6-024F2312DC31}"/>
    <cellStyle name="Comma 2 2 3 5 2 2 2" xfId="4086" xr:uid="{C71D8690-0CF7-4B36-945A-F252A8812C86}"/>
    <cellStyle name="Comma 2 2 3 5 2 2 2 2" xfId="8422" xr:uid="{85732271-AF28-4A47-A5FF-6E691E26298B}"/>
    <cellStyle name="Comma 2 2 3 5 2 2 2 2 2" xfId="17094" xr:uid="{877715F8-8793-4B6B-80A4-70016BE3C61D}"/>
    <cellStyle name="Comma 2 2 3 5 2 2 2 2 2 2" xfId="34438" xr:uid="{B4759170-2451-4793-955A-39F577EB72DB}"/>
    <cellStyle name="Comma 2 2 3 5 2 2 2 2 3" xfId="25766" xr:uid="{416FD211-19EF-49D4-A2B4-AFE92177FF34}"/>
    <cellStyle name="Comma 2 2 3 5 2 2 2 3" xfId="12758" xr:uid="{7AD9B5D1-64B8-4987-8739-F0D9EE8B4563}"/>
    <cellStyle name="Comma 2 2 3 5 2 2 2 3 2" xfId="30102" xr:uid="{7C27E487-56D1-4C07-8073-22EE803C95C3}"/>
    <cellStyle name="Comma 2 2 3 5 2 2 2 4" xfId="21430" xr:uid="{0F7A2D7C-934D-4EED-B74F-3247871BE9E6}"/>
    <cellStyle name="Comma 2 2 3 5 2 2 3" xfId="6254" xr:uid="{8CFB482F-3564-4945-A819-19E77F2F6D0E}"/>
    <cellStyle name="Comma 2 2 3 5 2 2 3 2" xfId="14926" xr:uid="{499DC0C4-F0AF-47B6-902A-520BE4F4CB13}"/>
    <cellStyle name="Comma 2 2 3 5 2 2 3 2 2" xfId="32270" xr:uid="{896C857F-7566-44D0-A551-A69B635011D3}"/>
    <cellStyle name="Comma 2 2 3 5 2 2 3 3" xfId="23598" xr:uid="{278AF0CB-2AC2-4750-8E80-4CF2B58C8CB4}"/>
    <cellStyle name="Comma 2 2 3 5 2 2 4" xfId="10590" xr:uid="{4C085FF7-375C-4B9E-87E1-7F7770B8BA42}"/>
    <cellStyle name="Comma 2 2 3 5 2 2 4 2" xfId="27934" xr:uid="{CEBA7B13-DB87-4D16-922D-CD5AE57B4F4F}"/>
    <cellStyle name="Comma 2 2 3 5 2 2 5" xfId="19262" xr:uid="{5333B317-020B-4EFE-B887-BFF35B7B95A1}"/>
    <cellStyle name="Comma 2 2 3 5 2 3" xfId="3002" xr:uid="{C15F5F37-41D2-47BC-8797-9C5B9C43DD6A}"/>
    <cellStyle name="Comma 2 2 3 5 2 3 2" xfId="7338" xr:uid="{9C3DA4C3-CA2F-4B12-8281-FDD96AFF917C}"/>
    <cellStyle name="Comma 2 2 3 5 2 3 2 2" xfId="16010" xr:uid="{D351B3D2-260A-40EA-BD33-DB165BD64076}"/>
    <cellStyle name="Comma 2 2 3 5 2 3 2 2 2" xfId="33354" xr:uid="{0FC7E6CC-4472-4288-809C-74773305CEC2}"/>
    <cellStyle name="Comma 2 2 3 5 2 3 2 3" xfId="24682" xr:uid="{840D9B4B-F740-4424-9D46-2417B3F367E4}"/>
    <cellStyle name="Comma 2 2 3 5 2 3 3" xfId="11674" xr:uid="{7D9FC22A-6D02-44ED-889F-5C79DBDCB03A}"/>
    <cellStyle name="Comma 2 2 3 5 2 3 3 2" xfId="29018" xr:uid="{61A5E49B-73F3-47F3-9E59-D1C2BF0B202F}"/>
    <cellStyle name="Comma 2 2 3 5 2 3 4" xfId="20346" xr:uid="{1FA0A789-087B-4D73-BFDB-E825643D405A}"/>
    <cellStyle name="Comma 2 2 3 5 2 4" xfId="5170" xr:uid="{8EA548F4-9DD6-4201-9F21-23191826717E}"/>
    <cellStyle name="Comma 2 2 3 5 2 4 2" xfId="13842" xr:uid="{BC40F647-E0EC-4234-833E-9F82613D293E}"/>
    <cellStyle name="Comma 2 2 3 5 2 4 2 2" xfId="31186" xr:uid="{5E01C67D-1355-4DC3-8678-51F26875F637}"/>
    <cellStyle name="Comma 2 2 3 5 2 4 3" xfId="22514" xr:uid="{30D51FDC-FA56-42E3-9B00-7E54B7DA3409}"/>
    <cellStyle name="Comma 2 2 3 5 2 5" xfId="9506" xr:uid="{074B2BB9-62F4-4E7F-8ABC-F60981F7A139}"/>
    <cellStyle name="Comma 2 2 3 5 2 5 2" xfId="26850" xr:uid="{62EA918E-164C-4B57-80B9-CDDF0E37C159}"/>
    <cellStyle name="Comma 2 2 3 5 2 6" xfId="18178" xr:uid="{4511CFC9-C886-4A7A-A45C-B7290287EA74}"/>
    <cellStyle name="Comma 2 2 3 5 3" xfId="1377" xr:uid="{3E4E83C6-DB28-4021-A1B5-E58F1DB1F874}"/>
    <cellStyle name="Comma 2 2 3 5 3 2" xfId="3545" xr:uid="{39B145C1-540F-45FE-A39E-50DAC69EDE08}"/>
    <cellStyle name="Comma 2 2 3 5 3 2 2" xfId="7881" xr:uid="{8FDE39B8-AA74-4A60-9646-6B7B946961B9}"/>
    <cellStyle name="Comma 2 2 3 5 3 2 2 2" xfId="16553" xr:uid="{9EA279CA-37B1-4932-A529-566FB29336B3}"/>
    <cellStyle name="Comma 2 2 3 5 3 2 2 2 2" xfId="33897" xr:uid="{8CB7918D-2A6D-4C7D-8D1C-44B34362CDDA}"/>
    <cellStyle name="Comma 2 2 3 5 3 2 2 3" xfId="25225" xr:uid="{B42CF20E-956B-4001-BCA3-1F014DDE9278}"/>
    <cellStyle name="Comma 2 2 3 5 3 2 3" xfId="12217" xr:uid="{6122EBEE-ED1E-4802-8D6B-0118E6C9861E}"/>
    <cellStyle name="Comma 2 2 3 5 3 2 3 2" xfId="29561" xr:uid="{5B26A2ED-0EDD-4AAE-9508-FD01D48F72A4}"/>
    <cellStyle name="Comma 2 2 3 5 3 2 4" xfId="20889" xr:uid="{8F37BC82-C0CB-4807-B439-89A37551EE20}"/>
    <cellStyle name="Comma 2 2 3 5 3 3" xfId="5713" xr:uid="{C523024B-E555-42F5-928B-E5C2C93A5A23}"/>
    <cellStyle name="Comma 2 2 3 5 3 3 2" xfId="14385" xr:uid="{6354001A-0E55-4011-B43A-B8BB3AE3F24E}"/>
    <cellStyle name="Comma 2 2 3 5 3 3 2 2" xfId="31729" xr:uid="{79BE2ED3-20C0-4653-86F8-34CA50E47698}"/>
    <cellStyle name="Comma 2 2 3 5 3 3 3" xfId="23057" xr:uid="{E924CA12-A700-4890-9C75-9FBCB341731A}"/>
    <cellStyle name="Comma 2 2 3 5 3 4" xfId="10049" xr:uid="{952C9817-5635-404E-A081-91E1660D29E6}"/>
    <cellStyle name="Comma 2 2 3 5 3 4 2" xfId="27393" xr:uid="{B3CED158-9E40-44D0-9364-CFB216878643}"/>
    <cellStyle name="Comma 2 2 3 5 3 5" xfId="18721" xr:uid="{96A29930-C062-4A35-8026-339A697B12F1}"/>
    <cellStyle name="Comma 2 2 3 5 4" xfId="2461" xr:uid="{9C0D5CBB-7A1E-4BD2-94F8-B12F6649DE12}"/>
    <cellStyle name="Comma 2 2 3 5 4 2" xfId="6797" xr:uid="{18AF5316-B112-42DE-A934-6CFE8CBF6C41}"/>
    <cellStyle name="Comma 2 2 3 5 4 2 2" xfId="15469" xr:uid="{5733BEF8-9353-4E91-A706-605BC3B62E2B}"/>
    <cellStyle name="Comma 2 2 3 5 4 2 2 2" xfId="32813" xr:uid="{3C2C0CB2-CE3B-4BE1-B4DB-C78DEA5A6672}"/>
    <cellStyle name="Comma 2 2 3 5 4 2 3" xfId="24141" xr:uid="{923F9B0E-D920-4914-81F6-6CFF78BDDEEF}"/>
    <cellStyle name="Comma 2 2 3 5 4 3" xfId="11133" xr:uid="{5F7B9F1D-857B-4D43-8833-69C457CDE97C}"/>
    <cellStyle name="Comma 2 2 3 5 4 3 2" xfId="28477" xr:uid="{4F092375-F14C-4F4F-A89B-186972FAB57A}"/>
    <cellStyle name="Comma 2 2 3 5 4 4" xfId="19805" xr:uid="{6D81B649-C45B-451C-8559-98A01A987A89}"/>
    <cellStyle name="Comma 2 2 3 5 5" xfId="4629" xr:uid="{A0E6E6C0-D09B-477B-8726-F3AF93B63C94}"/>
    <cellStyle name="Comma 2 2 3 5 5 2" xfId="13301" xr:uid="{1A06D10B-675A-454F-A86B-95F0BF2FB1B5}"/>
    <cellStyle name="Comma 2 2 3 5 5 2 2" xfId="30645" xr:uid="{A74E15AB-BE6D-43B7-AC20-E07C55B51080}"/>
    <cellStyle name="Comma 2 2 3 5 5 3" xfId="21973" xr:uid="{99674946-196A-4499-B629-1D767B49555E}"/>
    <cellStyle name="Comma 2 2 3 5 6" xfId="8965" xr:uid="{98C826EB-B551-4DEA-AC0D-A53E35F17B78}"/>
    <cellStyle name="Comma 2 2 3 5 6 2" xfId="26309" xr:uid="{835C178F-028E-4E6B-8DE5-8D1605719F23}"/>
    <cellStyle name="Comma 2 2 3 5 7" xfId="17637" xr:uid="{92F7BEE7-42DA-4DC5-B71A-34A37DEE9F1B}"/>
    <cellStyle name="Comma 2 2 3 6" xfId="564" xr:uid="{6DCD91F0-B19C-49E8-B1D5-A72769E04B7E}"/>
    <cellStyle name="Comma 2 2 3 6 2" xfId="1648" xr:uid="{F5B3B1CF-1D10-49F5-83B5-26E45F918496}"/>
    <cellStyle name="Comma 2 2 3 6 2 2" xfId="3816" xr:uid="{89FCAE80-1196-4292-8D06-C1D39B5982E2}"/>
    <cellStyle name="Comma 2 2 3 6 2 2 2" xfId="8152" xr:uid="{6E045B1E-0E0C-4079-993C-6D764B4F6E33}"/>
    <cellStyle name="Comma 2 2 3 6 2 2 2 2" xfId="16824" xr:uid="{5E68D8B4-88C5-49BA-9587-DB5B6038C16A}"/>
    <cellStyle name="Comma 2 2 3 6 2 2 2 2 2" xfId="34168" xr:uid="{88ABAF58-D695-4D95-8543-7249C0E1B554}"/>
    <cellStyle name="Comma 2 2 3 6 2 2 2 3" xfId="25496" xr:uid="{EFD9412A-64F5-4E12-AE53-721F46202ED6}"/>
    <cellStyle name="Comma 2 2 3 6 2 2 3" xfId="12488" xr:uid="{CFFA3B63-F0EB-425E-8432-31A9DA492621}"/>
    <cellStyle name="Comma 2 2 3 6 2 2 3 2" xfId="29832" xr:uid="{4BCA847C-EBD4-4EA3-9658-0B49E116C477}"/>
    <cellStyle name="Comma 2 2 3 6 2 2 4" xfId="21160" xr:uid="{BFA27B0D-1D9C-434E-8586-958511D513D4}"/>
    <cellStyle name="Comma 2 2 3 6 2 3" xfId="5984" xr:uid="{28D0AFD8-1593-4594-98CF-4B8CB31FF42B}"/>
    <cellStyle name="Comma 2 2 3 6 2 3 2" xfId="14656" xr:uid="{56311E35-8609-4644-A40F-F1C78E3524B5}"/>
    <cellStyle name="Comma 2 2 3 6 2 3 2 2" xfId="32000" xr:uid="{C6417930-D168-449F-B526-BBA150EACD37}"/>
    <cellStyle name="Comma 2 2 3 6 2 3 3" xfId="23328" xr:uid="{448A0441-2F51-4DD9-941D-FB4AB42C2E65}"/>
    <cellStyle name="Comma 2 2 3 6 2 4" xfId="10320" xr:uid="{3A6F1122-2005-4C4F-891D-8493804139C1}"/>
    <cellStyle name="Comma 2 2 3 6 2 4 2" xfId="27664" xr:uid="{C8FC67D2-81E4-4EFE-BD94-5F444E55C62D}"/>
    <cellStyle name="Comma 2 2 3 6 2 5" xfId="18992" xr:uid="{F7FF342F-36C7-4638-AE11-F3D39C520185}"/>
    <cellStyle name="Comma 2 2 3 6 3" xfId="2732" xr:uid="{6FE2A840-2DDA-441B-B5DB-131B3FB7F103}"/>
    <cellStyle name="Comma 2 2 3 6 3 2" xfId="7068" xr:uid="{8AC68362-E27D-4A86-B1D4-068F7B96204D}"/>
    <cellStyle name="Comma 2 2 3 6 3 2 2" xfId="15740" xr:uid="{34023926-64BA-4ADD-8AEA-C7018DAEE8D6}"/>
    <cellStyle name="Comma 2 2 3 6 3 2 2 2" xfId="33084" xr:uid="{D0247E30-A08E-496F-8347-0A2B335FF291}"/>
    <cellStyle name="Comma 2 2 3 6 3 2 3" xfId="24412" xr:uid="{6801AF43-A056-4AE1-8AD5-16CE836FEE35}"/>
    <cellStyle name="Comma 2 2 3 6 3 3" xfId="11404" xr:uid="{5DEF7711-E844-477D-868E-E2C1E6BAECD1}"/>
    <cellStyle name="Comma 2 2 3 6 3 3 2" xfId="28748" xr:uid="{9E823B29-09E1-4A09-9AF0-19E5971ED144}"/>
    <cellStyle name="Comma 2 2 3 6 3 4" xfId="20076" xr:uid="{AA7AA239-6E9E-43A9-9A04-56E84E01A967}"/>
    <cellStyle name="Comma 2 2 3 6 4" xfId="4900" xr:uid="{938D944B-7840-45BE-B1A7-291F537DCD47}"/>
    <cellStyle name="Comma 2 2 3 6 4 2" xfId="13572" xr:uid="{BD298812-8077-424B-8F67-EA11048AB138}"/>
    <cellStyle name="Comma 2 2 3 6 4 2 2" xfId="30916" xr:uid="{CC3778CD-B888-4AAA-B98C-FC01EFB230B4}"/>
    <cellStyle name="Comma 2 2 3 6 4 3" xfId="22244" xr:uid="{273EE357-8E1D-49E6-A4E6-473006A18A90}"/>
    <cellStyle name="Comma 2 2 3 6 5" xfId="9236" xr:uid="{C2A96A23-DE35-4E42-9CED-D80B9D91E75B}"/>
    <cellStyle name="Comma 2 2 3 6 5 2" xfId="26580" xr:uid="{1FEFEF56-CE76-4E7A-B556-B663974369CA}"/>
    <cellStyle name="Comma 2 2 3 6 6" xfId="17908" xr:uid="{B0D92424-AEA6-43E4-8B8B-E032ABF4D14A}"/>
    <cellStyle name="Comma 2 2 3 7" xfId="1107" xr:uid="{5A92DB81-7B67-42C2-B6C1-3C0BE32592A7}"/>
    <cellStyle name="Comma 2 2 3 7 2" xfId="3275" xr:uid="{16629B39-D484-4F36-BF9D-026BF24888DB}"/>
    <cellStyle name="Comma 2 2 3 7 2 2" xfId="7611" xr:uid="{5C706773-A0C6-451C-A26F-D421031DC9B6}"/>
    <cellStyle name="Comma 2 2 3 7 2 2 2" xfId="16283" xr:uid="{C6A93EB6-6D23-4BD7-A3DC-39644E17764D}"/>
    <cellStyle name="Comma 2 2 3 7 2 2 2 2" xfId="33627" xr:uid="{86834D19-3502-44D2-BB25-310E0EEB20A2}"/>
    <cellStyle name="Comma 2 2 3 7 2 2 3" xfId="24955" xr:uid="{C5CB1882-25BE-4B7C-9D07-C87346F1CA98}"/>
    <cellStyle name="Comma 2 2 3 7 2 3" xfId="11947" xr:uid="{03744ABC-F055-40B7-8648-4C2F1F8F8507}"/>
    <cellStyle name="Comma 2 2 3 7 2 3 2" xfId="29291" xr:uid="{EA769EF0-3900-425F-9CED-9FEBEBAD7070}"/>
    <cellStyle name="Comma 2 2 3 7 2 4" xfId="20619" xr:uid="{4E5DA39D-92A4-4A24-911B-4CD9C4AB6AB0}"/>
    <cellStyle name="Comma 2 2 3 7 3" xfId="5443" xr:uid="{DB452F52-12AE-4D84-B06C-1EB75EA7A3C3}"/>
    <cellStyle name="Comma 2 2 3 7 3 2" xfId="14115" xr:uid="{80987320-004B-45E5-AAB3-CB7127997584}"/>
    <cellStyle name="Comma 2 2 3 7 3 2 2" xfId="31459" xr:uid="{83004D49-AB8A-405D-837E-310388C2FE50}"/>
    <cellStyle name="Comma 2 2 3 7 3 3" xfId="22787" xr:uid="{7B13C3C6-7272-4ECC-9A43-0002C393F6BD}"/>
    <cellStyle name="Comma 2 2 3 7 4" xfId="9779" xr:uid="{E6F0648A-2899-468D-8573-E29C73D1EC53}"/>
    <cellStyle name="Comma 2 2 3 7 4 2" xfId="27123" xr:uid="{2A0DD008-11A0-425E-87F9-2038A816DCF8}"/>
    <cellStyle name="Comma 2 2 3 7 5" xfId="18451" xr:uid="{8D443597-96DF-4740-86E3-27387775239E}"/>
    <cellStyle name="Comma 2 2 3 8" xfId="2191" xr:uid="{42233436-90A5-4650-B43F-68F322F759D3}"/>
    <cellStyle name="Comma 2 2 3 8 2" xfId="6527" xr:uid="{336D738F-4655-4031-9C17-83BB5C1C1F7B}"/>
    <cellStyle name="Comma 2 2 3 8 2 2" xfId="15199" xr:uid="{21924F6E-5A1B-46FE-88D1-53A0319C7268}"/>
    <cellStyle name="Comma 2 2 3 8 2 2 2" xfId="32543" xr:uid="{523D296C-6B15-40CB-A44C-FC87826BE52A}"/>
    <cellStyle name="Comma 2 2 3 8 2 3" xfId="23871" xr:uid="{8E8BF8B5-FA38-4B86-BB52-CDB13ACA5EC3}"/>
    <cellStyle name="Comma 2 2 3 8 3" xfId="10863" xr:uid="{7381922C-DDDE-4562-AD62-AE4110CCD445}"/>
    <cellStyle name="Comma 2 2 3 8 3 2" xfId="28207" xr:uid="{D7E0DC14-F64E-4732-8A78-B9EC5A9A2241}"/>
    <cellStyle name="Comma 2 2 3 8 4" xfId="19535" xr:uid="{254665A6-2A5F-464C-9CC1-D11993979D82}"/>
    <cellStyle name="Comma 2 2 3 9" xfId="4359" xr:uid="{34D48D07-878F-4B88-ABB2-E433B3990569}"/>
    <cellStyle name="Comma 2 2 3 9 2" xfId="13031" xr:uid="{5B049E4A-7152-49AA-81E3-9CC046797BC8}"/>
    <cellStyle name="Comma 2 2 3 9 2 2" xfId="30375" xr:uid="{905E75CA-FC86-4B49-B4C8-EB4AD3B9F5B0}"/>
    <cellStyle name="Comma 2 2 3 9 3" xfId="21703" xr:uid="{1BC6A355-319F-4B47-8794-74F55FE3E39F}"/>
    <cellStyle name="Comma 2 2 4" xfId="40" xr:uid="{465EB9FA-EFF6-4C4A-9D08-F60E538B6516}"/>
    <cellStyle name="Comma 2 2 4 10" xfId="17384" xr:uid="{73F19BE1-EC38-48F3-A661-72144F6285AF}"/>
    <cellStyle name="Comma 2 2 4 2" xfId="101" xr:uid="{D33DB8E1-BBDD-4998-95ED-8FA217564557}"/>
    <cellStyle name="Comma 2 2 4 2 2" xfId="223" xr:uid="{15BAE4DC-F2D0-47D4-A07F-9FA3426EA881}"/>
    <cellStyle name="Comma 2 2 4 2 2 2" xfId="493" xr:uid="{5E636CD8-C6FB-4DFB-9108-9BD81A6E31D4}"/>
    <cellStyle name="Comma 2 2 4 2 2 2 2" xfId="1034" xr:uid="{4571B440-5EA7-4D1E-9339-8DB49B879618}"/>
    <cellStyle name="Comma 2 2 4 2 2 2 2 2" xfId="2118" xr:uid="{7F3A2D86-BAD0-46B2-98F1-334DB7C222A0}"/>
    <cellStyle name="Comma 2 2 4 2 2 2 2 2 2" xfId="4286" xr:uid="{37B50B05-56EA-4183-AAF3-C1EB23BD1B66}"/>
    <cellStyle name="Comma 2 2 4 2 2 2 2 2 2 2" xfId="8622" xr:uid="{E7E35061-D009-48B6-A237-FB51CC118A68}"/>
    <cellStyle name="Comma 2 2 4 2 2 2 2 2 2 2 2" xfId="17294" xr:uid="{F8E9E3BF-F9BB-4DB4-8127-F32840302949}"/>
    <cellStyle name="Comma 2 2 4 2 2 2 2 2 2 2 2 2" xfId="34638" xr:uid="{4B05DD5B-2169-4779-AF4E-CBC733F0F67A}"/>
    <cellStyle name="Comma 2 2 4 2 2 2 2 2 2 2 3" xfId="25966" xr:uid="{146A98E0-BC1D-4732-AC0B-42DB69A2DF49}"/>
    <cellStyle name="Comma 2 2 4 2 2 2 2 2 2 3" xfId="12958" xr:uid="{87AB9152-A86E-4564-A71C-AE174F768A3D}"/>
    <cellStyle name="Comma 2 2 4 2 2 2 2 2 2 3 2" xfId="30302" xr:uid="{A113E419-6E55-4680-9E46-64260863CCF7}"/>
    <cellStyle name="Comma 2 2 4 2 2 2 2 2 2 4" xfId="21630" xr:uid="{BC06EDDE-819C-403F-A8F3-E5507D037225}"/>
    <cellStyle name="Comma 2 2 4 2 2 2 2 2 3" xfId="6454" xr:uid="{DC5D6E2A-F988-4645-8E1F-6F577568D0BA}"/>
    <cellStyle name="Comma 2 2 4 2 2 2 2 2 3 2" xfId="15126" xr:uid="{97ADFE84-5BC5-4C64-848F-4572D44DB07A}"/>
    <cellStyle name="Comma 2 2 4 2 2 2 2 2 3 2 2" xfId="32470" xr:uid="{AFC3AA47-E315-431E-BAE6-47E0EC43D87D}"/>
    <cellStyle name="Comma 2 2 4 2 2 2 2 2 3 3" xfId="23798" xr:uid="{E4A4721F-EC41-45A4-A15D-567A942EF105}"/>
    <cellStyle name="Comma 2 2 4 2 2 2 2 2 4" xfId="10790" xr:uid="{1322639B-7048-4C55-A157-F3617E2B5DF9}"/>
    <cellStyle name="Comma 2 2 4 2 2 2 2 2 4 2" xfId="28134" xr:uid="{098189D9-0204-43BE-AA6C-E22485237CD5}"/>
    <cellStyle name="Comma 2 2 4 2 2 2 2 2 5" xfId="19462" xr:uid="{7CD3D5A4-7E56-40CD-BDEB-E4C5E1383341}"/>
    <cellStyle name="Comma 2 2 4 2 2 2 2 3" xfId="3202" xr:uid="{890B02E9-35B4-448F-BD91-C0AD1393ABB7}"/>
    <cellStyle name="Comma 2 2 4 2 2 2 2 3 2" xfId="7538" xr:uid="{BA218A38-FFB3-4212-A922-E8F4E33632C1}"/>
    <cellStyle name="Comma 2 2 4 2 2 2 2 3 2 2" xfId="16210" xr:uid="{1540BC70-A6C1-41A9-BD5E-C279AE3795D7}"/>
    <cellStyle name="Comma 2 2 4 2 2 2 2 3 2 2 2" xfId="33554" xr:uid="{764E29E6-6039-4B09-988D-FB3AE6DF5DCF}"/>
    <cellStyle name="Comma 2 2 4 2 2 2 2 3 2 3" xfId="24882" xr:uid="{2F2ECBA3-DC4A-4F04-874A-7080A2977C35}"/>
    <cellStyle name="Comma 2 2 4 2 2 2 2 3 3" xfId="11874" xr:uid="{08AF6598-96F6-40E7-8B54-44A569378992}"/>
    <cellStyle name="Comma 2 2 4 2 2 2 2 3 3 2" xfId="29218" xr:uid="{9C52774C-D16A-44AC-96D2-F2CC84B7B56E}"/>
    <cellStyle name="Comma 2 2 4 2 2 2 2 3 4" xfId="20546" xr:uid="{368B3A1B-676E-4B23-B5C4-6FFA15E59748}"/>
    <cellStyle name="Comma 2 2 4 2 2 2 2 4" xfId="5370" xr:uid="{072B0C7F-9055-4BAE-A639-8B3E08C7A64E}"/>
    <cellStyle name="Comma 2 2 4 2 2 2 2 4 2" xfId="14042" xr:uid="{E6AEC658-FE0D-469C-82CC-4031381FD951}"/>
    <cellStyle name="Comma 2 2 4 2 2 2 2 4 2 2" xfId="31386" xr:uid="{FB95F3B9-27ED-4AD4-9FCC-4D5FED01D21E}"/>
    <cellStyle name="Comma 2 2 4 2 2 2 2 4 3" xfId="22714" xr:uid="{98353BE0-2B78-42CB-9BE1-246191A6A052}"/>
    <cellStyle name="Comma 2 2 4 2 2 2 2 5" xfId="9706" xr:uid="{5CD8027A-2E16-416F-847B-E65193AB2479}"/>
    <cellStyle name="Comma 2 2 4 2 2 2 2 5 2" xfId="27050" xr:uid="{68E83D43-89DC-40B9-A9E0-1188403061F9}"/>
    <cellStyle name="Comma 2 2 4 2 2 2 2 6" xfId="18378" xr:uid="{6DD4DBF6-8B05-4B90-84E8-7F95A6C4709B}"/>
    <cellStyle name="Comma 2 2 4 2 2 2 3" xfId="1577" xr:uid="{D2CE6637-AD42-45C2-9845-B0B0AD7A7286}"/>
    <cellStyle name="Comma 2 2 4 2 2 2 3 2" xfId="3745" xr:uid="{D7711331-C1A2-46EC-86CD-766AE2583004}"/>
    <cellStyle name="Comma 2 2 4 2 2 2 3 2 2" xfId="8081" xr:uid="{56777F66-0215-416D-ABC0-B76879F93169}"/>
    <cellStyle name="Comma 2 2 4 2 2 2 3 2 2 2" xfId="16753" xr:uid="{B9412C96-04B0-4626-8E49-D5927A62E235}"/>
    <cellStyle name="Comma 2 2 4 2 2 2 3 2 2 2 2" xfId="34097" xr:uid="{B647AF22-6E3C-4C6C-B447-F65B1E2C171C}"/>
    <cellStyle name="Comma 2 2 4 2 2 2 3 2 2 3" xfId="25425" xr:uid="{37966F8C-F38D-4CA9-9204-C50D30C71C17}"/>
    <cellStyle name="Comma 2 2 4 2 2 2 3 2 3" xfId="12417" xr:uid="{CDCCC8D1-0EEA-463D-9B7F-8A9F523F2803}"/>
    <cellStyle name="Comma 2 2 4 2 2 2 3 2 3 2" xfId="29761" xr:uid="{93A77390-023D-4CD7-BE10-D7FAEDED6C73}"/>
    <cellStyle name="Comma 2 2 4 2 2 2 3 2 4" xfId="21089" xr:uid="{EBB8F69E-D518-43F0-95F8-AAC2B7EFA024}"/>
    <cellStyle name="Comma 2 2 4 2 2 2 3 3" xfId="5913" xr:uid="{D089F519-58B0-451F-9B1A-383750745470}"/>
    <cellStyle name="Comma 2 2 4 2 2 2 3 3 2" xfId="14585" xr:uid="{34BB01AB-8949-4EAD-9B03-1FCB850FA904}"/>
    <cellStyle name="Comma 2 2 4 2 2 2 3 3 2 2" xfId="31929" xr:uid="{F5549ADF-86B6-4A37-8B69-5A11878E64D2}"/>
    <cellStyle name="Comma 2 2 4 2 2 2 3 3 3" xfId="23257" xr:uid="{827D1236-8BD4-4213-8AAB-796DA331C181}"/>
    <cellStyle name="Comma 2 2 4 2 2 2 3 4" xfId="10249" xr:uid="{B1D18924-A139-4CBD-9FE2-260637CB51B2}"/>
    <cellStyle name="Comma 2 2 4 2 2 2 3 4 2" xfId="27593" xr:uid="{366D850F-E7B6-4B47-AEFF-594DDF8B4AF8}"/>
    <cellStyle name="Comma 2 2 4 2 2 2 3 5" xfId="18921" xr:uid="{1DDC4E9F-AFA4-4FE0-8405-3F862C3C26BB}"/>
    <cellStyle name="Comma 2 2 4 2 2 2 4" xfId="2661" xr:uid="{7CF0A51F-F691-4FF4-BCC9-6EEB7D69DA6C}"/>
    <cellStyle name="Comma 2 2 4 2 2 2 4 2" xfId="6997" xr:uid="{3A8507CD-8EB3-46EF-8227-D8E98C258096}"/>
    <cellStyle name="Comma 2 2 4 2 2 2 4 2 2" xfId="15669" xr:uid="{FC202EB6-F211-4C61-ADB7-32358C868127}"/>
    <cellStyle name="Comma 2 2 4 2 2 2 4 2 2 2" xfId="33013" xr:uid="{5FA9D115-057D-453E-BA0E-031CA71D11A7}"/>
    <cellStyle name="Comma 2 2 4 2 2 2 4 2 3" xfId="24341" xr:uid="{5B38657B-22CE-45D5-9783-8733AFC0E35E}"/>
    <cellStyle name="Comma 2 2 4 2 2 2 4 3" xfId="11333" xr:uid="{DA0F505D-72EF-4639-81A0-0CC3EE15B6B3}"/>
    <cellStyle name="Comma 2 2 4 2 2 2 4 3 2" xfId="28677" xr:uid="{5FBABAA5-76F4-4A0B-96DF-2834CB46FAAB}"/>
    <cellStyle name="Comma 2 2 4 2 2 2 4 4" xfId="20005" xr:uid="{B4C30FAF-91DA-437F-A367-10B855044B0A}"/>
    <cellStyle name="Comma 2 2 4 2 2 2 5" xfId="4829" xr:uid="{54962F5D-5BE7-4E2A-B4FE-B6B4432FD243}"/>
    <cellStyle name="Comma 2 2 4 2 2 2 5 2" xfId="13501" xr:uid="{FEF9F7FA-6080-4D4F-8616-864CFB5A3369}"/>
    <cellStyle name="Comma 2 2 4 2 2 2 5 2 2" xfId="30845" xr:uid="{38814234-4305-483B-BA08-CC4BD54A9EBD}"/>
    <cellStyle name="Comma 2 2 4 2 2 2 5 3" xfId="22173" xr:uid="{AAE7C078-8809-4F83-A383-045A2253EEF8}"/>
    <cellStyle name="Comma 2 2 4 2 2 2 6" xfId="9165" xr:uid="{F0EFE534-5CE5-425D-807B-314905444832}"/>
    <cellStyle name="Comma 2 2 4 2 2 2 6 2" xfId="26509" xr:uid="{AD27CD30-FA48-4812-88CA-6B2E41CEFEDE}"/>
    <cellStyle name="Comma 2 2 4 2 2 2 7" xfId="17837" xr:uid="{D110E2C4-3B8D-4DC2-ABBB-82F82511025E}"/>
    <cellStyle name="Comma 2 2 4 2 2 3" xfId="764" xr:uid="{514A956A-011C-4ED4-B2B4-1FF676057E2F}"/>
    <cellStyle name="Comma 2 2 4 2 2 3 2" xfId="1848" xr:uid="{1FEAA22B-BD7E-4CE9-8C47-1284F9EA1CD0}"/>
    <cellStyle name="Comma 2 2 4 2 2 3 2 2" xfId="4016" xr:uid="{F2622F51-E8E6-47CE-87BC-30F96CA4B6F7}"/>
    <cellStyle name="Comma 2 2 4 2 2 3 2 2 2" xfId="8352" xr:uid="{C4E5EB2B-66C9-45AC-B351-B870DC0A2544}"/>
    <cellStyle name="Comma 2 2 4 2 2 3 2 2 2 2" xfId="17024" xr:uid="{A2618F5B-5BEB-49D0-BE5E-C5BC30D36732}"/>
    <cellStyle name="Comma 2 2 4 2 2 3 2 2 2 2 2" xfId="34368" xr:uid="{CBBEF7BD-DC5F-4E76-BABF-EB553CBE32FE}"/>
    <cellStyle name="Comma 2 2 4 2 2 3 2 2 2 3" xfId="25696" xr:uid="{BBEAE145-F6C4-47D4-86EB-D439534A1FCB}"/>
    <cellStyle name="Comma 2 2 4 2 2 3 2 2 3" xfId="12688" xr:uid="{6AB252A4-9BAA-4B1D-9288-D2C4A4D28561}"/>
    <cellStyle name="Comma 2 2 4 2 2 3 2 2 3 2" xfId="30032" xr:uid="{3DE16B5B-AA59-4010-A8A6-C6E7902660F1}"/>
    <cellStyle name="Comma 2 2 4 2 2 3 2 2 4" xfId="21360" xr:uid="{C93BF2B6-34D1-452D-87DE-FA3C48BC62A2}"/>
    <cellStyle name="Comma 2 2 4 2 2 3 2 3" xfId="6184" xr:uid="{5F281753-79AF-42B2-8FC3-DCA34FB3DF0B}"/>
    <cellStyle name="Comma 2 2 4 2 2 3 2 3 2" xfId="14856" xr:uid="{B5D9A7EA-BD06-4794-8289-18AC21B89F99}"/>
    <cellStyle name="Comma 2 2 4 2 2 3 2 3 2 2" xfId="32200" xr:uid="{D1317539-C98B-4AD0-BD6E-60D054B1E9BA}"/>
    <cellStyle name="Comma 2 2 4 2 2 3 2 3 3" xfId="23528" xr:uid="{EB0508F3-A93D-4A45-8076-551D81757F79}"/>
    <cellStyle name="Comma 2 2 4 2 2 3 2 4" xfId="10520" xr:uid="{8917A07F-E78E-4D1E-934E-6353D34CF5F3}"/>
    <cellStyle name="Comma 2 2 4 2 2 3 2 4 2" xfId="27864" xr:uid="{603186B9-A797-438E-B8D7-E27543ED9CC6}"/>
    <cellStyle name="Comma 2 2 4 2 2 3 2 5" xfId="19192" xr:uid="{C401ADAC-6A01-43C5-A00A-D0D74F3DE54B}"/>
    <cellStyle name="Comma 2 2 4 2 2 3 3" xfId="2932" xr:uid="{E5839FA5-FE5C-4940-A678-453893C146F1}"/>
    <cellStyle name="Comma 2 2 4 2 2 3 3 2" xfId="7268" xr:uid="{CE5ECE56-B8FC-4FF9-BA1E-F62CBF81C700}"/>
    <cellStyle name="Comma 2 2 4 2 2 3 3 2 2" xfId="15940" xr:uid="{2CBF903E-B182-4159-B142-2123004C373F}"/>
    <cellStyle name="Comma 2 2 4 2 2 3 3 2 2 2" xfId="33284" xr:uid="{86B8D9D5-07A9-42A2-84CB-C30C310F514B}"/>
    <cellStyle name="Comma 2 2 4 2 2 3 3 2 3" xfId="24612" xr:uid="{CDFDC636-4668-4F8B-89A5-7C30714B16B3}"/>
    <cellStyle name="Comma 2 2 4 2 2 3 3 3" xfId="11604" xr:uid="{3F164397-CD25-46EA-89D7-3EB154F10C88}"/>
    <cellStyle name="Comma 2 2 4 2 2 3 3 3 2" xfId="28948" xr:uid="{B8C05048-0279-4FE3-A547-736464F7FECC}"/>
    <cellStyle name="Comma 2 2 4 2 2 3 3 4" xfId="20276" xr:uid="{D1E1A0CD-5E72-45FF-9949-D73646BB53CB}"/>
    <cellStyle name="Comma 2 2 4 2 2 3 4" xfId="5100" xr:uid="{BFB19196-3798-4774-947F-29A535AA62B0}"/>
    <cellStyle name="Comma 2 2 4 2 2 3 4 2" xfId="13772" xr:uid="{9E54CD97-0F58-4A2B-99EC-940AB18BF5B5}"/>
    <cellStyle name="Comma 2 2 4 2 2 3 4 2 2" xfId="31116" xr:uid="{BD887DEC-B725-475C-8649-E200391072EF}"/>
    <cellStyle name="Comma 2 2 4 2 2 3 4 3" xfId="22444" xr:uid="{8F91109A-BDB7-4CFB-9D38-689B9B8AF4B1}"/>
    <cellStyle name="Comma 2 2 4 2 2 3 5" xfId="9436" xr:uid="{F54B70E0-4BCF-4E81-99BD-34CF2C310E6D}"/>
    <cellStyle name="Comma 2 2 4 2 2 3 5 2" xfId="26780" xr:uid="{12819447-BD8F-4A80-912A-314A1B7ABA8D}"/>
    <cellStyle name="Comma 2 2 4 2 2 3 6" xfId="18108" xr:uid="{9D58EBFA-252C-4019-9207-6EE1426667A8}"/>
    <cellStyle name="Comma 2 2 4 2 2 4" xfId="1307" xr:uid="{4659F05A-0431-4A2E-9AE2-70745C1BAE87}"/>
    <cellStyle name="Comma 2 2 4 2 2 4 2" xfId="3475" xr:uid="{82F63A9B-2BA0-4570-A209-A6962D83B7AA}"/>
    <cellStyle name="Comma 2 2 4 2 2 4 2 2" xfId="7811" xr:uid="{24D61817-E557-4FEA-9ABB-B17ECBFE0D37}"/>
    <cellStyle name="Comma 2 2 4 2 2 4 2 2 2" xfId="16483" xr:uid="{A31F0637-4494-45DB-81D0-17BB8E33A186}"/>
    <cellStyle name="Comma 2 2 4 2 2 4 2 2 2 2" xfId="33827" xr:uid="{50087EC6-013F-433C-8073-9C08DBFD6BC2}"/>
    <cellStyle name="Comma 2 2 4 2 2 4 2 2 3" xfId="25155" xr:uid="{71E51237-2656-44E3-B013-BBD0E541836F}"/>
    <cellStyle name="Comma 2 2 4 2 2 4 2 3" xfId="12147" xr:uid="{352C5175-F814-4798-9142-58740B7802A2}"/>
    <cellStyle name="Comma 2 2 4 2 2 4 2 3 2" xfId="29491" xr:uid="{B1F1D207-4827-47F2-8A0C-821442D02DB0}"/>
    <cellStyle name="Comma 2 2 4 2 2 4 2 4" xfId="20819" xr:uid="{8EA70523-C780-4613-BE65-0AAA62A83998}"/>
    <cellStyle name="Comma 2 2 4 2 2 4 3" xfId="5643" xr:uid="{59432706-DFA7-47C5-96D4-9E20CC04F60A}"/>
    <cellStyle name="Comma 2 2 4 2 2 4 3 2" xfId="14315" xr:uid="{E405E864-537E-4DFE-B7F9-B00C92ADD076}"/>
    <cellStyle name="Comma 2 2 4 2 2 4 3 2 2" xfId="31659" xr:uid="{B4E9A826-C0EB-4C23-A43F-7204C4628233}"/>
    <cellStyle name="Comma 2 2 4 2 2 4 3 3" xfId="22987" xr:uid="{E1D6AB20-606C-4F85-9068-214D21D77F6D}"/>
    <cellStyle name="Comma 2 2 4 2 2 4 4" xfId="9979" xr:uid="{5463C933-F05C-4ADA-AB8C-AA7C620FDE84}"/>
    <cellStyle name="Comma 2 2 4 2 2 4 4 2" xfId="27323" xr:uid="{7565074C-7321-480A-8E2C-D1094DDF20E2}"/>
    <cellStyle name="Comma 2 2 4 2 2 4 5" xfId="18651" xr:uid="{F2448F3F-4335-4678-AE92-5F862BA7E1F0}"/>
    <cellStyle name="Comma 2 2 4 2 2 5" xfId="2391" xr:uid="{C10DD474-1AFB-4F0C-8B2F-858C6086BD66}"/>
    <cellStyle name="Comma 2 2 4 2 2 5 2" xfId="6727" xr:uid="{2CDB5557-8822-4047-876B-043BC761D14C}"/>
    <cellStyle name="Comma 2 2 4 2 2 5 2 2" xfId="15399" xr:uid="{3E5791E2-DACB-427F-A62F-C326581E12FA}"/>
    <cellStyle name="Comma 2 2 4 2 2 5 2 2 2" xfId="32743" xr:uid="{AB216191-8AD5-4414-A270-63AA7A01DF64}"/>
    <cellStyle name="Comma 2 2 4 2 2 5 2 3" xfId="24071" xr:uid="{3D7A6673-E8A7-49C6-A9AB-D1396C1C3335}"/>
    <cellStyle name="Comma 2 2 4 2 2 5 3" xfId="11063" xr:uid="{DF3D8AF3-4240-4460-B0D3-F4403CBFCBCD}"/>
    <cellStyle name="Comma 2 2 4 2 2 5 3 2" xfId="28407" xr:uid="{5D88AFD8-B492-4AC8-A8BD-54422D8FEBDC}"/>
    <cellStyle name="Comma 2 2 4 2 2 5 4" xfId="19735" xr:uid="{AB986F34-D8B3-4F52-B180-4D499C9F98B2}"/>
    <cellStyle name="Comma 2 2 4 2 2 6" xfId="4559" xr:uid="{4F4B0ACF-CBDB-4F43-8589-5DBE16D74D45}"/>
    <cellStyle name="Comma 2 2 4 2 2 6 2" xfId="13231" xr:uid="{A435A75B-FFC4-4020-A4F3-F5F55E664AF4}"/>
    <cellStyle name="Comma 2 2 4 2 2 6 2 2" xfId="30575" xr:uid="{2427A1C4-BAE5-4C6A-94F2-37F1F00ED76E}"/>
    <cellStyle name="Comma 2 2 4 2 2 6 3" xfId="21903" xr:uid="{1EB3935C-79E1-468B-BB9A-66CFB14FF7CD}"/>
    <cellStyle name="Comma 2 2 4 2 2 7" xfId="8895" xr:uid="{CF7C333A-DEC4-4C87-BF7D-5E6D44E08ED1}"/>
    <cellStyle name="Comma 2 2 4 2 2 7 2" xfId="26239" xr:uid="{18AF8B77-53E7-4DE0-B688-7342D1E2F772}"/>
    <cellStyle name="Comma 2 2 4 2 2 8" xfId="17567" xr:uid="{E8EF16CB-BA68-4B25-BB15-2CF09338B5DB}"/>
    <cellStyle name="Comma 2 2 4 2 3" xfId="371" xr:uid="{CB151C01-E7B0-498F-831F-F3CF2FE6CA19}"/>
    <cellStyle name="Comma 2 2 4 2 3 2" xfId="912" xr:uid="{88455E13-01C6-470B-B996-DE396166D393}"/>
    <cellStyle name="Comma 2 2 4 2 3 2 2" xfId="1996" xr:uid="{F6664F5A-40F4-4673-8F5F-5A64B60CF6DB}"/>
    <cellStyle name="Comma 2 2 4 2 3 2 2 2" xfId="4164" xr:uid="{F2ABC600-760C-4815-A686-70616E4393C7}"/>
    <cellStyle name="Comma 2 2 4 2 3 2 2 2 2" xfId="8500" xr:uid="{06626239-DA2D-45A6-943E-4FEA96B4FE51}"/>
    <cellStyle name="Comma 2 2 4 2 3 2 2 2 2 2" xfId="17172" xr:uid="{4485E00B-DA38-4E90-9C09-7D2210A841A5}"/>
    <cellStyle name="Comma 2 2 4 2 3 2 2 2 2 2 2" xfId="34516" xr:uid="{CDA1B58E-1B49-4529-9ED4-F1CB395246C6}"/>
    <cellStyle name="Comma 2 2 4 2 3 2 2 2 2 3" xfId="25844" xr:uid="{B121111B-EB11-4CDD-ADDE-AE882A69FFD2}"/>
    <cellStyle name="Comma 2 2 4 2 3 2 2 2 3" xfId="12836" xr:uid="{B89DB81A-4001-4B9B-B57A-87C1C69F1E64}"/>
    <cellStyle name="Comma 2 2 4 2 3 2 2 2 3 2" xfId="30180" xr:uid="{A693BC0A-FFE1-4CE7-976B-6C9C5623CA33}"/>
    <cellStyle name="Comma 2 2 4 2 3 2 2 2 4" xfId="21508" xr:uid="{2D28ACD4-EC78-4C77-AA6D-95ADEF4E2E08}"/>
    <cellStyle name="Comma 2 2 4 2 3 2 2 3" xfId="6332" xr:uid="{ABB428ED-678C-4947-A999-A0C8DA98D2A4}"/>
    <cellStyle name="Comma 2 2 4 2 3 2 2 3 2" xfId="15004" xr:uid="{82B1E517-741E-4E52-80FF-85901BE3B3B2}"/>
    <cellStyle name="Comma 2 2 4 2 3 2 2 3 2 2" xfId="32348" xr:uid="{3D0EC2CD-0508-4D3B-A6E4-FD629BA5CC5B}"/>
    <cellStyle name="Comma 2 2 4 2 3 2 2 3 3" xfId="23676" xr:uid="{66DB0EAB-42B3-4085-95D5-F7777E073E5F}"/>
    <cellStyle name="Comma 2 2 4 2 3 2 2 4" xfId="10668" xr:uid="{1E773FCB-CF1B-4AC8-BDA0-19005928890E}"/>
    <cellStyle name="Comma 2 2 4 2 3 2 2 4 2" xfId="28012" xr:uid="{00DD4508-920B-4F14-AB9E-6E468A6DCC7C}"/>
    <cellStyle name="Comma 2 2 4 2 3 2 2 5" xfId="19340" xr:uid="{45C5680D-FA8F-4B33-A998-9A866BA1ECFD}"/>
    <cellStyle name="Comma 2 2 4 2 3 2 3" xfId="3080" xr:uid="{527ED63F-23E6-4957-9FC2-A93FDB6532EC}"/>
    <cellStyle name="Comma 2 2 4 2 3 2 3 2" xfId="7416" xr:uid="{B38032D9-28A2-4832-A4CF-F075CF0B3F26}"/>
    <cellStyle name="Comma 2 2 4 2 3 2 3 2 2" xfId="16088" xr:uid="{3E62CAC9-201E-467C-B720-ACCBB0753835}"/>
    <cellStyle name="Comma 2 2 4 2 3 2 3 2 2 2" xfId="33432" xr:uid="{F285F8A9-7B30-44D7-A031-855BB5FC7AE4}"/>
    <cellStyle name="Comma 2 2 4 2 3 2 3 2 3" xfId="24760" xr:uid="{F69B060F-287B-4D13-8DE6-ED66D770978F}"/>
    <cellStyle name="Comma 2 2 4 2 3 2 3 3" xfId="11752" xr:uid="{2F5B8EEB-F8DF-4F30-9BB9-3375FBA4579B}"/>
    <cellStyle name="Comma 2 2 4 2 3 2 3 3 2" xfId="29096" xr:uid="{CCA068A4-677E-49F0-8619-3B4A23C4116C}"/>
    <cellStyle name="Comma 2 2 4 2 3 2 3 4" xfId="20424" xr:uid="{D1F6DA30-5217-40B9-B7C7-EA5A8507F902}"/>
    <cellStyle name="Comma 2 2 4 2 3 2 4" xfId="5248" xr:uid="{2F80B4CD-7C67-46E5-822A-1B0C966B0E0D}"/>
    <cellStyle name="Comma 2 2 4 2 3 2 4 2" xfId="13920" xr:uid="{7E41644A-DA0F-402B-8716-198BB0EA0833}"/>
    <cellStyle name="Comma 2 2 4 2 3 2 4 2 2" xfId="31264" xr:uid="{EA5D117E-5B60-473E-9D80-E5FBDF5B0C7B}"/>
    <cellStyle name="Comma 2 2 4 2 3 2 4 3" xfId="22592" xr:uid="{7D2194C8-F899-4DFD-9E0E-EE144DDA421A}"/>
    <cellStyle name="Comma 2 2 4 2 3 2 5" xfId="9584" xr:uid="{C76AB941-AAD4-4AF6-BE5E-B6EB4AD2E8F5}"/>
    <cellStyle name="Comma 2 2 4 2 3 2 5 2" xfId="26928" xr:uid="{E1579001-866C-4ABA-B667-3C8743014971}"/>
    <cellStyle name="Comma 2 2 4 2 3 2 6" xfId="18256" xr:uid="{378E4DF3-EC36-42A5-B56A-49A0D5821465}"/>
    <cellStyle name="Comma 2 2 4 2 3 3" xfId="1455" xr:uid="{9A39FB2D-8BE8-488B-9B7D-68B13AB05224}"/>
    <cellStyle name="Comma 2 2 4 2 3 3 2" xfId="3623" xr:uid="{D4F631C7-D1FE-4B7A-B915-D35805ACCF0F}"/>
    <cellStyle name="Comma 2 2 4 2 3 3 2 2" xfId="7959" xr:uid="{C5795669-38D9-43C0-AF4E-5D5871534891}"/>
    <cellStyle name="Comma 2 2 4 2 3 3 2 2 2" xfId="16631" xr:uid="{AA6F7BD3-FCFD-4D4D-B44D-211C481CD8B2}"/>
    <cellStyle name="Comma 2 2 4 2 3 3 2 2 2 2" xfId="33975" xr:uid="{495BD0E1-57BC-46FB-9643-C7E355CCAE70}"/>
    <cellStyle name="Comma 2 2 4 2 3 3 2 2 3" xfId="25303" xr:uid="{3AB8917B-C83A-4A68-A242-BBF9EFD25DB3}"/>
    <cellStyle name="Comma 2 2 4 2 3 3 2 3" xfId="12295" xr:uid="{74C2E60B-E3E6-4228-8F46-5F8C932D46EC}"/>
    <cellStyle name="Comma 2 2 4 2 3 3 2 3 2" xfId="29639" xr:uid="{2EF10E7A-4149-4E4B-A412-F1FCB4A649CA}"/>
    <cellStyle name="Comma 2 2 4 2 3 3 2 4" xfId="20967" xr:uid="{1E3511BA-B4C3-4577-ACB6-A932314F6CD3}"/>
    <cellStyle name="Comma 2 2 4 2 3 3 3" xfId="5791" xr:uid="{1DFB583D-744A-4DF8-A197-ADC1887BC338}"/>
    <cellStyle name="Comma 2 2 4 2 3 3 3 2" xfId="14463" xr:uid="{1887A388-5E83-45A8-8618-6B3EDC1A6944}"/>
    <cellStyle name="Comma 2 2 4 2 3 3 3 2 2" xfId="31807" xr:uid="{7ACC22B9-B1A7-4E69-9512-12BD20C9DCAB}"/>
    <cellStyle name="Comma 2 2 4 2 3 3 3 3" xfId="23135" xr:uid="{F43391CF-AC49-4B0B-81A4-783779D597EC}"/>
    <cellStyle name="Comma 2 2 4 2 3 3 4" xfId="10127" xr:uid="{E3A006A6-5E2A-43BB-BD92-892103017F96}"/>
    <cellStyle name="Comma 2 2 4 2 3 3 4 2" xfId="27471" xr:uid="{0B4051B5-FA34-46D1-A614-5544131D8262}"/>
    <cellStyle name="Comma 2 2 4 2 3 3 5" xfId="18799" xr:uid="{82919F46-85EE-493A-8701-FC1124681696}"/>
    <cellStyle name="Comma 2 2 4 2 3 4" xfId="2539" xr:uid="{64D6C170-5190-474F-98D9-EA2971A899A0}"/>
    <cellStyle name="Comma 2 2 4 2 3 4 2" xfId="6875" xr:uid="{8DF167A4-38B2-4ADF-8C85-51619CDBAAC6}"/>
    <cellStyle name="Comma 2 2 4 2 3 4 2 2" xfId="15547" xr:uid="{3ABC757A-59F2-4F8B-B397-B17BF331E22B}"/>
    <cellStyle name="Comma 2 2 4 2 3 4 2 2 2" xfId="32891" xr:uid="{6C4BE24E-A433-4C74-805C-120158C0D68B}"/>
    <cellStyle name="Comma 2 2 4 2 3 4 2 3" xfId="24219" xr:uid="{8F47D9CE-2470-4830-99C3-5ADF5832833F}"/>
    <cellStyle name="Comma 2 2 4 2 3 4 3" xfId="11211" xr:uid="{3159D6BC-CC19-4E2A-87A2-531FEADEC950}"/>
    <cellStyle name="Comma 2 2 4 2 3 4 3 2" xfId="28555" xr:uid="{FC1B9C3B-A2F3-491D-AC66-D917FD91D766}"/>
    <cellStyle name="Comma 2 2 4 2 3 4 4" xfId="19883" xr:uid="{352DA1AA-41E8-41A1-A328-A645ADDAFEBB}"/>
    <cellStyle name="Comma 2 2 4 2 3 5" xfId="4707" xr:uid="{D66F4812-BEB5-4E71-90AC-63A8D73CBEB4}"/>
    <cellStyle name="Comma 2 2 4 2 3 5 2" xfId="13379" xr:uid="{0E909B96-856F-4576-8410-4974482F9988}"/>
    <cellStyle name="Comma 2 2 4 2 3 5 2 2" xfId="30723" xr:uid="{4AEC9800-E174-4A2B-9522-D3CD330854F1}"/>
    <cellStyle name="Comma 2 2 4 2 3 5 3" xfId="22051" xr:uid="{A3DC12BC-EEB1-4876-9200-B263B522BAF2}"/>
    <cellStyle name="Comma 2 2 4 2 3 6" xfId="9043" xr:uid="{05D98AE3-26BC-403A-9D96-5687EAE96EBA}"/>
    <cellStyle name="Comma 2 2 4 2 3 6 2" xfId="26387" xr:uid="{FA1A8DC9-1E1E-4044-AEB5-02FDB0EDBE6D}"/>
    <cellStyle name="Comma 2 2 4 2 3 7" xfId="17715" xr:uid="{270BF2CD-7C10-4901-B11B-D4A019648F00}"/>
    <cellStyle name="Comma 2 2 4 2 4" xfId="642" xr:uid="{3CA853D6-9B8B-4FCB-9287-23C47112AFD5}"/>
    <cellStyle name="Comma 2 2 4 2 4 2" xfId="1726" xr:uid="{BD538236-2F62-4D1C-BAB3-7F3EF750A972}"/>
    <cellStyle name="Comma 2 2 4 2 4 2 2" xfId="3894" xr:uid="{7C2AA0CE-7AAF-49F3-9EC6-385011F1435A}"/>
    <cellStyle name="Comma 2 2 4 2 4 2 2 2" xfId="8230" xr:uid="{7E4BF519-0D88-4F7A-8C4A-17D98AAB1106}"/>
    <cellStyle name="Comma 2 2 4 2 4 2 2 2 2" xfId="16902" xr:uid="{48D12B56-943A-45B8-A8B9-D3B52CE6796B}"/>
    <cellStyle name="Comma 2 2 4 2 4 2 2 2 2 2" xfId="34246" xr:uid="{5463C2A2-EC46-487E-A8DD-2967F7203910}"/>
    <cellStyle name="Comma 2 2 4 2 4 2 2 2 3" xfId="25574" xr:uid="{013A3E5D-1B98-4693-B2EF-7E4EEC2E3B2D}"/>
    <cellStyle name="Comma 2 2 4 2 4 2 2 3" xfId="12566" xr:uid="{20E5B899-F186-4890-8153-C99A5BBD00AE}"/>
    <cellStyle name="Comma 2 2 4 2 4 2 2 3 2" xfId="29910" xr:uid="{D7A33F9E-E02E-4F26-A719-F5F938B64C26}"/>
    <cellStyle name="Comma 2 2 4 2 4 2 2 4" xfId="21238" xr:uid="{9B7F9A74-00A3-4ED4-94A3-883FB9CB51A2}"/>
    <cellStyle name="Comma 2 2 4 2 4 2 3" xfId="6062" xr:uid="{D24367BC-3330-49D3-A58E-C023401CBB93}"/>
    <cellStyle name="Comma 2 2 4 2 4 2 3 2" xfId="14734" xr:uid="{ADABFA3E-9D21-4AF3-B49D-8EBCE6781F27}"/>
    <cellStyle name="Comma 2 2 4 2 4 2 3 2 2" xfId="32078" xr:uid="{E7B9F8FC-FE5A-45C8-88CE-8054AAE14A43}"/>
    <cellStyle name="Comma 2 2 4 2 4 2 3 3" xfId="23406" xr:uid="{D6910C38-9329-48CC-93EE-D46CD3C22D13}"/>
    <cellStyle name="Comma 2 2 4 2 4 2 4" xfId="10398" xr:uid="{AFBAA245-2737-4DD1-89B3-279E5A6F7A69}"/>
    <cellStyle name="Comma 2 2 4 2 4 2 4 2" xfId="27742" xr:uid="{FA3E733F-9D57-43FA-BEAA-B5FA16726C21}"/>
    <cellStyle name="Comma 2 2 4 2 4 2 5" xfId="19070" xr:uid="{454147DD-FF84-4B4B-A599-E73CF299F5D7}"/>
    <cellStyle name="Comma 2 2 4 2 4 3" xfId="2810" xr:uid="{86E563BC-CD76-48DC-BA5E-23D8D2EDCBFE}"/>
    <cellStyle name="Comma 2 2 4 2 4 3 2" xfId="7146" xr:uid="{2A0466AA-B12A-4ACF-9510-A8AB11B2239B}"/>
    <cellStyle name="Comma 2 2 4 2 4 3 2 2" xfId="15818" xr:uid="{7FE65C35-6A41-403A-854E-D96FB6D9ED87}"/>
    <cellStyle name="Comma 2 2 4 2 4 3 2 2 2" xfId="33162" xr:uid="{F645EFAD-23BB-49AA-9622-B61F07FAEA73}"/>
    <cellStyle name="Comma 2 2 4 2 4 3 2 3" xfId="24490" xr:uid="{32EBF5E3-F577-414C-A932-D019126677B9}"/>
    <cellStyle name="Comma 2 2 4 2 4 3 3" xfId="11482" xr:uid="{C5F89612-79D4-4966-B36E-B2277BE946A2}"/>
    <cellStyle name="Comma 2 2 4 2 4 3 3 2" xfId="28826" xr:uid="{BEFE0058-8ECC-49D4-B17D-27A9875CB059}"/>
    <cellStyle name="Comma 2 2 4 2 4 3 4" xfId="20154" xr:uid="{468F28E4-D4E4-4ACA-BB63-DFF594373C3A}"/>
    <cellStyle name="Comma 2 2 4 2 4 4" xfId="4978" xr:uid="{2AE0308B-5022-4FD1-8982-3B92B44A2677}"/>
    <cellStyle name="Comma 2 2 4 2 4 4 2" xfId="13650" xr:uid="{434935FD-2B35-4A69-9A79-346B7A2334C1}"/>
    <cellStyle name="Comma 2 2 4 2 4 4 2 2" xfId="30994" xr:uid="{0058800F-F5D9-4717-8D67-85217728D839}"/>
    <cellStyle name="Comma 2 2 4 2 4 4 3" xfId="22322" xr:uid="{20E2ACC8-33C5-424F-BE7D-4D153B54D540}"/>
    <cellStyle name="Comma 2 2 4 2 4 5" xfId="9314" xr:uid="{767E67D0-27FF-45C6-B0ED-D6B7C3C4086C}"/>
    <cellStyle name="Comma 2 2 4 2 4 5 2" xfId="26658" xr:uid="{668F5D1C-8CD4-4516-9881-51C673D3C35E}"/>
    <cellStyle name="Comma 2 2 4 2 4 6" xfId="17986" xr:uid="{30EF3E94-A3E0-4A05-B74F-4E4316F05E29}"/>
    <cellStyle name="Comma 2 2 4 2 5" xfId="1185" xr:uid="{D2B40865-7A32-4265-9B63-DD55AF2FAFED}"/>
    <cellStyle name="Comma 2 2 4 2 5 2" xfId="3353" xr:uid="{59CA6D11-0551-4485-A0C7-C2807A122C2A}"/>
    <cellStyle name="Comma 2 2 4 2 5 2 2" xfId="7689" xr:uid="{A0A664F2-F53E-47E4-8B06-C53CCDEE2901}"/>
    <cellStyle name="Comma 2 2 4 2 5 2 2 2" xfId="16361" xr:uid="{33C060A8-FF85-4578-B849-E37AAA20756F}"/>
    <cellStyle name="Comma 2 2 4 2 5 2 2 2 2" xfId="33705" xr:uid="{D4FB2711-EFD3-4AAF-950C-180DFAF034EA}"/>
    <cellStyle name="Comma 2 2 4 2 5 2 2 3" xfId="25033" xr:uid="{FACBC98E-0209-4206-9E58-251614712A43}"/>
    <cellStyle name="Comma 2 2 4 2 5 2 3" xfId="12025" xr:uid="{118F2984-6427-4E35-85FF-773B3B4BF0FB}"/>
    <cellStyle name="Comma 2 2 4 2 5 2 3 2" xfId="29369" xr:uid="{18FB5426-F906-42D0-B7FC-F65ED9BB6240}"/>
    <cellStyle name="Comma 2 2 4 2 5 2 4" xfId="20697" xr:uid="{4E5415EF-9698-484B-B435-DD85D3501BE3}"/>
    <cellStyle name="Comma 2 2 4 2 5 3" xfId="5521" xr:uid="{BCDAA7B9-70A5-46EA-B3C6-DFAA4CFDF38F}"/>
    <cellStyle name="Comma 2 2 4 2 5 3 2" xfId="14193" xr:uid="{53F99F35-FEEB-454A-B4EE-AE602C51E170}"/>
    <cellStyle name="Comma 2 2 4 2 5 3 2 2" xfId="31537" xr:uid="{44944CF8-D016-4B19-8998-9FD6871D1A4B}"/>
    <cellStyle name="Comma 2 2 4 2 5 3 3" xfId="22865" xr:uid="{C1D65207-78D3-470D-9051-024A18A12216}"/>
    <cellStyle name="Comma 2 2 4 2 5 4" xfId="9857" xr:uid="{F0B2C5D2-903E-4AAD-8F65-FC4C13E7D70F}"/>
    <cellStyle name="Comma 2 2 4 2 5 4 2" xfId="27201" xr:uid="{E1D07D36-49A1-422F-9B68-3DF77518EBA5}"/>
    <cellStyle name="Comma 2 2 4 2 5 5" xfId="18529" xr:uid="{519B6DA1-C382-4B45-89F4-DD4253151C1B}"/>
    <cellStyle name="Comma 2 2 4 2 6" xfId="2269" xr:uid="{4AA6E851-9915-4E73-8EDF-977496876F34}"/>
    <cellStyle name="Comma 2 2 4 2 6 2" xfId="6605" xr:uid="{FFED98D8-4114-41FB-B7AA-9AF652271AC2}"/>
    <cellStyle name="Comma 2 2 4 2 6 2 2" xfId="15277" xr:uid="{04C4B94E-AF16-4C72-9BA4-BDD83087D747}"/>
    <cellStyle name="Comma 2 2 4 2 6 2 2 2" xfId="32621" xr:uid="{A849DEF9-3131-4321-B7A7-14B8DE50E366}"/>
    <cellStyle name="Comma 2 2 4 2 6 2 3" xfId="23949" xr:uid="{0B3E8F1F-3ACC-4048-8125-EAA6F4A47DEF}"/>
    <cellStyle name="Comma 2 2 4 2 6 3" xfId="10941" xr:uid="{2026B8FE-7695-4C63-B84A-8C28615926A9}"/>
    <cellStyle name="Comma 2 2 4 2 6 3 2" xfId="28285" xr:uid="{E9D27D56-CB75-4A03-89E5-320FE0F817A9}"/>
    <cellStyle name="Comma 2 2 4 2 6 4" xfId="19613" xr:uid="{A6702801-EDF0-49C7-8EF6-741B2EA96B34}"/>
    <cellStyle name="Comma 2 2 4 2 7" xfId="4437" xr:uid="{09449212-F591-4934-AC22-3CE996054029}"/>
    <cellStyle name="Comma 2 2 4 2 7 2" xfId="13109" xr:uid="{18E4FBD1-309D-42CD-8496-AF8BBAED0BEE}"/>
    <cellStyle name="Comma 2 2 4 2 7 2 2" xfId="30453" xr:uid="{E8E57E90-B36D-4F76-A37A-440DE47C4CC9}"/>
    <cellStyle name="Comma 2 2 4 2 7 3" xfId="21781" xr:uid="{57573567-7C81-4B36-BE09-D36717A9742B}"/>
    <cellStyle name="Comma 2 2 4 2 8" xfId="8773" xr:uid="{9A4910DB-D335-440E-A31E-5DBE1A9C95B8}"/>
    <cellStyle name="Comma 2 2 4 2 8 2" xfId="26117" xr:uid="{D726B5E5-1549-45A6-AEE5-4928217EDBC6}"/>
    <cellStyle name="Comma 2 2 4 2 9" xfId="17445" xr:uid="{FFCBF617-5FAA-4F36-83E7-46BC369220C0}"/>
    <cellStyle name="Comma 2 2 4 3" xfId="162" xr:uid="{5BA659E9-A4DD-472F-B8C7-BE5A419A48B4}"/>
    <cellStyle name="Comma 2 2 4 3 2" xfId="432" xr:uid="{E770393E-2129-4D7D-A810-924865605790}"/>
    <cellStyle name="Comma 2 2 4 3 2 2" xfId="973" xr:uid="{CDEEABC9-BBC7-474B-BDE8-B5E5B2F9EB0F}"/>
    <cellStyle name="Comma 2 2 4 3 2 2 2" xfId="2057" xr:uid="{53D421D2-15E3-404F-B9F4-87FBC35A0DA2}"/>
    <cellStyle name="Comma 2 2 4 3 2 2 2 2" xfId="4225" xr:uid="{502C542C-E0E1-45B1-8FDA-8AB2725DABE3}"/>
    <cellStyle name="Comma 2 2 4 3 2 2 2 2 2" xfId="8561" xr:uid="{D6F5CC06-2E3A-467A-922A-4C2808C9B545}"/>
    <cellStyle name="Comma 2 2 4 3 2 2 2 2 2 2" xfId="17233" xr:uid="{66809506-3575-4ACA-86C1-EDB809230970}"/>
    <cellStyle name="Comma 2 2 4 3 2 2 2 2 2 2 2" xfId="34577" xr:uid="{2683E64E-E387-42F7-9470-F26337FBEC9A}"/>
    <cellStyle name="Comma 2 2 4 3 2 2 2 2 2 3" xfId="25905" xr:uid="{158F0591-EA70-4794-B7CD-387B8A3862D3}"/>
    <cellStyle name="Comma 2 2 4 3 2 2 2 2 3" xfId="12897" xr:uid="{5A8CA6C3-1C58-4219-8695-D36D3E2E8145}"/>
    <cellStyle name="Comma 2 2 4 3 2 2 2 2 3 2" xfId="30241" xr:uid="{306103F0-4941-443D-9897-BA6AC1CC923B}"/>
    <cellStyle name="Comma 2 2 4 3 2 2 2 2 4" xfId="21569" xr:uid="{4F6DDF03-9C92-4AA4-8B8B-FD12347BFB19}"/>
    <cellStyle name="Comma 2 2 4 3 2 2 2 3" xfId="6393" xr:uid="{D1352FD0-015F-4672-89FC-07DF934BFAE3}"/>
    <cellStyle name="Comma 2 2 4 3 2 2 2 3 2" xfId="15065" xr:uid="{10FDD65E-ED95-44D7-8C48-061627E11DD3}"/>
    <cellStyle name="Comma 2 2 4 3 2 2 2 3 2 2" xfId="32409" xr:uid="{4BDAA7E1-57B4-43FE-9382-EDCC622BE7AE}"/>
    <cellStyle name="Comma 2 2 4 3 2 2 2 3 3" xfId="23737" xr:uid="{3EF874C5-AB4C-4CF2-A9F9-AF66F7136C18}"/>
    <cellStyle name="Comma 2 2 4 3 2 2 2 4" xfId="10729" xr:uid="{74861563-FF80-4400-AE6C-CE34BD56EBC2}"/>
    <cellStyle name="Comma 2 2 4 3 2 2 2 4 2" xfId="28073" xr:uid="{A4390DD0-F4E1-4EDE-BEDB-18C9B2A3138F}"/>
    <cellStyle name="Comma 2 2 4 3 2 2 2 5" xfId="19401" xr:uid="{5DE24ACF-5ECD-43D5-AEEB-4FB59C15092D}"/>
    <cellStyle name="Comma 2 2 4 3 2 2 3" xfId="3141" xr:uid="{179FCE2C-346D-4EFC-A4E2-11828A983A16}"/>
    <cellStyle name="Comma 2 2 4 3 2 2 3 2" xfId="7477" xr:uid="{E67C6496-51AC-47AD-A332-95C5C6FF82F4}"/>
    <cellStyle name="Comma 2 2 4 3 2 2 3 2 2" xfId="16149" xr:uid="{98C9A676-D0F3-4E95-BFE3-DC94F0A358B7}"/>
    <cellStyle name="Comma 2 2 4 3 2 2 3 2 2 2" xfId="33493" xr:uid="{51AFAF90-B20C-4FE2-88D9-E9956C9BBC95}"/>
    <cellStyle name="Comma 2 2 4 3 2 2 3 2 3" xfId="24821" xr:uid="{9DF4CF9A-8D32-473F-9A14-384E07352963}"/>
    <cellStyle name="Comma 2 2 4 3 2 2 3 3" xfId="11813" xr:uid="{E0C0CA76-0009-49EC-94B7-F5ED65BAF2CD}"/>
    <cellStyle name="Comma 2 2 4 3 2 2 3 3 2" xfId="29157" xr:uid="{BC817F0B-9DC8-49BA-9F78-BD80B9D7E4B5}"/>
    <cellStyle name="Comma 2 2 4 3 2 2 3 4" xfId="20485" xr:uid="{0F9EEF9F-E5BF-4647-89A0-65BC24ACA95E}"/>
    <cellStyle name="Comma 2 2 4 3 2 2 4" xfId="5309" xr:uid="{4B5BF1D1-D045-416A-8637-587DF08F5820}"/>
    <cellStyle name="Comma 2 2 4 3 2 2 4 2" xfId="13981" xr:uid="{71859AA1-1DBB-466F-9A66-A3A3EC9450F2}"/>
    <cellStyle name="Comma 2 2 4 3 2 2 4 2 2" xfId="31325" xr:uid="{028D8431-AB5B-479A-9DFA-6F2069A3229A}"/>
    <cellStyle name="Comma 2 2 4 3 2 2 4 3" xfId="22653" xr:uid="{16221B9E-6E4A-413C-9C77-B0AB264AC626}"/>
    <cellStyle name="Comma 2 2 4 3 2 2 5" xfId="9645" xr:uid="{187C3677-CF96-4BDF-8624-66A3282801FA}"/>
    <cellStyle name="Comma 2 2 4 3 2 2 5 2" xfId="26989" xr:uid="{2121675E-8419-42B4-A0B7-B069D1CAAE50}"/>
    <cellStyle name="Comma 2 2 4 3 2 2 6" xfId="18317" xr:uid="{E694D8AB-CBFC-4397-ACAF-F9393DC664CC}"/>
    <cellStyle name="Comma 2 2 4 3 2 3" xfId="1516" xr:uid="{CE1DBA56-563A-412E-B4BC-686EF47E74F7}"/>
    <cellStyle name="Comma 2 2 4 3 2 3 2" xfId="3684" xr:uid="{9EA36DD3-BD5A-40DC-B68D-375BA9E4942A}"/>
    <cellStyle name="Comma 2 2 4 3 2 3 2 2" xfId="8020" xr:uid="{8F3DA2BE-31FE-4418-A8A6-451340717728}"/>
    <cellStyle name="Comma 2 2 4 3 2 3 2 2 2" xfId="16692" xr:uid="{D98B9F76-D210-435D-B5C5-DE78E03370E1}"/>
    <cellStyle name="Comma 2 2 4 3 2 3 2 2 2 2" xfId="34036" xr:uid="{E4673D3F-7073-4DFE-A727-F0111476058B}"/>
    <cellStyle name="Comma 2 2 4 3 2 3 2 2 3" xfId="25364" xr:uid="{97AFC94D-0537-4517-A2A0-62BC94DB3124}"/>
    <cellStyle name="Comma 2 2 4 3 2 3 2 3" xfId="12356" xr:uid="{0A29B920-B47C-4CF6-A480-4E630D3F8CBD}"/>
    <cellStyle name="Comma 2 2 4 3 2 3 2 3 2" xfId="29700" xr:uid="{4D0A8DEB-D42E-4F9A-8FA1-362A1A0CA46D}"/>
    <cellStyle name="Comma 2 2 4 3 2 3 2 4" xfId="21028" xr:uid="{F21D95B7-D374-4843-81C1-C8452979DDAA}"/>
    <cellStyle name="Comma 2 2 4 3 2 3 3" xfId="5852" xr:uid="{0B955632-E562-4BC5-A010-026D51AEFD1B}"/>
    <cellStyle name="Comma 2 2 4 3 2 3 3 2" xfId="14524" xr:uid="{A9CB7113-262C-4CE6-A064-426A8B75F9F6}"/>
    <cellStyle name="Comma 2 2 4 3 2 3 3 2 2" xfId="31868" xr:uid="{63E7128E-17CF-4480-9260-F297AFDB70A9}"/>
    <cellStyle name="Comma 2 2 4 3 2 3 3 3" xfId="23196" xr:uid="{52EB12CC-CD48-418E-9219-4D957A41F8A2}"/>
    <cellStyle name="Comma 2 2 4 3 2 3 4" xfId="10188" xr:uid="{E4F22930-6AA8-451B-8C4B-19180FE0B247}"/>
    <cellStyle name="Comma 2 2 4 3 2 3 4 2" xfId="27532" xr:uid="{2FBE0905-797B-450D-BC3D-CDFC949280F2}"/>
    <cellStyle name="Comma 2 2 4 3 2 3 5" xfId="18860" xr:uid="{FF31FAAF-7091-4346-A2D9-AEBAEBF54954}"/>
    <cellStyle name="Comma 2 2 4 3 2 4" xfId="2600" xr:uid="{C5D81ACC-0F08-42F1-AA7E-7B172B0CCA65}"/>
    <cellStyle name="Comma 2 2 4 3 2 4 2" xfId="6936" xr:uid="{3CAC7EDF-0F3F-45C2-BAB7-CACB751FA274}"/>
    <cellStyle name="Comma 2 2 4 3 2 4 2 2" xfId="15608" xr:uid="{631444B5-1419-4353-86F9-AAD2A0C4BF99}"/>
    <cellStyle name="Comma 2 2 4 3 2 4 2 2 2" xfId="32952" xr:uid="{1A027815-14AA-416A-B1E6-410E0077FE8E}"/>
    <cellStyle name="Comma 2 2 4 3 2 4 2 3" xfId="24280" xr:uid="{6B29CDD4-73E5-4708-ABCA-BC70DA498DFB}"/>
    <cellStyle name="Comma 2 2 4 3 2 4 3" xfId="11272" xr:uid="{9353ACDB-27F2-44F2-9687-1C2BF6E05010}"/>
    <cellStyle name="Comma 2 2 4 3 2 4 3 2" xfId="28616" xr:uid="{54155AA7-126D-4515-8812-86E094A7E82C}"/>
    <cellStyle name="Comma 2 2 4 3 2 4 4" xfId="19944" xr:uid="{2873F981-3300-4D0A-BBCB-4B689C0981A0}"/>
    <cellStyle name="Comma 2 2 4 3 2 5" xfId="4768" xr:uid="{D21B441A-669E-412D-8003-685F02FF7FE9}"/>
    <cellStyle name="Comma 2 2 4 3 2 5 2" xfId="13440" xr:uid="{4CA44A7F-CE97-477E-8BDD-5C7541CF6300}"/>
    <cellStyle name="Comma 2 2 4 3 2 5 2 2" xfId="30784" xr:uid="{B46F2429-9B76-41C9-8A5D-2CA9D3C0F5C7}"/>
    <cellStyle name="Comma 2 2 4 3 2 5 3" xfId="22112" xr:uid="{49D30519-A4FD-41D5-B3EE-6AE799FF0C5B}"/>
    <cellStyle name="Comma 2 2 4 3 2 6" xfId="9104" xr:uid="{A062D87A-367C-4B7F-BE2F-1D05EDF41492}"/>
    <cellStyle name="Comma 2 2 4 3 2 6 2" xfId="26448" xr:uid="{325001DC-5D02-454F-9104-00419BBE1758}"/>
    <cellStyle name="Comma 2 2 4 3 2 7" xfId="17776" xr:uid="{36A26988-6FE9-4327-98F0-39D0ADBD7FCD}"/>
    <cellStyle name="Comma 2 2 4 3 3" xfId="703" xr:uid="{E986E1EA-5811-4C21-8F17-6BD9B9BCF0B7}"/>
    <cellStyle name="Comma 2 2 4 3 3 2" xfId="1787" xr:uid="{CEA026CD-FD5B-430C-96A2-52B9B8E92D11}"/>
    <cellStyle name="Comma 2 2 4 3 3 2 2" xfId="3955" xr:uid="{8EFC0625-5986-4FAD-BF9C-FE8FAD3B021B}"/>
    <cellStyle name="Comma 2 2 4 3 3 2 2 2" xfId="8291" xr:uid="{B5511F1D-2323-4331-9154-D1F3C0CA9682}"/>
    <cellStyle name="Comma 2 2 4 3 3 2 2 2 2" xfId="16963" xr:uid="{0DD8F63B-4004-4A06-8189-0F385102537A}"/>
    <cellStyle name="Comma 2 2 4 3 3 2 2 2 2 2" xfId="34307" xr:uid="{39D64545-6A0D-465C-9D3D-54AEE84C712D}"/>
    <cellStyle name="Comma 2 2 4 3 3 2 2 2 3" xfId="25635" xr:uid="{D6915B5F-5564-4561-B837-E5259D518887}"/>
    <cellStyle name="Comma 2 2 4 3 3 2 2 3" xfId="12627" xr:uid="{DE82DB02-D8E0-49BD-837E-12D539C61C14}"/>
    <cellStyle name="Comma 2 2 4 3 3 2 2 3 2" xfId="29971" xr:uid="{E120E51A-8683-4E0F-B3A9-986113F0A082}"/>
    <cellStyle name="Comma 2 2 4 3 3 2 2 4" xfId="21299" xr:uid="{2F878671-D4B4-4101-8FA9-76E45A2B5881}"/>
    <cellStyle name="Comma 2 2 4 3 3 2 3" xfId="6123" xr:uid="{812347B4-E725-4316-9AA4-EB5024274FB7}"/>
    <cellStyle name="Comma 2 2 4 3 3 2 3 2" xfId="14795" xr:uid="{59CDF342-59FB-4DAA-9681-82FEEE4D394B}"/>
    <cellStyle name="Comma 2 2 4 3 3 2 3 2 2" xfId="32139" xr:uid="{E5110BCA-8453-40FD-8AD4-9A481D376B4F}"/>
    <cellStyle name="Comma 2 2 4 3 3 2 3 3" xfId="23467" xr:uid="{627BD958-6675-4F4E-9570-CE35227F7B04}"/>
    <cellStyle name="Comma 2 2 4 3 3 2 4" xfId="10459" xr:uid="{AE1D02D1-08B8-4835-A9A9-62FC6631D2E0}"/>
    <cellStyle name="Comma 2 2 4 3 3 2 4 2" xfId="27803" xr:uid="{5D3C7364-C017-4EEC-A9BA-715CEE48D658}"/>
    <cellStyle name="Comma 2 2 4 3 3 2 5" xfId="19131" xr:uid="{1AC93C73-2069-4D25-861C-3B73C13DA4D6}"/>
    <cellStyle name="Comma 2 2 4 3 3 3" xfId="2871" xr:uid="{53E01726-26FD-4E5A-974D-BACC2956B818}"/>
    <cellStyle name="Comma 2 2 4 3 3 3 2" xfId="7207" xr:uid="{23760377-46F8-4583-A34C-9CF913D6322D}"/>
    <cellStyle name="Comma 2 2 4 3 3 3 2 2" xfId="15879" xr:uid="{2A955524-A347-44C9-8F71-CADA7BFE7CB9}"/>
    <cellStyle name="Comma 2 2 4 3 3 3 2 2 2" xfId="33223" xr:uid="{3C53FF86-6A87-484F-9AFA-CE32B945D583}"/>
    <cellStyle name="Comma 2 2 4 3 3 3 2 3" xfId="24551" xr:uid="{E166F399-A009-43B9-9757-731615750BC5}"/>
    <cellStyle name="Comma 2 2 4 3 3 3 3" xfId="11543" xr:uid="{5A0D7FE0-90B0-4E67-838E-1C2599EC4C21}"/>
    <cellStyle name="Comma 2 2 4 3 3 3 3 2" xfId="28887" xr:uid="{F053C7D4-AE2C-414F-8FD1-3FC5812592AC}"/>
    <cellStyle name="Comma 2 2 4 3 3 3 4" xfId="20215" xr:uid="{FA2E8FDE-60C5-43AF-8C4C-A3EDEC610830}"/>
    <cellStyle name="Comma 2 2 4 3 3 4" xfId="5039" xr:uid="{FB06A466-AE99-4BB8-8330-BAF5D57E691D}"/>
    <cellStyle name="Comma 2 2 4 3 3 4 2" xfId="13711" xr:uid="{B676EC90-D80C-4E43-8731-0CF81BDFDF2E}"/>
    <cellStyle name="Comma 2 2 4 3 3 4 2 2" xfId="31055" xr:uid="{CD0CD986-35A9-402B-8F77-9A75D39A3828}"/>
    <cellStyle name="Comma 2 2 4 3 3 4 3" xfId="22383" xr:uid="{10EE0CFC-4571-460A-8FB8-FDBB27CF726D}"/>
    <cellStyle name="Comma 2 2 4 3 3 5" xfId="9375" xr:uid="{E8BCD117-0454-4830-B771-654DA082B5A1}"/>
    <cellStyle name="Comma 2 2 4 3 3 5 2" xfId="26719" xr:uid="{644081AE-BAA1-47DF-A1BA-6A195AD7627D}"/>
    <cellStyle name="Comma 2 2 4 3 3 6" xfId="18047" xr:uid="{47FA9317-F992-4134-85AC-963884D25F57}"/>
    <cellStyle name="Comma 2 2 4 3 4" xfId="1246" xr:uid="{4BE262C2-B89A-4475-B3C4-BFED5C95F91D}"/>
    <cellStyle name="Comma 2 2 4 3 4 2" xfId="3414" xr:uid="{070A9049-4C3E-4C9A-8D9D-9396DD4A2091}"/>
    <cellStyle name="Comma 2 2 4 3 4 2 2" xfId="7750" xr:uid="{4F3F7B06-E629-4672-A47A-29E974E757BF}"/>
    <cellStyle name="Comma 2 2 4 3 4 2 2 2" xfId="16422" xr:uid="{023B5133-9930-422B-B4B4-7CA7D1D8F1F0}"/>
    <cellStyle name="Comma 2 2 4 3 4 2 2 2 2" xfId="33766" xr:uid="{4ABC6BFF-936C-49F9-BA32-6CB8E7027189}"/>
    <cellStyle name="Comma 2 2 4 3 4 2 2 3" xfId="25094" xr:uid="{6A0EAB41-99BE-40EA-A64E-22E9C7644CBA}"/>
    <cellStyle name="Comma 2 2 4 3 4 2 3" xfId="12086" xr:uid="{7199ABAB-544F-4DBA-ABF5-871B7D81CCA5}"/>
    <cellStyle name="Comma 2 2 4 3 4 2 3 2" xfId="29430" xr:uid="{D5EE19AF-D142-4D84-94B1-67C54436A060}"/>
    <cellStyle name="Comma 2 2 4 3 4 2 4" xfId="20758" xr:uid="{B535F445-A4E6-4C55-AC73-898448AC39B0}"/>
    <cellStyle name="Comma 2 2 4 3 4 3" xfId="5582" xr:uid="{6C351DDB-5BDE-43E1-8083-A3CEA4BB6D16}"/>
    <cellStyle name="Comma 2 2 4 3 4 3 2" xfId="14254" xr:uid="{EEAC46DC-3725-41C4-A142-329F574424CE}"/>
    <cellStyle name="Comma 2 2 4 3 4 3 2 2" xfId="31598" xr:uid="{645AC98B-F4F4-467B-8805-43B6455E853C}"/>
    <cellStyle name="Comma 2 2 4 3 4 3 3" xfId="22926" xr:uid="{83DFD35D-F0EC-4F7C-9644-5F45D021DF45}"/>
    <cellStyle name="Comma 2 2 4 3 4 4" xfId="9918" xr:uid="{8AA00BE1-A563-44CE-BFD2-372A53081952}"/>
    <cellStyle name="Comma 2 2 4 3 4 4 2" xfId="27262" xr:uid="{E0276832-B442-4BE9-BA66-348A7EB64C7E}"/>
    <cellStyle name="Comma 2 2 4 3 4 5" xfId="18590" xr:uid="{8C1D56DA-6F4F-443B-8EDB-032F205518E8}"/>
    <cellStyle name="Comma 2 2 4 3 5" xfId="2330" xr:uid="{BF7C5247-45FA-434D-801E-629E321740E4}"/>
    <cellStyle name="Comma 2 2 4 3 5 2" xfId="6666" xr:uid="{2E070644-1519-4BDE-804A-140725119DB7}"/>
    <cellStyle name="Comma 2 2 4 3 5 2 2" xfId="15338" xr:uid="{1739E7AA-256D-4859-AFE6-46C5537DC9C6}"/>
    <cellStyle name="Comma 2 2 4 3 5 2 2 2" xfId="32682" xr:uid="{D0F2AFC8-580F-44C4-8990-B616D9ADAB86}"/>
    <cellStyle name="Comma 2 2 4 3 5 2 3" xfId="24010" xr:uid="{9C81301C-8796-4980-9AD0-212D025171B7}"/>
    <cellStyle name="Comma 2 2 4 3 5 3" xfId="11002" xr:uid="{E8ED6390-5B77-40AE-B977-17C4C929235E}"/>
    <cellStyle name="Comma 2 2 4 3 5 3 2" xfId="28346" xr:uid="{53258352-B7F3-4FF3-A83E-D3895FFB6E55}"/>
    <cellStyle name="Comma 2 2 4 3 5 4" xfId="19674" xr:uid="{E5E9728B-CFB5-47B3-828D-5606E52D3D5F}"/>
    <cellStyle name="Comma 2 2 4 3 6" xfId="4498" xr:uid="{1C4509A5-DEB1-4E97-8972-AF7C3237FB1E}"/>
    <cellStyle name="Comma 2 2 4 3 6 2" xfId="13170" xr:uid="{1DB564EC-74E0-4905-A54D-A7A93219AB79}"/>
    <cellStyle name="Comma 2 2 4 3 6 2 2" xfId="30514" xr:uid="{80CBE3FE-E74C-4BFA-BB1D-90B8D7E72693}"/>
    <cellStyle name="Comma 2 2 4 3 6 3" xfId="21842" xr:uid="{C343CDAB-1F1D-4C4D-A749-BF741B847A1F}"/>
    <cellStyle name="Comma 2 2 4 3 7" xfId="8834" xr:uid="{2F04257A-7510-47F9-8E78-A4E0E475BC16}"/>
    <cellStyle name="Comma 2 2 4 3 7 2" xfId="26178" xr:uid="{388BD5E1-F1B0-4F6F-AB6D-1E6283B86127}"/>
    <cellStyle name="Comma 2 2 4 3 8" xfId="17506" xr:uid="{326CDC39-54A0-4CA2-8403-FE1D665920FC}"/>
    <cellStyle name="Comma 2 2 4 4" xfId="310" xr:uid="{BCC078CE-52F8-4B58-BD02-EFADA6A62EDB}"/>
    <cellStyle name="Comma 2 2 4 4 2" xfId="851" xr:uid="{FB054DCD-18B6-4167-99D6-4C0DF34948D2}"/>
    <cellStyle name="Comma 2 2 4 4 2 2" xfId="1935" xr:uid="{A0081F0C-486E-439C-AD00-D6A3A10D9D6E}"/>
    <cellStyle name="Comma 2 2 4 4 2 2 2" xfId="4103" xr:uid="{E3744079-F338-449D-8144-B6DED9BB3CA7}"/>
    <cellStyle name="Comma 2 2 4 4 2 2 2 2" xfId="8439" xr:uid="{B542D510-E119-4412-AC5E-23F89011B191}"/>
    <cellStyle name="Comma 2 2 4 4 2 2 2 2 2" xfId="17111" xr:uid="{EA170B6B-7F4B-43E3-A8D8-62EF73A7D9F0}"/>
    <cellStyle name="Comma 2 2 4 4 2 2 2 2 2 2" xfId="34455" xr:uid="{5DFA2845-69A0-49A5-BD7A-6E59D7A3C65F}"/>
    <cellStyle name="Comma 2 2 4 4 2 2 2 2 3" xfId="25783" xr:uid="{092E7654-7C7A-49B3-B16F-75B92A209FB6}"/>
    <cellStyle name="Comma 2 2 4 4 2 2 2 3" xfId="12775" xr:uid="{4FB05A91-204C-4F96-9E11-CF71081DC77A}"/>
    <cellStyle name="Comma 2 2 4 4 2 2 2 3 2" xfId="30119" xr:uid="{5D1D5B71-FDB0-4358-B71A-3D49ED06FB37}"/>
    <cellStyle name="Comma 2 2 4 4 2 2 2 4" xfId="21447" xr:uid="{34840144-4C04-40D7-BA85-0D4CD17121E8}"/>
    <cellStyle name="Comma 2 2 4 4 2 2 3" xfId="6271" xr:uid="{1EC0FD37-EE1B-441A-9756-ECB5E93A861F}"/>
    <cellStyle name="Comma 2 2 4 4 2 2 3 2" xfId="14943" xr:uid="{1EDAF0CB-E41A-4C7D-85FC-586C58ED3D11}"/>
    <cellStyle name="Comma 2 2 4 4 2 2 3 2 2" xfId="32287" xr:uid="{C84CF8BB-E4B4-46E1-B14A-8D56225DF6C0}"/>
    <cellStyle name="Comma 2 2 4 4 2 2 3 3" xfId="23615" xr:uid="{65836ADC-8F6B-4C5E-8A92-99AEE31B3F31}"/>
    <cellStyle name="Comma 2 2 4 4 2 2 4" xfId="10607" xr:uid="{A1C80C57-4502-4179-AC0D-E82E1429C2DC}"/>
    <cellStyle name="Comma 2 2 4 4 2 2 4 2" xfId="27951" xr:uid="{F0A4F6D1-B1F3-4086-8EDB-4FD2F139F7A4}"/>
    <cellStyle name="Comma 2 2 4 4 2 2 5" xfId="19279" xr:uid="{B9ACCF9A-DF1D-475A-8FB1-087AE77A806A}"/>
    <cellStyle name="Comma 2 2 4 4 2 3" xfId="3019" xr:uid="{0EDA1A61-6E4D-4E0A-BC69-2377FFAA620F}"/>
    <cellStyle name="Comma 2 2 4 4 2 3 2" xfId="7355" xr:uid="{AEF45332-C177-4429-A414-532B9679959B}"/>
    <cellStyle name="Comma 2 2 4 4 2 3 2 2" xfId="16027" xr:uid="{5FA5CEFF-373B-485C-BBCA-1B0ACF169136}"/>
    <cellStyle name="Comma 2 2 4 4 2 3 2 2 2" xfId="33371" xr:uid="{AFD7BD00-97C6-4866-8103-09DEDA174F29}"/>
    <cellStyle name="Comma 2 2 4 4 2 3 2 3" xfId="24699" xr:uid="{8EBBE7E6-2DF1-4497-A9E1-7A86FD00C9C2}"/>
    <cellStyle name="Comma 2 2 4 4 2 3 3" xfId="11691" xr:uid="{69EA278A-DB3A-4DC7-A2CC-C460CAAD4DAA}"/>
    <cellStyle name="Comma 2 2 4 4 2 3 3 2" xfId="29035" xr:uid="{FEE44874-8A1B-4BBD-827F-0C6FFB60DD83}"/>
    <cellStyle name="Comma 2 2 4 4 2 3 4" xfId="20363" xr:uid="{F26F4B3D-9354-4EF9-95D4-80B39D8ECAC0}"/>
    <cellStyle name="Comma 2 2 4 4 2 4" xfId="5187" xr:uid="{4E175958-C8BB-4778-810F-86D7C26A1D10}"/>
    <cellStyle name="Comma 2 2 4 4 2 4 2" xfId="13859" xr:uid="{815F1AF6-CD9D-465A-B603-0FCE52CD28CC}"/>
    <cellStyle name="Comma 2 2 4 4 2 4 2 2" xfId="31203" xr:uid="{4515BA3A-E493-47C0-B6E3-D33909761E2A}"/>
    <cellStyle name="Comma 2 2 4 4 2 4 3" xfId="22531" xr:uid="{DB82CCB7-6F35-4DC3-92D4-B91F7B926A6A}"/>
    <cellStyle name="Comma 2 2 4 4 2 5" xfId="9523" xr:uid="{9211A77B-3209-4771-AEE0-91C033CC35CE}"/>
    <cellStyle name="Comma 2 2 4 4 2 5 2" xfId="26867" xr:uid="{B0C31866-FE9E-4F96-B9E5-54EC8BA69D7C}"/>
    <cellStyle name="Comma 2 2 4 4 2 6" xfId="18195" xr:uid="{97BB9DFA-E53F-4F9D-B1ED-0A1151D7D25F}"/>
    <cellStyle name="Comma 2 2 4 4 3" xfId="1394" xr:uid="{8E6B0AF8-D719-4608-A4E2-2DA846A8A29D}"/>
    <cellStyle name="Comma 2 2 4 4 3 2" xfId="3562" xr:uid="{6DB1656F-90CA-4856-AA49-B8F578BB30F4}"/>
    <cellStyle name="Comma 2 2 4 4 3 2 2" xfId="7898" xr:uid="{6C8D5D51-1931-4F9D-ACEF-3FB0EF51384A}"/>
    <cellStyle name="Comma 2 2 4 4 3 2 2 2" xfId="16570" xr:uid="{1DBACC42-9C96-4A70-A064-1C4B5558D1CA}"/>
    <cellStyle name="Comma 2 2 4 4 3 2 2 2 2" xfId="33914" xr:uid="{0497C4D4-86E1-4881-A4EA-62DC8220A8AA}"/>
    <cellStyle name="Comma 2 2 4 4 3 2 2 3" xfId="25242" xr:uid="{F0FC3A11-A9C7-4E63-88FD-67584CF3E6B7}"/>
    <cellStyle name="Comma 2 2 4 4 3 2 3" xfId="12234" xr:uid="{10ABF1F1-DE0B-41BF-8FB6-FA23B116008B}"/>
    <cellStyle name="Comma 2 2 4 4 3 2 3 2" xfId="29578" xr:uid="{80F89AA1-9B37-48D7-9AE9-0F3C0B026D0F}"/>
    <cellStyle name="Comma 2 2 4 4 3 2 4" xfId="20906" xr:uid="{98F158FA-F6B3-4097-AC65-56E6DE28E3F1}"/>
    <cellStyle name="Comma 2 2 4 4 3 3" xfId="5730" xr:uid="{398F9DC5-404C-411A-974E-25FACF861232}"/>
    <cellStyle name="Comma 2 2 4 4 3 3 2" xfId="14402" xr:uid="{F1EE55F2-0689-440F-97E0-E933D9C448CE}"/>
    <cellStyle name="Comma 2 2 4 4 3 3 2 2" xfId="31746" xr:uid="{2D1A24CE-4B32-46D3-8293-C1C4EC3ED6A7}"/>
    <cellStyle name="Comma 2 2 4 4 3 3 3" xfId="23074" xr:uid="{5ABCC0E3-2D48-4710-8B65-C37264A74FE7}"/>
    <cellStyle name="Comma 2 2 4 4 3 4" xfId="10066" xr:uid="{DEFC0560-373D-4F96-B60A-81A3D8B9D9AC}"/>
    <cellStyle name="Comma 2 2 4 4 3 4 2" xfId="27410" xr:uid="{BA0B4190-29DB-4F7A-849B-95A9DAB91136}"/>
    <cellStyle name="Comma 2 2 4 4 3 5" xfId="18738" xr:uid="{07096821-BB16-4194-91F1-14C6E3B027B0}"/>
    <cellStyle name="Comma 2 2 4 4 4" xfId="2478" xr:uid="{4317BFDA-97CF-432F-BA9B-B730DC522153}"/>
    <cellStyle name="Comma 2 2 4 4 4 2" xfId="6814" xr:uid="{48573923-48E1-4052-A770-16E887EDBDD3}"/>
    <cellStyle name="Comma 2 2 4 4 4 2 2" xfId="15486" xr:uid="{C0508766-CE06-446F-AA41-7CAFCD68F101}"/>
    <cellStyle name="Comma 2 2 4 4 4 2 2 2" xfId="32830" xr:uid="{A1D9EADC-EB30-4E60-AFEF-52D217C1EC14}"/>
    <cellStyle name="Comma 2 2 4 4 4 2 3" xfId="24158" xr:uid="{7DC0F7AA-9CF9-4B55-9051-93635F82D68F}"/>
    <cellStyle name="Comma 2 2 4 4 4 3" xfId="11150" xr:uid="{FA37F432-1EFA-4210-8D81-00D3BB5D3CC0}"/>
    <cellStyle name="Comma 2 2 4 4 4 3 2" xfId="28494" xr:uid="{9F188173-2F5E-4BAB-AFA2-F66901B85940}"/>
    <cellStyle name="Comma 2 2 4 4 4 4" xfId="19822" xr:uid="{6CF42D4B-6181-4667-851B-87196056553C}"/>
    <cellStyle name="Comma 2 2 4 4 5" xfId="4646" xr:uid="{3BAFD827-33DC-4F50-9761-E5D55039DB33}"/>
    <cellStyle name="Comma 2 2 4 4 5 2" xfId="13318" xr:uid="{CB49F194-C78B-4F9D-BDD1-A84D0F362027}"/>
    <cellStyle name="Comma 2 2 4 4 5 2 2" xfId="30662" xr:uid="{6AB2C605-2F9A-4033-9D82-53AD7E3D8C1D}"/>
    <cellStyle name="Comma 2 2 4 4 5 3" xfId="21990" xr:uid="{A1900386-FBD6-49CB-A15C-A6940DAA6465}"/>
    <cellStyle name="Comma 2 2 4 4 6" xfId="8982" xr:uid="{3F6CB33F-1D7C-4B89-916D-B32F5C81A270}"/>
    <cellStyle name="Comma 2 2 4 4 6 2" xfId="26326" xr:uid="{532D0D24-7704-4408-A768-53640C26AC6C}"/>
    <cellStyle name="Comma 2 2 4 4 7" xfId="17654" xr:uid="{A7DDA1D6-0CBE-4E53-B46B-BDF6B22BDB1E}"/>
    <cellStyle name="Comma 2 2 4 5" xfId="581" xr:uid="{96D105E3-A070-4BF2-AD14-7BFA503BF919}"/>
    <cellStyle name="Comma 2 2 4 5 2" xfId="1665" xr:uid="{70AA6866-B622-431D-A081-F2F4F703DF1F}"/>
    <cellStyle name="Comma 2 2 4 5 2 2" xfId="3833" xr:uid="{57940030-3951-48DC-AFC7-077E6CF7AE60}"/>
    <cellStyle name="Comma 2 2 4 5 2 2 2" xfId="8169" xr:uid="{9776AEDA-FADF-47E8-9036-F215540A922F}"/>
    <cellStyle name="Comma 2 2 4 5 2 2 2 2" xfId="16841" xr:uid="{DC24AB31-7A93-47C2-9DEA-B8E637E8DECB}"/>
    <cellStyle name="Comma 2 2 4 5 2 2 2 2 2" xfId="34185" xr:uid="{1F4D511F-34D8-4B04-B42B-DD9693CD1A8E}"/>
    <cellStyle name="Comma 2 2 4 5 2 2 2 3" xfId="25513" xr:uid="{0AE3AABC-443B-48E6-9421-4CB9449B3FA7}"/>
    <cellStyle name="Comma 2 2 4 5 2 2 3" xfId="12505" xr:uid="{1B663C0F-D466-4E93-AD9F-43722094F185}"/>
    <cellStyle name="Comma 2 2 4 5 2 2 3 2" xfId="29849" xr:uid="{D8D8095E-A9CF-405D-83C8-3256F524C282}"/>
    <cellStyle name="Comma 2 2 4 5 2 2 4" xfId="21177" xr:uid="{793FD103-5322-4C2E-A5A7-F210C2FA021A}"/>
    <cellStyle name="Comma 2 2 4 5 2 3" xfId="6001" xr:uid="{42C9BABC-7AF3-4E67-85F6-61639533C51F}"/>
    <cellStyle name="Comma 2 2 4 5 2 3 2" xfId="14673" xr:uid="{3A83044D-3C6A-4245-9881-EDD796DAADE5}"/>
    <cellStyle name="Comma 2 2 4 5 2 3 2 2" xfId="32017" xr:uid="{5FA298AB-5A19-4301-9C78-19CA9C1647D6}"/>
    <cellStyle name="Comma 2 2 4 5 2 3 3" xfId="23345" xr:uid="{23680E07-6239-4784-AF9C-9862FE6BD6DA}"/>
    <cellStyle name="Comma 2 2 4 5 2 4" xfId="10337" xr:uid="{866D33D5-75CA-4897-9881-C064F6C9D524}"/>
    <cellStyle name="Comma 2 2 4 5 2 4 2" xfId="27681" xr:uid="{B9A64C34-DC28-48F8-B2FD-3221010CE16A}"/>
    <cellStyle name="Comma 2 2 4 5 2 5" xfId="19009" xr:uid="{E0773E3E-2823-4C07-9AA6-F9DA0838C6FD}"/>
    <cellStyle name="Comma 2 2 4 5 3" xfId="2749" xr:uid="{7CC87ED0-C024-42C0-99F9-F225CDCFAD07}"/>
    <cellStyle name="Comma 2 2 4 5 3 2" xfId="7085" xr:uid="{24E12B1F-3DD8-4812-8616-3AB66359E5D7}"/>
    <cellStyle name="Comma 2 2 4 5 3 2 2" xfId="15757" xr:uid="{7DD66172-F7F8-4411-9F94-A9CF7A9729BE}"/>
    <cellStyle name="Comma 2 2 4 5 3 2 2 2" xfId="33101" xr:uid="{EC5D5FAD-6014-4DBC-BBC1-C24E11070760}"/>
    <cellStyle name="Comma 2 2 4 5 3 2 3" xfId="24429" xr:uid="{45BA12AC-657E-46F6-9713-47BF71680F6F}"/>
    <cellStyle name="Comma 2 2 4 5 3 3" xfId="11421" xr:uid="{92EADEC8-EEF5-4878-9FF9-72F2FA1A67DD}"/>
    <cellStyle name="Comma 2 2 4 5 3 3 2" xfId="28765" xr:uid="{F3D5BC35-59F0-4438-9AA0-898412604345}"/>
    <cellStyle name="Comma 2 2 4 5 3 4" xfId="20093" xr:uid="{B09854C9-C0CF-477E-B267-6A5078136E3E}"/>
    <cellStyle name="Comma 2 2 4 5 4" xfId="4917" xr:uid="{274A620C-29E1-480D-9574-2931DBF86615}"/>
    <cellStyle name="Comma 2 2 4 5 4 2" xfId="13589" xr:uid="{D86C86CD-A371-405B-860D-9EAAD965A2F6}"/>
    <cellStyle name="Comma 2 2 4 5 4 2 2" xfId="30933" xr:uid="{0FA6C707-8839-4564-8970-9A28650A6177}"/>
    <cellStyle name="Comma 2 2 4 5 4 3" xfId="22261" xr:uid="{6A24748C-AECA-4C97-83D2-E9F61DE29A37}"/>
    <cellStyle name="Comma 2 2 4 5 5" xfId="9253" xr:uid="{0D91D7C4-2439-4521-BE6E-14E0FC7887EF}"/>
    <cellStyle name="Comma 2 2 4 5 5 2" xfId="26597" xr:uid="{32FF3377-3FBA-4A42-9ACD-32539A1793DF}"/>
    <cellStyle name="Comma 2 2 4 5 6" xfId="17925" xr:uid="{EC35A600-9AF5-4445-8C0A-16BB296BDEB7}"/>
    <cellStyle name="Comma 2 2 4 6" xfId="1124" xr:uid="{F3DC6E71-CF3A-4923-BBB8-CB94CA6BE161}"/>
    <cellStyle name="Comma 2 2 4 6 2" xfId="3292" xr:uid="{00E5C35D-131F-44D1-93F8-30B2751BC72C}"/>
    <cellStyle name="Comma 2 2 4 6 2 2" xfId="7628" xr:uid="{FA1DB4FE-ACFE-4E41-AF35-C8E2D9DE8F86}"/>
    <cellStyle name="Comma 2 2 4 6 2 2 2" xfId="16300" xr:uid="{562864AA-EAD1-4433-AB22-A9B6A3A787CE}"/>
    <cellStyle name="Comma 2 2 4 6 2 2 2 2" xfId="33644" xr:uid="{7B71897B-8B12-485C-B1D1-18E288EAF9FE}"/>
    <cellStyle name="Comma 2 2 4 6 2 2 3" xfId="24972" xr:uid="{DE492469-DD4D-4FAF-AEDD-D2D80DF3B15B}"/>
    <cellStyle name="Comma 2 2 4 6 2 3" xfId="11964" xr:uid="{4C227A1A-94F6-4850-9117-A7DBA9A9A380}"/>
    <cellStyle name="Comma 2 2 4 6 2 3 2" xfId="29308" xr:uid="{494B20FA-38F5-4625-98C4-E92259D7EE30}"/>
    <cellStyle name="Comma 2 2 4 6 2 4" xfId="20636" xr:uid="{E2A0CA27-9964-44CB-8E0C-BAC83F10EF8B}"/>
    <cellStyle name="Comma 2 2 4 6 3" xfId="5460" xr:uid="{FBA0E5A5-4DDD-4D08-8BDF-48AD64A6548E}"/>
    <cellStyle name="Comma 2 2 4 6 3 2" xfId="14132" xr:uid="{F8D14A2A-CE57-49DF-8A7D-4BC5D500BDBC}"/>
    <cellStyle name="Comma 2 2 4 6 3 2 2" xfId="31476" xr:uid="{83BF22EE-E586-4049-AD23-1E676CA65AC8}"/>
    <cellStyle name="Comma 2 2 4 6 3 3" xfId="22804" xr:uid="{B1888BE8-4CC4-49C3-99EF-29EA778AA577}"/>
    <cellStyle name="Comma 2 2 4 6 4" xfId="9796" xr:uid="{A96F8157-FB92-4C08-80C8-5186D599B758}"/>
    <cellStyle name="Comma 2 2 4 6 4 2" xfId="27140" xr:uid="{084F8D38-7230-4F33-9DD2-5C00A603F49C}"/>
    <cellStyle name="Comma 2 2 4 6 5" xfId="18468" xr:uid="{C387DF9E-A3EF-4D4E-8F1F-0415F0DAF292}"/>
    <cellStyle name="Comma 2 2 4 7" xfId="2208" xr:uid="{01FC67E0-F8ED-4403-920B-A95F3EB57D50}"/>
    <cellStyle name="Comma 2 2 4 7 2" xfId="6544" xr:uid="{D9BDADEE-B318-4C3D-A139-063D8E5DF4C3}"/>
    <cellStyle name="Comma 2 2 4 7 2 2" xfId="15216" xr:uid="{F4116DD0-06F2-49D9-BF45-ABC1813EFEA0}"/>
    <cellStyle name="Comma 2 2 4 7 2 2 2" xfId="32560" xr:uid="{C9E978FA-751A-4D02-959D-B8A9E2BFBC90}"/>
    <cellStyle name="Comma 2 2 4 7 2 3" xfId="23888" xr:uid="{0F4AD417-ACFA-445C-9A26-688994CD5766}"/>
    <cellStyle name="Comma 2 2 4 7 3" xfId="10880" xr:uid="{FAA854C6-7FFB-45F3-BFF9-2E8FD49E46E7}"/>
    <cellStyle name="Comma 2 2 4 7 3 2" xfId="28224" xr:uid="{61F38C97-357C-4EC5-806E-A1FED8639D43}"/>
    <cellStyle name="Comma 2 2 4 7 4" xfId="19552" xr:uid="{EA783990-23F4-48C8-9FDE-BB985CC4C647}"/>
    <cellStyle name="Comma 2 2 4 8" xfId="4376" xr:uid="{5F8ECF8F-0C49-4954-B6F5-19ADF6AE6A4F}"/>
    <cellStyle name="Comma 2 2 4 8 2" xfId="13048" xr:uid="{70A5B08E-A518-401D-84F1-AC11530D996A}"/>
    <cellStyle name="Comma 2 2 4 8 2 2" xfId="30392" xr:uid="{DA131D41-AA6F-43E4-A79F-E6FE4D9E4A22}"/>
    <cellStyle name="Comma 2 2 4 8 3" xfId="21720" xr:uid="{5405E836-F0F7-46C0-8730-DD23EFD705A7}"/>
    <cellStyle name="Comma 2 2 4 9" xfId="8712" xr:uid="{3A44860F-38FF-436E-9ABE-F23D6DE7FC7E}"/>
    <cellStyle name="Comma 2 2 4 9 2" xfId="26056" xr:uid="{2C64E03D-2D34-4E96-B9AA-08FDF8C5FB1B}"/>
    <cellStyle name="Comma 2 2 5" xfId="48" xr:uid="{CE284CC6-3776-47DB-972D-03A97E3CBB53}"/>
    <cellStyle name="Comma 2 2 5 10" xfId="17392" xr:uid="{433052A4-3248-4F0D-9ED1-6C49A43EDCCB}"/>
    <cellStyle name="Comma 2 2 5 2" xfId="109" xr:uid="{8E2341A5-AA8B-429F-BF48-138AA77A6B38}"/>
    <cellStyle name="Comma 2 2 5 2 2" xfId="231" xr:uid="{D8CB0482-F446-45E9-9070-3DF1A87155C1}"/>
    <cellStyle name="Comma 2 2 5 2 2 2" xfId="501" xr:uid="{5091A5ED-4DBF-45DB-8060-531447ED3ECD}"/>
    <cellStyle name="Comma 2 2 5 2 2 2 2" xfId="1042" xr:uid="{576F950F-25FA-4646-A79C-1E4494D8C29E}"/>
    <cellStyle name="Comma 2 2 5 2 2 2 2 2" xfId="2126" xr:uid="{8D6D681C-2BF6-41DD-A5B6-DC364DE33DA7}"/>
    <cellStyle name="Comma 2 2 5 2 2 2 2 2 2" xfId="4294" xr:uid="{B3B490E1-4B76-4EA5-957B-BA0BD9EF8408}"/>
    <cellStyle name="Comma 2 2 5 2 2 2 2 2 2 2" xfId="8630" xr:uid="{683A3418-4E53-4C80-BE00-2DC932A86253}"/>
    <cellStyle name="Comma 2 2 5 2 2 2 2 2 2 2 2" xfId="17302" xr:uid="{7D11A160-02EF-479D-9831-D38FB4E4B5FA}"/>
    <cellStyle name="Comma 2 2 5 2 2 2 2 2 2 2 2 2" xfId="34646" xr:uid="{1B850324-F841-46E8-826D-6A1F90B53411}"/>
    <cellStyle name="Comma 2 2 5 2 2 2 2 2 2 2 3" xfId="25974" xr:uid="{2ADCB09A-F91D-4681-8BFA-84DB857E69FC}"/>
    <cellStyle name="Comma 2 2 5 2 2 2 2 2 2 3" xfId="12966" xr:uid="{366CC0AB-064E-471A-AB1D-A1942A41FBB7}"/>
    <cellStyle name="Comma 2 2 5 2 2 2 2 2 2 3 2" xfId="30310" xr:uid="{6E108AD1-4684-439A-8EA3-2FC86ED2CC04}"/>
    <cellStyle name="Comma 2 2 5 2 2 2 2 2 2 4" xfId="21638" xr:uid="{9AD3523E-BFFC-4AD9-A3FC-5ACB892D2987}"/>
    <cellStyle name="Comma 2 2 5 2 2 2 2 2 3" xfId="6462" xr:uid="{031F834B-F851-4BAB-BF2D-1C79C17DD350}"/>
    <cellStyle name="Comma 2 2 5 2 2 2 2 2 3 2" xfId="15134" xr:uid="{F6881AB6-DBF4-43BD-B2B7-E1ACF0CA0378}"/>
    <cellStyle name="Comma 2 2 5 2 2 2 2 2 3 2 2" xfId="32478" xr:uid="{A452359F-BDE2-4AE3-ACEF-2909B6AE4D41}"/>
    <cellStyle name="Comma 2 2 5 2 2 2 2 2 3 3" xfId="23806" xr:uid="{B72AA872-9922-4094-B838-46DBD605D8FF}"/>
    <cellStyle name="Comma 2 2 5 2 2 2 2 2 4" xfId="10798" xr:uid="{D1D80F6C-44AC-457F-BD5B-D3D37A4693C8}"/>
    <cellStyle name="Comma 2 2 5 2 2 2 2 2 4 2" xfId="28142" xr:uid="{FACA9E1D-05B0-4BB3-AC89-F7E63FCFFEBE}"/>
    <cellStyle name="Comma 2 2 5 2 2 2 2 2 5" xfId="19470" xr:uid="{DBF9A6DE-2013-4E81-BE10-4A22FD14E7C9}"/>
    <cellStyle name="Comma 2 2 5 2 2 2 2 3" xfId="3210" xr:uid="{4C0C7ED0-6A3D-41DC-BD19-611941FFF36B}"/>
    <cellStyle name="Comma 2 2 5 2 2 2 2 3 2" xfId="7546" xr:uid="{B7FF06EA-53F6-410A-9828-8937FF5B6C13}"/>
    <cellStyle name="Comma 2 2 5 2 2 2 2 3 2 2" xfId="16218" xr:uid="{A586C123-7701-499E-B323-B0C0F15D68FD}"/>
    <cellStyle name="Comma 2 2 5 2 2 2 2 3 2 2 2" xfId="33562" xr:uid="{EE89BD35-2ADF-40D0-9F64-2E25ADDBD981}"/>
    <cellStyle name="Comma 2 2 5 2 2 2 2 3 2 3" xfId="24890" xr:uid="{314C63FE-7208-4A15-A5D7-6CB4FC08153E}"/>
    <cellStyle name="Comma 2 2 5 2 2 2 2 3 3" xfId="11882" xr:uid="{624D55C8-D6CF-4AE5-B7B5-CE066EE6B383}"/>
    <cellStyle name="Comma 2 2 5 2 2 2 2 3 3 2" xfId="29226" xr:uid="{BE1CEDF7-BA14-4A0D-9D2A-1A117F2B06EE}"/>
    <cellStyle name="Comma 2 2 5 2 2 2 2 3 4" xfId="20554" xr:uid="{97D5A3D6-E179-4657-8C48-A15C6CB5A153}"/>
    <cellStyle name="Comma 2 2 5 2 2 2 2 4" xfId="5378" xr:uid="{2701524B-68B7-46F9-A94C-A31A5468184E}"/>
    <cellStyle name="Comma 2 2 5 2 2 2 2 4 2" xfId="14050" xr:uid="{9317334F-5B2F-462B-A5F5-76D9B198F033}"/>
    <cellStyle name="Comma 2 2 5 2 2 2 2 4 2 2" xfId="31394" xr:uid="{50FFECF0-DC00-4AF1-8A64-A5E0347E6AFA}"/>
    <cellStyle name="Comma 2 2 5 2 2 2 2 4 3" xfId="22722" xr:uid="{A091B7C7-7D02-40F8-9934-A6A12939E8B5}"/>
    <cellStyle name="Comma 2 2 5 2 2 2 2 5" xfId="9714" xr:uid="{E12F310E-5E84-4AA8-9236-0933065C5148}"/>
    <cellStyle name="Comma 2 2 5 2 2 2 2 5 2" xfId="27058" xr:uid="{1BC38A9D-56E9-44F9-A869-722901FC27C3}"/>
    <cellStyle name="Comma 2 2 5 2 2 2 2 6" xfId="18386" xr:uid="{FCB1C201-B84E-4B63-B1BB-3CF0143DC6C7}"/>
    <cellStyle name="Comma 2 2 5 2 2 2 3" xfId="1585" xr:uid="{84B68348-60B9-4B18-A45D-25DB25C8D475}"/>
    <cellStyle name="Comma 2 2 5 2 2 2 3 2" xfId="3753" xr:uid="{4728AA50-5FAC-44A5-BF99-A9102ADE808C}"/>
    <cellStyle name="Comma 2 2 5 2 2 2 3 2 2" xfId="8089" xr:uid="{651CA9C6-962C-4A5E-96F4-F97F9F4BDF70}"/>
    <cellStyle name="Comma 2 2 5 2 2 2 3 2 2 2" xfId="16761" xr:uid="{8257DC57-2A02-496E-9CEC-C133A190ED34}"/>
    <cellStyle name="Comma 2 2 5 2 2 2 3 2 2 2 2" xfId="34105" xr:uid="{D593F32A-1206-41F4-9268-BF2E07BEC60E}"/>
    <cellStyle name="Comma 2 2 5 2 2 2 3 2 2 3" xfId="25433" xr:uid="{D2F82A7F-AA33-4351-9445-31AD1178D917}"/>
    <cellStyle name="Comma 2 2 5 2 2 2 3 2 3" xfId="12425" xr:uid="{15845783-7AAF-4E6D-A261-9BC037811DDD}"/>
    <cellStyle name="Comma 2 2 5 2 2 2 3 2 3 2" xfId="29769" xr:uid="{A1D67D7A-4FE1-4665-B48E-D986A720CC0F}"/>
    <cellStyle name="Comma 2 2 5 2 2 2 3 2 4" xfId="21097" xr:uid="{A2556D96-ABC4-4A9B-81DF-F309066AE02F}"/>
    <cellStyle name="Comma 2 2 5 2 2 2 3 3" xfId="5921" xr:uid="{F1560BF4-BE89-4DC9-9508-BB823B763077}"/>
    <cellStyle name="Comma 2 2 5 2 2 2 3 3 2" xfId="14593" xr:uid="{01865FDD-D9E5-4CAF-9523-2D6A74F39EDA}"/>
    <cellStyle name="Comma 2 2 5 2 2 2 3 3 2 2" xfId="31937" xr:uid="{D1C65862-1B53-4CBF-B182-CA6A20B3C278}"/>
    <cellStyle name="Comma 2 2 5 2 2 2 3 3 3" xfId="23265" xr:uid="{8CE62DCB-8657-41A6-A943-FFDEE46E3B74}"/>
    <cellStyle name="Comma 2 2 5 2 2 2 3 4" xfId="10257" xr:uid="{1213B580-C668-4000-8E38-6F4A8B58CAD2}"/>
    <cellStyle name="Comma 2 2 5 2 2 2 3 4 2" xfId="27601" xr:uid="{8408A66F-ECC5-4E96-B7C2-CA0627F65D70}"/>
    <cellStyle name="Comma 2 2 5 2 2 2 3 5" xfId="18929" xr:uid="{8A18B3D4-CBC5-4F4A-9D06-F208108D0B20}"/>
    <cellStyle name="Comma 2 2 5 2 2 2 4" xfId="2669" xr:uid="{88B0BE57-7493-4B56-BBEE-BEDB258F4344}"/>
    <cellStyle name="Comma 2 2 5 2 2 2 4 2" xfId="7005" xr:uid="{1E7FDC7C-E150-4472-A2B0-C0BC2A9ED479}"/>
    <cellStyle name="Comma 2 2 5 2 2 2 4 2 2" xfId="15677" xr:uid="{6B281B88-D2B0-4E21-9260-D7F4021BA88D}"/>
    <cellStyle name="Comma 2 2 5 2 2 2 4 2 2 2" xfId="33021" xr:uid="{6A1940A5-2297-4145-8583-93D3A2420FD4}"/>
    <cellStyle name="Comma 2 2 5 2 2 2 4 2 3" xfId="24349" xr:uid="{EA21CBB9-2F3F-444E-B436-7F0CEA714EEC}"/>
    <cellStyle name="Comma 2 2 5 2 2 2 4 3" xfId="11341" xr:uid="{BF1E1B92-B545-4FB5-A1CF-88295F91B075}"/>
    <cellStyle name="Comma 2 2 5 2 2 2 4 3 2" xfId="28685" xr:uid="{7276F886-1220-4CC5-BA4E-F904E45414F0}"/>
    <cellStyle name="Comma 2 2 5 2 2 2 4 4" xfId="20013" xr:uid="{B8FA276F-9139-4B58-B62A-44EA5B3B15D8}"/>
    <cellStyle name="Comma 2 2 5 2 2 2 5" xfId="4837" xr:uid="{BE199640-F48D-4B87-97F8-881E25D261EF}"/>
    <cellStyle name="Comma 2 2 5 2 2 2 5 2" xfId="13509" xr:uid="{3A2663C9-C889-411E-9D8A-233179E83A09}"/>
    <cellStyle name="Comma 2 2 5 2 2 2 5 2 2" xfId="30853" xr:uid="{068ABBE3-F583-4429-98AF-C5B8640BFC87}"/>
    <cellStyle name="Comma 2 2 5 2 2 2 5 3" xfId="22181" xr:uid="{2C0CEF7E-51F0-486D-B1A9-656D8B449948}"/>
    <cellStyle name="Comma 2 2 5 2 2 2 6" xfId="9173" xr:uid="{F6FF0ECC-C356-443D-810C-C1BB6FD9B622}"/>
    <cellStyle name="Comma 2 2 5 2 2 2 6 2" xfId="26517" xr:uid="{9A099B11-FEBD-4229-B698-DB7DF87B6CE6}"/>
    <cellStyle name="Comma 2 2 5 2 2 2 7" xfId="17845" xr:uid="{18912148-0AF3-45FD-93F6-308EDE1D890A}"/>
    <cellStyle name="Comma 2 2 5 2 2 3" xfId="772" xr:uid="{036DF8C1-D002-4C6F-B4AE-A085D3599F82}"/>
    <cellStyle name="Comma 2 2 5 2 2 3 2" xfId="1856" xr:uid="{27ABE56D-8269-4C65-ABF5-C8BD6D906594}"/>
    <cellStyle name="Comma 2 2 5 2 2 3 2 2" xfId="4024" xr:uid="{36B46B60-4E92-416E-BA84-E5D3360F2205}"/>
    <cellStyle name="Comma 2 2 5 2 2 3 2 2 2" xfId="8360" xr:uid="{E622BA45-8AFE-4713-8BD8-646DD1B001C8}"/>
    <cellStyle name="Comma 2 2 5 2 2 3 2 2 2 2" xfId="17032" xr:uid="{F3466C04-FE48-46A1-A314-094D7A87A0AC}"/>
    <cellStyle name="Comma 2 2 5 2 2 3 2 2 2 2 2" xfId="34376" xr:uid="{423AF73B-11C8-4129-9DB4-FBED171BF313}"/>
    <cellStyle name="Comma 2 2 5 2 2 3 2 2 2 3" xfId="25704" xr:uid="{89E146D3-E9FB-428B-A193-501AD2803237}"/>
    <cellStyle name="Comma 2 2 5 2 2 3 2 2 3" xfId="12696" xr:uid="{99925A40-8E9E-4ACA-849C-BDB88B4C89F6}"/>
    <cellStyle name="Comma 2 2 5 2 2 3 2 2 3 2" xfId="30040" xr:uid="{0F05668A-87C0-4A75-A9B4-6A0F3C8C2467}"/>
    <cellStyle name="Comma 2 2 5 2 2 3 2 2 4" xfId="21368" xr:uid="{E104F275-BF5C-4646-A72C-6632CE6F253C}"/>
    <cellStyle name="Comma 2 2 5 2 2 3 2 3" xfId="6192" xr:uid="{B6BF9208-DAA0-47CC-BC85-84EB750147F6}"/>
    <cellStyle name="Comma 2 2 5 2 2 3 2 3 2" xfId="14864" xr:uid="{0ABF5D1C-78EB-43DA-B5BF-2697F8FC7F11}"/>
    <cellStyle name="Comma 2 2 5 2 2 3 2 3 2 2" xfId="32208" xr:uid="{703543F5-F0AC-4656-AF43-CE76DACE9E8F}"/>
    <cellStyle name="Comma 2 2 5 2 2 3 2 3 3" xfId="23536" xr:uid="{DB6A18AC-2FFF-489A-BF89-A87C0B36D73E}"/>
    <cellStyle name="Comma 2 2 5 2 2 3 2 4" xfId="10528" xr:uid="{FB498F11-3EAE-44BA-BFA9-45D94933D8CE}"/>
    <cellStyle name="Comma 2 2 5 2 2 3 2 4 2" xfId="27872" xr:uid="{C05565F2-4ECA-41FC-AB44-4A0AD1BB06B2}"/>
    <cellStyle name="Comma 2 2 5 2 2 3 2 5" xfId="19200" xr:uid="{E98185C3-19A0-4904-ADAD-91DF5296CF54}"/>
    <cellStyle name="Comma 2 2 5 2 2 3 3" xfId="2940" xr:uid="{1FD0C028-D169-4D28-87BB-0D2E859598E6}"/>
    <cellStyle name="Comma 2 2 5 2 2 3 3 2" xfId="7276" xr:uid="{30F41449-1FA0-48E6-B980-943760A866A0}"/>
    <cellStyle name="Comma 2 2 5 2 2 3 3 2 2" xfId="15948" xr:uid="{90C5BC07-6393-438C-8485-A0B667A0E990}"/>
    <cellStyle name="Comma 2 2 5 2 2 3 3 2 2 2" xfId="33292" xr:uid="{87CBA683-F109-468E-A2C5-F8866CBCF40B}"/>
    <cellStyle name="Comma 2 2 5 2 2 3 3 2 3" xfId="24620" xr:uid="{9DAA58AF-AC2F-442A-BB18-7D4C8772FA9C}"/>
    <cellStyle name="Comma 2 2 5 2 2 3 3 3" xfId="11612" xr:uid="{C9C7CDB7-67F5-40F5-AE3F-AE31FE37858E}"/>
    <cellStyle name="Comma 2 2 5 2 2 3 3 3 2" xfId="28956" xr:uid="{98604E12-AF5C-421E-A4B4-98AE968865D2}"/>
    <cellStyle name="Comma 2 2 5 2 2 3 3 4" xfId="20284" xr:uid="{9147EC5D-8C69-4020-8076-7CE89DDA2F29}"/>
    <cellStyle name="Comma 2 2 5 2 2 3 4" xfId="5108" xr:uid="{746AFA95-54AE-44D7-BA61-C4EF98F57FF0}"/>
    <cellStyle name="Comma 2 2 5 2 2 3 4 2" xfId="13780" xr:uid="{E1279553-DDA1-4387-B174-2A0D8F59EA40}"/>
    <cellStyle name="Comma 2 2 5 2 2 3 4 2 2" xfId="31124" xr:uid="{10055C0B-3FFC-4616-9939-9C03E189D27A}"/>
    <cellStyle name="Comma 2 2 5 2 2 3 4 3" xfId="22452" xr:uid="{F05118F7-BF07-4C1F-8781-CEF3FF90C641}"/>
    <cellStyle name="Comma 2 2 5 2 2 3 5" xfId="9444" xr:uid="{8FF0F617-567B-4E55-A678-2AE1A2F471F8}"/>
    <cellStyle name="Comma 2 2 5 2 2 3 5 2" xfId="26788" xr:uid="{C26084D5-69E0-46D7-B173-9C21AB04167A}"/>
    <cellStyle name="Comma 2 2 5 2 2 3 6" xfId="18116" xr:uid="{AAB7C348-CE61-444A-9623-11D29171B94A}"/>
    <cellStyle name="Comma 2 2 5 2 2 4" xfId="1315" xr:uid="{79C25989-E7B6-427E-8C38-3BF74DC18E92}"/>
    <cellStyle name="Comma 2 2 5 2 2 4 2" xfId="3483" xr:uid="{9F59352A-405D-4850-89AC-5D9B330B69CE}"/>
    <cellStyle name="Comma 2 2 5 2 2 4 2 2" xfId="7819" xr:uid="{10F8EE7F-9BBB-4B17-B3A7-F7A5A6DFD8E0}"/>
    <cellStyle name="Comma 2 2 5 2 2 4 2 2 2" xfId="16491" xr:uid="{927C8D18-D54E-42C4-A1A4-090080BC37E6}"/>
    <cellStyle name="Comma 2 2 5 2 2 4 2 2 2 2" xfId="33835" xr:uid="{C7E59D1F-FB3E-4783-8FE1-D6368D4C4E75}"/>
    <cellStyle name="Comma 2 2 5 2 2 4 2 2 3" xfId="25163" xr:uid="{7776B548-0547-4180-AD1E-4E892F62C006}"/>
    <cellStyle name="Comma 2 2 5 2 2 4 2 3" xfId="12155" xr:uid="{7BA96997-8A15-418A-AA60-14A9EC822A93}"/>
    <cellStyle name="Comma 2 2 5 2 2 4 2 3 2" xfId="29499" xr:uid="{C3CC357B-0CFC-4070-8729-798A659EB313}"/>
    <cellStyle name="Comma 2 2 5 2 2 4 2 4" xfId="20827" xr:uid="{A7AC2D72-31CB-4AC6-ABB4-BAFAD46BA6DC}"/>
    <cellStyle name="Comma 2 2 5 2 2 4 3" xfId="5651" xr:uid="{2A0F344D-E110-40EF-9488-F848550A3993}"/>
    <cellStyle name="Comma 2 2 5 2 2 4 3 2" xfId="14323" xr:uid="{7FA22C6D-A401-4791-9F84-DF0441C108B8}"/>
    <cellStyle name="Comma 2 2 5 2 2 4 3 2 2" xfId="31667" xr:uid="{990A7916-8DF1-46F4-8696-A26DB9A1FB4B}"/>
    <cellStyle name="Comma 2 2 5 2 2 4 3 3" xfId="22995" xr:uid="{9D615DC6-91AF-4AD7-993F-146EE750836C}"/>
    <cellStyle name="Comma 2 2 5 2 2 4 4" xfId="9987" xr:uid="{FE019E7A-8C15-45E4-9E8D-82B184E9B7C0}"/>
    <cellStyle name="Comma 2 2 5 2 2 4 4 2" xfId="27331" xr:uid="{FFEC3656-5BBB-4089-8272-DD0FA4237BB1}"/>
    <cellStyle name="Comma 2 2 5 2 2 4 5" xfId="18659" xr:uid="{947A2A5D-4615-4DED-9C5F-F6EF83D77AD9}"/>
    <cellStyle name="Comma 2 2 5 2 2 5" xfId="2399" xr:uid="{346B261A-89F2-4B08-A020-7F439A0408BB}"/>
    <cellStyle name="Comma 2 2 5 2 2 5 2" xfId="6735" xr:uid="{01BB9F32-E176-45E4-A5E7-59CEC463B5C0}"/>
    <cellStyle name="Comma 2 2 5 2 2 5 2 2" xfId="15407" xr:uid="{0ED412F5-37D6-41AF-A8D1-B71B4B586F3B}"/>
    <cellStyle name="Comma 2 2 5 2 2 5 2 2 2" xfId="32751" xr:uid="{AD78828D-F545-401F-9F82-80F5D53AADC5}"/>
    <cellStyle name="Comma 2 2 5 2 2 5 2 3" xfId="24079" xr:uid="{4998D6E5-5F9C-4FC0-B901-F1B588F92312}"/>
    <cellStyle name="Comma 2 2 5 2 2 5 3" xfId="11071" xr:uid="{D7E8A0AF-D9B0-412A-9CDF-CCCFFD85DF1F}"/>
    <cellStyle name="Comma 2 2 5 2 2 5 3 2" xfId="28415" xr:uid="{D7FDD540-0014-4A74-AEBC-773503666C66}"/>
    <cellStyle name="Comma 2 2 5 2 2 5 4" xfId="19743" xr:uid="{B3EFF072-027F-4CD1-BCC1-9E1ECB541266}"/>
    <cellStyle name="Comma 2 2 5 2 2 6" xfId="4567" xr:uid="{07902E1C-086D-49CD-A940-43068F711ECC}"/>
    <cellStyle name="Comma 2 2 5 2 2 6 2" xfId="13239" xr:uid="{86F79A67-07CF-4EFC-9CD4-433A6DE120A3}"/>
    <cellStyle name="Comma 2 2 5 2 2 6 2 2" xfId="30583" xr:uid="{C37E63FB-8451-46FE-A007-D5674400ECBC}"/>
    <cellStyle name="Comma 2 2 5 2 2 6 3" xfId="21911" xr:uid="{2A3BC415-C887-41AD-B608-828B460E0BB4}"/>
    <cellStyle name="Comma 2 2 5 2 2 7" xfId="8903" xr:uid="{CA5E1E17-5E16-4851-9CCF-4E8F9EB0808C}"/>
    <cellStyle name="Comma 2 2 5 2 2 7 2" xfId="26247" xr:uid="{5D9F2FBE-B999-4BF4-90B4-5A75B8E7492D}"/>
    <cellStyle name="Comma 2 2 5 2 2 8" xfId="17575" xr:uid="{B8DF2434-6C2B-46D7-8CFE-8CD5448FFE72}"/>
    <cellStyle name="Comma 2 2 5 2 3" xfId="379" xr:uid="{0224C85A-4228-4B51-AAE6-5B9F4A013DB3}"/>
    <cellStyle name="Comma 2 2 5 2 3 2" xfId="920" xr:uid="{0EC7CE3C-C7F5-4E6B-A7E8-F32EC3EC005D}"/>
    <cellStyle name="Comma 2 2 5 2 3 2 2" xfId="2004" xr:uid="{397BBA5D-CF5B-4083-B0FC-45811631A3AD}"/>
    <cellStyle name="Comma 2 2 5 2 3 2 2 2" xfId="4172" xr:uid="{5DE6D855-2C88-4B3C-8C13-4D65EF592C7B}"/>
    <cellStyle name="Comma 2 2 5 2 3 2 2 2 2" xfId="8508" xr:uid="{6F0ACA88-5640-4D13-9D84-CA8573752E85}"/>
    <cellStyle name="Comma 2 2 5 2 3 2 2 2 2 2" xfId="17180" xr:uid="{1AF3EC7E-F3B1-4070-8173-2187CCDCF666}"/>
    <cellStyle name="Comma 2 2 5 2 3 2 2 2 2 2 2" xfId="34524" xr:uid="{E1179039-E211-49B9-BAD3-D2FC8FCB0645}"/>
    <cellStyle name="Comma 2 2 5 2 3 2 2 2 2 3" xfId="25852" xr:uid="{48AC38B7-C2E4-4445-B7C9-ED706799C4AC}"/>
    <cellStyle name="Comma 2 2 5 2 3 2 2 2 3" xfId="12844" xr:uid="{7D98EC62-9FBE-49C9-A912-FC5FA7C6DA05}"/>
    <cellStyle name="Comma 2 2 5 2 3 2 2 2 3 2" xfId="30188" xr:uid="{442C0D6F-8561-4F13-9970-9BBA2F4F074B}"/>
    <cellStyle name="Comma 2 2 5 2 3 2 2 2 4" xfId="21516" xr:uid="{547FEE18-B12A-473F-8584-A082AAD9429B}"/>
    <cellStyle name="Comma 2 2 5 2 3 2 2 3" xfId="6340" xr:uid="{013E9F96-C6EF-4E43-89A7-02F2871C1D78}"/>
    <cellStyle name="Comma 2 2 5 2 3 2 2 3 2" xfId="15012" xr:uid="{6063FF3F-9D6C-4663-B43D-6D62725CC024}"/>
    <cellStyle name="Comma 2 2 5 2 3 2 2 3 2 2" xfId="32356" xr:uid="{EF982F91-1E2B-4665-ADE5-93668FFD571A}"/>
    <cellStyle name="Comma 2 2 5 2 3 2 2 3 3" xfId="23684" xr:uid="{17EDB96B-AA02-4920-87B7-DC81BEB49A69}"/>
    <cellStyle name="Comma 2 2 5 2 3 2 2 4" xfId="10676" xr:uid="{D8215B3C-9AE7-41B3-A6DE-02E53C56FA48}"/>
    <cellStyle name="Comma 2 2 5 2 3 2 2 4 2" xfId="28020" xr:uid="{EF60F3B9-AC97-4BBE-B562-023488951377}"/>
    <cellStyle name="Comma 2 2 5 2 3 2 2 5" xfId="19348" xr:uid="{7EC8467E-B280-4002-8AB4-7E76D961BD4C}"/>
    <cellStyle name="Comma 2 2 5 2 3 2 3" xfId="3088" xr:uid="{4F7D2AC9-C5C1-4D6E-A33C-91E51E118210}"/>
    <cellStyle name="Comma 2 2 5 2 3 2 3 2" xfId="7424" xr:uid="{AC816FDC-D8D5-44AA-91C4-BAA5D3FDD2CF}"/>
    <cellStyle name="Comma 2 2 5 2 3 2 3 2 2" xfId="16096" xr:uid="{D2F3575A-3818-499E-87D9-28CE604C4106}"/>
    <cellStyle name="Comma 2 2 5 2 3 2 3 2 2 2" xfId="33440" xr:uid="{E21D573B-07AF-4987-B8B5-BB566AF27B28}"/>
    <cellStyle name="Comma 2 2 5 2 3 2 3 2 3" xfId="24768" xr:uid="{0B756606-9AF3-4FCD-87DF-9BAFA54F72CC}"/>
    <cellStyle name="Comma 2 2 5 2 3 2 3 3" xfId="11760" xr:uid="{A22F9064-51DC-47E4-85CD-7A303E6FFC0B}"/>
    <cellStyle name="Comma 2 2 5 2 3 2 3 3 2" xfId="29104" xr:uid="{3ACDFD5E-193F-458F-A9E6-F5134FE959D1}"/>
    <cellStyle name="Comma 2 2 5 2 3 2 3 4" xfId="20432" xr:uid="{2445A9A7-9FCE-426E-BD1B-703C226B47F1}"/>
    <cellStyle name="Comma 2 2 5 2 3 2 4" xfId="5256" xr:uid="{35257475-036F-4CC8-964F-D6E171693004}"/>
    <cellStyle name="Comma 2 2 5 2 3 2 4 2" xfId="13928" xr:uid="{B6353CE1-5D2E-45C7-9BF5-E3A92D26A2ED}"/>
    <cellStyle name="Comma 2 2 5 2 3 2 4 2 2" xfId="31272" xr:uid="{A0FEA70A-709A-44D2-A74B-A7EBE64CDF6B}"/>
    <cellStyle name="Comma 2 2 5 2 3 2 4 3" xfId="22600" xr:uid="{78BCD713-3E28-4B3E-BCC5-85FFC17C413A}"/>
    <cellStyle name="Comma 2 2 5 2 3 2 5" xfId="9592" xr:uid="{58B442D6-12D3-45BA-96A4-17071D6288E2}"/>
    <cellStyle name="Comma 2 2 5 2 3 2 5 2" xfId="26936" xr:uid="{33F1F07A-B1DF-4B70-9640-B36584495A34}"/>
    <cellStyle name="Comma 2 2 5 2 3 2 6" xfId="18264" xr:uid="{8ADE381B-77D5-4857-89E5-4A68FADCDC60}"/>
    <cellStyle name="Comma 2 2 5 2 3 3" xfId="1463" xr:uid="{4343AF43-2291-4E94-ACFB-90B25B61781B}"/>
    <cellStyle name="Comma 2 2 5 2 3 3 2" xfId="3631" xr:uid="{46ED5F8C-0A29-4CE8-862E-2D4D64ABCADA}"/>
    <cellStyle name="Comma 2 2 5 2 3 3 2 2" xfId="7967" xr:uid="{62BE1023-39FC-4336-8B08-0C76FBA80B7F}"/>
    <cellStyle name="Comma 2 2 5 2 3 3 2 2 2" xfId="16639" xr:uid="{F808F8D1-0727-4F4C-8257-8F9317CC81B5}"/>
    <cellStyle name="Comma 2 2 5 2 3 3 2 2 2 2" xfId="33983" xr:uid="{D612B385-257B-4268-9782-EE8EFA470924}"/>
    <cellStyle name="Comma 2 2 5 2 3 3 2 2 3" xfId="25311" xr:uid="{B82BC3C9-1861-44CA-9E29-E8A43D2D1109}"/>
    <cellStyle name="Comma 2 2 5 2 3 3 2 3" xfId="12303" xr:uid="{31980069-F340-4985-89E3-31AC94963408}"/>
    <cellStyle name="Comma 2 2 5 2 3 3 2 3 2" xfId="29647" xr:uid="{97835C5E-F695-4880-B149-4DB3F7DA7567}"/>
    <cellStyle name="Comma 2 2 5 2 3 3 2 4" xfId="20975" xr:uid="{7660D0F4-82F5-4A3E-9F8F-6A5632D3FC8D}"/>
    <cellStyle name="Comma 2 2 5 2 3 3 3" xfId="5799" xr:uid="{5DA9C6F1-B200-412F-A268-ED45859EEC22}"/>
    <cellStyle name="Comma 2 2 5 2 3 3 3 2" xfId="14471" xr:uid="{88BCB937-D1D3-4038-B380-AABA13C96C20}"/>
    <cellStyle name="Comma 2 2 5 2 3 3 3 2 2" xfId="31815" xr:uid="{B308B750-30C0-421B-A024-CA3E451DF8D1}"/>
    <cellStyle name="Comma 2 2 5 2 3 3 3 3" xfId="23143" xr:uid="{E0529F3F-F34F-41A0-88E1-71E54989C0B6}"/>
    <cellStyle name="Comma 2 2 5 2 3 3 4" xfId="10135" xr:uid="{6D1308FB-5E79-456A-AF80-D821AF4F8983}"/>
    <cellStyle name="Comma 2 2 5 2 3 3 4 2" xfId="27479" xr:uid="{773256AE-E3E1-4F96-B1BA-21730E3047BA}"/>
    <cellStyle name="Comma 2 2 5 2 3 3 5" xfId="18807" xr:uid="{2DC9981A-1A62-43CE-A3F4-2AB47E603DED}"/>
    <cellStyle name="Comma 2 2 5 2 3 4" xfId="2547" xr:uid="{D20D57E9-47D2-403C-B00E-36405E155775}"/>
    <cellStyle name="Comma 2 2 5 2 3 4 2" xfId="6883" xr:uid="{501603A5-D6F6-4EBC-BFCB-9E1A31326A0D}"/>
    <cellStyle name="Comma 2 2 5 2 3 4 2 2" xfId="15555" xr:uid="{7C7932B6-8567-4973-8A3F-06C5532FA731}"/>
    <cellStyle name="Comma 2 2 5 2 3 4 2 2 2" xfId="32899" xr:uid="{B01EEE30-B687-4516-978A-D7A10AEF7ECC}"/>
    <cellStyle name="Comma 2 2 5 2 3 4 2 3" xfId="24227" xr:uid="{BA08D8CE-0B49-4486-A3B6-9483E5ABFB72}"/>
    <cellStyle name="Comma 2 2 5 2 3 4 3" xfId="11219" xr:uid="{C65B3DC4-41DD-4224-AD1A-BB675B4565ED}"/>
    <cellStyle name="Comma 2 2 5 2 3 4 3 2" xfId="28563" xr:uid="{9077AB4E-E167-4A7C-9FDC-A6B2B6117B0D}"/>
    <cellStyle name="Comma 2 2 5 2 3 4 4" xfId="19891" xr:uid="{7520E4CE-3CFF-4EAE-B5FF-FF97A4AC87ED}"/>
    <cellStyle name="Comma 2 2 5 2 3 5" xfId="4715" xr:uid="{F9EB908B-37F6-4ED5-9709-6008E4D2062A}"/>
    <cellStyle name="Comma 2 2 5 2 3 5 2" xfId="13387" xr:uid="{98DE4371-FD6D-4EA6-A28E-C60AA66E98D6}"/>
    <cellStyle name="Comma 2 2 5 2 3 5 2 2" xfId="30731" xr:uid="{358AA316-3F96-4DAB-8663-3A3BA0C5F953}"/>
    <cellStyle name="Comma 2 2 5 2 3 5 3" xfId="22059" xr:uid="{812A019A-A011-4FA9-9BC6-843DF50A2ED1}"/>
    <cellStyle name="Comma 2 2 5 2 3 6" xfId="9051" xr:uid="{DB377080-31CD-4B30-8E4A-D79992469CFE}"/>
    <cellStyle name="Comma 2 2 5 2 3 6 2" xfId="26395" xr:uid="{6B1E1835-B864-424D-B3BD-90EBE3784E2B}"/>
    <cellStyle name="Comma 2 2 5 2 3 7" xfId="17723" xr:uid="{E8265CE6-A860-43AF-8936-6D1C859757BD}"/>
    <cellStyle name="Comma 2 2 5 2 4" xfId="650" xr:uid="{3EF8661D-32E3-4276-8F5A-70E23D346DF8}"/>
    <cellStyle name="Comma 2 2 5 2 4 2" xfId="1734" xr:uid="{EE10791C-5AA8-4F9E-A5F3-679CE80471F6}"/>
    <cellStyle name="Comma 2 2 5 2 4 2 2" xfId="3902" xr:uid="{60B0A54D-8EE5-4811-BA6C-8D05C04AAFF0}"/>
    <cellStyle name="Comma 2 2 5 2 4 2 2 2" xfId="8238" xr:uid="{E7B383CD-4B1C-4ACF-98E6-96AF17595D66}"/>
    <cellStyle name="Comma 2 2 5 2 4 2 2 2 2" xfId="16910" xr:uid="{0B598B9C-168E-4384-B75F-621E27E94C45}"/>
    <cellStyle name="Comma 2 2 5 2 4 2 2 2 2 2" xfId="34254" xr:uid="{793662F1-AFDB-4F61-9735-E1414FE6ED96}"/>
    <cellStyle name="Comma 2 2 5 2 4 2 2 2 3" xfId="25582" xr:uid="{8B6E5360-81E6-46C4-8FF6-6C521838A6AA}"/>
    <cellStyle name="Comma 2 2 5 2 4 2 2 3" xfId="12574" xr:uid="{9D2ADC19-804F-4133-9DA8-062DC8081EF4}"/>
    <cellStyle name="Comma 2 2 5 2 4 2 2 3 2" xfId="29918" xr:uid="{1E6598D6-9617-49E8-AD0A-EC2D41A4FD74}"/>
    <cellStyle name="Comma 2 2 5 2 4 2 2 4" xfId="21246" xr:uid="{82423FA2-6F92-480C-B1A4-EDEEA4C87BD5}"/>
    <cellStyle name="Comma 2 2 5 2 4 2 3" xfId="6070" xr:uid="{A56E89CD-0CF4-4479-AF58-2CA232B56F0D}"/>
    <cellStyle name="Comma 2 2 5 2 4 2 3 2" xfId="14742" xr:uid="{BE92597B-598B-44C7-9F30-B4C57966E82F}"/>
    <cellStyle name="Comma 2 2 5 2 4 2 3 2 2" xfId="32086" xr:uid="{3DD17010-7B37-4C95-82F8-17BA64E7E238}"/>
    <cellStyle name="Comma 2 2 5 2 4 2 3 3" xfId="23414" xr:uid="{041C0CDF-92EC-44D6-96FD-26108AC1D351}"/>
    <cellStyle name="Comma 2 2 5 2 4 2 4" xfId="10406" xr:uid="{2891A928-6441-4FCD-8290-C96C05B3BC78}"/>
    <cellStyle name="Comma 2 2 5 2 4 2 4 2" xfId="27750" xr:uid="{70E71D24-71DD-4C82-9F54-19ED110B8F0D}"/>
    <cellStyle name="Comma 2 2 5 2 4 2 5" xfId="19078" xr:uid="{2E603DA6-B402-4B0E-A477-1AF16158C864}"/>
    <cellStyle name="Comma 2 2 5 2 4 3" xfId="2818" xr:uid="{63F92870-3EF1-4718-91A5-66982E4B2A6B}"/>
    <cellStyle name="Comma 2 2 5 2 4 3 2" xfId="7154" xr:uid="{6DA7C043-803D-4B69-B129-14FCE5FAC4AB}"/>
    <cellStyle name="Comma 2 2 5 2 4 3 2 2" xfId="15826" xr:uid="{FF9239B9-119A-4680-92F8-1CD93D7AE010}"/>
    <cellStyle name="Comma 2 2 5 2 4 3 2 2 2" xfId="33170" xr:uid="{4712A3A7-29D0-4CBF-90C0-79029AB5D1B9}"/>
    <cellStyle name="Comma 2 2 5 2 4 3 2 3" xfId="24498" xr:uid="{08A687D1-C705-4F91-B653-B565E6EC9E83}"/>
    <cellStyle name="Comma 2 2 5 2 4 3 3" xfId="11490" xr:uid="{DB01662F-3379-4FD7-9A61-2D1EFDBEBA35}"/>
    <cellStyle name="Comma 2 2 5 2 4 3 3 2" xfId="28834" xr:uid="{8CCB8478-BA26-4250-B8BD-B7515BAF9D7F}"/>
    <cellStyle name="Comma 2 2 5 2 4 3 4" xfId="20162" xr:uid="{A539F1A0-FB58-4165-80D2-A40024BABB34}"/>
    <cellStyle name="Comma 2 2 5 2 4 4" xfId="4986" xr:uid="{623BE4AB-9BEA-41B6-B5CE-CCAFD878075E}"/>
    <cellStyle name="Comma 2 2 5 2 4 4 2" xfId="13658" xr:uid="{2C9C2B7A-9FE2-4ECB-BC10-5FBFCCD0E2B1}"/>
    <cellStyle name="Comma 2 2 5 2 4 4 2 2" xfId="31002" xr:uid="{D0D352E7-BC6D-4CB9-93D8-22CA47D5A576}"/>
    <cellStyle name="Comma 2 2 5 2 4 4 3" xfId="22330" xr:uid="{CEAE95E6-C87A-4362-BC83-E7CA8EEFEE30}"/>
    <cellStyle name="Comma 2 2 5 2 4 5" xfId="9322" xr:uid="{9976B928-5982-42B6-A5AD-FEA9AB4E6AA2}"/>
    <cellStyle name="Comma 2 2 5 2 4 5 2" xfId="26666" xr:uid="{AABE1427-78EF-4F23-A0F0-4A503A9054DA}"/>
    <cellStyle name="Comma 2 2 5 2 4 6" xfId="17994" xr:uid="{027B1377-13C0-4B85-9B53-780EE349942A}"/>
    <cellStyle name="Comma 2 2 5 2 5" xfId="1193" xr:uid="{ABE98DD3-1AB8-4DEC-8F54-2A0923E2370C}"/>
    <cellStyle name="Comma 2 2 5 2 5 2" xfId="3361" xr:uid="{C3F15B0A-B8F6-406F-8C25-E42D744E81C5}"/>
    <cellStyle name="Comma 2 2 5 2 5 2 2" xfId="7697" xr:uid="{DF5A704D-69FD-4A88-BB54-D606E30D72DD}"/>
    <cellStyle name="Comma 2 2 5 2 5 2 2 2" xfId="16369" xr:uid="{F6EDC78D-64CB-4683-8CE7-3EBC0EA2E8B8}"/>
    <cellStyle name="Comma 2 2 5 2 5 2 2 2 2" xfId="33713" xr:uid="{FA109EB3-DC9E-4605-B6E9-0C64E5B308C9}"/>
    <cellStyle name="Comma 2 2 5 2 5 2 2 3" xfId="25041" xr:uid="{88EFF799-4BA3-42EC-8B14-110F1A281B8A}"/>
    <cellStyle name="Comma 2 2 5 2 5 2 3" xfId="12033" xr:uid="{8908CD84-2C27-49DD-92AA-03F41F7D43F4}"/>
    <cellStyle name="Comma 2 2 5 2 5 2 3 2" xfId="29377" xr:uid="{760364F8-634A-4C12-A309-F12478587AC3}"/>
    <cellStyle name="Comma 2 2 5 2 5 2 4" xfId="20705" xr:uid="{F18C9111-9691-47A5-AA7F-30FD39BF383C}"/>
    <cellStyle name="Comma 2 2 5 2 5 3" xfId="5529" xr:uid="{5AF1C6B5-F0EA-46E9-93AB-BBA5D8C99D7E}"/>
    <cellStyle name="Comma 2 2 5 2 5 3 2" xfId="14201" xr:uid="{CE674560-4418-40F6-91B6-64A3E9DB70C2}"/>
    <cellStyle name="Comma 2 2 5 2 5 3 2 2" xfId="31545" xr:uid="{5104FC33-35CB-48A1-8E76-4EB29D692582}"/>
    <cellStyle name="Comma 2 2 5 2 5 3 3" xfId="22873" xr:uid="{42319EFF-29B5-4EEF-B648-DB93BA48BB7C}"/>
    <cellStyle name="Comma 2 2 5 2 5 4" xfId="9865" xr:uid="{819D715D-010A-416D-980A-F39879D97F16}"/>
    <cellStyle name="Comma 2 2 5 2 5 4 2" xfId="27209" xr:uid="{4E88DB6F-AC5C-40A5-B10D-5EB4D89524F3}"/>
    <cellStyle name="Comma 2 2 5 2 5 5" xfId="18537" xr:uid="{3544E413-BE46-4536-B0B1-12E25803C829}"/>
    <cellStyle name="Comma 2 2 5 2 6" xfId="2277" xr:uid="{99A9FC74-0DBD-4F3A-A5CD-3046C9B9A734}"/>
    <cellStyle name="Comma 2 2 5 2 6 2" xfId="6613" xr:uid="{D29FF0B7-8A75-4958-83F1-D9B3C1890363}"/>
    <cellStyle name="Comma 2 2 5 2 6 2 2" xfId="15285" xr:uid="{28D5CDBA-0711-4631-A0F3-70E7EAA2819E}"/>
    <cellStyle name="Comma 2 2 5 2 6 2 2 2" xfId="32629" xr:uid="{7CA531D3-AAE4-46A1-B73B-0E8AF5A7D45B}"/>
    <cellStyle name="Comma 2 2 5 2 6 2 3" xfId="23957" xr:uid="{F67CAEA1-7C03-4EB2-ACE2-9CA2A2D03490}"/>
    <cellStyle name="Comma 2 2 5 2 6 3" xfId="10949" xr:uid="{75CF77A6-B332-4B34-9E51-5AEBD38CAAE4}"/>
    <cellStyle name="Comma 2 2 5 2 6 3 2" xfId="28293" xr:uid="{94CAE90B-06BC-4D89-BE24-D2C9C9AF479E}"/>
    <cellStyle name="Comma 2 2 5 2 6 4" xfId="19621" xr:uid="{63D2FC5A-C9E9-41D5-89DB-4B01994469FE}"/>
    <cellStyle name="Comma 2 2 5 2 7" xfId="4445" xr:uid="{1878ED21-A0DD-4FC5-9FBD-4090735FC89B}"/>
    <cellStyle name="Comma 2 2 5 2 7 2" xfId="13117" xr:uid="{8CD681C7-169F-4C3A-B97A-26201A229DA3}"/>
    <cellStyle name="Comma 2 2 5 2 7 2 2" xfId="30461" xr:uid="{FCBF1ED1-9479-4B2A-92D5-A287BC6E6331}"/>
    <cellStyle name="Comma 2 2 5 2 7 3" xfId="21789" xr:uid="{8777EB8E-1C3E-47C9-B751-D77AD3F84E2F}"/>
    <cellStyle name="Comma 2 2 5 2 8" xfId="8781" xr:uid="{3120BA6C-93A5-458A-91DA-F6DC6F89B871}"/>
    <cellStyle name="Comma 2 2 5 2 8 2" xfId="26125" xr:uid="{FBFE5FC9-B889-46DF-A41B-46713591D861}"/>
    <cellStyle name="Comma 2 2 5 2 9" xfId="17453" xr:uid="{AECC8712-2A2B-4396-A5BE-5AB99C780835}"/>
    <cellStyle name="Comma 2 2 5 3" xfId="170" xr:uid="{7CAFE646-3C7D-4506-85CA-C349F8C0891B}"/>
    <cellStyle name="Comma 2 2 5 3 2" xfId="440" xr:uid="{D3730CBB-333B-43BC-B003-FD58F9300D18}"/>
    <cellStyle name="Comma 2 2 5 3 2 2" xfId="981" xr:uid="{BCC3788B-1F3F-4A87-8FD8-BDFC7D6E2949}"/>
    <cellStyle name="Comma 2 2 5 3 2 2 2" xfId="2065" xr:uid="{88C79A4E-E08F-4B3F-841C-E554028E1074}"/>
    <cellStyle name="Comma 2 2 5 3 2 2 2 2" xfId="4233" xr:uid="{E53C4F70-8171-4AF1-807D-DB8B6144952F}"/>
    <cellStyle name="Comma 2 2 5 3 2 2 2 2 2" xfId="8569" xr:uid="{F3D6EB4A-D05E-4225-B451-8223CA70C6CE}"/>
    <cellStyle name="Comma 2 2 5 3 2 2 2 2 2 2" xfId="17241" xr:uid="{3FF2BCD1-6CF1-4993-9C9B-4FF5C9D074BF}"/>
    <cellStyle name="Comma 2 2 5 3 2 2 2 2 2 2 2" xfId="34585" xr:uid="{B5A1FFA8-BCCA-43AB-8CBD-02A6C2EC9A48}"/>
    <cellStyle name="Comma 2 2 5 3 2 2 2 2 2 3" xfId="25913" xr:uid="{3E4F4531-A8C8-414D-BD47-2FE5DEA2389B}"/>
    <cellStyle name="Comma 2 2 5 3 2 2 2 2 3" xfId="12905" xr:uid="{1CE8C4BD-C6D2-4B51-BD06-0A22AC52EDB4}"/>
    <cellStyle name="Comma 2 2 5 3 2 2 2 2 3 2" xfId="30249" xr:uid="{02D99758-335F-41B8-97FB-6AEA3DBC6E82}"/>
    <cellStyle name="Comma 2 2 5 3 2 2 2 2 4" xfId="21577" xr:uid="{68A828D5-A5F1-4F45-BA14-004B49E0BE41}"/>
    <cellStyle name="Comma 2 2 5 3 2 2 2 3" xfId="6401" xr:uid="{A7705B65-AA07-459D-80FE-456DFFF52DB6}"/>
    <cellStyle name="Comma 2 2 5 3 2 2 2 3 2" xfId="15073" xr:uid="{840AD245-8492-45CE-BD31-9E424E27B3B4}"/>
    <cellStyle name="Comma 2 2 5 3 2 2 2 3 2 2" xfId="32417" xr:uid="{EF799F0D-04B9-4F8A-BFBE-3DC310347958}"/>
    <cellStyle name="Comma 2 2 5 3 2 2 2 3 3" xfId="23745" xr:uid="{4BB91970-A5B0-4869-95A3-AFC5F9A7C714}"/>
    <cellStyle name="Comma 2 2 5 3 2 2 2 4" xfId="10737" xr:uid="{19BFA281-D653-4175-9E8F-EF7B3E5149F8}"/>
    <cellStyle name="Comma 2 2 5 3 2 2 2 4 2" xfId="28081" xr:uid="{1B21A1F8-2238-42CD-AA22-B3370E08A4C5}"/>
    <cellStyle name="Comma 2 2 5 3 2 2 2 5" xfId="19409" xr:uid="{0EB76959-98EE-4156-BA11-B59242B4BB48}"/>
    <cellStyle name="Comma 2 2 5 3 2 2 3" xfId="3149" xr:uid="{29F7AAA5-F524-422C-B5A4-6D1C5B3DE513}"/>
    <cellStyle name="Comma 2 2 5 3 2 2 3 2" xfId="7485" xr:uid="{BC1D792C-5756-41C2-B795-AAAFBBAAA88D}"/>
    <cellStyle name="Comma 2 2 5 3 2 2 3 2 2" xfId="16157" xr:uid="{23E8620D-67D0-4462-8A96-B5B324EBDAA9}"/>
    <cellStyle name="Comma 2 2 5 3 2 2 3 2 2 2" xfId="33501" xr:uid="{4EAB4D42-7EE1-44E2-BBF9-93AEFEE6260F}"/>
    <cellStyle name="Comma 2 2 5 3 2 2 3 2 3" xfId="24829" xr:uid="{AC933F0C-86D9-43AC-9EF4-52822DC465A4}"/>
    <cellStyle name="Comma 2 2 5 3 2 2 3 3" xfId="11821" xr:uid="{C45ABCFF-87B2-4435-82C2-34410D2C0D64}"/>
    <cellStyle name="Comma 2 2 5 3 2 2 3 3 2" xfId="29165" xr:uid="{8440AE20-E8C3-4FAC-8435-F82F1E49197F}"/>
    <cellStyle name="Comma 2 2 5 3 2 2 3 4" xfId="20493" xr:uid="{10A821EF-5DDE-4CA6-B12D-715871F6FAC8}"/>
    <cellStyle name="Comma 2 2 5 3 2 2 4" xfId="5317" xr:uid="{CCB2E8B8-1637-4D48-BDA3-8243AF0AD372}"/>
    <cellStyle name="Comma 2 2 5 3 2 2 4 2" xfId="13989" xr:uid="{E92724D5-6675-4142-A491-133991B57217}"/>
    <cellStyle name="Comma 2 2 5 3 2 2 4 2 2" xfId="31333" xr:uid="{BB113258-708A-4A32-B3B3-AE77D6FFB4DA}"/>
    <cellStyle name="Comma 2 2 5 3 2 2 4 3" xfId="22661" xr:uid="{5D10FC81-E52B-4DD5-9913-A9069EC2DFA4}"/>
    <cellStyle name="Comma 2 2 5 3 2 2 5" xfId="9653" xr:uid="{91DF24E1-ABAA-4F60-AC9A-AFFC9548A0DB}"/>
    <cellStyle name="Comma 2 2 5 3 2 2 5 2" xfId="26997" xr:uid="{9310EF6B-3D9B-443C-82B0-914693258642}"/>
    <cellStyle name="Comma 2 2 5 3 2 2 6" xfId="18325" xr:uid="{3CF406ED-33ED-4639-82DB-6F6EC818B636}"/>
    <cellStyle name="Comma 2 2 5 3 2 3" xfId="1524" xr:uid="{50F8D78D-B681-43F6-A520-4F534E03EEF9}"/>
    <cellStyle name="Comma 2 2 5 3 2 3 2" xfId="3692" xr:uid="{7BCD5055-4981-4EC2-A16F-D5B5FFCA2CB9}"/>
    <cellStyle name="Comma 2 2 5 3 2 3 2 2" xfId="8028" xr:uid="{8A6663F7-4886-49FF-886D-7CA18ADEEF8A}"/>
    <cellStyle name="Comma 2 2 5 3 2 3 2 2 2" xfId="16700" xr:uid="{B11C43A9-D1C3-4034-AFE3-860B6202F996}"/>
    <cellStyle name="Comma 2 2 5 3 2 3 2 2 2 2" xfId="34044" xr:uid="{00A50A85-02A4-4225-B8C7-4CA2BC477169}"/>
    <cellStyle name="Comma 2 2 5 3 2 3 2 2 3" xfId="25372" xr:uid="{4A7FFAE0-166A-44F5-8B6E-6A2E889FA417}"/>
    <cellStyle name="Comma 2 2 5 3 2 3 2 3" xfId="12364" xr:uid="{C16CD8CE-63F4-4FE3-8160-FDE071B5ECFE}"/>
    <cellStyle name="Comma 2 2 5 3 2 3 2 3 2" xfId="29708" xr:uid="{765C4607-733F-43D8-8383-B717AB9E8173}"/>
    <cellStyle name="Comma 2 2 5 3 2 3 2 4" xfId="21036" xr:uid="{0F5B2B33-85EF-433A-A2A3-8A977BBCB6A6}"/>
    <cellStyle name="Comma 2 2 5 3 2 3 3" xfId="5860" xr:uid="{32709BA9-BFD8-4406-B815-D1954A480097}"/>
    <cellStyle name="Comma 2 2 5 3 2 3 3 2" xfId="14532" xr:uid="{D64439C7-1127-4927-B7FC-D4849AB35D94}"/>
    <cellStyle name="Comma 2 2 5 3 2 3 3 2 2" xfId="31876" xr:uid="{FC6E794E-6E45-46FB-86BE-C27D6368752F}"/>
    <cellStyle name="Comma 2 2 5 3 2 3 3 3" xfId="23204" xr:uid="{563A9978-94DB-4C27-80BC-89813F5467E0}"/>
    <cellStyle name="Comma 2 2 5 3 2 3 4" xfId="10196" xr:uid="{12E5E746-F738-41A4-BB05-93F69FFAE2CE}"/>
    <cellStyle name="Comma 2 2 5 3 2 3 4 2" xfId="27540" xr:uid="{ACA886BD-61AA-4377-809F-46214D0D6C33}"/>
    <cellStyle name="Comma 2 2 5 3 2 3 5" xfId="18868" xr:uid="{EE77E9F3-D1F9-4EF3-A02B-BF00672B8C27}"/>
    <cellStyle name="Comma 2 2 5 3 2 4" xfId="2608" xr:uid="{BA2C7CDC-8FB6-47F4-82AA-0A824A556FAB}"/>
    <cellStyle name="Comma 2 2 5 3 2 4 2" xfId="6944" xr:uid="{AA0969A1-8918-4974-9206-73E06EBC8266}"/>
    <cellStyle name="Comma 2 2 5 3 2 4 2 2" xfId="15616" xr:uid="{167CD782-C896-4183-8304-4F6965FB1362}"/>
    <cellStyle name="Comma 2 2 5 3 2 4 2 2 2" xfId="32960" xr:uid="{F648B35B-FFEB-4A91-86B2-C4578462E53E}"/>
    <cellStyle name="Comma 2 2 5 3 2 4 2 3" xfId="24288" xr:uid="{354C37C4-7714-4497-9B79-140A1A5F9A39}"/>
    <cellStyle name="Comma 2 2 5 3 2 4 3" xfId="11280" xr:uid="{9C19E359-A71A-4FA1-A484-0CCA5F9E0785}"/>
    <cellStyle name="Comma 2 2 5 3 2 4 3 2" xfId="28624" xr:uid="{44F1FA7C-0436-41C6-89A1-4FC243429F32}"/>
    <cellStyle name="Comma 2 2 5 3 2 4 4" xfId="19952" xr:uid="{B9091B91-7D81-4C80-BA99-E327EC6F5469}"/>
    <cellStyle name="Comma 2 2 5 3 2 5" xfId="4776" xr:uid="{86D3B8C2-C449-4B14-931B-89BCC2E9B1FA}"/>
    <cellStyle name="Comma 2 2 5 3 2 5 2" xfId="13448" xr:uid="{0799CCD8-C924-44AF-89AC-BDD441C0C533}"/>
    <cellStyle name="Comma 2 2 5 3 2 5 2 2" xfId="30792" xr:uid="{643DA8E0-6DE4-45B9-BEEF-E296D35B41B0}"/>
    <cellStyle name="Comma 2 2 5 3 2 5 3" xfId="22120" xr:uid="{12F0DB2F-D8A5-44C1-A484-EA790D70EA62}"/>
    <cellStyle name="Comma 2 2 5 3 2 6" xfId="9112" xr:uid="{21B98908-A2C2-4163-8EB0-921CC1181849}"/>
    <cellStyle name="Comma 2 2 5 3 2 6 2" xfId="26456" xr:uid="{5CF5997B-B631-44A3-9168-E39E4C19E274}"/>
    <cellStyle name="Comma 2 2 5 3 2 7" xfId="17784" xr:uid="{73625C14-B705-4084-A2A8-36C674D138F6}"/>
    <cellStyle name="Comma 2 2 5 3 3" xfId="711" xr:uid="{C3A4133B-F0DD-4113-9691-517B143326D3}"/>
    <cellStyle name="Comma 2 2 5 3 3 2" xfId="1795" xr:uid="{49844E66-3E6B-44BF-B577-6F96AEB4D9A2}"/>
    <cellStyle name="Comma 2 2 5 3 3 2 2" xfId="3963" xr:uid="{BDD3AD53-5C29-4AEF-B508-F5CC6333388C}"/>
    <cellStyle name="Comma 2 2 5 3 3 2 2 2" xfId="8299" xr:uid="{8142B967-7A01-4A25-884D-018D4ABF3510}"/>
    <cellStyle name="Comma 2 2 5 3 3 2 2 2 2" xfId="16971" xr:uid="{7FAB7B0F-34B5-44D8-8628-AA0362EB8073}"/>
    <cellStyle name="Comma 2 2 5 3 3 2 2 2 2 2" xfId="34315" xr:uid="{131288F7-6860-4CA3-8DE3-C9EC45865220}"/>
    <cellStyle name="Comma 2 2 5 3 3 2 2 2 3" xfId="25643" xr:uid="{E6C510C2-FF86-4EBB-8337-FC8F8D61AE13}"/>
    <cellStyle name="Comma 2 2 5 3 3 2 2 3" xfId="12635" xr:uid="{65A92E01-2BEE-4C98-A6CA-27B18FD3C401}"/>
    <cellStyle name="Comma 2 2 5 3 3 2 2 3 2" xfId="29979" xr:uid="{773E82D3-A9C6-46BD-AC85-C3DA796A7544}"/>
    <cellStyle name="Comma 2 2 5 3 3 2 2 4" xfId="21307" xr:uid="{22951C47-82FA-4C2A-93BA-D5099C5C8F8A}"/>
    <cellStyle name="Comma 2 2 5 3 3 2 3" xfId="6131" xr:uid="{08CD3D94-20D0-47CD-A546-55B4C988EEE2}"/>
    <cellStyle name="Comma 2 2 5 3 3 2 3 2" xfId="14803" xr:uid="{492C6580-1299-4629-BF3D-BE2D3249FE9B}"/>
    <cellStyle name="Comma 2 2 5 3 3 2 3 2 2" xfId="32147" xr:uid="{AB9148F0-D212-41C1-A7D9-8B2EAA386F57}"/>
    <cellStyle name="Comma 2 2 5 3 3 2 3 3" xfId="23475" xr:uid="{E6F5BC35-379B-4C8F-B80E-75B7874B7D17}"/>
    <cellStyle name="Comma 2 2 5 3 3 2 4" xfId="10467" xr:uid="{C056F730-3979-448D-A509-E3F29C7FC0C0}"/>
    <cellStyle name="Comma 2 2 5 3 3 2 4 2" xfId="27811" xr:uid="{4319BC11-CD8A-4F78-A737-B1A2023FA991}"/>
    <cellStyle name="Comma 2 2 5 3 3 2 5" xfId="19139" xr:uid="{7A0F57B9-FC63-4FFD-A757-4E446ED737F3}"/>
    <cellStyle name="Comma 2 2 5 3 3 3" xfId="2879" xr:uid="{67E2C102-B9AC-4921-A668-EDEFB51EFA00}"/>
    <cellStyle name="Comma 2 2 5 3 3 3 2" xfId="7215" xr:uid="{9BAEA05B-BA7D-4174-90DE-FA3D515F8D5B}"/>
    <cellStyle name="Comma 2 2 5 3 3 3 2 2" xfId="15887" xr:uid="{0338F40B-F29A-46D8-A987-567B88E7A71D}"/>
    <cellStyle name="Comma 2 2 5 3 3 3 2 2 2" xfId="33231" xr:uid="{EC1CFC6D-2CE3-482E-A3C1-DD33962F2C35}"/>
    <cellStyle name="Comma 2 2 5 3 3 3 2 3" xfId="24559" xr:uid="{9ED52B57-6E71-483E-9F75-A21F5BF01662}"/>
    <cellStyle name="Comma 2 2 5 3 3 3 3" xfId="11551" xr:uid="{7BD9911F-B905-4C68-8E54-BDE38CF66343}"/>
    <cellStyle name="Comma 2 2 5 3 3 3 3 2" xfId="28895" xr:uid="{8A708FEA-CA89-4E51-BD00-6C8DEF3BAFDB}"/>
    <cellStyle name="Comma 2 2 5 3 3 3 4" xfId="20223" xr:uid="{DE49A719-41AD-4125-A332-DFF9A0A9B1D2}"/>
    <cellStyle name="Comma 2 2 5 3 3 4" xfId="5047" xr:uid="{512628D9-FD3F-4709-B37C-3A57619297AF}"/>
    <cellStyle name="Comma 2 2 5 3 3 4 2" xfId="13719" xr:uid="{A176D7B0-6617-43A9-ADC1-718AE38248A2}"/>
    <cellStyle name="Comma 2 2 5 3 3 4 2 2" xfId="31063" xr:uid="{D075D2DF-40AC-468D-9EC1-97590D137516}"/>
    <cellStyle name="Comma 2 2 5 3 3 4 3" xfId="22391" xr:uid="{BBD744BE-22B3-4B1C-908D-0994A0D78A06}"/>
    <cellStyle name="Comma 2 2 5 3 3 5" xfId="9383" xr:uid="{CEFBA361-0C13-40F9-8B77-DC678FC080F7}"/>
    <cellStyle name="Comma 2 2 5 3 3 5 2" xfId="26727" xr:uid="{4B44BD42-F82D-4EDE-88FC-B9304F0F90A2}"/>
    <cellStyle name="Comma 2 2 5 3 3 6" xfId="18055" xr:uid="{76BB4C4E-126C-4330-BBD5-B3A54C54310E}"/>
    <cellStyle name="Comma 2 2 5 3 4" xfId="1254" xr:uid="{60F6918E-D719-49BE-A656-6145700A38AA}"/>
    <cellStyle name="Comma 2 2 5 3 4 2" xfId="3422" xr:uid="{9C360BCF-B57F-4AAF-BDAC-8977F2697FB0}"/>
    <cellStyle name="Comma 2 2 5 3 4 2 2" xfId="7758" xr:uid="{4CCC7E24-E496-4CDE-9FF2-4DBB5C1B1021}"/>
    <cellStyle name="Comma 2 2 5 3 4 2 2 2" xfId="16430" xr:uid="{21746013-0D3F-4828-A9BE-A8B84DD9EB2E}"/>
    <cellStyle name="Comma 2 2 5 3 4 2 2 2 2" xfId="33774" xr:uid="{8A1708FA-4B3B-4BEF-BEC7-1B795FC2DCF5}"/>
    <cellStyle name="Comma 2 2 5 3 4 2 2 3" xfId="25102" xr:uid="{4C233D52-27B7-443B-A7F3-86E296D9C111}"/>
    <cellStyle name="Comma 2 2 5 3 4 2 3" xfId="12094" xr:uid="{156F14EB-6869-4996-8A5D-084797C7C2BE}"/>
    <cellStyle name="Comma 2 2 5 3 4 2 3 2" xfId="29438" xr:uid="{23347AEB-06AA-497C-B446-5DD71320E780}"/>
    <cellStyle name="Comma 2 2 5 3 4 2 4" xfId="20766" xr:uid="{AF61094A-7526-497D-9F32-B33AEA01E8BA}"/>
    <cellStyle name="Comma 2 2 5 3 4 3" xfId="5590" xr:uid="{0942E582-4992-426D-B9D2-B39660644A51}"/>
    <cellStyle name="Comma 2 2 5 3 4 3 2" xfId="14262" xr:uid="{6602DED8-0A9A-469B-909C-9EF9333AE847}"/>
    <cellStyle name="Comma 2 2 5 3 4 3 2 2" xfId="31606" xr:uid="{D1D5AF91-7B6A-4EE9-8F1D-1B67CC6B25E5}"/>
    <cellStyle name="Comma 2 2 5 3 4 3 3" xfId="22934" xr:uid="{B6FC8EE6-E7B1-4D76-B5F6-9776CB8967E0}"/>
    <cellStyle name="Comma 2 2 5 3 4 4" xfId="9926" xr:uid="{F4D33881-8CE5-4FD1-AEDB-7EC9055F5B3B}"/>
    <cellStyle name="Comma 2 2 5 3 4 4 2" xfId="27270" xr:uid="{D5B93610-D6DE-462B-BE39-3670E951568C}"/>
    <cellStyle name="Comma 2 2 5 3 4 5" xfId="18598" xr:uid="{D06B8E4D-BDB2-4602-9E92-5189E631AADF}"/>
    <cellStyle name="Comma 2 2 5 3 5" xfId="2338" xr:uid="{C013124E-573D-4B01-AF78-8313F164DA3C}"/>
    <cellStyle name="Comma 2 2 5 3 5 2" xfId="6674" xr:uid="{D6E48E57-DAA6-4443-B17F-8BEE320D2668}"/>
    <cellStyle name="Comma 2 2 5 3 5 2 2" xfId="15346" xr:uid="{85129B6C-D9BA-4775-B5D1-8D903F15FB90}"/>
    <cellStyle name="Comma 2 2 5 3 5 2 2 2" xfId="32690" xr:uid="{E227C695-B148-4B26-ABFA-757F3E448C34}"/>
    <cellStyle name="Comma 2 2 5 3 5 2 3" xfId="24018" xr:uid="{D02831C6-892A-4781-9D17-BD304127A0BD}"/>
    <cellStyle name="Comma 2 2 5 3 5 3" xfId="11010" xr:uid="{F1F2C2DB-9283-4E43-A1FA-69E8263357EA}"/>
    <cellStyle name="Comma 2 2 5 3 5 3 2" xfId="28354" xr:uid="{8D5D55C7-C017-48EC-AB06-38FD93E55FC0}"/>
    <cellStyle name="Comma 2 2 5 3 5 4" xfId="19682" xr:uid="{66F07B87-1BCF-4D50-A8F7-E4F10BB12907}"/>
    <cellStyle name="Comma 2 2 5 3 6" xfId="4506" xr:uid="{BDB83401-7324-4791-8613-AC38297BCABA}"/>
    <cellStyle name="Comma 2 2 5 3 6 2" xfId="13178" xr:uid="{298D84BE-8930-4F66-9095-6CD6192C5A18}"/>
    <cellStyle name="Comma 2 2 5 3 6 2 2" xfId="30522" xr:uid="{55F0B1B5-71FE-4666-A67D-F40769D25C4B}"/>
    <cellStyle name="Comma 2 2 5 3 6 3" xfId="21850" xr:uid="{F8421F00-A44A-4A90-966E-1D99040060BC}"/>
    <cellStyle name="Comma 2 2 5 3 7" xfId="8842" xr:uid="{E0CC170D-F2F0-4A85-B30D-5AEB74FAA75A}"/>
    <cellStyle name="Comma 2 2 5 3 7 2" xfId="26186" xr:uid="{008472B3-BBD1-47FB-8EEE-BCE77CC06012}"/>
    <cellStyle name="Comma 2 2 5 3 8" xfId="17514" xr:uid="{7E5D4C94-0FA0-46CC-B93B-01B1E908D5ED}"/>
    <cellStyle name="Comma 2 2 5 4" xfId="318" xr:uid="{76C5D541-FD27-4D6C-AC57-5B1DF44243CB}"/>
    <cellStyle name="Comma 2 2 5 4 2" xfId="859" xr:uid="{6B41D6A9-E2AA-406C-886F-362904B5139D}"/>
    <cellStyle name="Comma 2 2 5 4 2 2" xfId="1943" xr:uid="{D036D79F-8DDD-414E-B689-D601F5161132}"/>
    <cellStyle name="Comma 2 2 5 4 2 2 2" xfId="4111" xr:uid="{0A6469AF-8149-477E-8578-483736523310}"/>
    <cellStyle name="Comma 2 2 5 4 2 2 2 2" xfId="8447" xr:uid="{3EBBDE7B-B06B-49FC-8F3A-3B9DF953318B}"/>
    <cellStyle name="Comma 2 2 5 4 2 2 2 2 2" xfId="17119" xr:uid="{760C04C3-C475-4EB2-8251-52F91ABA1E03}"/>
    <cellStyle name="Comma 2 2 5 4 2 2 2 2 2 2" xfId="34463" xr:uid="{5A6047B8-18E5-4DF7-8DE6-EABA41C62D22}"/>
    <cellStyle name="Comma 2 2 5 4 2 2 2 2 3" xfId="25791" xr:uid="{F8986995-2AC0-4456-84DF-00808B04620C}"/>
    <cellStyle name="Comma 2 2 5 4 2 2 2 3" xfId="12783" xr:uid="{21CC681C-842D-4840-84FD-C49A60F66947}"/>
    <cellStyle name="Comma 2 2 5 4 2 2 2 3 2" xfId="30127" xr:uid="{495B0BDE-F6B3-433B-A726-4EF52630FA24}"/>
    <cellStyle name="Comma 2 2 5 4 2 2 2 4" xfId="21455" xr:uid="{E43C03AC-EF4A-4C39-888B-7A2040C1F50D}"/>
    <cellStyle name="Comma 2 2 5 4 2 2 3" xfId="6279" xr:uid="{6770DDEC-AD3F-4510-9869-B66514305797}"/>
    <cellStyle name="Comma 2 2 5 4 2 2 3 2" xfId="14951" xr:uid="{ECA30FEB-7B8E-450E-BEB7-7A680AE190CE}"/>
    <cellStyle name="Comma 2 2 5 4 2 2 3 2 2" xfId="32295" xr:uid="{BCE9B042-8781-44A6-A1BC-ADBE55D8AA36}"/>
    <cellStyle name="Comma 2 2 5 4 2 2 3 3" xfId="23623" xr:uid="{F97E8843-CED1-46D9-85A1-B310BB669648}"/>
    <cellStyle name="Comma 2 2 5 4 2 2 4" xfId="10615" xr:uid="{00FC8AEE-F62A-49A7-B990-35CF4213A59F}"/>
    <cellStyle name="Comma 2 2 5 4 2 2 4 2" xfId="27959" xr:uid="{2E3C53B5-06E4-464D-BC8A-4A0314F1D838}"/>
    <cellStyle name="Comma 2 2 5 4 2 2 5" xfId="19287" xr:uid="{5921E953-1111-47C9-89EE-4E24B1530913}"/>
    <cellStyle name="Comma 2 2 5 4 2 3" xfId="3027" xr:uid="{B968E2AE-F1F2-4E95-B912-B307173861DC}"/>
    <cellStyle name="Comma 2 2 5 4 2 3 2" xfId="7363" xr:uid="{85886FD4-1AB1-43B9-B508-4D819C6CB6FD}"/>
    <cellStyle name="Comma 2 2 5 4 2 3 2 2" xfId="16035" xr:uid="{1165D828-EF9F-4BB5-8ECB-BF7EAD8F559B}"/>
    <cellStyle name="Comma 2 2 5 4 2 3 2 2 2" xfId="33379" xr:uid="{10E90D53-10BF-488B-8D41-2C43D292F826}"/>
    <cellStyle name="Comma 2 2 5 4 2 3 2 3" xfId="24707" xr:uid="{463C4D9F-8967-4C21-B31C-0C6BE5B37102}"/>
    <cellStyle name="Comma 2 2 5 4 2 3 3" xfId="11699" xr:uid="{7E43B1E1-AEF7-49A7-B50F-BB812FACA989}"/>
    <cellStyle name="Comma 2 2 5 4 2 3 3 2" xfId="29043" xr:uid="{A8E3AFF5-6AF7-4D50-8177-60DCBC29E531}"/>
    <cellStyle name="Comma 2 2 5 4 2 3 4" xfId="20371" xr:uid="{73A1D527-9F1C-476C-AE58-07FDBC1A027A}"/>
    <cellStyle name="Comma 2 2 5 4 2 4" xfId="5195" xr:uid="{D8111C6E-FA65-4C07-ABA6-67BFDE632436}"/>
    <cellStyle name="Comma 2 2 5 4 2 4 2" xfId="13867" xr:uid="{64D6F212-29FF-4C3A-9C29-1932386BF411}"/>
    <cellStyle name="Comma 2 2 5 4 2 4 2 2" xfId="31211" xr:uid="{76FD731D-8D3A-4008-A7AB-3E1381B0A966}"/>
    <cellStyle name="Comma 2 2 5 4 2 4 3" xfId="22539" xr:uid="{7672FCEC-D29B-496B-8C59-A95789D280FE}"/>
    <cellStyle name="Comma 2 2 5 4 2 5" xfId="9531" xr:uid="{20121B63-CAF2-426E-BAFA-264D532A51F4}"/>
    <cellStyle name="Comma 2 2 5 4 2 5 2" xfId="26875" xr:uid="{748470EA-33AC-46D2-A570-B2327ED5750B}"/>
    <cellStyle name="Comma 2 2 5 4 2 6" xfId="18203" xr:uid="{57F27739-6520-463E-A933-72A9F4C17588}"/>
    <cellStyle name="Comma 2 2 5 4 3" xfId="1402" xr:uid="{08607770-8BC9-493F-B1FA-A8E209DBC57D}"/>
    <cellStyle name="Comma 2 2 5 4 3 2" xfId="3570" xr:uid="{0C9BD474-D45D-4D02-BC24-DF04CCC53A5E}"/>
    <cellStyle name="Comma 2 2 5 4 3 2 2" xfId="7906" xr:uid="{3EA847AC-BF03-45A0-B5D9-7FC620D8E719}"/>
    <cellStyle name="Comma 2 2 5 4 3 2 2 2" xfId="16578" xr:uid="{56C5C385-8B87-46D4-8E26-7364596515AA}"/>
    <cellStyle name="Comma 2 2 5 4 3 2 2 2 2" xfId="33922" xr:uid="{FF2A3E9F-3182-4A30-A284-37C8F3DE088E}"/>
    <cellStyle name="Comma 2 2 5 4 3 2 2 3" xfId="25250" xr:uid="{1ABD5423-2646-41BE-BFF0-C28859174982}"/>
    <cellStyle name="Comma 2 2 5 4 3 2 3" xfId="12242" xr:uid="{C2A7DB44-F69C-4A52-ABFE-F93D295EE7E9}"/>
    <cellStyle name="Comma 2 2 5 4 3 2 3 2" xfId="29586" xr:uid="{84DEF184-F31B-4322-944C-CA607BB7037B}"/>
    <cellStyle name="Comma 2 2 5 4 3 2 4" xfId="20914" xr:uid="{8E13D943-32DB-4B6D-A69C-67790B40945E}"/>
    <cellStyle name="Comma 2 2 5 4 3 3" xfId="5738" xr:uid="{1E4A7296-92DF-48B3-9A17-8C3606C028B8}"/>
    <cellStyle name="Comma 2 2 5 4 3 3 2" xfId="14410" xr:uid="{72B64F81-A1AF-4F80-BE9B-B42EF64B0EBB}"/>
    <cellStyle name="Comma 2 2 5 4 3 3 2 2" xfId="31754" xr:uid="{96193972-B350-476E-B16D-E13BC7035CFF}"/>
    <cellStyle name="Comma 2 2 5 4 3 3 3" xfId="23082" xr:uid="{22B42C9A-69B2-4CE8-B847-FA485A978B17}"/>
    <cellStyle name="Comma 2 2 5 4 3 4" xfId="10074" xr:uid="{663C77E5-74A7-407C-ABA4-8343D84B35D6}"/>
    <cellStyle name="Comma 2 2 5 4 3 4 2" xfId="27418" xr:uid="{6A262E28-BA94-4C0B-84E0-4A3A46CC13C5}"/>
    <cellStyle name="Comma 2 2 5 4 3 5" xfId="18746" xr:uid="{E8F4DF16-DD22-49F2-9205-AA08489D4B33}"/>
    <cellStyle name="Comma 2 2 5 4 4" xfId="2486" xr:uid="{41A8B187-F5AD-4E3E-BD14-B13188DA1D25}"/>
    <cellStyle name="Comma 2 2 5 4 4 2" xfId="6822" xr:uid="{AABCF4EE-DFB0-419A-9BCE-19C9F6EAD3D5}"/>
    <cellStyle name="Comma 2 2 5 4 4 2 2" xfId="15494" xr:uid="{9820E7B2-A37F-4A1B-808C-331C03617C6F}"/>
    <cellStyle name="Comma 2 2 5 4 4 2 2 2" xfId="32838" xr:uid="{16C39F68-A9BE-4B9D-A6FB-EAD624D484C9}"/>
    <cellStyle name="Comma 2 2 5 4 4 2 3" xfId="24166" xr:uid="{A098C4A7-AEE8-408D-8278-495F38D22910}"/>
    <cellStyle name="Comma 2 2 5 4 4 3" xfId="11158" xr:uid="{F9ACEC8F-E66E-4EF0-B649-E09FC185BCAD}"/>
    <cellStyle name="Comma 2 2 5 4 4 3 2" xfId="28502" xr:uid="{9285AE68-8922-4EEE-91FD-4D7CAEC1C89E}"/>
    <cellStyle name="Comma 2 2 5 4 4 4" xfId="19830" xr:uid="{E232C143-A9A4-48D7-AB85-2FE57D87D32B}"/>
    <cellStyle name="Comma 2 2 5 4 5" xfId="4654" xr:uid="{057A4249-53BE-4488-887B-B799B77685A7}"/>
    <cellStyle name="Comma 2 2 5 4 5 2" xfId="13326" xr:uid="{DDEB8C16-ABDF-400C-94DE-FA2013953CF7}"/>
    <cellStyle name="Comma 2 2 5 4 5 2 2" xfId="30670" xr:uid="{424D13AC-709E-47A2-B49C-577CF94A8816}"/>
    <cellStyle name="Comma 2 2 5 4 5 3" xfId="21998" xr:uid="{C30A32A2-D9A4-4512-87E4-D5981305DFF5}"/>
    <cellStyle name="Comma 2 2 5 4 6" xfId="8990" xr:uid="{EC22DD37-8368-4E1C-B45F-4B37202BB549}"/>
    <cellStyle name="Comma 2 2 5 4 6 2" xfId="26334" xr:uid="{3013E661-DD08-4EC1-9854-55FCE3F02A99}"/>
    <cellStyle name="Comma 2 2 5 4 7" xfId="17662" xr:uid="{73278FDB-75F3-4123-B99B-B22F49171E1F}"/>
    <cellStyle name="Comma 2 2 5 5" xfId="589" xr:uid="{19B89F5D-9B6C-4C47-AB65-66BCFC582DE1}"/>
    <cellStyle name="Comma 2 2 5 5 2" xfId="1673" xr:uid="{68545E63-777C-4E75-8438-FE3301E5A86F}"/>
    <cellStyle name="Comma 2 2 5 5 2 2" xfId="3841" xr:uid="{DD718E57-0AB0-412F-BFFC-7BB3AA2333FA}"/>
    <cellStyle name="Comma 2 2 5 5 2 2 2" xfId="8177" xr:uid="{6048E9BF-FD7A-4D62-92CF-B3A828468384}"/>
    <cellStyle name="Comma 2 2 5 5 2 2 2 2" xfId="16849" xr:uid="{8047E028-3FCB-4355-ACB6-56507CC24119}"/>
    <cellStyle name="Comma 2 2 5 5 2 2 2 2 2" xfId="34193" xr:uid="{44797571-BD3B-4977-9720-2C27AD5A3344}"/>
    <cellStyle name="Comma 2 2 5 5 2 2 2 3" xfId="25521" xr:uid="{D8E000CA-E74F-4B82-AA03-2701CB82C9BE}"/>
    <cellStyle name="Comma 2 2 5 5 2 2 3" xfId="12513" xr:uid="{FB94D3FE-1DE5-4408-8415-5511FC83CEC9}"/>
    <cellStyle name="Comma 2 2 5 5 2 2 3 2" xfId="29857" xr:uid="{AFCE760B-253B-4CF2-A957-DAF1950AF7FE}"/>
    <cellStyle name="Comma 2 2 5 5 2 2 4" xfId="21185" xr:uid="{70045455-DC73-4160-9361-2C5348D10906}"/>
    <cellStyle name="Comma 2 2 5 5 2 3" xfId="6009" xr:uid="{3DFE6A55-BD1C-4C1C-B32E-3FEF0034F46C}"/>
    <cellStyle name="Comma 2 2 5 5 2 3 2" xfId="14681" xr:uid="{7EBCA8E3-0131-4BDA-BBE3-FDECABA37828}"/>
    <cellStyle name="Comma 2 2 5 5 2 3 2 2" xfId="32025" xr:uid="{E67469E0-865F-4B16-B501-FFCD6DCD9BC4}"/>
    <cellStyle name="Comma 2 2 5 5 2 3 3" xfId="23353" xr:uid="{53B8F8CB-6AC4-482C-819A-9F5F5FCAA7CF}"/>
    <cellStyle name="Comma 2 2 5 5 2 4" xfId="10345" xr:uid="{7F392A59-1175-4347-908D-79DE555CE0C2}"/>
    <cellStyle name="Comma 2 2 5 5 2 4 2" xfId="27689" xr:uid="{660B72E7-4077-4133-9F82-03564523D5D2}"/>
    <cellStyle name="Comma 2 2 5 5 2 5" xfId="19017" xr:uid="{2AA6A5DE-60BD-4ABD-A7BD-BEFE5CEC7FEE}"/>
    <cellStyle name="Comma 2 2 5 5 3" xfId="2757" xr:uid="{54AE968E-7BEC-4E4B-A7ED-942E8137DF2B}"/>
    <cellStyle name="Comma 2 2 5 5 3 2" xfId="7093" xr:uid="{412AAE28-2468-421F-8D12-12A61AB5F6F3}"/>
    <cellStyle name="Comma 2 2 5 5 3 2 2" xfId="15765" xr:uid="{889C1B41-4F42-4EE9-AA37-85B55F69533C}"/>
    <cellStyle name="Comma 2 2 5 5 3 2 2 2" xfId="33109" xr:uid="{89B2B2A5-B87F-457B-9AF8-DC58589C13F8}"/>
    <cellStyle name="Comma 2 2 5 5 3 2 3" xfId="24437" xr:uid="{024AD4D5-CB88-4E35-99E3-FB9D703A8801}"/>
    <cellStyle name="Comma 2 2 5 5 3 3" xfId="11429" xr:uid="{FD213B6D-E1C3-43DD-97EF-70A8EE67D93F}"/>
    <cellStyle name="Comma 2 2 5 5 3 3 2" xfId="28773" xr:uid="{8EAAFDA7-7C7F-457E-84EF-E088A5E54B52}"/>
    <cellStyle name="Comma 2 2 5 5 3 4" xfId="20101" xr:uid="{DF537FDA-942D-4172-A80D-7781D314B80A}"/>
    <cellStyle name="Comma 2 2 5 5 4" xfId="4925" xr:uid="{CA429FB7-1315-422C-9E7B-AFB03A4411D6}"/>
    <cellStyle name="Comma 2 2 5 5 4 2" xfId="13597" xr:uid="{1BE925AA-8034-4D67-9DA7-8B3A25B3081C}"/>
    <cellStyle name="Comma 2 2 5 5 4 2 2" xfId="30941" xr:uid="{FD2695B2-E344-436A-92A4-E5D0D7212EBD}"/>
    <cellStyle name="Comma 2 2 5 5 4 3" xfId="22269" xr:uid="{C257339D-7008-46A3-91DC-03E3CEF286B3}"/>
    <cellStyle name="Comma 2 2 5 5 5" xfId="9261" xr:uid="{9D1FC429-1236-4542-88F6-F22F664ECDA1}"/>
    <cellStyle name="Comma 2 2 5 5 5 2" xfId="26605" xr:uid="{B26DD49E-CEEA-4103-88B3-D79A241284E0}"/>
    <cellStyle name="Comma 2 2 5 5 6" xfId="17933" xr:uid="{97D4AAAE-7C4B-4D07-B57C-C7762FE76971}"/>
    <cellStyle name="Comma 2 2 5 6" xfId="1132" xr:uid="{44A76F33-08C4-480F-B9C8-EB5CB5E41A0B}"/>
    <cellStyle name="Comma 2 2 5 6 2" xfId="3300" xr:uid="{8AAF44AA-1FC1-49B3-8EDF-DE18C0331F8C}"/>
    <cellStyle name="Comma 2 2 5 6 2 2" xfId="7636" xr:uid="{4244E301-4ABE-4889-BD25-036ABEF7B807}"/>
    <cellStyle name="Comma 2 2 5 6 2 2 2" xfId="16308" xr:uid="{EAB38570-5ED7-4002-A8B7-88D471ED6AE3}"/>
    <cellStyle name="Comma 2 2 5 6 2 2 2 2" xfId="33652" xr:uid="{F5CE9253-C775-442D-B809-2672E9D0ADC2}"/>
    <cellStyle name="Comma 2 2 5 6 2 2 3" xfId="24980" xr:uid="{B9DD739D-8054-4EC0-8F4C-2DB0C48B8BDD}"/>
    <cellStyle name="Comma 2 2 5 6 2 3" xfId="11972" xr:uid="{F2F90DD4-6ABC-4813-89CC-527E2F280460}"/>
    <cellStyle name="Comma 2 2 5 6 2 3 2" xfId="29316" xr:uid="{52AF8B59-DF1C-411F-8A80-E05D0BD38483}"/>
    <cellStyle name="Comma 2 2 5 6 2 4" xfId="20644" xr:uid="{7F73DCCC-1E1B-4831-9E4A-626D62341C6A}"/>
    <cellStyle name="Comma 2 2 5 6 3" xfId="5468" xr:uid="{D0E2D860-E277-4F8E-AC83-F0F8D762DC46}"/>
    <cellStyle name="Comma 2 2 5 6 3 2" xfId="14140" xr:uid="{C1A2CD40-F688-4466-8C2C-F58A5B017AFF}"/>
    <cellStyle name="Comma 2 2 5 6 3 2 2" xfId="31484" xr:uid="{EA953B39-5379-4D50-A59F-2A3C57D57BDA}"/>
    <cellStyle name="Comma 2 2 5 6 3 3" xfId="22812" xr:uid="{158F4E27-ABAE-427C-96BF-B0DC71E63DD0}"/>
    <cellStyle name="Comma 2 2 5 6 4" xfId="9804" xr:uid="{580BDF88-44CB-4604-8B31-5482FE278BD7}"/>
    <cellStyle name="Comma 2 2 5 6 4 2" xfId="27148" xr:uid="{0F650653-6D97-40B5-A308-8B3AD91FFC67}"/>
    <cellStyle name="Comma 2 2 5 6 5" xfId="18476" xr:uid="{B47F0A25-12E8-49DD-8900-F6B5B6C94B2B}"/>
    <cellStyle name="Comma 2 2 5 7" xfId="2216" xr:uid="{049724F0-CA80-4CB7-92CF-A19ADE9A4CF7}"/>
    <cellStyle name="Comma 2 2 5 7 2" xfId="6552" xr:uid="{E6C9FADB-26BB-4BDB-829D-41099C520148}"/>
    <cellStyle name="Comma 2 2 5 7 2 2" xfId="15224" xr:uid="{8030BAE5-169C-4402-8F3B-3C05BA94D451}"/>
    <cellStyle name="Comma 2 2 5 7 2 2 2" xfId="32568" xr:uid="{2A60C7CB-D3A4-406B-9AAF-AB71CBC5B693}"/>
    <cellStyle name="Comma 2 2 5 7 2 3" xfId="23896" xr:uid="{145D148D-890C-4537-9046-DA2D06B30CCA}"/>
    <cellStyle name="Comma 2 2 5 7 3" xfId="10888" xr:uid="{97582B0A-D6D5-458D-9724-48286D71DC80}"/>
    <cellStyle name="Comma 2 2 5 7 3 2" xfId="28232" xr:uid="{95A4DB8E-9022-4067-8E0E-FF2DAD348CD0}"/>
    <cellStyle name="Comma 2 2 5 7 4" xfId="19560" xr:uid="{93552B81-1414-4B53-853F-E9EACB2A3907}"/>
    <cellStyle name="Comma 2 2 5 8" xfId="4384" xr:uid="{FC533CD7-32F5-483C-8512-314FEF6D8552}"/>
    <cellStyle name="Comma 2 2 5 8 2" xfId="13056" xr:uid="{1E34C123-E728-4CD9-958A-C87E18D9FA1E}"/>
    <cellStyle name="Comma 2 2 5 8 2 2" xfId="30400" xr:uid="{19AFE932-D7FD-405D-9003-0FC52BA89448}"/>
    <cellStyle name="Comma 2 2 5 8 3" xfId="21728" xr:uid="{AF21BC33-48D5-4F6F-9EED-0AF76E7B9479}"/>
    <cellStyle name="Comma 2 2 5 9" xfId="8720" xr:uid="{231A4877-8FCC-48B1-9C17-D8644EB6E2CB}"/>
    <cellStyle name="Comma 2 2 5 9 2" xfId="26064" xr:uid="{CB22C943-9339-4486-B381-FE2A6F1F04BE}"/>
    <cellStyle name="Comma 2 2 6" xfId="55" xr:uid="{028EF0B1-EAB3-45A8-8303-3D1752D4F257}"/>
    <cellStyle name="Comma 2 2 6 10" xfId="17399" xr:uid="{7CE14C5F-47C6-403F-ABD2-C2E987BA0B3F}"/>
    <cellStyle name="Comma 2 2 6 2" xfId="116" xr:uid="{5C10DEF0-15EE-40C4-91BD-C32BD76EA88C}"/>
    <cellStyle name="Comma 2 2 6 2 2" xfId="238" xr:uid="{544B74EE-2B7D-44DB-A3E0-05E00885E590}"/>
    <cellStyle name="Comma 2 2 6 2 2 2" xfId="508" xr:uid="{5A56F65F-3B15-4F72-9708-F7AA8576BF3D}"/>
    <cellStyle name="Comma 2 2 6 2 2 2 2" xfId="1049" xr:uid="{9CCEA777-DD9D-4E8C-8E0A-A12AC39A7B94}"/>
    <cellStyle name="Comma 2 2 6 2 2 2 2 2" xfId="2133" xr:uid="{C7907BC6-AC79-409D-852A-109BBB891CE9}"/>
    <cellStyle name="Comma 2 2 6 2 2 2 2 2 2" xfId="4301" xr:uid="{08A17CDB-6EB6-4C5A-8272-63A2BA439BB6}"/>
    <cellStyle name="Comma 2 2 6 2 2 2 2 2 2 2" xfId="8637" xr:uid="{48D00AF9-B286-4BF4-9CFE-55054E673646}"/>
    <cellStyle name="Comma 2 2 6 2 2 2 2 2 2 2 2" xfId="17309" xr:uid="{2834545D-0F39-41A2-8BCB-690ADD54108E}"/>
    <cellStyle name="Comma 2 2 6 2 2 2 2 2 2 2 2 2" xfId="34653" xr:uid="{395E9E06-B25F-45AD-B8CC-7AB29CDE2B6A}"/>
    <cellStyle name="Comma 2 2 6 2 2 2 2 2 2 2 3" xfId="25981" xr:uid="{171D38C6-DE39-4966-A888-E13600C0486E}"/>
    <cellStyle name="Comma 2 2 6 2 2 2 2 2 2 3" xfId="12973" xr:uid="{929A0E58-82DF-4250-A884-846B92279862}"/>
    <cellStyle name="Comma 2 2 6 2 2 2 2 2 2 3 2" xfId="30317" xr:uid="{DA6257C4-4848-4ED1-A054-844B104DB6E0}"/>
    <cellStyle name="Comma 2 2 6 2 2 2 2 2 2 4" xfId="21645" xr:uid="{D357169E-4A2F-4F60-A747-F273E8522B97}"/>
    <cellStyle name="Comma 2 2 6 2 2 2 2 2 3" xfId="6469" xr:uid="{980CAABC-8670-422C-BAC3-E300B33D2315}"/>
    <cellStyle name="Comma 2 2 6 2 2 2 2 2 3 2" xfId="15141" xr:uid="{ED5C2F65-4157-4CC2-BB55-9702C3D4E80A}"/>
    <cellStyle name="Comma 2 2 6 2 2 2 2 2 3 2 2" xfId="32485" xr:uid="{B22A6BA2-7785-4F27-8BB0-D66E677CB9FC}"/>
    <cellStyle name="Comma 2 2 6 2 2 2 2 2 3 3" xfId="23813" xr:uid="{F87E07BF-2014-406A-B21C-CEEA2390307E}"/>
    <cellStyle name="Comma 2 2 6 2 2 2 2 2 4" xfId="10805" xr:uid="{CFF87BD4-202F-431C-9839-0ED5251CA56B}"/>
    <cellStyle name="Comma 2 2 6 2 2 2 2 2 4 2" xfId="28149" xr:uid="{B95F3708-6BB8-4944-B88F-2546384AFC57}"/>
    <cellStyle name="Comma 2 2 6 2 2 2 2 2 5" xfId="19477" xr:uid="{B00F1412-B33D-4F42-837A-4053C58FEDDC}"/>
    <cellStyle name="Comma 2 2 6 2 2 2 2 3" xfId="3217" xr:uid="{222D7510-5455-4DD1-A3E9-0192F00F8FD4}"/>
    <cellStyle name="Comma 2 2 6 2 2 2 2 3 2" xfId="7553" xr:uid="{769F09C4-E5FC-462F-932D-6D5FB272FDA7}"/>
    <cellStyle name="Comma 2 2 6 2 2 2 2 3 2 2" xfId="16225" xr:uid="{D24338AD-5132-4F4A-872E-5AFDE93CB5C9}"/>
    <cellStyle name="Comma 2 2 6 2 2 2 2 3 2 2 2" xfId="33569" xr:uid="{7A2EFB4A-C9BD-4DAD-9A3D-5BFDC220D1F3}"/>
    <cellStyle name="Comma 2 2 6 2 2 2 2 3 2 3" xfId="24897" xr:uid="{238EC1ED-B040-4A56-B7CB-A7A8D484E7A7}"/>
    <cellStyle name="Comma 2 2 6 2 2 2 2 3 3" xfId="11889" xr:uid="{3DADDD4D-93FA-43A8-9317-3E7DF9A8BDA2}"/>
    <cellStyle name="Comma 2 2 6 2 2 2 2 3 3 2" xfId="29233" xr:uid="{0B689A3B-FF6D-484C-9569-33FDB87BD989}"/>
    <cellStyle name="Comma 2 2 6 2 2 2 2 3 4" xfId="20561" xr:uid="{F4ADAFCE-C753-4AAF-8ABB-3488A132D12B}"/>
    <cellStyle name="Comma 2 2 6 2 2 2 2 4" xfId="5385" xr:uid="{FC3DFF5B-B463-4342-9FD6-88970491AAF2}"/>
    <cellStyle name="Comma 2 2 6 2 2 2 2 4 2" xfId="14057" xr:uid="{E83977DF-C46C-4643-AE68-FDED1EA24D67}"/>
    <cellStyle name="Comma 2 2 6 2 2 2 2 4 2 2" xfId="31401" xr:uid="{51A16EC5-2DC8-4463-9FC5-B815DA69CBDB}"/>
    <cellStyle name="Comma 2 2 6 2 2 2 2 4 3" xfId="22729" xr:uid="{1271EAE3-BD54-4E5F-B037-82C517A34ED1}"/>
    <cellStyle name="Comma 2 2 6 2 2 2 2 5" xfId="9721" xr:uid="{35397903-D9D3-426C-854C-FB7A4B91FEBC}"/>
    <cellStyle name="Comma 2 2 6 2 2 2 2 5 2" xfId="27065" xr:uid="{91F49C69-F482-4817-8967-33944F277D52}"/>
    <cellStyle name="Comma 2 2 6 2 2 2 2 6" xfId="18393" xr:uid="{762D0259-1289-45C9-B376-2D198B2819FE}"/>
    <cellStyle name="Comma 2 2 6 2 2 2 3" xfId="1592" xr:uid="{0A514BC3-10CD-4853-B295-335CC2DC0604}"/>
    <cellStyle name="Comma 2 2 6 2 2 2 3 2" xfId="3760" xr:uid="{C3AA8016-D5F1-4983-BFFF-9A55E2D3B741}"/>
    <cellStyle name="Comma 2 2 6 2 2 2 3 2 2" xfId="8096" xr:uid="{3E145A73-E1BE-4A53-8E5F-76238538D93D}"/>
    <cellStyle name="Comma 2 2 6 2 2 2 3 2 2 2" xfId="16768" xr:uid="{39594567-F9E8-412D-81A6-83A618661892}"/>
    <cellStyle name="Comma 2 2 6 2 2 2 3 2 2 2 2" xfId="34112" xr:uid="{FF6FF27B-FA3C-4AFE-B028-DC1BF18F4498}"/>
    <cellStyle name="Comma 2 2 6 2 2 2 3 2 2 3" xfId="25440" xr:uid="{312113B4-E87A-463D-9FDE-98B087D27878}"/>
    <cellStyle name="Comma 2 2 6 2 2 2 3 2 3" xfId="12432" xr:uid="{69F6A47A-D7BC-47D9-AA33-35A7280854DF}"/>
    <cellStyle name="Comma 2 2 6 2 2 2 3 2 3 2" xfId="29776" xr:uid="{D7D68F10-6087-43C7-A210-44D6F29432CE}"/>
    <cellStyle name="Comma 2 2 6 2 2 2 3 2 4" xfId="21104" xr:uid="{FAB41888-37E9-4C0C-A130-AC2E44E16BA9}"/>
    <cellStyle name="Comma 2 2 6 2 2 2 3 3" xfId="5928" xr:uid="{FE80DBA4-0B39-4FFA-A293-00DC0D7E011C}"/>
    <cellStyle name="Comma 2 2 6 2 2 2 3 3 2" xfId="14600" xr:uid="{BE29B8D3-6FD3-4A28-AAF0-FEB3580B4666}"/>
    <cellStyle name="Comma 2 2 6 2 2 2 3 3 2 2" xfId="31944" xr:uid="{2E6A4B41-4A81-4293-8A6D-859D976F95EA}"/>
    <cellStyle name="Comma 2 2 6 2 2 2 3 3 3" xfId="23272" xr:uid="{998213A7-AC40-4732-9000-0EB8ED7B7EA3}"/>
    <cellStyle name="Comma 2 2 6 2 2 2 3 4" xfId="10264" xr:uid="{BD2B7818-FCFD-4E36-A5FF-499A156488D8}"/>
    <cellStyle name="Comma 2 2 6 2 2 2 3 4 2" xfId="27608" xr:uid="{8EA6776F-0102-45A3-8377-8841C9E49E15}"/>
    <cellStyle name="Comma 2 2 6 2 2 2 3 5" xfId="18936" xr:uid="{14B6E655-3AE6-4589-A565-9A5C3FF5643E}"/>
    <cellStyle name="Comma 2 2 6 2 2 2 4" xfId="2676" xr:uid="{BFCFE6FB-8074-47C5-BFA9-E32F7FBE9F50}"/>
    <cellStyle name="Comma 2 2 6 2 2 2 4 2" xfId="7012" xr:uid="{B57F0249-6FCE-4553-92C3-FF24A40B1EE3}"/>
    <cellStyle name="Comma 2 2 6 2 2 2 4 2 2" xfId="15684" xr:uid="{13F8E687-49B8-4423-A7E6-FA9722AAB3C1}"/>
    <cellStyle name="Comma 2 2 6 2 2 2 4 2 2 2" xfId="33028" xr:uid="{0D14E7FE-46E0-43E1-823A-542EEE6CF251}"/>
    <cellStyle name="Comma 2 2 6 2 2 2 4 2 3" xfId="24356" xr:uid="{91F863FA-EE94-44A5-9B44-277736F77829}"/>
    <cellStyle name="Comma 2 2 6 2 2 2 4 3" xfId="11348" xr:uid="{EDB53724-6746-40A3-B5CE-0DD6B0C57836}"/>
    <cellStyle name="Comma 2 2 6 2 2 2 4 3 2" xfId="28692" xr:uid="{DDC43F78-B5C1-405B-90D8-992E0992959C}"/>
    <cellStyle name="Comma 2 2 6 2 2 2 4 4" xfId="20020" xr:uid="{46D4F5F7-6FB2-4970-B0EF-9C4E83909292}"/>
    <cellStyle name="Comma 2 2 6 2 2 2 5" xfId="4844" xr:uid="{CF57A535-FBA1-4D9A-B117-9A26095C69D5}"/>
    <cellStyle name="Comma 2 2 6 2 2 2 5 2" xfId="13516" xr:uid="{2B22B610-69C0-4570-95A2-82CD27F22753}"/>
    <cellStyle name="Comma 2 2 6 2 2 2 5 2 2" xfId="30860" xr:uid="{E8453BAC-83D2-491E-B214-A972E44B740A}"/>
    <cellStyle name="Comma 2 2 6 2 2 2 5 3" xfId="22188" xr:uid="{A0B2E437-E402-4CE8-B799-8AA9531FB147}"/>
    <cellStyle name="Comma 2 2 6 2 2 2 6" xfId="9180" xr:uid="{90AB34DF-4BB1-4ADD-9597-A1B65FF74916}"/>
    <cellStyle name="Comma 2 2 6 2 2 2 6 2" xfId="26524" xr:uid="{5DA91238-9371-448B-9F87-DBD1348447BC}"/>
    <cellStyle name="Comma 2 2 6 2 2 2 7" xfId="17852" xr:uid="{D322F563-C73B-4BD2-9C8C-DD4A9DDB941D}"/>
    <cellStyle name="Comma 2 2 6 2 2 3" xfId="779" xr:uid="{2DDE46B1-36E0-48F9-AC61-C5DEB36E21E6}"/>
    <cellStyle name="Comma 2 2 6 2 2 3 2" xfId="1863" xr:uid="{31381072-61A3-4074-AC66-A534B8F7C97A}"/>
    <cellStyle name="Comma 2 2 6 2 2 3 2 2" xfId="4031" xr:uid="{5431CC14-EF74-45E7-A478-D7E6715278A9}"/>
    <cellStyle name="Comma 2 2 6 2 2 3 2 2 2" xfId="8367" xr:uid="{FBBD4FD3-68FA-4260-AE5C-253D9BF5F19B}"/>
    <cellStyle name="Comma 2 2 6 2 2 3 2 2 2 2" xfId="17039" xr:uid="{EE207702-F59B-4CFE-99B1-384136CA7160}"/>
    <cellStyle name="Comma 2 2 6 2 2 3 2 2 2 2 2" xfId="34383" xr:uid="{B78935D9-E1FC-4DCB-B7AC-D3DF34FCCDBE}"/>
    <cellStyle name="Comma 2 2 6 2 2 3 2 2 2 3" xfId="25711" xr:uid="{D0BF1C06-B288-4703-B381-FB6ECD943FFA}"/>
    <cellStyle name="Comma 2 2 6 2 2 3 2 2 3" xfId="12703" xr:uid="{EAACF256-55F6-4F1C-A104-748ECA46A3E2}"/>
    <cellStyle name="Comma 2 2 6 2 2 3 2 2 3 2" xfId="30047" xr:uid="{92120829-18B8-4D3A-BBDE-99B691833118}"/>
    <cellStyle name="Comma 2 2 6 2 2 3 2 2 4" xfId="21375" xr:uid="{1C8935C5-C202-42AC-BDEF-434A5E65982E}"/>
    <cellStyle name="Comma 2 2 6 2 2 3 2 3" xfId="6199" xr:uid="{FB670963-36C2-4738-9A08-F516B6B01CD1}"/>
    <cellStyle name="Comma 2 2 6 2 2 3 2 3 2" xfId="14871" xr:uid="{FE15B2F6-19B8-438E-A493-3C60D36AE920}"/>
    <cellStyle name="Comma 2 2 6 2 2 3 2 3 2 2" xfId="32215" xr:uid="{A064C128-2A43-44EA-A2BF-ECDFFECDB74B}"/>
    <cellStyle name="Comma 2 2 6 2 2 3 2 3 3" xfId="23543" xr:uid="{B888C81F-801C-455A-B7B2-341E8A04D387}"/>
    <cellStyle name="Comma 2 2 6 2 2 3 2 4" xfId="10535" xr:uid="{BB4500A7-053D-46DC-8192-E720BADB3D5E}"/>
    <cellStyle name="Comma 2 2 6 2 2 3 2 4 2" xfId="27879" xr:uid="{18B894CA-073F-4571-ADE0-3E4F27084200}"/>
    <cellStyle name="Comma 2 2 6 2 2 3 2 5" xfId="19207" xr:uid="{39F40790-B7A6-4389-AEEF-23B9DC50D254}"/>
    <cellStyle name="Comma 2 2 6 2 2 3 3" xfId="2947" xr:uid="{14AAF1B2-6093-40DF-B730-A3F2B9A31785}"/>
    <cellStyle name="Comma 2 2 6 2 2 3 3 2" xfId="7283" xr:uid="{71B34603-C906-4CC5-A616-196E34F6AC70}"/>
    <cellStyle name="Comma 2 2 6 2 2 3 3 2 2" xfId="15955" xr:uid="{3C83EF0D-F353-4CE4-81DD-F041285DBFB2}"/>
    <cellStyle name="Comma 2 2 6 2 2 3 3 2 2 2" xfId="33299" xr:uid="{1CF69559-FF36-4A63-A1FC-8121BF63D3A3}"/>
    <cellStyle name="Comma 2 2 6 2 2 3 3 2 3" xfId="24627" xr:uid="{D078810B-261A-4FEB-91DC-0ECBE15A5DE1}"/>
    <cellStyle name="Comma 2 2 6 2 2 3 3 3" xfId="11619" xr:uid="{63091F1F-B856-4AB5-AE96-E1AF6EC5FB51}"/>
    <cellStyle name="Comma 2 2 6 2 2 3 3 3 2" xfId="28963" xr:uid="{8869671E-96F6-4B84-BB96-1FFBC5E91F0B}"/>
    <cellStyle name="Comma 2 2 6 2 2 3 3 4" xfId="20291" xr:uid="{6D20AEBF-E98C-4CDB-8D66-314B8420C61B}"/>
    <cellStyle name="Comma 2 2 6 2 2 3 4" xfId="5115" xr:uid="{DECE0356-ED6C-4BD8-9175-9A9AA091BF71}"/>
    <cellStyle name="Comma 2 2 6 2 2 3 4 2" xfId="13787" xr:uid="{173293E8-D4B2-4AAE-9795-387C0164D27E}"/>
    <cellStyle name="Comma 2 2 6 2 2 3 4 2 2" xfId="31131" xr:uid="{A0BCFB51-779C-40F8-835D-832FB29B8971}"/>
    <cellStyle name="Comma 2 2 6 2 2 3 4 3" xfId="22459" xr:uid="{7E1019DE-FDCA-48C5-A6B9-AEAD37A4BD68}"/>
    <cellStyle name="Comma 2 2 6 2 2 3 5" xfId="9451" xr:uid="{96FF760B-E735-4170-A6AB-2DD29FEF11EE}"/>
    <cellStyle name="Comma 2 2 6 2 2 3 5 2" xfId="26795" xr:uid="{2A717C0A-4C13-4B45-8FC3-7BE6024A4285}"/>
    <cellStyle name="Comma 2 2 6 2 2 3 6" xfId="18123" xr:uid="{B7C96AF4-8E9C-4822-8FC8-926A58263CC0}"/>
    <cellStyle name="Comma 2 2 6 2 2 4" xfId="1322" xr:uid="{D030FF69-AB18-4E82-911D-D909224DAF71}"/>
    <cellStyle name="Comma 2 2 6 2 2 4 2" xfId="3490" xr:uid="{0298E76F-DA4B-44D2-9063-0E0C12DE7FA3}"/>
    <cellStyle name="Comma 2 2 6 2 2 4 2 2" xfId="7826" xr:uid="{DBE87565-EFFD-4EE4-B1A3-8D0F4B8F0DFF}"/>
    <cellStyle name="Comma 2 2 6 2 2 4 2 2 2" xfId="16498" xr:uid="{22D5A771-C5F3-4145-9F3D-DB82CF6486D9}"/>
    <cellStyle name="Comma 2 2 6 2 2 4 2 2 2 2" xfId="33842" xr:uid="{57DA1113-0F33-42F6-A82D-10C84095290D}"/>
    <cellStyle name="Comma 2 2 6 2 2 4 2 2 3" xfId="25170" xr:uid="{3308DF28-616E-4307-93B9-00D805A9AA8F}"/>
    <cellStyle name="Comma 2 2 6 2 2 4 2 3" xfId="12162" xr:uid="{BCC2152F-7D33-40E7-B9BE-1DE91080CC84}"/>
    <cellStyle name="Comma 2 2 6 2 2 4 2 3 2" xfId="29506" xr:uid="{CE16EF63-EFCA-47D0-81B2-CCA34CBD91E0}"/>
    <cellStyle name="Comma 2 2 6 2 2 4 2 4" xfId="20834" xr:uid="{DA3D1FBD-F10D-4CBF-B743-A900954AA4B5}"/>
    <cellStyle name="Comma 2 2 6 2 2 4 3" xfId="5658" xr:uid="{BDE5B468-34CD-47F5-A7E8-D517B465A8BF}"/>
    <cellStyle name="Comma 2 2 6 2 2 4 3 2" xfId="14330" xr:uid="{9F84445E-B7A7-4733-8845-0BC1DC0E0DDF}"/>
    <cellStyle name="Comma 2 2 6 2 2 4 3 2 2" xfId="31674" xr:uid="{A35AB5D0-CC5B-420C-ADF7-8F8FACB57E2C}"/>
    <cellStyle name="Comma 2 2 6 2 2 4 3 3" xfId="23002" xr:uid="{B52AF10A-B9E0-4B73-9011-942302141222}"/>
    <cellStyle name="Comma 2 2 6 2 2 4 4" xfId="9994" xr:uid="{B8BE0EA3-AAB1-45CB-BFC5-FBC74B26510B}"/>
    <cellStyle name="Comma 2 2 6 2 2 4 4 2" xfId="27338" xr:uid="{202FF763-FF4C-4FC9-91D9-F02D7604AF5F}"/>
    <cellStyle name="Comma 2 2 6 2 2 4 5" xfId="18666" xr:uid="{91E0B2F4-1AAA-47F6-8A05-9F7A05D3979C}"/>
    <cellStyle name="Comma 2 2 6 2 2 5" xfId="2406" xr:uid="{04EA47AA-D48C-4886-8D38-FDADA17FA552}"/>
    <cellStyle name="Comma 2 2 6 2 2 5 2" xfId="6742" xr:uid="{5C240733-80DA-4139-9C09-8A25C928E84D}"/>
    <cellStyle name="Comma 2 2 6 2 2 5 2 2" xfId="15414" xr:uid="{A37796DE-EC97-44B6-B9C1-C281D02CE839}"/>
    <cellStyle name="Comma 2 2 6 2 2 5 2 2 2" xfId="32758" xr:uid="{04005B5C-8978-41DE-BCF7-1FDBF549862F}"/>
    <cellStyle name="Comma 2 2 6 2 2 5 2 3" xfId="24086" xr:uid="{A3075D4C-29F5-4FCD-9345-46C5F87264C2}"/>
    <cellStyle name="Comma 2 2 6 2 2 5 3" xfId="11078" xr:uid="{3D129BC4-633B-4D79-94A6-8CEC6D8FA359}"/>
    <cellStyle name="Comma 2 2 6 2 2 5 3 2" xfId="28422" xr:uid="{419F6A70-7D76-4D0B-AA71-6475CCEF6009}"/>
    <cellStyle name="Comma 2 2 6 2 2 5 4" xfId="19750" xr:uid="{1FEA50C8-63AF-4FC3-9FD4-1E754ECEA846}"/>
    <cellStyle name="Comma 2 2 6 2 2 6" xfId="4574" xr:uid="{46B1CD03-F5D6-4C30-BC74-49D48FDFA033}"/>
    <cellStyle name="Comma 2 2 6 2 2 6 2" xfId="13246" xr:uid="{2EA9A177-ED3F-47CB-8665-7A08E84E24E3}"/>
    <cellStyle name="Comma 2 2 6 2 2 6 2 2" xfId="30590" xr:uid="{3B072BC3-7FF4-4545-89FD-772FD4B6763C}"/>
    <cellStyle name="Comma 2 2 6 2 2 6 3" xfId="21918" xr:uid="{EBB57380-B7DA-4A48-9A8D-51908667FE7E}"/>
    <cellStyle name="Comma 2 2 6 2 2 7" xfId="8910" xr:uid="{B641A282-FC14-477D-B16B-178E459B5880}"/>
    <cellStyle name="Comma 2 2 6 2 2 7 2" xfId="26254" xr:uid="{3E421DE7-CA71-4CDF-9291-82E784B173E3}"/>
    <cellStyle name="Comma 2 2 6 2 2 8" xfId="17582" xr:uid="{E0032709-AC18-430F-9368-DCA25C241011}"/>
    <cellStyle name="Comma 2 2 6 2 3" xfId="386" xr:uid="{A32FD809-09DD-42F3-AB11-4BBF4AD5AC09}"/>
    <cellStyle name="Comma 2 2 6 2 3 2" xfId="927" xr:uid="{61B5E17A-E1FE-4980-8075-AB36AA6B9B3C}"/>
    <cellStyle name="Comma 2 2 6 2 3 2 2" xfId="2011" xr:uid="{3BC7E681-6C8E-410E-8103-EFF588EDA178}"/>
    <cellStyle name="Comma 2 2 6 2 3 2 2 2" xfId="4179" xr:uid="{8E5CA48B-A9DD-476A-83B2-6168CCC8BC32}"/>
    <cellStyle name="Comma 2 2 6 2 3 2 2 2 2" xfId="8515" xr:uid="{DAD72E01-3F76-4303-8DF6-D2BC0247DE79}"/>
    <cellStyle name="Comma 2 2 6 2 3 2 2 2 2 2" xfId="17187" xr:uid="{7C32D3C9-E507-46EF-B8BB-18752C5AEF5D}"/>
    <cellStyle name="Comma 2 2 6 2 3 2 2 2 2 2 2" xfId="34531" xr:uid="{096D9967-EDA8-4864-9A5B-92E8D13A413E}"/>
    <cellStyle name="Comma 2 2 6 2 3 2 2 2 2 3" xfId="25859" xr:uid="{7AE75914-B6FA-4D71-9E5B-EBF892AFEF45}"/>
    <cellStyle name="Comma 2 2 6 2 3 2 2 2 3" xfId="12851" xr:uid="{6CBC817B-CF48-470C-B316-D0683298ACCA}"/>
    <cellStyle name="Comma 2 2 6 2 3 2 2 2 3 2" xfId="30195" xr:uid="{8D815B1B-C708-4F79-A6E7-DB902A81E86A}"/>
    <cellStyle name="Comma 2 2 6 2 3 2 2 2 4" xfId="21523" xr:uid="{6AACB34E-2F9D-4F31-8A29-6E2786FCEDCE}"/>
    <cellStyle name="Comma 2 2 6 2 3 2 2 3" xfId="6347" xr:uid="{D421828F-8D03-43BF-A98E-F6FC15518858}"/>
    <cellStyle name="Comma 2 2 6 2 3 2 2 3 2" xfId="15019" xr:uid="{890E9633-23EA-4835-9DE2-4E4F935D6271}"/>
    <cellStyle name="Comma 2 2 6 2 3 2 2 3 2 2" xfId="32363" xr:uid="{2D0B9129-9CC8-43DD-B11C-0E1B7EBBD5B3}"/>
    <cellStyle name="Comma 2 2 6 2 3 2 2 3 3" xfId="23691" xr:uid="{4BD77436-4346-4D8F-83D5-3638A59ADAF6}"/>
    <cellStyle name="Comma 2 2 6 2 3 2 2 4" xfId="10683" xr:uid="{676D8740-F6ED-48BF-94D7-AF15DF779CEF}"/>
    <cellStyle name="Comma 2 2 6 2 3 2 2 4 2" xfId="28027" xr:uid="{3853115D-9CA6-4A1E-96B0-C8ACF33D3F5B}"/>
    <cellStyle name="Comma 2 2 6 2 3 2 2 5" xfId="19355" xr:uid="{75543143-6D1B-4BA2-8E62-F4A290AAFACC}"/>
    <cellStyle name="Comma 2 2 6 2 3 2 3" xfId="3095" xr:uid="{74B7938B-8665-4D62-A137-D03F86570E3C}"/>
    <cellStyle name="Comma 2 2 6 2 3 2 3 2" xfId="7431" xr:uid="{AF1AA8FC-97EA-4471-B08E-40D85B24F4FB}"/>
    <cellStyle name="Comma 2 2 6 2 3 2 3 2 2" xfId="16103" xr:uid="{B4353134-64F1-4458-97E9-2C65FC710615}"/>
    <cellStyle name="Comma 2 2 6 2 3 2 3 2 2 2" xfId="33447" xr:uid="{803EB2EF-5A08-4EC6-9BCE-7F37037462A0}"/>
    <cellStyle name="Comma 2 2 6 2 3 2 3 2 3" xfId="24775" xr:uid="{7515F050-37F8-42F6-B6D6-75881C61779A}"/>
    <cellStyle name="Comma 2 2 6 2 3 2 3 3" xfId="11767" xr:uid="{A4934C5C-AB40-4A11-89DF-74D9B64CDA7C}"/>
    <cellStyle name="Comma 2 2 6 2 3 2 3 3 2" xfId="29111" xr:uid="{EFA8E963-62A0-4F36-837D-8B8BA881FA0E}"/>
    <cellStyle name="Comma 2 2 6 2 3 2 3 4" xfId="20439" xr:uid="{CC32F0A2-CA84-4563-B3B1-ABB83C109ACD}"/>
    <cellStyle name="Comma 2 2 6 2 3 2 4" xfId="5263" xr:uid="{446CB0B0-911E-4D7D-BC50-F4E507B76B90}"/>
    <cellStyle name="Comma 2 2 6 2 3 2 4 2" xfId="13935" xr:uid="{B5EDE539-80D7-4F39-A0A1-434C51314D7B}"/>
    <cellStyle name="Comma 2 2 6 2 3 2 4 2 2" xfId="31279" xr:uid="{A79BEB32-7C92-4390-BF71-87929AA64BD1}"/>
    <cellStyle name="Comma 2 2 6 2 3 2 4 3" xfId="22607" xr:uid="{92A40011-3EAE-4F26-AF03-16881B0932D7}"/>
    <cellStyle name="Comma 2 2 6 2 3 2 5" xfId="9599" xr:uid="{7C951E52-2E45-4D27-89EF-6D79044BF450}"/>
    <cellStyle name="Comma 2 2 6 2 3 2 5 2" xfId="26943" xr:uid="{5352AC1A-B1D1-4BD3-A982-A127027D1239}"/>
    <cellStyle name="Comma 2 2 6 2 3 2 6" xfId="18271" xr:uid="{B25D6C7B-FBFA-4D44-896D-573DA566562D}"/>
    <cellStyle name="Comma 2 2 6 2 3 3" xfId="1470" xr:uid="{528B2DA6-7EAD-437E-B28E-3E75EAB11F1E}"/>
    <cellStyle name="Comma 2 2 6 2 3 3 2" xfId="3638" xr:uid="{40922E6C-281E-4CD7-A80B-56F150DD70EB}"/>
    <cellStyle name="Comma 2 2 6 2 3 3 2 2" xfId="7974" xr:uid="{2992D869-9BAA-4891-A51D-A60609E8156E}"/>
    <cellStyle name="Comma 2 2 6 2 3 3 2 2 2" xfId="16646" xr:uid="{CA8BED37-F8C1-4135-83A0-8C73F816D873}"/>
    <cellStyle name="Comma 2 2 6 2 3 3 2 2 2 2" xfId="33990" xr:uid="{3122A310-40B3-4A03-B50C-5B99FF21B1F0}"/>
    <cellStyle name="Comma 2 2 6 2 3 3 2 2 3" xfId="25318" xr:uid="{B21039E5-B212-4FE1-972E-C0D6EBCB8099}"/>
    <cellStyle name="Comma 2 2 6 2 3 3 2 3" xfId="12310" xr:uid="{282283CD-5871-4313-9F10-64588D25F27E}"/>
    <cellStyle name="Comma 2 2 6 2 3 3 2 3 2" xfId="29654" xr:uid="{5A899617-3ABB-40CB-9FA3-453F0C2C1A57}"/>
    <cellStyle name="Comma 2 2 6 2 3 3 2 4" xfId="20982" xr:uid="{CA38CDFA-49D4-4962-B3D7-92934B67B55F}"/>
    <cellStyle name="Comma 2 2 6 2 3 3 3" xfId="5806" xr:uid="{4C6F544D-5602-4628-A4CB-82C73226F4CD}"/>
    <cellStyle name="Comma 2 2 6 2 3 3 3 2" xfId="14478" xr:uid="{FD65718F-AECC-4526-B061-532555AD851C}"/>
    <cellStyle name="Comma 2 2 6 2 3 3 3 2 2" xfId="31822" xr:uid="{4B2A430A-574F-4933-8F85-10DB09055BAE}"/>
    <cellStyle name="Comma 2 2 6 2 3 3 3 3" xfId="23150" xr:uid="{CEE2400C-6D07-4B6F-AEF2-5F0FF2CD0F61}"/>
    <cellStyle name="Comma 2 2 6 2 3 3 4" xfId="10142" xr:uid="{05AB661B-4C52-438D-9FA8-64E9F4D2A789}"/>
    <cellStyle name="Comma 2 2 6 2 3 3 4 2" xfId="27486" xr:uid="{B9857F79-CE55-4B14-B636-48CC83F47307}"/>
    <cellStyle name="Comma 2 2 6 2 3 3 5" xfId="18814" xr:uid="{0630CE18-9F4E-4AE4-BD7E-F18B0C800771}"/>
    <cellStyle name="Comma 2 2 6 2 3 4" xfId="2554" xr:uid="{A22B7EDF-9B38-4688-BAB7-B1A4914518AC}"/>
    <cellStyle name="Comma 2 2 6 2 3 4 2" xfId="6890" xr:uid="{A8F97452-78BB-44CC-BF66-2AF30BD40144}"/>
    <cellStyle name="Comma 2 2 6 2 3 4 2 2" xfId="15562" xr:uid="{C695062C-52A7-4214-BE5E-7EB587B2A0D2}"/>
    <cellStyle name="Comma 2 2 6 2 3 4 2 2 2" xfId="32906" xr:uid="{16881210-C3B3-484F-9475-5CFEB0FD8FB2}"/>
    <cellStyle name="Comma 2 2 6 2 3 4 2 3" xfId="24234" xr:uid="{F2F3CE07-5D5F-41F9-8C05-56690AFD1605}"/>
    <cellStyle name="Comma 2 2 6 2 3 4 3" xfId="11226" xr:uid="{F03CA392-A73C-4764-9C93-000379213CDD}"/>
    <cellStyle name="Comma 2 2 6 2 3 4 3 2" xfId="28570" xr:uid="{31A59CA6-A299-4F52-80C2-3F71F53652B6}"/>
    <cellStyle name="Comma 2 2 6 2 3 4 4" xfId="19898" xr:uid="{FA889FCE-73CB-41E2-BB11-67C2F16EE973}"/>
    <cellStyle name="Comma 2 2 6 2 3 5" xfId="4722" xr:uid="{7D544E77-6AB0-436F-B6E0-D5F37C5C6A6C}"/>
    <cellStyle name="Comma 2 2 6 2 3 5 2" xfId="13394" xr:uid="{E1F063AA-6866-4824-8DEE-02A2045DDB5C}"/>
    <cellStyle name="Comma 2 2 6 2 3 5 2 2" xfId="30738" xr:uid="{E83BA645-6C24-42BF-A590-F7CF38F181CD}"/>
    <cellStyle name="Comma 2 2 6 2 3 5 3" xfId="22066" xr:uid="{DBD0BAC6-DA55-44FC-9EB9-541015B38B16}"/>
    <cellStyle name="Comma 2 2 6 2 3 6" xfId="9058" xr:uid="{29F53326-CAC6-4792-83B4-A9763ADF7563}"/>
    <cellStyle name="Comma 2 2 6 2 3 6 2" xfId="26402" xr:uid="{F713BF56-EE68-4B36-B21F-9E6EF15AA6A7}"/>
    <cellStyle name="Comma 2 2 6 2 3 7" xfId="17730" xr:uid="{FC7AF65F-AB09-4962-8D03-17BE4FBDB828}"/>
    <cellStyle name="Comma 2 2 6 2 4" xfId="657" xr:uid="{74494885-E0BD-429F-83A1-C8FF6904ADEB}"/>
    <cellStyle name="Comma 2 2 6 2 4 2" xfId="1741" xr:uid="{265E9190-1411-46D9-8C15-65CDFB4B564F}"/>
    <cellStyle name="Comma 2 2 6 2 4 2 2" xfId="3909" xr:uid="{5380C63D-8B2B-4E79-ADBB-F6EE9F88CF4A}"/>
    <cellStyle name="Comma 2 2 6 2 4 2 2 2" xfId="8245" xr:uid="{3B3568AB-AC2F-4CDA-AC1F-9AEE7070FBF2}"/>
    <cellStyle name="Comma 2 2 6 2 4 2 2 2 2" xfId="16917" xr:uid="{94A1B858-09CD-4E18-A3C8-75FF57407AFB}"/>
    <cellStyle name="Comma 2 2 6 2 4 2 2 2 2 2" xfId="34261" xr:uid="{EE26886D-723E-4742-AF8D-BC409D0D44F5}"/>
    <cellStyle name="Comma 2 2 6 2 4 2 2 2 3" xfId="25589" xr:uid="{62E893F9-1CB2-4A08-BA45-3E9AF48A12CE}"/>
    <cellStyle name="Comma 2 2 6 2 4 2 2 3" xfId="12581" xr:uid="{DADA2F11-C5F6-42DE-B7B1-E41CB3279956}"/>
    <cellStyle name="Comma 2 2 6 2 4 2 2 3 2" xfId="29925" xr:uid="{DDC5BA70-091C-4673-8A30-8E0B2D84B047}"/>
    <cellStyle name="Comma 2 2 6 2 4 2 2 4" xfId="21253" xr:uid="{D7503B1E-3876-49C8-986C-7A4F977DDD04}"/>
    <cellStyle name="Comma 2 2 6 2 4 2 3" xfId="6077" xr:uid="{16DDB8EB-072A-452D-9CB9-103B6C6F600F}"/>
    <cellStyle name="Comma 2 2 6 2 4 2 3 2" xfId="14749" xr:uid="{29B7C2A4-B529-46BF-A841-76625AD75551}"/>
    <cellStyle name="Comma 2 2 6 2 4 2 3 2 2" xfId="32093" xr:uid="{74A79EC5-7A19-4016-93B9-47AD443E42C7}"/>
    <cellStyle name="Comma 2 2 6 2 4 2 3 3" xfId="23421" xr:uid="{B02B32DE-0CDD-4BFF-B3C2-110C5865C6F4}"/>
    <cellStyle name="Comma 2 2 6 2 4 2 4" xfId="10413" xr:uid="{F3622115-0718-4350-8997-0D4F7168DB24}"/>
    <cellStyle name="Comma 2 2 6 2 4 2 4 2" xfId="27757" xr:uid="{9FC15BAC-BF93-44DA-8FB9-13F088B9BD5C}"/>
    <cellStyle name="Comma 2 2 6 2 4 2 5" xfId="19085" xr:uid="{E4729BD6-3091-40E1-888F-2DB190E75CF7}"/>
    <cellStyle name="Comma 2 2 6 2 4 3" xfId="2825" xr:uid="{14EC611F-6084-433E-842E-1CD522CA6F58}"/>
    <cellStyle name="Comma 2 2 6 2 4 3 2" xfId="7161" xr:uid="{D1D8F352-C335-40BC-BA06-97AFE0BF7E57}"/>
    <cellStyle name="Comma 2 2 6 2 4 3 2 2" xfId="15833" xr:uid="{F06E97D7-A24B-4DC7-BBD6-62DC0D030236}"/>
    <cellStyle name="Comma 2 2 6 2 4 3 2 2 2" xfId="33177" xr:uid="{E0B07BE5-AC9D-4395-9711-0ADC1417BC8F}"/>
    <cellStyle name="Comma 2 2 6 2 4 3 2 3" xfId="24505" xr:uid="{301F5D8C-E020-4FCC-AB80-5133F5F63D31}"/>
    <cellStyle name="Comma 2 2 6 2 4 3 3" xfId="11497" xr:uid="{8AFA5D6F-8402-497A-8676-3EFEC4A859D1}"/>
    <cellStyle name="Comma 2 2 6 2 4 3 3 2" xfId="28841" xr:uid="{89780A21-AF67-430A-B77B-242E2D2CD2C6}"/>
    <cellStyle name="Comma 2 2 6 2 4 3 4" xfId="20169" xr:uid="{EA6CA43E-15E7-4761-A46B-EA0E8F397F70}"/>
    <cellStyle name="Comma 2 2 6 2 4 4" xfId="4993" xr:uid="{5B1611AA-0D47-4893-8D35-E0FF8CF2EC8C}"/>
    <cellStyle name="Comma 2 2 6 2 4 4 2" xfId="13665" xr:uid="{9FFD3CAE-FE5D-43E8-8BF9-A09F8C67EF2C}"/>
    <cellStyle name="Comma 2 2 6 2 4 4 2 2" xfId="31009" xr:uid="{581ABBC0-42A5-49A3-AE02-4B6468AE123A}"/>
    <cellStyle name="Comma 2 2 6 2 4 4 3" xfId="22337" xr:uid="{9A7B6EEE-60F0-4D98-B14A-CE2E778547B6}"/>
    <cellStyle name="Comma 2 2 6 2 4 5" xfId="9329" xr:uid="{FA58824E-8B80-4DA1-A65B-F498F28B30A2}"/>
    <cellStyle name="Comma 2 2 6 2 4 5 2" xfId="26673" xr:uid="{54C49C4A-0D97-49BF-A2B2-FCA8870592D5}"/>
    <cellStyle name="Comma 2 2 6 2 4 6" xfId="18001" xr:uid="{2E492C0E-5AB0-48E3-A5BD-E998A520155C}"/>
    <cellStyle name="Comma 2 2 6 2 5" xfId="1200" xr:uid="{AE31B8D5-972E-4DC5-BF17-130002733AB0}"/>
    <cellStyle name="Comma 2 2 6 2 5 2" xfId="3368" xr:uid="{D04FA2DA-517A-43BA-84DB-2742EC950EED}"/>
    <cellStyle name="Comma 2 2 6 2 5 2 2" xfId="7704" xr:uid="{FA69995B-D674-4215-81FC-FC3BD465C770}"/>
    <cellStyle name="Comma 2 2 6 2 5 2 2 2" xfId="16376" xr:uid="{66B7D2D0-4C1E-4DC1-BA8F-28E24BFF7941}"/>
    <cellStyle name="Comma 2 2 6 2 5 2 2 2 2" xfId="33720" xr:uid="{0CDFFB3A-629A-43CC-97E0-A9943EC7D406}"/>
    <cellStyle name="Comma 2 2 6 2 5 2 2 3" xfId="25048" xr:uid="{E618B12D-FB33-4FCD-9C68-9DE22C1B412E}"/>
    <cellStyle name="Comma 2 2 6 2 5 2 3" xfId="12040" xr:uid="{37B47FB5-7175-48CA-959A-B331442EA653}"/>
    <cellStyle name="Comma 2 2 6 2 5 2 3 2" xfId="29384" xr:uid="{BDA4A938-0A58-4AE1-BB73-10E6A4234BF9}"/>
    <cellStyle name="Comma 2 2 6 2 5 2 4" xfId="20712" xr:uid="{5B599F15-8549-4F3C-B928-045A0F95E929}"/>
    <cellStyle name="Comma 2 2 6 2 5 3" xfId="5536" xr:uid="{E7888F8C-A429-4B59-81D8-1399D9797000}"/>
    <cellStyle name="Comma 2 2 6 2 5 3 2" xfId="14208" xr:uid="{A07E8A01-57C6-4E47-858A-AFE3183CD1CF}"/>
    <cellStyle name="Comma 2 2 6 2 5 3 2 2" xfId="31552" xr:uid="{A581E6CE-0B5B-4B65-B43F-7F5DA0B588FD}"/>
    <cellStyle name="Comma 2 2 6 2 5 3 3" xfId="22880" xr:uid="{B64290BB-EA6F-4C3F-BA47-1BCE67BB3B77}"/>
    <cellStyle name="Comma 2 2 6 2 5 4" xfId="9872" xr:uid="{F6CF0450-25B9-454C-87CB-3733EDAFF442}"/>
    <cellStyle name="Comma 2 2 6 2 5 4 2" xfId="27216" xr:uid="{FBA45606-D3C0-40B1-B0EA-DA92D44A2933}"/>
    <cellStyle name="Comma 2 2 6 2 5 5" xfId="18544" xr:uid="{0280ED8A-646F-400C-9E95-95E638E08030}"/>
    <cellStyle name="Comma 2 2 6 2 6" xfId="2284" xr:uid="{4DD6BDA2-C448-4C78-A772-74DB9F3927D8}"/>
    <cellStyle name="Comma 2 2 6 2 6 2" xfId="6620" xr:uid="{B13481CD-2998-47B7-BBCE-FE247F124A93}"/>
    <cellStyle name="Comma 2 2 6 2 6 2 2" xfId="15292" xr:uid="{C001F369-F61C-4B2E-B103-B937F949B599}"/>
    <cellStyle name="Comma 2 2 6 2 6 2 2 2" xfId="32636" xr:uid="{B8025321-30F9-4940-9A7F-39033D7C8079}"/>
    <cellStyle name="Comma 2 2 6 2 6 2 3" xfId="23964" xr:uid="{88CE92CC-E8EB-4E21-B1BB-DE6A4864A552}"/>
    <cellStyle name="Comma 2 2 6 2 6 3" xfId="10956" xr:uid="{3F3762A2-287D-40E4-8C16-DE92B0E76484}"/>
    <cellStyle name="Comma 2 2 6 2 6 3 2" xfId="28300" xr:uid="{458949CA-E385-4E83-836A-DB480ED92393}"/>
    <cellStyle name="Comma 2 2 6 2 6 4" xfId="19628" xr:uid="{6CC86BBA-F3C2-4B4E-B6B3-8EAB2078704D}"/>
    <cellStyle name="Comma 2 2 6 2 7" xfId="4452" xr:uid="{6322A2F5-B033-4AB0-9C58-FE6DEF5C8AA8}"/>
    <cellStyle name="Comma 2 2 6 2 7 2" xfId="13124" xr:uid="{81598A85-3497-4448-98EC-A532EF6BBC2A}"/>
    <cellStyle name="Comma 2 2 6 2 7 2 2" xfId="30468" xr:uid="{29A0AFC2-872C-4A37-A101-D6CEB26AA31D}"/>
    <cellStyle name="Comma 2 2 6 2 7 3" xfId="21796" xr:uid="{3574B95F-2799-4DC9-B281-8C3A6ED51165}"/>
    <cellStyle name="Comma 2 2 6 2 8" xfId="8788" xr:uid="{9596DE8E-0B63-4140-BA04-73699C4CA355}"/>
    <cellStyle name="Comma 2 2 6 2 8 2" xfId="26132" xr:uid="{88ACD557-682B-420F-87AA-6EF5A77F9F29}"/>
    <cellStyle name="Comma 2 2 6 2 9" xfId="17460" xr:uid="{9C68D8C9-9A97-4F18-9F36-E52B4A1EB530}"/>
    <cellStyle name="Comma 2 2 6 3" xfId="177" xr:uid="{CC276B81-DF26-417B-A328-77E6941C471D}"/>
    <cellStyle name="Comma 2 2 6 3 2" xfId="447" xr:uid="{7B77A7A4-D9BA-4E75-9CEA-04F52E5900B3}"/>
    <cellStyle name="Comma 2 2 6 3 2 2" xfId="988" xr:uid="{84D2B746-56D5-43A1-ADB8-BA94B7561FD2}"/>
    <cellStyle name="Comma 2 2 6 3 2 2 2" xfId="2072" xr:uid="{D3EC0807-B652-4C41-8188-2EBB7D3E6F6A}"/>
    <cellStyle name="Comma 2 2 6 3 2 2 2 2" xfId="4240" xr:uid="{405C0855-DAE6-41E2-8E1D-28CA2377674F}"/>
    <cellStyle name="Comma 2 2 6 3 2 2 2 2 2" xfId="8576" xr:uid="{6F61840C-4963-47D1-AC55-630B0C0EEF71}"/>
    <cellStyle name="Comma 2 2 6 3 2 2 2 2 2 2" xfId="17248" xr:uid="{D41F727F-C9E8-4250-AC71-6DF7F555395A}"/>
    <cellStyle name="Comma 2 2 6 3 2 2 2 2 2 2 2" xfId="34592" xr:uid="{2757A4FD-6865-4C0F-ABFC-11FBC651AD9C}"/>
    <cellStyle name="Comma 2 2 6 3 2 2 2 2 2 3" xfId="25920" xr:uid="{4FE1A55E-D8CC-4B28-87EE-2CC21A468CD0}"/>
    <cellStyle name="Comma 2 2 6 3 2 2 2 2 3" xfId="12912" xr:uid="{3B444C3B-DC0F-4292-B3CB-9BD6F9CA6D6E}"/>
    <cellStyle name="Comma 2 2 6 3 2 2 2 2 3 2" xfId="30256" xr:uid="{5C8C6E76-D5B0-4658-96D5-DEEA27ADB637}"/>
    <cellStyle name="Comma 2 2 6 3 2 2 2 2 4" xfId="21584" xr:uid="{A7B3147D-4BB1-4B14-A22A-917572287D94}"/>
    <cellStyle name="Comma 2 2 6 3 2 2 2 3" xfId="6408" xr:uid="{B0B15F76-8155-43D7-A943-274E5A64A212}"/>
    <cellStyle name="Comma 2 2 6 3 2 2 2 3 2" xfId="15080" xr:uid="{8146EF71-ED51-4CF4-AD25-D893B4A1F4AD}"/>
    <cellStyle name="Comma 2 2 6 3 2 2 2 3 2 2" xfId="32424" xr:uid="{05B43CCE-6D1C-492C-B090-57EEA8BEF227}"/>
    <cellStyle name="Comma 2 2 6 3 2 2 2 3 3" xfId="23752" xr:uid="{C764D836-431C-410D-9546-1B5997D9E882}"/>
    <cellStyle name="Comma 2 2 6 3 2 2 2 4" xfId="10744" xr:uid="{9886BE52-BF87-421F-8E42-C27454E200BC}"/>
    <cellStyle name="Comma 2 2 6 3 2 2 2 4 2" xfId="28088" xr:uid="{21652F6A-CB7A-430E-9872-C972FC86C1F7}"/>
    <cellStyle name="Comma 2 2 6 3 2 2 2 5" xfId="19416" xr:uid="{E657834A-5947-4A30-A16C-E53EB56DA476}"/>
    <cellStyle name="Comma 2 2 6 3 2 2 3" xfId="3156" xr:uid="{4186C1DA-8A7B-4055-A215-6333FA9563E0}"/>
    <cellStyle name="Comma 2 2 6 3 2 2 3 2" xfId="7492" xr:uid="{07A10EED-D6CD-4AF7-8C74-839B2270581F}"/>
    <cellStyle name="Comma 2 2 6 3 2 2 3 2 2" xfId="16164" xr:uid="{538F421B-5320-44A4-A451-924B184744C5}"/>
    <cellStyle name="Comma 2 2 6 3 2 2 3 2 2 2" xfId="33508" xr:uid="{2927E4BE-C8B5-46E1-938B-E673C1480995}"/>
    <cellStyle name="Comma 2 2 6 3 2 2 3 2 3" xfId="24836" xr:uid="{C0CB9F77-3B44-4EF1-B9DD-DAF1478724B8}"/>
    <cellStyle name="Comma 2 2 6 3 2 2 3 3" xfId="11828" xr:uid="{C24C5C41-6FAC-4922-99E5-A34078024008}"/>
    <cellStyle name="Comma 2 2 6 3 2 2 3 3 2" xfId="29172" xr:uid="{439D2032-6C72-415E-A8A6-80CD577CE9E7}"/>
    <cellStyle name="Comma 2 2 6 3 2 2 3 4" xfId="20500" xr:uid="{C206E0AB-7D27-4A30-B817-FC938AD2C033}"/>
    <cellStyle name="Comma 2 2 6 3 2 2 4" xfId="5324" xr:uid="{373AA075-ABF2-4475-9A7E-46C4E1C54696}"/>
    <cellStyle name="Comma 2 2 6 3 2 2 4 2" xfId="13996" xr:uid="{A78E6FDC-8040-4D33-845A-F6D27DE14A85}"/>
    <cellStyle name="Comma 2 2 6 3 2 2 4 2 2" xfId="31340" xr:uid="{70C66FD3-EF3A-4A6C-A0AA-D6EA839C8E12}"/>
    <cellStyle name="Comma 2 2 6 3 2 2 4 3" xfId="22668" xr:uid="{31BFE3F0-99F7-4CC3-AFF8-8EDD6A5D793E}"/>
    <cellStyle name="Comma 2 2 6 3 2 2 5" xfId="9660" xr:uid="{94AD0405-2EE2-4DE6-B584-3D2E8A74C159}"/>
    <cellStyle name="Comma 2 2 6 3 2 2 5 2" xfId="27004" xr:uid="{32C2EEC4-68F2-4D16-9167-11C10597FE81}"/>
    <cellStyle name="Comma 2 2 6 3 2 2 6" xfId="18332" xr:uid="{02784089-5A3B-4976-9167-97DD4C03CCE9}"/>
    <cellStyle name="Comma 2 2 6 3 2 3" xfId="1531" xr:uid="{AF9E8DC1-C2D0-481E-94AF-2926C60B3FE5}"/>
    <cellStyle name="Comma 2 2 6 3 2 3 2" xfId="3699" xr:uid="{1AAC006D-A15B-47F5-9FC9-F2006DED161D}"/>
    <cellStyle name="Comma 2 2 6 3 2 3 2 2" xfId="8035" xr:uid="{BBE15C9A-6E26-4D91-88DA-4591D27A86AD}"/>
    <cellStyle name="Comma 2 2 6 3 2 3 2 2 2" xfId="16707" xr:uid="{5A84D633-E9D4-40C9-9D72-2D4BB867941F}"/>
    <cellStyle name="Comma 2 2 6 3 2 3 2 2 2 2" xfId="34051" xr:uid="{69F3DD3C-CB57-4350-8A99-216F1D31BF2D}"/>
    <cellStyle name="Comma 2 2 6 3 2 3 2 2 3" xfId="25379" xr:uid="{AD8CE344-5943-4828-B26C-6FE637E2853E}"/>
    <cellStyle name="Comma 2 2 6 3 2 3 2 3" xfId="12371" xr:uid="{4E21C8F0-E371-4A5A-A3F6-41F89C85AED5}"/>
    <cellStyle name="Comma 2 2 6 3 2 3 2 3 2" xfId="29715" xr:uid="{F0B68272-13D8-4D83-A49E-9C9FE52238AF}"/>
    <cellStyle name="Comma 2 2 6 3 2 3 2 4" xfId="21043" xr:uid="{9287572E-20A3-43A8-A542-072F0CC0BF9F}"/>
    <cellStyle name="Comma 2 2 6 3 2 3 3" xfId="5867" xr:uid="{1087406E-86E0-4160-958B-FD0D57851D80}"/>
    <cellStyle name="Comma 2 2 6 3 2 3 3 2" xfId="14539" xr:uid="{91B44730-83FB-4D70-880D-C6D01F98C22F}"/>
    <cellStyle name="Comma 2 2 6 3 2 3 3 2 2" xfId="31883" xr:uid="{3D5B45BA-0A0F-413D-ACB8-0DEFDB36B063}"/>
    <cellStyle name="Comma 2 2 6 3 2 3 3 3" xfId="23211" xr:uid="{E9A760F2-3DC7-4688-B60C-8D63981FDDBB}"/>
    <cellStyle name="Comma 2 2 6 3 2 3 4" xfId="10203" xr:uid="{45311259-15FA-4FAD-BBE0-D73A1BB71B0A}"/>
    <cellStyle name="Comma 2 2 6 3 2 3 4 2" xfId="27547" xr:uid="{6C547A17-93E4-4030-BCFE-1F42D1F8DD0D}"/>
    <cellStyle name="Comma 2 2 6 3 2 3 5" xfId="18875" xr:uid="{E592DDEF-928C-43B2-9D44-2ABD3F5DCB73}"/>
    <cellStyle name="Comma 2 2 6 3 2 4" xfId="2615" xr:uid="{980EBA30-151A-4D92-B64D-4F04622A7DD0}"/>
    <cellStyle name="Comma 2 2 6 3 2 4 2" xfId="6951" xr:uid="{AE106DE9-B82D-4A1F-90D4-1564CF956497}"/>
    <cellStyle name="Comma 2 2 6 3 2 4 2 2" xfId="15623" xr:uid="{0EC4311D-939D-4CEA-AE1D-E7534BA82E78}"/>
    <cellStyle name="Comma 2 2 6 3 2 4 2 2 2" xfId="32967" xr:uid="{F82D639A-8DEE-44EA-94DE-8D45C4D2DEEA}"/>
    <cellStyle name="Comma 2 2 6 3 2 4 2 3" xfId="24295" xr:uid="{C97023FA-6720-46CC-8436-C8186502CF59}"/>
    <cellStyle name="Comma 2 2 6 3 2 4 3" xfId="11287" xr:uid="{36158CCD-6454-4FDC-8069-B3AFFEFD1ED3}"/>
    <cellStyle name="Comma 2 2 6 3 2 4 3 2" xfId="28631" xr:uid="{836FA0F1-7B5D-4395-815A-C29C07B8227E}"/>
    <cellStyle name="Comma 2 2 6 3 2 4 4" xfId="19959" xr:uid="{0560316B-A533-4C2E-8E21-E239834C4E76}"/>
    <cellStyle name="Comma 2 2 6 3 2 5" xfId="4783" xr:uid="{155BE9F1-28D5-4DB6-8CBF-73E2A2369076}"/>
    <cellStyle name="Comma 2 2 6 3 2 5 2" xfId="13455" xr:uid="{B7F9B9BB-E0A4-44EF-BE77-BE9D17EC852E}"/>
    <cellStyle name="Comma 2 2 6 3 2 5 2 2" xfId="30799" xr:uid="{F456EA3A-CCAA-4BA8-B87B-1B03F41ADC9F}"/>
    <cellStyle name="Comma 2 2 6 3 2 5 3" xfId="22127" xr:uid="{DB24CE8D-AC07-43D5-AD77-5C9F5443C7A4}"/>
    <cellStyle name="Comma 2 2 6 3 2 6" xfId="9119" xr:uid="{80A51D52-C139-4662-AA5A-62B5CE2E60FD}"/>
    <cellStyle name="Comma 2 2 6 3 2 6 2" xfId="26463" xr:uid="{1E95E49E-32E2-4DC7-B697-FB213FF1803C}"/>
    <cellStyle name="Comma 2 2 6 3 2 7" xfId="17791" xr:uid="{F1ABF6D6-BD3C-4356-99A5-62480416BD6B}"/>
    <cellStyle name="Comma 2 2 6 3 3" xfId="718" xr:uid="{09AF0770-6DEE-4F29-8CFA-D21F9FFF5768}"/>
    <cellStyle name="Comma 2 2 6 3 3 2" xfId="1802" xr:uid="{6E9F1E5C-1E4B-49C7-ADF8-411C70B9762A}"/>
    <cellStyle name="Comma 2 2 6 3 3 2 2" xfId="3970" xr:uid="{FC5621F8-6B1C-43AD-B55E-3320646022A6}"/>
    <cellStyle name="Comma 2 2 6 3 3 2 2 2" xfId="8306" xr:uid="{918CA412-0253-45ED-B485-060B83CE48E6}"/>
    <cellStyle name="Comma 2 2 6 3 3 2 2 2 2" xfId="16978" xr:uid="{2F42EBBB-BEA6-432B-A679-FD580D94D3FB}"/>
    <cellStyle name="Comma 2 2 6 3 3 2 2 2 2 2" xfId="34322" xr:uid="{2C980B51-B24E-4216-8B4E-1C4FA9F4BFB1}"/>
    <cellStyle name="Comma 2 2 6 3 3 2 2 2 3" xfId="25650" xr:uid="{D033F8B5-2242-4A47-B8D3-F52F0EB950C5}"/>
    <cellStyle name="Comma 2 2 6 3 3 2 2 3" xfId="12642" xr:uid="{4A83AD2D-D125-45F2-8643-721F4FABFCD2}"/>
    <cellStyle name="Comma 2 2 6 3 3 2 2 3 2" xfId="29986" xr:uid="{39E79175-48DC-4066-B8AF-A62B83897F6E}"/>
    <cellStyle name="Comma 2 2 6 3 3 2 2 4" xfId="21314" xr:uid="{0B5F1DD3-4F8B-43F7-BB69-2ECFEFFCEC31}"/>
    <cellStyle name="Comma 2 2 6 3 3 2 3" xfId="6138" xr:uid="{0565066D-63D3-4519-9C66-27644D0EE297}"/>
    <cellStyle name="Comma 2 2 6 3 3 2 3 2" xfId="14810" xr:uid="{DEB416B2-28E9-4C09-9C25-9196EB3A40C3}"/>
    <cellStyle name="Comma 2 2 6 3 3 2 3 2 2" xfId="32154" xr:uid="{3BA79302-01AC-4EC2-BF01-F645D72FAF3A}"/>
    <cellStyle name="Comma 2 2 6 3 3 2 3 3" xfId="23482" xr:uid="{66B38D26-691E-4F71-A803-04C7E2AD7F80}"/>
    <cellStyle name="Comma 2 2 6 3 3 2 4" xfId="10474" xr:uid="{20D7E7F7-84A1-4A64-BF32-FCA537CEDC2C}"/>
    <cellStyle name="Comma 2 2 6 3 3 2 4 2" xfId="27818" xr:uid="{7D489061-E161-452E-A0C9-E9A1FA69FC1F}"/>
    <cellStyle name="Comma 2 2 6 3 3 2 5" xfId="19146" xr:uid="{4B8A5153-8842-4D32-8D98-F17430ECBCC3}"/>
    <cellStyle name="Comma 2 2 6 3 3 3" xfId="2886" xr:uid="{6CA29ED8-0D9C-425D-98BF-E38E52051948}"/>
    <cellStyle name="Comma 2 2 6 3 3 3 2" xfId="7222" xr:uid="{918E4F21-7E66-4312-BF7F-A34EF46BCC7C}"/>
    <cellStyle name="Comma 2 2 6 3 3 3 2 2" xfId="15894" xr:uid="{FEE27774-D95B-4CED-920A-68A9DCFC9D60}"/>
    <cellStyle name="Comma 2 2 6 3 3 3 2 2 2" xfId="33238" xr:uid="{E2581422-8809-4B93-B443-668249ED026C}"/>
    <cellStyle name="Comma 2 2 6 3 3 3 2 3" xfId="24566" xr:uid="{43C8F59C-AA3D-47F8-9161-E7559785992A}"/>
    <cellStyle name="Comma 2 2 6 3 3 3 3" xfId="11558" xr:uid="{018CAAF7-8F1C-4917-ACED-D4CE17106735}"/>
    <cellStyle name="Comma 2 2 6 3 3 3 3 2" xfId="28902" xr:uid="{16BF9E74-24DE-4BD0-B270-EAFD193E38B0}"/>
    <cellStyle name="Comma 2 2 6 3 3 3 4" xfId="20230" xr:uid="{2670A4FD-8BAF-4376-B0E5-72024E4A1399}"/>
    <cellStyle name="Comma 2 2 6 3 3 4" xfId="5054" xr:uid="{30D43028-EB66-48D0-8C5C-982E3758A1E2}"/>
    <cellStyle name="Comma 2 2 6 3 3 4 2" xfId="13726" xr:uid="{79574315-35CF-4EDE-A18B-2056E6CBD700}"/>
    <cellStyle name="Comma 2 2 6 3 3 4 2 2" xfId="31070" xr:uid="{8E761530-4E3B-4537-8DDD-EDEFEF834DFB}"/>
    <cellStyle name="Comma 2 2 6 3 3 4 3" xfId="22398" xr:uid="{56E28F8A-38A0-4120-82F6-A2241AE4E7DC}"/>
    <cellStyle name="Comma 2 2 6 3 3 5" xfId="9390" xr:uid="{D6BDA628-1017-4BEE-9835-391EBCB8F806}"/>
    <cellStyle name="Comma 2 2 6 3 3 5 2" xfId="26734" xr:uid="{46E70C29-D324-444F-9637-EEC2658290CF}"/>
    <cellStyle name="Comma 2 2 6 3 3 6" xfId="18062" xr:uid="{92A22ECA-3792-4746-B0C1-24B26401E2B4}"/>
    <cellStyle name="Comma 2 2 6 3 4" xfId="1261" xr:uid="{75B92E70-4C78-48B6-98FA-E1A0EDD60DE6}"/>
    <cellStyle name="Comma 2 2 6 3 4 2" xfId="3429" xr:uid="{EC0D96B7-E969-40F0-AEF8-14CDFDA6C69C}"/>
    <cellStyle name="Comma 2 2 6 3 4 2 2" xfId="7765" xr:uid="{C935A875-A89F-4D0E-B471-858309AC8847}"/>
    <cellStyle name="Comma 2 2 6 3 4 2 2 2" xfId="16437" xr:uid="{15008CFD-429F-4235-890D-1869D99D7271}"/>
    <cellStyle name="Comma 2 2 6 3 4 2 2 2 2" xfId="33781" xr:uid="{39A7FF4D-25C5-42C8-9930-16AECEFA8A05}"/>
    <cellStyle name="Comma 2 2 6 3 4 2 2 3" xfId="25109" xr:uid="{DCE5BDFF-F8BB-4074-AFA4-2791A9D0621D}"/>
    <cellStyle name="Comma 2 2 6 3 4 2 3" xfId="12101" xr:uid="{13CB29D8-64E2-419D-A756-257CE3AA7326}"/>
    <cellStyle name="Comma 2 2 6 3 4 2 3 2" xfId="29445" xr:uid="{D686B875-7E8C-475B-BC25-4B682BEE5AE0}"/>
    <cellStyle name="Comma 2 2 6 3 4 2 4" xfId="20773" xr:uid="{EFCE0455-4BA9-4884-B5CD-1C3B5FCDF463}"/>
    <cellStyle name="Comma 2 2 6 3 4 3" xfId="5597" xr:uid="{39652152-E497-459D-A014-464FD42367BE}"/>
    <cellStyle name="Comma 2 2 6 3 4 3 2" xfId="14269" xr:uid="{A213B543-4673-44C1-98FA-596C72E88828}"/>
    <cellStyle name="Comma 2 2 6 3 4 3 2 2" xfId="31613" xr:uid="{FA7D68CA-3E2E-4EC1-9D80-A0F8CEC8C925}"/>
    <cellStyle name="Comma 2 2 6 3 4 3 3" xfId="22941" xr:uid="{96F77683-2B03-4FF0-91ED-63EC311E6CD5}"/>
    <cellStyle name="Comma 2 2 6 3 4 4" xfId="9933" xr:uid="{0FABE655-9AF5-43CE-98F2-D9D2F4BEA3B3}"/>
    <cellStyle name="Comma 2 2 6 3 4 4 2" xfId="27277" xr:uid="{01896D58-74A9-4A29-A143-92FB27246DFD}"/>
    <cellStyle name="Comma 2 2 6 3 4 5" xfId="18605" xr:uid="{4C26B1F9-363E-4F8C-A5B0-68FEEF383BB7}"/>
    <cellStyle name="Comma 2 2 6 3 5" xfId="2345" xr:uid="{3BE700DF-02DF-4534-B407-F686AD6CFE7F}"/>
    <cellStyle name="Comma 2 2 6 3 5 2" xfId="6681" xr:uid="{81D4BA33-BD5E-41E0-B5AB-CCE2968ECCED}"/>
    <cellStyle name="Comma 2 2 6 3 5 2 2" xfId="15353" xr:uid="{C7FDEDE1-7F53-4B74-8356-A9CDCBBEB078}"/>
    <cellStyle name="Comma 2 2 6 3 5 2 2 2" xfId="32697" xr:uid="{E52A3536-4606-475F-B315-C22B287BC1A0}"/>
    <cellStyle name="Comma 2 2 6 3 5 2 3" xfId="24025" xr:uid="{EA85745E-35B6-47FB-A39D-4F31733C5ECC}"/>
    <cellStyle name="Comma 2 2 6 3 5 3" xfId="11017" xr:uid="{BB2C8889-564E-45E4-A203-44D635C19625}"/>
    <cellStyle name="Comma 2 2 6 3 5 3 2" xfId="28361" xr:uid="{68EA8D05-0AC7-4B55-AFB9-DFAE6CF469FF}"/>
    <cellStyle name="Comma 2 2 6 3 5 4" xfId="19689" xr:uid="{52D84BFB-8771-4D5C-8538-B1DC047C20C1}"/>
    <cellStyle name="Comma 2 2 6 3 6" xfId="4513" xr:uid="{35FB425D-2363-4EEE-81C1-9E31492EFF92}"/>
    <cellStyle name="Comma 2 2 6 3 6 2" xfId="13185" xr:uid="{A924FEB9-E968-45F8-A124-B9B4A0D1BFCC}"/>
    <cellStyle name="Comma 2 2 6 3 6 2 2" xfId="30529" xr:uid="{08D15B36-F8A8-47BF-BF8F-2C68CF6EADDB}"/>
    <cellStyle name="Comma 2 2 6 3 6 3" xfId="21857" xr:uid="{9F27AE3C-37AF-4182-B504-9AE953F925FC}"/>
    <cellStyle name="Comma 2 2 6 3 7" xfId="8849" xr:uid="{913AE5E2-036B-4859-A346-A40E09C3DCDB}"/>
    <cellStyle name="Comma 2 2 6 3 7 2" xfId="26193" xr:uid="{97C89F26-9991-46CD-9CC6-3E2CB09A738D}"/>
    <cellStyle name="Comma 2 2 6 3 8" xfId="17521" xr:uid="{36210F27-05B0-46AA-A45C-6C7AFDF205F2}"/>
    <cellStyle name="Comma 2 2 6 4" xfId="325" xr:uid="{8FE40720-C5A7-4CC8-AB75-494B6B9E4B71}"/>
    <cellStyle name="Comma 2 2 6 4 2" xfId="866" xr:uid="{A98AF692-2A0E-4011-9E11-4A051275D95A}"/>
    <cellStyle name="Comma 2 2 6 4 2 2" xfId="1950" xr:uid="{E8C752B0-A442-4798-B170-2FDA68171DAA}"/>
    <cellStyle name="Comma 2 2 6 4 2 2 2" xfId="4118" xr:uid="{9032FBA2-8B4F-44A3-99B2-DF0FC7357CEC}"/>
    <cellStyle name="Comma 2 2 6 4 2 2 2 2" xfId="8454" xr:uid="{CD623A81-2F89-4188-90DF-42C7827C451E}"/>
    <cellStyle name="Comma 2 2 6 4 2 2 2 2 2" xfId="17126" xr:uid="{61CC87A2-274B-4493-8406-DF0707BCD98B}"/>
    <cellStyle name="Comma 2 2 6 4 2 2 2 2 2 2" xfId="34470" xr:uid="{C1038159-328F-4E42-B2F0-208E8BE6C9BE}"/>
    <cellStyle name="Comma 2 2 6 4 2 2 2 2 3" xfId="25798" xr:uid="{7084505C-133D-4086-8FE1-B613E11F2CF9}"/>
    <cellStyle name="Comma 2 2 6 4 2 2 2 3" xfId="12790" xr:uid="{AE9B12EA-A47C-4B8D-A089-78EB67622111}"/>
    <cellStyle name="Comma 2 2 6 4 2 2 2 3 2" xfId="30134" xr:uid="{7BA0B3BC-77A3-4387-988F-6BE9E8D59F0A}"/>
    <cellStyle name="Comma 2 2 6 4 2 2 2 4" xfId="21462" xr:uid="{EBB24A7E-0F91-4DA1-87A4-805342A9EB4C}"/>
    <cellStyle name="Comma 2 2 6 4 2 2 3" xfId="6286" xr:uid="{3AA45078-A87D-4F22-96CE-34C256B1FCF1}"/>
    <cellStyle name="Comma 2 2 6 4 2 2 3 2" xfId="14958" xr:uid="{F9F2069F-0172-448A-8012-5D7870DFC97C}"/>
    <cellStyle name="Comma 2 2 6 4 2 2 3 2 2" xfId="32302" xr:uid="{C96BA0C4-22AE-4D34-B548-C6D39EC9A4B7}"/>
    <cellStyle name="Comma 2 2 6 4 2 2 3 3" xfId="23630" xr:uid="{FD1CFEBE-5383-4E74-9678-9AB8A82AC5B3}"/>
    <cellStyle name="Comma 2 2 6 4 2 2 4" xfId="10622" xr:uid="{6FCC2648-10CA-40AC-A6FE-3C9495A98473}"/>
    <cellStyle name="Comma 2 2 6 4 2 2 4 2" xfId="27966" xr:uid="{49FE95BC-202A-42CE-92F4-8DB0A0FF0151}"/>
    <cellStyle name="Comma 2 2 6 4 2 2 5" xfId="19294" xr:uid="{168A27D5-69F6-4165-BBFA-2C55902F6F3C}"/>
    <cellStyle name="Comma 2 2 6 4 2 3" xfId="3034" xr:uid="{C2A5052C-62EA-4EDC-84FD-267CEF5B27D7}"/>
    <cellStyle name="Comma 2 2 6 4 2 3 2" xfId="7370" xr:uid="{F4299D5F-979A-4325-BC28-213090D82796}"/>
    <cellStyle name="Comma 2 2 6 4 2 3 2 2" xfId="16042" xr:uid="{BAD59B1F-F9F0-4383-99D2-A5EBE64F40AA}"/>
    <cellStyle name="Comma 2 2 6 4 2 3 2 2 2" xfId="33386" xr:uid="{67632A85-5919-4541-9D72-F80D2F56FFD7}"/>
    <cellStyle name="Comma 2 2 6 4 2 3 2 3" xfId="24714" xr:uid="{80A191CA-93AF-487F-A3D1-E2F2AB424288}"/>
    <cellStyle name="Comma 2 2 6 4 2 3 3" xfId="11706" xr:uid="{B1FAAE6C-7983-47EC-BA92-985CD84AEFE0}"/>
    <cellStyle name="Comma 2 2 6 4 2 3 3 2" xfId="29050" xr:uid="{15CC335C-49C7-41D5-A0EB-0BCD10F4C223}"/>
    <cellStyle name="Comma 2 2 6 4 2 3 4" xfId="20378" xr:uid="{A398204B-14EA-4705-A0CC-53C40763A8C2}"/>
    <cellStyle name="Comma 2 2 6 4 2 4" xfId="5202" xr:uid="{DF4F9608-E619-484F-B452-E444A87C97C0}"/>
    <cellStyle name="Comma 2 2 6 4 2 4 2" xfId="13874" xr:uid="{B3C61DC1-2C33-40AD-B947-134FA4506228}"/>
    <cellStyle name="Comma 2 2 6 4 2 4 2 2" xfId="31218" xr:uid="{077CFDC3-E45E-4263-A1F7-41D429878681}"/>
    <cellStyle name="Comma 2 2 6 4 2 4 3" xfId="22546" xr:uid="{9B677457-6941-48E6-839F-06DC013D0EED}"/>
    <cellStyle name="Comma 2 2 6 4 2 5" xfId="9538" xr:uid="{058468FA-3E40-4860-8790-1BA5FA01E9A4}"/>
    <cellStyle name="Comma 2 2 6 4 2 5 2" xfId="26882" xr:uid="{FE40576B-B366-4BE6-8CC9-B34886E18F6A}"/>
    <cellStyle name="Comma 2 2 6 4 2 6" xfId="18210" xr:uid="{FC32D9B5-F39D-4247-95B8-D06018AE56E0}"/>
    <cellStyle name="Comma 2 2 6 4 3" xfId="1409" xr:uid="{07BEA402-1CD5-4578-AD39-F135ECB28176}"/>
    <cellStyle name="Comma 2 2 6 4 3 2" xfId="3577" xr:uid="{CAC38377-82FA-4F92-93F6-BC45419621DB}"/>
    <cellStyle name="Comma 2 2 6 4 3 2 2" xfId="7913" xr:uid="{6DFD7057-4148-45CF-A80F-113B92917C43}"/>
    <cellStyle name="Comma 2 2 6 4 3 2 2 2" xfId="16585" xr:uid="{BE769B33-5FA0-4C29-B3C4-9D21B5E43195}"/>
    <cellStyle name="Comma 2 2 6 4 3 2 2 2 2" xfId="33929" xr:uid="{73220583-BBA3-4674-8B5B-3DFF3734B68C}"/>
    <cellStyle name="Comma 2 2 6 4 3 2 2 3" xfId="25257" xr:uid="{A4A4343A-0EB3-423F-A32C-0D00DCF8BB2F}"/>
    <cellStyle name="Comma 2 2 6 4 3 2 3" xfId="12249" xr:uid="{70934798-2C97-4A5C-9305-8F6C69D12F0F}"/>
    <cellStyle name="Comma 2 2 6 4 3 2 3 2" xfId="29593" xr:uid="{4DB38A70-3438-4CC8-A73A-B115D97DDFE1}"/>
    <cellStyle name="Comma 2 2 6 4 3 2 4" xfId="20921" xr:uid="{4D166B2A-672E-4DAF-89C0-D12748E0E30F}"/>
    <cellStyle name="Comma 2 2 6 4 3 3" xfId="5745" xr:uid="{247C0C9A-DED6-4A9C-A01B-2C6BB5AE6943}"/>
    <cellStyle name="Comma 2 2 6 4 3 3 2" xfId="14417" xr:uid="{E4D207A0-FA87-4BA8-B293-5A776163B325}"/>
    <cellStyle name="Comma 2 2 6 4 3 3 2 2" xfId="31761" xr:uid="{529A561A-C68C-4D79-BDBB-1A6DCA7818CE}"/>
    <cellStyle name="Comma 2 2 6 4 3 3 3" xfId="23089" xr:uid="{7DA72F30-F8CA-4DE1-A068-0B802E70DE2F}"/>
    <cellStyle name="Comma 2 2 6 4 3 4" xfId="10081" xr:uid="{ACB14048-F7CB-4B24-92E8-51EFABAFB98B}"/>
    <cellStyle name="Comma 2 2 6 4 3 4 2" xfId="27425" xr:uid="{C3B2E097-BCC5-473C-B98F-C2F3A715BA2D}"/>
    <cellStyle name="Comma 2 2 6 4 3 5" xfId="18753" xr:uid="{803A0569-4E6E-4287-8C33-AC9B9589344B}"/>
    <cellStyle name="Comma 2 2 6 4 4" xfId="2493" xr:uid="{8A79A5D1-D54F-4135-AC5F-E9E7D6B3E47F}"/>
    <cellStyle name="Comma 2 2 6 4 4 2" xfId="6829" xr:uid="{6736CD49-801E-4FF6-9035-89456EA6740D}"/>
    <cellStyle name="Comma 2 2 6 4 4 2 2" xfId="15501" xr:uid="{0D757E69-4006-455C-9B68-5D46EAADF1BD}"/>
    <cellStyle name="Comma 2 2 6 4 4 2 2 2" xfId="32845" xr:uid="{B6FBB4F8-F99D-4652-A109-13DFC9700EFC}"/>
    <cellStyle name="Comma 2 2 6 4 4 2 3" xfId="24173" xr:uid="{37E19DA1-C1C9-4814-8555-6387A62E1D45}"/>
    <cellStyle name="Comma 2 2 6 4 4 3" xfId="11165" xr:uid="{2F4E6691-22DA-48D2-8A4E-DC4C779FAEEA}"/>
    <cellStyle name="Comma 2 2 6 4 4 3 2" xfId="28509" xr:uid="{3A88884B-7BC9-4EBF-9DE3-33B5FFB55B4F}"/>
    <cellStyle name="Comma 2 2 6 4 4 4" xfId="19837" xr:uid="{1523B983-8E20-41B0-878D-8B1B8D70741E}"/>
    <cellStyle name="Comma 2 2 6 4 5" xfId="4661" xr:uid="{D1CF410B-DE95-4B50-8949-9F2EE7D069C0}"/>
    <cellStyle name="Comma 2 2 6 4 5 2" xfId="13333" xr:uid="{CC3AC578-8767-4251-8E8A-6C5E3AF1CEE3}"/>
    <cellStyle name="Comma 2 2 6 4 5 2 2" xfId="30677" xr:uid="{86156F80-82D1-4D25-8C5A-57AA70C05006}"/>
    <cellStyle name="Comma 2 2 6 4 5 3" xfId="22005" xr:uid="{5E22B464-0AB4-4F5C-BD15-B64D7004E8C6}"/>
    <cellStyle name="Comma 2 2 6 4 6" xfId="8997" xr:uid="{76D250EF-6FC5-4B89-B720-10A8FD1E0595}"/>
    <cellStyle name="Comma 2 2 6 4 6 2" xfId="26341" xr:uid="{F7027D02-188D-45DD-95BD-B41C3B7F06FB}"/>
    <cellStyle name="Comma 2 2 6 4 7" xfId="17669" xr:uid="{73F7811C-5709-4E4A-87F9-3A20C3F2611B}"/>
    <cellStyle name="Comma 2 2 6 5" xfId="596" xr:uid="{F7609286-76BB-4749-B229-5724B0A72FEF}"/>
    <cellStyle name="Comma 2 2 6 5 2" xfId="1680" xr:uid="{4F7A4468-DFD7-4ABD-B1FD-A7213C695EB8}"/>
    <cellStyle name="Comma 2 2 6 5 2 2" xfId="3848" xr:uid="{B2227E40-B3AA-4686-9C0D-4359D4FB1AA0}"/>
    <cellStyle name="Comma 2 2 6 5 2 2 2" xfId="8184" xr:uid="{E7878828-5756-4A7E-B62A-241C78F8314E}"/>
    <cellStyle name="Comma 2 2 6 5 2 2 2 2" xfId="16856" xr:uid="{1914BCC8-21DE-43CE-B29D-E6F86BF7B554}"/>
    <cellStyle name="Comma 2 2 6 5 2 2 2 2 2" xfId="34200" xr:uid="{334F56C7-55AF-44AB-90B6-E53E4C342977}"/>
    <cellStyle name="Comma 2 2 6 5 2 2 2 3" xfId="25528" xr:uid="{9E7B5193-B949-45D9-BEC9-FF24AF00609C}"/>
    <cellStyle name="Comma 2 2 6 5 2 2 3" xfId="12520" xr:uid="{535961AF-7E1A-4CB3-9FDA-40190ABAC05F}"/>
    <cellStyle name="Comma 2 2 6 5 2 2 3 2" xfId="29864" xr:uid="{922CF3AA-3CD6-4C6B-844E-F1B9AEDF91D8}"/>
    <cellStyle name="Comma 2 2 6 5 2 2 4" xfId="21192" xr:uid="{C0307C80-7456-456D-AE4A-0E8E9221663C}"/>
    <cellStyle name="Comma 2 2 6 5 2 3" xfId="6016" xr:uid="{0ACAF8DB-E0D8-4316-B761-A2F709575CA2}"/>
    <cellStyle name="Comma 2 2 6 5 2 3 2" xfId="14688" xr:uid="{5E1B9C5A-9BBE-4F11-B26C-060A235D9A57}"/>
    <cellStyle name="Comma 2 2 6 5 2 3 2 2" xfId="32032" xr:uid="{3A9A91C5-EF85-4DE3-A0A6-011B2F8C7065}"/>
    <cellStyle name="Comma 2 2 6 5 2 3 3" xfId="23360" xr:uid="{6E72CEB9-FCE4-4026-9E2F-443C32FD9DCA}"/>
    <cellStyle name="Comma 2 2 6 5 2 4" xfId="10352" xr:uid="{66A01AE3-A70D-4D8F-9AAD-5E1B4FCBF05C}"/>
    <cellStyle name="Comma 2 2 6 5 2 4 2" xfId="27696" xr:uid="{07D971A9-CD5F-4982-BB5C-067A5C6DB26E}"/>
    <cellStyle name="Comma 2 2 6 5 2 5" xfId="19024" xr:uid="{65B8796C-F335-4380-B80D-3A00A7D7ED33}"/>
    <cellStyle name="Comma 2 2 6 5 3" xfId="2764" xr:uid="{6D9121E7-BAA5-4DEC-8536-78BD07E84844}"/>
    <cellStyle name="Comma 2 2 6 5 3 2" xfId="7100" xr:uid="{35D7BBD2-7242-4BF7-9B24-7B0F67C431EA}"/>
    <cellStyle name="Comma 2 2 6 5 3 2 2" xfId="15772" xr:uid="{AEC9613B-0947-47D4-A0DA-22F7E238C7AD}"/>
    <cellStyle name="Comma 2 2 6 5 3 2 2 2" xfId="33116" xr:uid="{7FCBC6B7-F049-4078-AA5D-F34266DDAFD3}"/>
    <cellStyle name="Comma 2 2 6 5 3 2 3" xfId="24444" xr:uid="{C70DC5F7-574B-42FD-8D05-322A2C434D48}"/>
    <cellStyle name="Comma 2 2 6 5 3 3" xfId="11436" xr:uid="{1C1D28EF-8225-42AB-BE04-D8DAC04DFAF9}"/>
    <cellStyle name="Comma 2 2 6 5 3 3 2" xfId="28780" xr:uid="{CB448432-A1AC-40B2-B40A-7EFDDDDD407E}"/>
    <cellStyle name="Comma 2 2 6 5 3 4" xfId="20108" xr:uid="{117D655F-9122-4A6E-A047-B3CEA2574F0C}"/>
    <cellStyle name="Comma 2 2 6 5 4" xfId="4932" xr:uid="{F52199B6-E654-4581-BECE-1E195FA21FBA}"/>
    <cellStyle name="Comma 2 2 6 5 4 2" xfId="13604" xr:uid="{8406FB40-708A-4D46-93B4-2EE08563EC05}"/>
    <cellStyle name="Comma 2 2 6 5 4 2 2" xfId="30948" xr:uid="{A5EA9E3F-B0C8-4066-90B9-024836CD1840}"/>
    <cellStyle name="Comma 2 2 6 5 4 3" xfId="22276" xr:uid="{5F92C2CC-EE0E-43F9-8A26-4CE5443403AB}"/>
    <cellStyle name="Comma 2 2 6 5 5" xfId="9268" xr:uid="{624EB083-2623-4939-A611-6F20340982AE}"/>
    <cellStyle name="Comma 2 2 6 5 5 2" xfId="26612" xr:uid="{DBF3537B-E63D-48AC-8B58-3E9D90F7A3B0}"/>
    <cellStyle name="Comma 2 2 6 5 6" xfId="17940" xr:uid="{9483A34B-540B-4EFF-80B1-56EF0C69E5BB}"/>
    <cellStyle name="Comma 2 2 6 6" xfId="1139" xr:uid="{FBD40303-69BB-4A27-84DC-1BF5E3934645}"/>
    <cellStyle name="Comma 2 2 6 6 2" xfId="3307" xr:uid="{96CF6E0B-D832-4EA5-BB9E-83EF26BE301E}"/>
    <cellStyle name="Comma 2 2 6 6 2 2" xfId="7643" xr:uid="{EBBDE36B-6A27-4784-8C40-F682DE8DB491}"/>
    <cellStyle name="Comma 2 2 6 6 2 2 2" xfId="16315" xr:uid="{270144D4-76BE-4C0B-8DC1-F51B1E3A169D}"/>
    <cellStyle name="Comma 2 2 6 6 2 2 2 2" xfId="33659" xr:uid="{C0EF259B-D6CA-4EBA-A4CC-02336DDC3414}"/>
    <cellStyle name="Comma 2 2 6 6 2 2 3" xfId="24987" xr:uid="{A5F33E5C-E497-47F4-96E5-0B57102BAFE3}"/>
    <cellStyle name="Comma 2 2 6 6 2 3" xfId="11979" xr:uid="{FF724519-708A-4A7A-B4AA-4A3E69E8C117}"/>
    <cellStyle name="Comma 2 2 6 6 2 3 2" xfId="29323" xr:uid="{96750C01-14DD-4906-8DEC-3128DFF3778F}"/>
    <cellStyle name="Comma 2 2 6 6 2 4" xfId="20651" xr:uid="{5B6E0FD3-97CE-4E67-9E89-616B61FDC43F}"/>
    <cellStyle name="Comma 2 2 6 6 3" xfId="5475" xr:uid="{245F1916-060D-47B5-B6B4-EED31C9EBF0A}"/>
    <cellStyle name="Comma 2 2 6 6 3 2" xfId="14147" xr:uid="{770490BA-73D1-4DF2-899F-FAF334271382}"/>
    <cellStyle name="Comma 2 2 6 6 3 2 2" xfId="31491" xr:uid="{62E27F31-296B-49D7-AAED-A971C868A6F0}"/>
    <cellStyle name="Comma 2 2 6 6 3 3" xfId="22819" xr:uid="{8801F315-EEBC-4D95-B503-64DD004B5FD6}"/>
    <cellStyle name="Comma 2 2 6 6 4" xfId="9811" xr:uid="{85B2E58B-89B8-4C5E-A2EF-522586C89702}"/>
    <cellStyle name="Comma 2 2 6 6 4 2" xfId="27155" xr:uid="{B0B039A2-A55F-41ED-A422-97FC8A3CC6AE}"/>
    <cellStyle name="Comma 2 2 6 6 5" xfId="18483" xr:uid="{056389C1-F7D3-4DAC-B560-3F3FB4F2498C}"/>
    <cellStyle name="Comma 2 2 6 7" xfId="2223" xr:uid="{9F61EE15-3A5A-4408-BCF6-8C845AB780A1}"/>
    <cellStyle name="Comma 2 2 6 7 2" xfId="6559" xr:uid="{4153D971-F17C-4779-ADB4-85C973ED2499}"/>
    <cellStyle name="Comma 2 2 6 7 2 2" xfId="15231" xr:uid="{4ADFCA0F-3247-4CAE-9C92-4F470292AE39}"/>
    <cellStyle name="Comma 2 2 6 7 2 2 2" xfId="32575" xr:uid="{99C15407-DE59-423C-B172-127112F55153}"/>
    <cellStyle name="Comma 2 2 6 7 2 3" xfId="23903" xr:uid="{7A759D92-DC7C-4507-9865-E4F9FC9586DF}"/>
    <cellStyle name="Comma 2 2 6 7 3" xfId="10895" xr:uid="{6B1D3EE8-0D7C-4380-9E46-D5468E83FC2A}"/>
    <cellStyle name="Comma 2 2 6 7 3 2" xfId="28239" xr:uid="{4719734C-0E0F-4F0E-BDB1-21044708AFAF}"/>
    <cellStyle name="Comma 2 2 6 7 4" xfId="19567" xr:uid="{BC174FEA-9D4F-4E09-9A6E-2031A10130AA}"/>
    <cellStyle name="Comma 2 2 6 8" xfId="4391" xr:uid="{62001824-95D1-469F-B61C-51E0C1F2306B}"/>
    <cellStyle name="Comma 2 2 6 8 2" xfId="13063" xr:uid="{7EF65D51-B3AF-4551-8956-BC69842FCFC9}"/>
    <cellStyle name="Comma 2 2 6 8 2 2" xfId="30407" xr:uid="{AC111074-85AD-4DBB-9AA0-E3018ED2DE26}"/>
    <cellStyle name="Comma 2 2 6 8 3" xfId="21735" xr:uid="{A57C6526-9F06-4068-8459-7F31E9B7FF16}"/>
    <cellStyle name="Comma 2 2 6 9" xfId="8727" xr:uid="{6C3C1A53-1455-45D4-A1D4-9F8417FC0CED}"/>
    <cellStyle name="Comma 2 2 6 9 2" xfId="26071" xr:uid="{8C97C41B-D7EB-45CC-A1FA-C01329147819}"/>
    <cellStyle name="Comma 2 2 7" xfId="68" xr:uid="{C851BCAC-6A3B-4143-95E1-84ECB57AA8F2}"/>
    <cellStyle name="Comma 2 2 7 2" xfId="190" xr:uid="{F1820BB3-B7E2-4630-9CED-8C8C224B04A1}"/>
    <cellStyle name="Comma 2 2 7 2 2" xfId="460" xr:uid="{2586AD76-263D-4652-A920-C79B885A5BCA}"/>
    <cellStyle name="Comma 2 2 7 2 2 2" xfId="1001" xr:uid="{075D86A0-F399-471F-BA7A-7DBF48DF154A}"/>
    <cellStyle name="Comma 2 2 7 2 2 2 2" xfId="2085" xr:uid="{57FAABA0-03B9-4FEA-BDD4-28950996999D}"/>
    <cellStyle name="Comma 2 2 7 2 2 2 2 2" xfId="4253" xr:uid="{85A10CD6-BA1A-43AB-9029-93D1327B2014}"/>
    <cellStyle name="Comma 2 2 7 2 2 2 2 2 2" xfId="8589" xr:uid="{B5AC7C3B-1955-436E-9881-CE6DB4D5179F}"/>
    <cellStyle name="Comma 2 2 7 2 2 2 2 2 2 2" xfId="17261" xr:uid="{E9C112AC-7131-4E08-9414-C21F1BF3D09C}"/>
    <cellStyle name="Comma 2 2 7 2 2 2 2 2 2 2 2" xfId="34605" xr:uid="{7ACEA7F2-F655-4BC8-B982-C9E7FE9EA27C}"/>
    <cellStyle name="Comma 2 2 7 2 2 2 2 2 2 3" xfId="25933" xr:uid="{BEB86358-B024-48FC-982A-43996D065EA7}"/>
    <cellStyle name="Comma 2 2 7 2 2 2 2 2 3" xfId="12925" xr:uid="{E1C83DC2-0ED4-4B09-8704-303F64F6499B}"/>
    <cellStyle name="Comma 2 2 7 2 2 2 2 2 3 2" xfId="30269" xr:uid="{2166DD5E-CFDF-4351-A52A-CBC632308052}"/>
    <cellStyle name="Comma 2 2 7 2 2 2 2 2 4" xfId="21597" xr:uid="{057E1210-66A2-4E7C-8FBC-F6416AAB74CD}"/>
    <cellStyle name="Comma 2 2 7 2 2 2 2 3" xfId="6421" xr:uid="{A5760E97-0662-45B0-9316-E6D5B173C630}"/>
    <cellStyle name="Comma 2 2 7 2 2 2 2 3 2" xfId="15093" xr:uid="{88C495B4-3ED5-40DE-8C69-A2DD4A57E412}"/>
    <cellStyle name="Comma 2 2 7 2 2 2 2 3 2 2" xfId="32437" xr:uid="{C56EA9DE-41C9-4078-B53F-446E7D9BA17A}"/>
    <cellStyle name="Comma 2 2 7 2 2 2 2 3 3" xfId="23765" xr:uid="{43DD6F18-4933-4B47-B10D-6C71D670BCAE}"/>
    <cellStyle name="Comma 2 2 7 2 2 2 2 4" xfId="10757" xr:uid="{0402259E-DFC9-43B2-BB16-13C1B6B0FD36}"/>
    <cellStyle name="Comma 2 2 7 2 2 2 2 4 2" xfId="28101" xr:uid="{7EDF85C4-96EB-4691-AB65-266FBEAFF0CF}"/>
    <cellStyle name="Comma 2 2 7 2 2 2 2 5" xfId="19429" xr:uid="{B2F26B76-43CD-4C66-8705-B6BD14DF47AB}"/>
    <cellStyle name="Comma 2 2 7 2 2 2 3" xfId="3169" xr:uid="{965C905B-E8E1-438A-9370-5338A249848C}"/>
    <cellStyle name="Comma 2 2 7 2 2 2 3 2" xfId="7505" xr:uid="{C1756A57-3DE4-4921-9AF1-3DCFB616044D}"/>
    <cellStyle name="Comma 2 2 7 2 2 2 3 2 2" xfId="16177" xr:uid="{FBFC9F12-E5D7-41A6-B8B0-3227278CA363}"/>
    <cellStyle name="Comma 2 2 7 2 2 2 3 2 2 2" xfId="33521" xr:uid="{D69B18A1-F67B-4D00-B955-6DAD4B44648B}"/>
    <cellStyle name="Comma 2 2 7 2 2 2 3 2 3" xfId="24849" xr:uid="{5773F649-C222-49E5-BD18-05F9A57D169F}"/>
    <cellStyle name="Comma 2 2 7 2 2 2 3 3" xfId="11841" xr:uid="{0A1DF248-2E56-4ED3-A9D1-DAC7DFECBC90}"/>
    <cellStyle name="Comma 2 2 7 2 2 2 3 3 2" xfId="29185" xr:uid="{93623BB9-3F4E-4B20-AB67-4269C8F8DA2D}"/>
    <cellStyle name="Comma 2 2 7 2 2 2 3 4" xfId="20513" xr:uid="{0F624B7B-FC52-410E-ACC2-2ED9EB5E89C4}"/>
    <cellStyle name="Comma 2 2 7 2 2 2 4" xfId="5337" xr:uid="{634686A6-E0FC-439E-A624-AA2D814898AA}"/>
    <cellStyle name="Comma 2 2 7 2 2 2 4 2" xfId="14009" xr:uid="{402E399E-0FA5-4CE3-9E72-C4E14424791E}"/>
    <cellStyle name="Comma 2 2 7 2 2 2 4 2 2" xfId="31353" xr:uid="{0B5B83BD-82DD-479E-8110-EB5B95465CEE}"/>
    <cellStyle name="Comma 2 2 7 2 2 2 4 3" xfId="22681" xr:uid="{3555D2B5-CEDA-4969-BAA3-B1123199455A}"/>
    <cellStyle name="Comma 2 2 7 2 2 2 5" xfId="9673" xr:uid="{A8DE0357-ACAB-4245-9D87-065F18A7620F}"/>
    <cellStyle name="Comma 2 2 7 2 2 2 5 2" xfId="27017" xr:uid="{56F5CB7D-6FDE-4485-BA0B-6F9311D2A67E}"/>
    <cellStyle name="Comma 2 2 7 2 2 2 6" xfId="18345" xr:uid="{961C1CB9-5B9A-4C16-B8A3-AD76631B1B47}"/>
    <cellStyle name="Comma 2 2 7 2 2 3" xfId="1544" xr:uid="{7DB01D46-E310-4041-93E7-2DACE539C060}"/>
    <cellStyle name="Comma 2 2 7 2 2 3 2" xfId="3712" xr:uid="{07295EBC-58F1-409E-A5B7-C864DAB36681}"/>
    <cellStyle name="Comma 2 2 7 2 2 3 2 2" xfId="8048" xr:uid="{E86F07D4-1EDE-4F06-853B-BD7939A01A36}"/>
    <cellStyle name="Comma 2 2 7 2 2 3 2 2 2" xfId="16720" xr:uid="{1E8CD801-C81A-46EF-B5D2-0B8FFFC41059}"/>
    <cellStyle name="Comma 2 2 7 2 2 3 2 2 2 2" xfId="34064" xr:uid="{A93AEA52-F0BB-4DA7-94A7-8B5C43CC7223}"/>
    <cellStyle name="Comma 2 2 7 2 2 3 2 2 3" xfId="25392" xr:uid="{024F4D9A-8D29-45F1-9009-3F0091276E97}"/>
    <cellStyle name="Comma 2 2 7 2 2 3 2 3" xfId="12384" xr:uid="{FE9BF8B3-31CA-4D69-B5D2-9F638E5F4C51}"/>
    <cellStyle name="Comma 2 2 7 2 2 3 2 3 2" xfId="29728" xr:uid="{49E9DA4E-0C37-4A7F-84B7-9E57B9544184}"/>
    <cellStyle name="Comma 2 2 7 2 2 3 2 4" xfId="21056" xr:uid="{BEB08261-0716-4411-9CF3-2E4B593D5D38}"/>
    <cellStyle name="Comma 2 2 7 2 2 3 3" xfId="5880" xr:uid="{A18D5244-93C6-4694-AFD1-E03F844D2001}"/>
    <cellStyle name="Comma 2 2 7 2 2 3 3 2" xfId="14552" xr:uid="{BF8DE694-C25F-4882-9E56-ECCA98B80BF1}"/>
    <cellStyle name="Comma 2 2 7 2 2 3 3 2 2" xfId="31896" xr:uid="{CDAC71E7-253E-44E5-AFBE-C6355C9251D5}"/>
    <cellStyle name="Comma 2 2 7 2 2 3 3 3" xfId="23224" xr:uid="{0766BE56-AFD3-473A-AE33-60B85E543714}"/>
    <cellStyle name="Comma 2 2 7 2 2 3 4" xfId="10216" xr:uid="{6BBE19B6-4D5A-4A27-8B84-136276574570}"/>
    <cellStyle name="Comma 2 2 7 2 2 3 4 2" xfId="27560" xr:uid="{78FDA262-C69D-4556-B65E-9219BDCF030B}"/>
    <cellStyle name="Comma 2 2 7 2 2 3 5" xfId="18888" xr:uid="{366453B5-B31F-407F-A296-6DCE38307BD8}"/>
    <cellStyle name="Comma 2 2 7 2 2 4" xfId="2628" xr:uid="{EE774702-71F3-4B7E-8063-164642A6DF12}"/>
    <cellStyle name="Comma 2 2 7 2 2 4 2" xfId="6964" xr:uid="{73D657DA-FC32-4A91-95FA-B034FD1180AF}"/>
    <cellStyle name="Comma 2 2 7 2 2 4 2 2" xfId="15636" xr:uid="{28534C78-284F-4C60-A9D3-3CA811695428}"/>
    <cellStyle name="Comma 2 2 7 2 2 4 2 2 2" xfId="32980" xr:uid="{F9969E2F-0B6D-4B9B-A215-55950638D7F5}"/>
    <cellStyle name="Comma 2 2 7 2 2 4 2 3" xfId="24308" xr:uid="{122F27EA-581D-4870-BB50-2D04493C0889}"/>
    <cellStyle name="Comma 2 2 7 2 2 4 3" xfId="11300" xr:uid="{9CB569A2-3151-45D5-AC9F-D1E18903624F}"/>
    <cellStyle name="Comma 2 2 7 2 2 4 3 2" xfId="28644" xr:uid="{5737CC3A-2AF6-48CB-A35B-DD4E33BB86E1}"/>
    <cellStyle name="Comma 2 2 7 2 2 4 4" xfId="19972" xr:uid="{00C3D85D-35C2-446E-B9EF-3550DA780065}"/>
    <cellStyle name="Comma 2 2 7 2 2 5" xfId="4796" xr:uid="{EDC34C35-B5A7-4BC5-95AD-C1FD83E7E9D1}"/>
    <cellStyle name="Comma 2 2 7 2 2 5 2" xfId="13468" xr:uid="{28816F2E-D4D2-4DE0-853C-E1E6E4FA2910}"/>
    <cellStyle name="Comma 2 2 7 2 2 5 2 2" xfId="30812" xr:uid="{641E97BE-76F3-4518-BCE4-7B3B15B1D538}"/>
    <cellStyle name="Comma 2 2 7 2 2 5 3" xfId="22140" xr:uid="{986D233C-F2EE-4536-A21B-121F60CA9019}"/>
    <cellStyle name="Comma 2 2 7 2 2 6" xfId="9132" xr:uid="{2C02DD9B-9222-4BCD-8008-C73503F2CB6A}"/>
    <cellStyle name="Comma 2 2 7 2 2 6 2" xfId="26476" xr:uid="{A3E20735-E7BE-4938-9ED8-CD5C4EA17932}"/>
    <cellStyle name="Comma 2 2 7 2 2 7" xfId="17804" xr:uid="{5C681245-DC20-480A-9EF3-A626FC22D024}"/>
    <cellStyle name="Comma 2 2 7 2 3" xfId="731" xr:uid="{61295F44-0CF4-46F6-8ABA-AACC431B1051}"/>
    <cellStyle name="Comma 2 2 7 2 3 2" xfId="1815" xr:uid="{8F0D1268-88B6-41E3-8496-C06B691F3071}"/>
    <cellStyle name="Comma 2 2 7 2 3 2 2" xfId="3983" xr:uid="{14779819-5D3D-4776-A6DB-E507FD368BAA}"/>
    <cellStyle name="Comma 2 2 7 2 3 2 2 2" xfId="8319" xr:uid="{17EB8B14-B045-44A3-BEEA-E1504D622742}"/>
    <cellStyle name="Comma 2 2 7 2 3 2 2 2 2" xfId="16991" xr:uid="{9F16EC57-2BC1-45A5-B1E9-9097A128A277}"/>
    <cellStyle name="Comma 2 2 7 2 3 2 2 2 2 2" xfId="34335" xr:uid="{C5B84CFF-EBBB-4FD3-B817-91707A141890}"/>
    <cellStyle name="Comma 2 2 7 2 3 2 2 2 3" xfId="25663" xr:uid="{FC1E9F5E-9C6E-4981-A7D9-979D1DD4842B}"/>
    <cellStyle name="Comma 2 2 7 2 3 2 2 3" xfId="12655" xr:uid="{975A979E-6F3B-4176-BA9C-69BCBF7B3277}"/>
    <cellStyle name="Comma 2 2 7 2 3 2 2 3 2" xfId="29999" xr:uid="{9ED94F96-1202-4667-8FED-AC72D5DCCA51}"/>
    <cellStyle name="Comma 2 2 7 2 3 2 2 4" xfId="21327" xr:uid="{B970E329-0197-448E-84D4-FB380C7C77A7}"/>
    <cellStyle name="Comma 2 2 7 2 3 2 3" xfId="6151" xr:uid="{B562AD43-761F-4661-8BA2-B0C527514E36}"/>
    <cellStyle name="Comma 2 2 7 2 3 2 3 2" xfId="14823" xr:uid="{E9E45AA4-3F33-4C7D-A8AD-93B9B64190D4}"/>
    <cellStyle name="Comma 2 2 7 2 3 2 3 2 2" xfId="32167" xr:uid="{766A6520-A03B-4CB6-A576-B29FA63B1F98}"/>
    <cellStyle name="Comma 2 2 7 2 3 2 3 3" xfId="23495" xr:uid="{D5B1C932-FD94-43E4-8C32-88A60303E2F9}"/>
    <cellStyle name="Comma 2 2 7 2 3 2 4" xfId="10487" xr:uid="{1C1CB48D-8B84-4397-9FF5-4A2A3EB2D497}"/>
    <cellStyle name="Comma 2 2 7 2 3 2 4 2" xfId="27831" xr:uid="{91FFAB07-340C-492F-B9AE-DE5341701DB4}"/>
    <cellStyle name="Comma 2 2 7 2 3 2 5" xfId="19159" xr:uid="{C94D3807-6A22-4333-8A89-BD0914132770}"/>
    <cellStyle name="Comma 2 2 7 2 3 3" xfId="2899" xr:uid="{B9D77215-1AD2-49CC-A876-37FBFE9966B1}"/>
    <cellStyle name="Comma 2 2 7 2 3 3 2" xfId="7235" xr:uid="{19EF1276-5AA5-4858-B9C5-6FBCC4D7EDAB}"/>
    <cellStyle name="Comma 2 2 7 2 3 3 2 2" xfId="15907" xr:uid="{EA40808A-D131-47E7-8DAA-57ECDED4602F}"/>
    <cellStyle name="Comma 2 2 7 2 3 3 2 2 2" xfId="33251" xr:uid="{BC7C896E-8EB0-42B4-8D00-0D635235C078}"/>
    <cellStyle name="Comma 2 2 7 2 3 3 2 3" xfId="24579" xr:uid="{ADA62109-45E7-46A6-97BB-40C05CA0B713}"/>
    <cellStyle name="Comma 2 2 7 2 3 3 3" xfId="11571" xr:uid="{C305975B-4977-40B0-B756-91C864964D66}"/>
    <cellStyle name="Comma 2 2 7 2 3 3 3 2" xfId="28915" xr:uid="{9749FA95-8D3F-4A73-AB03-1313893B96EE}"/>
    <cellStyle name="Comma 2 2 7 2 3 3 4" xfId="20243" xr:uid="{AECE4EBD-DB73-4AC7-87F4-C224AD6B855B}"/>
    <cellStyle name="Comma 2 2 7 2 3 4" xfId="5067" xr:uid="{A37B9C2A-EE53-44F8-B4D3-37767972D763}"/>
    <cellStyle name="Comma 2 2 7 2 3 4 2" xfId="13739" xr:uid="{A23EC3A4-9E27-4D0B-A6B5-3C3D9039A49E}"/>
    <cellStyle name="Comma 2 2 7 2 3 4 2 2" xfId="31083" xr:uid="{075612BF-1D09-4A58-9D54-91254A75A369}"/>
    <cellStyle name="Comma 2 2 7 2 3 4 3" xfId="22411" xr:uid="{6070CE00-8D41-4D7F-90EF-77BB39723CDB}"/>
    <cellStyle name="Comma 2 2 7 2 3 5" xfId="9403" xr:uid="{AED04AC7-9300-4CC9-961D-BF256CCC37B1}"/>
    <cellStyle name="Comma 2 2 7 2 3 5 2" xfId="26747" xr:uid="{C2B8E049-EEAE-4C30-ABBE-88E4A15F1316}"/>
    <cellStyle name="Comma 2 2 7 2 3 6" xfId="18075" xr:uid="{089BDC54-84E4-4D1B-B160-6C7642C63DA7}"/>
    <cellStyle name="Comma 2 2 7 2 4" xfId="1274" xr:uid="{284DFAC4-E94D-4949-B5F2-6CA8D140A13C}"/>
    <cellStyle name="Comma 2 2 7 2 4 2" xfId="3442" xr:uid="{D511F14C-50E5-41AB-B0A7-C2050E388B38}"/>
    <cellStyle name="Comma 2 2 7 2 4 2 2" xfId="7778" xr:uid="{E2DC9FF4-D55A-4C7B-9766-00FE3447D22F}"/>
    <cellStyle name="Comma 2 2 7 2 4 2 2 2" xfId="16450" xr:uid="{9DCEF27C-3597-4275-AB54-F3787F535AE0}"/>
    <cellStyle name="Comma 2 2 7 2 4 2 2 2 2" xfId="33794" xr:uid="{346C8E68-B4E6-48F8-8DAA-B54D15D5A533}"/>
    <cellStyle name="Comma 2 2 7 2 4 2 2 3" xfId="25122" xr:uid="{FFBB6C9C-299E-44CC-8D3C-3AA55952991F}"/>
    <cellStyle name="Comma 2 2 7 2 4 2 3" xfId="12114" xr:uid="{81ABA131-49D8-456F-8CD1-F755EFF57470}"/>
    <cellStyle name="Comma 2 2 7 2 4 2 3 2" xfId="29458" xr:uid="{15DC3E9B-D242-408D-955D-AC4FBE1104A6}"/>
    <cellStyle name="Comma 2 2 7 2 4 2 4" xfId="20786" xr:uid="{8B46AE48-C7D3-41B1-BCE6-631D90EA507E}"/>
    <cellStyle name="Comma 2 2 7 2 4 3" xfId="5610" xr:uid="{8740CA81-44A1-4D2F-B2A9-A8109AD405F8}"/>
    <cellStyle name="Comma 2 2 7 2 4 3 2" xfId="14282" xr:uid="{4A6624BD-D517-4CA6-95A7-79382780ECA4}"/>
    <cellStyle name="Comma 2 2 7 2 4 3 2 2" xfId="31626" xr:uid="{2F840D00-0FD4-4017-AB72-67F388B318B0}"/>
    <cellStyle name="Comma 2 2 7 2 4 3 3" xfId="22954" xr:uid="{2D3BA9A6-DAB8-4792-ACE6-352911830602}"/>
    <cellStyle name="Comma 2 2 7 2 4 4" xfId="9946" xr:uid="{1DE06E32-02E6-455A-9D60-9B5D061393B5}"/>
    <cellStyle name="Comma 2 2 7 2 4 4 2" xfId="27290" xr:uid="{7DDA3507-0A7A-4072-9282-E0E8EF0BA239}"/>
    <cellStyle name="Comma 2 2 7 2 4 5" xfId="18618" xr:uid="{77EDC598-EAEA-4AE4-B6A6-2E61E79C0629}"/>
    <cellStyle name="Comma 2 2 7 2 5" xfId="2358" xr:uid="{8197DCBA-9C4D-4C44-A4E7-046FB5C7BF34}"/>
    <cellStyle name="Comma 2 2 7 2 5 2" xfId="6694" xr:uid="{6902F61D-5711-4EA5-A2E4-6CEEBF2407AC}"/>
    <cellStyle name="Comma 2 2 7 2 5 2 2" xfId="15366" xr:uid="{6DD69CF0-C928-4A04-94A5-1C439DF118AC}"/>
    <cellStyle name="Comma 2 2 7 2 5 2 2 2" xfId="32710" xr:uid="{E42BBDF8-326D-468B-AB3E-BCDBB1C5D1D3}"/>
    <cellStyle name="Comma 2 2 7 2 5 2 3" xfId="24038" xr:uid="{B441B39F-E039-42ED-A928-527656C0C549}"/>
    <cellStyle name="Comma 2 2 7 2 5 3" xfId="11030" xr:uid="{11B17B26-D372-497E-A607-DCC04493F7A4}"/>
    <cellStyle name="Comma 2 2 7 2 5 3 2" xfId="28374" xr:uid="{419EA8FD-F1CF-4950-A661-84C264D6A885}"/>
    <cellStyle name="Comma 2 2 7 2 5 4" xfId="19702" xr:uid="{C8461A2D-1755-4451-AFF0-6D1929767A38}"/>
    <cellStyle name="Comma 2 2 7 2 6" xfId="4526" xr:uid="{DB3F4F17-DA9F-4791-822A-33881144FF4E}"/>
    <cellStyle name="Comma 2 2 7 2 6 2" xfId="13198" xr:uid="{6DADC910-0407-4DDB-8901-616598220E04}"/>
    <cellStyle name="Comma 2 2 7 2 6 2 2" xfId="30542" xr:uid="{A0C0480A-BCC3-425C-B1A9-3975E0413799}"/>
    <cellStyle name="Comma 2 2 7 2 6 3" xfId="21870" xr:uid="{DD44524D-1971-44F3-BA52-5F904A1304EE}"/>
    <cellStyle name="Comma 2 2 7 2 7" xfId="8862" xr:uid="{3842EE6D-4FDC-4D0B-92B8-B4F544106D07}"/>
    <cellStyle name="Comma 2 2 7 2 7 2" xfId="26206" xr:uid="{6C803C2E-7E2C-4A01-9449-2CC78B1946D0}"/>
    <cellStyle name="Comma 2 2 7 2 8" xfId="17534" xr:uid="{9CA34768-3CC8-4EAC-90EC-B76EA7295D0D}"/>
    <cellStyle name="Comma 2 2 7 3" xfId="338" xr:uid="{CFCC64A4-7098-4212-90B5-1C2D8182B5B9}"/>
    <cellStyle name="Comma 2 2 7 3 2" xfId="879" xr:uid="{31A9F21C-91C0-47D1-8510-CD281CB629B7}"/>
    <cellStyle name="Comma 2 2 7 3 2 2" xfId="1963" xr:uid="{E316BAD5-0F96-4773-BD3C-FA93003EF13A}"/>
    <cellStyle name="Comma 2 2 7 3 2 2 2" xfId="4131" xr:uid="{C4225A0B-5481-4E06-82B9-A3073E8FF775}"/>
    <cellStyle name="Comma 2 2 7 3 2 2 2 2" xfId="8467" xr:uid="{0118C0AF-5226-41FA-A9CE-1663E0AEE7AB}"/>
    <cellStyle name="Comma 2 2 7 3 2 2 2 2 2" xfId="17139" xr:uid="{110A2AE2-0646-4C96-8161-C0CA75D72A0B}"/>
    <cellStyle name="Comma 2 2 7 3 2 2 2 2 2 2" xfId="34483" xr:uid="{E7A80759-37E4-4995-84D0-F4EAD256C1F7}"/>
    <cellStyle name="Comma 2 2 7 3 2 2 2 2 3" xfId="25811" xr:uid="{7B091EB3-1A26-4CCA-ADA4-D36DA4DF5CD0}"/>
    <cellStyle name="Comma 2 2 7 3 2 2 2 3" xfId="12803" xr:uid="{0250985C-2C72-4867-82A6-5C3DA0ED6E85}"/>
    <cellStyle name="Comma 2 2 7 3 2 2 2 3 2" xfId="30147" xr:uid="{3BE99CA5-CB02-49DA-AD71-33D59A046906}"/>
    <cellStyle name="Comma 2 2 7 3 2 2 2 4" xfId="21475" xr:uid="{965041AB-EDB4-46DA-B6D1-C8B84DEED29F}"/>
    <cellStyle name="Comma 2 2 7 3 2 2 3" xfId="6299" xr:uid="{6ABF78EE-AB8E-4723-A2A5-CE2B9476DDA8}"/>
    <cellStyle name="Comma 2 2 7 3 2 2 3 2" xfId="14971" xr:uid="{5D8485DB-C364-4813-85DA-5557B5C060D4}"/>
    <cellStyle name="Comma 2 2 7 3 2 2 3 2 2" xfId="32315" xr:uid="{AE28BEAE-4CCD-4C87-A22B-A27259525830}"/>
    <cellStyle name="Comma 2 2 7 3 2 2 3 3" xfId="23643" xr:uid="{EC128BA3-3A73-453B-858B-FCD70A329F18}"/>
    <cellStyle name="Comma 2 2 7 3 2 2 4" xfId="10635" xr:uid="{02243C2C-8202-4EA5-9A2C-1079FDB00ECE}"/>
    <cellStyle name="Comma 2 2 7 3 2 2 4 2" xfId="27979" xr:uid="{C73B42E2-225E-4EEB-82EE-D3AB5799C714}"/>
    <cellStyle name="Comma 2 2 7 3 2 2 5" xfId="19307" xr:uid="{F7712565-5DDF-4A88-AFC1-7805DC6EB73F}"/>
    <cellStyle name="Comma 2 2 7 3 2 3" xfId="3047" xr:uid="{F6476BAD-649D-4F9F-B555-909AB424E0FC}"/>
    <cellStyle name="Comma 2 2 7 3 2 3 2" xfId="7383" xr:uid="{F0983C23-7485-433F-BECC-252757F9D5CD}"/>
    <cellStyle name="Comma 2 2 7 3 2 3 2 2" xfId="16055" xr:uid="{4687414B-8525-4932-80C8-8CFAECD29AF2}"/>
    <cellStyle name="Comma 2 2 7 3 2 3 2 2 2" xfId="33399" xr:uid="{62ADDA45-0303-485F-BFE0-3793063F99EF}"/>
    <cellStyle name="Comma 2 2 7 3 2 3 2 3" xfId="24727" xr:uid="{BB038062-6051-4938-BAEA-274FC04D1463}"/>
    <cellStyle name="Comma 2 2 7 3 2 3 3" xfId="11719" xr:uid="{868483AF-5E9B-46B3-902A-DA664C9DD168}"/>
    <cellStyle name="Comma 2 2 7 3 2 3 3 2" xfId="29063" xr:uid="{5E099646-C3E2-4A1C-876C-5AA22B9AADAE}"/>
    <cellStyle name="Comma 2 2 7 3 2 3 4" xfId="20391" xr:uid="{83A7C136-B68D-4995-A572-E55FAF541FD0}"/>
    <cellStyle name="Comma 2 2 7 3 2 4" xfId="5215" xr:uid="{3EC734F3-8FA9-4207-AB84-96EB19EDB225}"/>
    <cellStyle name="Comma 2 2 7 3 2 4 2" xfId="13887" xr:uid="{FA857B3F-884C-4E7E-B2C7-8D2A09EF7359}"/>
    <cellStyle name="Comma 2 2 7 3 2 4 2 2" xfId="31231" xr:uid="{F08F1515-4385-4EDB-8513-8B59AF14C310}"/>
    <cellStyle name="Comma 2 2 7 3 2 4 3" xfId="22559" xr:uid="{CDA2A219-EDB9-4C06-A9D0-B9DC50C9A669}"/>
    <cellStyle name="Comma 2 2 7 3 2 5" xfId="9551" xr:uid="{C5BAA71A-9339-4F41-8B0C-F791FFA0FF4A}"/>
    <cellStyle name="Comma 2 2 7 3 2 5 2" xfId="26895" xr:uid="{7643C939-49B2-4055-889C-990D2A24FDE0}"/>
    <cellStyle name="Comma 2 2 7 3 2 6" xfId="18223" xr:uid="{6782BC10-2CAC-493F-BF45-9D8E8E76741C}"/>
    <cellStyle name="Comma 2 2 7 3 3" xfId="1422" xr:uid="{D5C63DAF-F33A-46ED-AFD8-3B679BDF3033}"/>
    <cellStyle name="Comma 2 2 7 3 3 2" xfId="3590" xr:uid="{2B00CD42-2F15-46BA-B249-A11817C5CAAC}"/>
    <cellStyle name="Comma 2 2 7 3 3 2 2" xfId="7926" xr:uid="{2A9C3192-CD8A-4790-B8AF-F92687436DF8}"/>
    <cellStyle name="Comma 2 2 7 3 3 2 2 2" xfId="16598" xr:uid="{4CD8591A-06FF-469C-8DB3-A0D247D02155}"/>
    <cellStyle name="Comma 2 2 7 3 3 2 2 2 2" xfId="33942" xr:uid="{84B9722B-F5C2-4DC1-924C-35DCCE3D6F4B}"/>
    <cellStyle name="Comma 2 2 7 3 3 2 2 3" xfId="25270" xr:uid="{64412EFA-5972-4D61-92A2-7EA510488B38}"/>
    <cellStyle name="Comma 2 2 7 3 3 2 3" xfId="12262" xr:uid="{DFD9E38F-15C6-497A-9045-B69BB4FD106E}"/>
    <cellStyle name="Comma 2 2 7 3 3 2 3 2" xfId="29606" xr:uid="{395C433B-A89A-4F0E-A80F-19E151933FB0}"/>
    <cellStyle name="Comma 2 2 7 3 3 2 4" xfId="20934" xr:uid="{D419CBA4-68C2-4979-AD59-D51D7CBBD9FE}"/>
    <cellStyle name="Comma 2 2 7 3 3 3" xfId="5758" xr:uid="{C2AA6634-E613-44FB-B4A4-F759A0244E9D}"/>
    <cellStyle name="Comma 2 2 7 3 3 3 2" xfId="14430" xr:uid="{84C54D14-DFB0-4F3B-ADCA-2D78A75D9FB4}"/>
    <cellStyle name="Comma 2 2 7 3 3 3 2 2" xfId="31774" xr:uid="{C9C97D70-8950-4EF6-83B3-FA3414260819}"/>
    <cellStyle name="Comma 2 2 7 3 3 3 3" xfId="23102" xr:uid="{41A1C584-62A0-4F1B-A924-2833B49F2BA3}"/>
    <cellStyle name="Comma 2 2 7 3 3 4" xfId="10094" xr:uid="{7BD66E3E-5320-48B4-9146-75C5C5B54825}"/>
    <cellStyle name="Comma 2 2 7 3 3 4 2" xfId="27438" xr:uid="{B0D3B6D1-364E-420D-87A2-A1F0D2FF647F}"/>
    <cellStyle name="Comma 2 2 7 3 3 5" xfId="18766" xr:uid="{B0731CF4-58E5-4200-8163-76257C6CDD9E}"/>
    <cellStyle name="Comma 2 2 7 3 4" xfId="2506" xr:uid="{16239A62-DF1F-4053-9BE2-736A0FF7A88C}"/>
    <cellStyle name="Comma 2 2 7 3 4 2" xfId="6842" xr:uid="{13D49A7B-6BCC-4245-A825-637E97D2B174}"/>
    <cellStyle name="Comma 2 2 7 3 4 2 2" xfId="15514" xr:uid="{8EE8F662-70CC-4941-897A-51ACB76595CD}"/>
    <cellStyle name="Comma 2 2 7 3 4 2 2 2" xfId="32858" xr:uid="{58745FF5-4027-40FC-9364-EC5818A89EDF}"/>
    <cellStyle name="Comma 2 2 7 3 4 2 3" xfId="24186" xr:uid="{8DB71C3F-1C3E-474C-B02D-99F67D64C361}"/>
    <cellStyle name="Comma 2 2 7 3 4 3" xfId="11178" xr:uid="{5DC487E5-EA9B-4BBB-A11C-71150918513B}"/>
    <cellStyle name="Comma 2 2 7 3 4 3 2" xfId="28522" xr:uid="{DE755CD7-5E8A-411A-A0BF-8DE734CF70BD}"/>
    <cellStyle name="Comma 2 2 7 3 4 4" xfId="19850" xr:uid="{0E733680-B636-44F5-BA10-85F8E06E2482}"/>
    <cellStyle name="Comma 2 2 7 3 5" xfId="4674" xr:uid="{897CEBB1-E614-46F3-9825-ED2FF30D30C2}"/>
    <cellStyle name="Comma 2 2 7 3 5 2" xfId="13346" xr:uid="{9E345A31-D828-4D99-A1A4-700A33B2053F}"/>
    <cellStyle name="Comma 2 2 7 3 5 2 2" xfId="30690" xr:uid="{70C392E7-A178-4CAD-9217-6F0ACCF5F827}"/>
    <cellStyle name="Comma 2 2 7 3 5 3" xfId="22018" xr:uid="{46B95046-9F1B-4F77-ADBC-05E7DD522AD5}"/>
    <cellStyle name="Comma 2 2 7 3 6" xfId="9010" xr:uid="{2D42EB28-1FA5-41DF-906F-77C6EA43B1F3}"/>
    <cellStyle name="Comma 2 2 7 3 6 2" xfId="26354" xr:uid="{5E42D1F2-E89A-4DA5-B68B-BB672D6AE2EE}"/>
    <cellStyle name="Comma 2 2 7 3 7" xfId="17682" xr:uid="{ABB1C2A8-1A38-4940-9208-B457D0BEDFDE}"/>
    <cellStyle name="Comma 2 2 7 4" xfId="609" xr:uid="{D551895B-D3AB-48B1-8BBD-207F4B3688D7}"/>
    <cellStyle name="Comma 2 2 7 4 2" xfId="1693" xr:uid="{FD74CB7E-86C0-4125-8899-1C134252E74C}"/>
    <cellStyle name="Comma 2 2 7 4 2 2" xfId="3861" xr:uid="{1E79A34B-4C4D-4ED4-8ACE-AE7A4CAE1766}"/>
    <cellStyle name="Comma 2 2 7 4 2 2 2" xfId="8197" xr:uid="{09525CE7-21A5-4960-83A9-F0DAE889B130}"/>
    <cellStyle name="Comma 2 2 7 4 2 2 2 2" xfId="16869" xr:uid="{E55DAD18-2817-45CB-A890-77655866DE7E}"/>
    <cellStyle name="Comma 2 2 7 4 2 2 2 2 2" xfId="34213" xr:uid="{F1417137-2639-42BA-BB69-0B563275636B}"/>
    <cellStyle name="Comma 2 2 7 4 2 2 2 3" xfId="25541" xr:uid="{E5F682AA-BFAC-47C5-A3B0-2F1EBBE7DE3C}"/>
    <cellStyle name="Comma 2 2 7 4 2 2 3" xfId="12533" xr:uid="{CA0BB264-9F39-49C3-9946-22AE63584D89}"/>
    <cellStyle name="Comma 2 2 7 4 2 2 3 2" xfId="29877" xr:uid="{FFA62913-9147-4F89-B557-7C432366CC73}"/>
    <cellStyle name="Comma 2 2 7 4 2 2 4" xfId="21205" xr:uid="{1413A826-DDBA-4905-951D-4B35632513A0}"/>
    <cellStyle name="Comma 2 2 7 4 2 3" xfId="6029" xr:uid="{FC55ECA5-8789-42DB-BD17-E97CAA220405}"/>
    <cellStyle name="Comma 2 2 7 4 2 3 2" xfId="14701" xr:uid="{369E6A29-BDA3-469D-81B7-A322CFE80F14}"/>
    <cellStyle name="Comma 2 2 7 4 2 3 2 2" xfId="32045" xr:uid="{3AF6A216-BF79-43EB-8276-FF6F60555880}"/>
    <cellStyle name="Comma 2 2 7 4 2 3 3" xfId="23373" xr:uid="{0F0AFC8D-B076-417A-B267-3FE05D189122}"/>
    <cellStyle name="Comma 2 2 7 4 2 4" xfId="10365" xr:uid="{D0F70B0C-6F70-4C16-A765-98200CBE8850}"/>
    <cellStyle name="Comma 2 2 7 4 2 4 2" xfId="27709" xr:uid="{2D386E0D-7A40-4005-B82B-2930AAF1C56E}"/>
    <cellStyle name="Comma 2 2 7 4 2 5" xfId="19037" xr:uid="{F3347157-5824-457A-85BE-39968B8B523D}"/>
    <cellStyle name="Comma 2 2 7 4 3" xfId="2777" xr:uid="{3B817F42-5740-41B4-B446-41AD31941048}"/>
    <cellStyle name="Comma 2 2 7 4 3 2" xfId="7113" xr:uid="{E2C66EB3-ABA2-451C-B164-DEB95A33E02E}"/>
    <cellStyle name="Comma 2 2 7 4 3 2 2" xfId="15785" xr:uid="{37E192E6-0FC5-4523-866D-1D7AEE32264D}"/>
    <cellStyle name="Comma 2 2 7 4 3 2 2 2" xfId="33129" xr:uid="{78D5A6ED-5868-42DD-9B35-6796F6396FA9}"/>
    <cellStyle name="Comma 2 2 7 4 3 2 3" xfId="24457" xr:uid="{F4F13C65-D633-4F4E-9CE7-829A3E7F2411}"/>
    <cellStyle name="Comma 2 2 7 4 3 3" xfId="11449" xr:uid="{F9CBEB54-0591-497A-9B79-EB48E87834AE}"/>
    <cellStyle name="Comma 2 2 7 4 3 3 2" xfId="28793" xr:uid="{6AE501CE-BE6E-48D4-9660-52CADB704315}"/>
    <cellStyle name="Comma 2 2 7 4 3 4" xfId="20121" xr:uid="{E232738B-ADC3-4CDC-8F69-4FBE618B896A}"/>
    <cellStyle name="Comma 2 2 7 4 4" xfId="4945" xr:uid="{E6831C2D-6679-447B-AB90-D70767E7EF66}"/>
    <cellStyle name="Comma 2 2 7 4 4 2" xfId="13617" xr:uid="{C9AA28D8-9BE5-4008-90B9-BBA956AC5114}"/>
    <cellStyle name="Comma 2 2 7 4 4 2 2" xfId="30961" xr:uid="{99AD0CDA-9313-4360-8E12-AC793458ED34}"/>
    <cellStyle name="Comma 2 2 7 4 4 3" xfId="22289" xr:uid="{2DE625CA-B8FB-4E84-B203-BE18BDAD42F1}"/>
    <cellStyle name="Comma 2 2 7 4 5" xfId="9281" xr:uid="{6EF05970-2CFE-49EE-89B7-74206A90BD81}"/>
    <cellStyle name="Comma 2 2 7 4 5 2" xfId="26625" xr:uid="{EFB088AF-73E2-48EB-AEF3-72235B3827D4}"/>
    <cellStyle name="Comma 2 2 7 4 6" xfId="17953" xr:uid="{26B71EA1-64D1-4E73-9959-401BC1834FBA}"/>
    <cellStyle name="Comma 2 2 7 5" xfId="1152" xr:uid="{D6E85349-0DFD-4B78-B581-9747011533F6}"/>
    <cellStyle name="Comma 2 2 7 5 2" xfId="3320" xr:uid="{E7220716-ADDC-4D8B-9A03-93802A7BEDBA}"/>
    <cellStyle name="Comma 2 2 7 5 2 2" xfId="7656" xr:uid="{47F891DC-A189-4689-BF86-D817E8618D18}"/>
    <cellStyle name="Comma 2 2 7 5 2 2 2" xfId="16328" xr:uid="{5F824142-DD39-4820-A3DA-106CD7C0F373}"/>
    <cellStyle name="Comma 2 2 7 5 2 2 2 2" xfId="33672" xr:uid="{B4723C69-093B-4082-A4CF-FCEA6015DF06}"/>
    <cellStyle name="Comma 2 2 7 5 2 2 3" xfId="25000" xr:uid="{408640A6-FD47-4CFB-BA73-9D9093E999FB}"/>
    <cellStyle name="Comma 2 2 7 5 2 3" xfId="11992" xr:uid="{F4078227-10C3-4D9D-90E4-8A74904CC74C}"/>
    <cellStyle name="Comma 2 2 7 5 2 3 2" xfId="29336" xr:uid="{C8697F5C-B06D-4DDB-97A4-0DC4ADB18887}"/>
    <cellStyle name="Comma 2 2 7 5 2 4" xfId="20664" xr:uid="{37AE0CAD-D766-4DF6-B66F-DAEA7D51AF9F}"/>
    <cellStyle name="Comma 2 2 7 5 3" xfId="5488" xr:uid="{5D80DCEE-DD81-460E-8739-B376DA83D949}"/>
    <cellStyle name="Comma 2 2 7 5 3 2" xfId="14160" xr:uid="{0A63FD33-E8CD-4588-AEA7-901C9AE76283}"/>
    <cellStyle name="Comma 2 2 7 5 3 2 2" xfId="31504" xr:uid="{8F8B1CD0-F1A4-4BC5-8939-FEED38B88DDF}"/>
    <cellStyle name="Comma 2 2 7 5 3 3" xfId="22832" xr:uid="{A08C2F15-DC9E-4907-8861-3739B7F9C508}"/>
    <cellStyle name="Comma 2 2 7 5 4" xfId="9824" xr:uid="{5EF4EB9B-3ACF-4250-96C1-9358404EC274}"/>
    <cellStyle name="Comma 2 2 7 5 4 2" xfId="27168" xr:uid="{BEABD141-AE14-4C79-BC03-20316485C12F}"/>
    <cellStyle name="Comma 2 2 7 5 5" xfId="18496" xr:uid="{C741BE25-BB1D-4A36-B0A8-98C30DEAFEC2}"/>
    <cellStyle name="Comma 2 2 7 6" xfId="2236" xr:uid="{2E0A8BC6-1EE7-459C-AF4D-E04A32821EB5}"/>
    <cellStyle name="Comma 2 2 7 6 2" xfId="6572" xr:uid="{3A261E3F-5FA5-4B4D-B235-E2D42192C87E}"/>
    <cellStyle name="Comma 2 2 7 6 2 2" xfId="15244" xr:uid="{B83C9E07-7ADC-42E4-8BBB-56DD02F6865B}"/>
    <cellStyle name="Comma 2 2 7 6 2 2 2" xfId="32588" xr:uid="{9994717F-9B9D-4C64-8BD0-6D61ADE1D93A}"/>
    <cellStyle name="Comma 2 2 7 6 2 3" xfId="23916" xr:uid="{606DC51E-FEDA-43F2-8D84-253A3BD8B1C1}"/>
    <cellStyle name="Comma 2 2 7 6 3" xfId="10908" xr:uid="{3CC4DFB9-D6F9-4933-B6B2-6CF4C4E3EDC8}"/>
    <cellStyle name="Comma 2 2 7 6 3 2" xfId="28252" xr:uid="{1D485AD1-5D1A-41E1-A9F0-88D0526E0E98}"/>
    <cellStyle name="Comma 2 2 7 6 4" xfId="19580" xr:uid="{E6A17113-EF04-4A66-9A3E-517DE48D8BC2}"/>
    <cellStyle name="Comma 2 2 7 7" xfId="4404" xr:uid="{D5009636-6A66-4263-9CCC-29DB04C41811}"/>
    <cellStyle name="Comma 2 2 7 7 2" xfId="13076" xr:uid="{025C1701-96B5-4062-B32D-FD2FEB260587}"/>
    <cellStyle name="Comma 2 2 7 7 2 2" xfId="30420" xr:uid="{13AC22CE-DB9B-4FAA-A73D-F8D32C20371D}"/>
    <cellStyle name="Comma 2 2 7 7 3" xfId="21748" xr:uid="{B050B7F1-097F-4FD4-873E-928ED41857F5}"/>
    <cellStyle name="Comma 2 2 7 8" xfId="8740" xr:uid="{BA0811BE-C6FF-4C55-AF75-612AB0CED8EA}"/>
    <cellStyle name="Comma 2 2 7 8 2" xfId="26084" xr:uid="{51D8B9E1-7E8B-46E5-93F8-395D4AF4907A}"/>
    <cellStyle name="Comma 2 2 7 9" xfId="17412" xr:uid="{34DCAF86-2E3E-4B1A-897A-583F412B7446}"/>
    <cellStyle name="Comma 2 2 8" xfId="129" xr:uid="{CF9A38E0-944D-42F6-8BC1-B0CE91AAB66F}"/>
    <cellStyle name="Comma 2 2 8 2" xfId="399" xr:uid="{FD141734-5E77-4154-BA59-6B13648711AB}"/>
    <cellStyle name="Comma 2 2 8 2 2" xfId="940" xr:uid="{E2ADDAD9-F2B9-498B-80BB-ED0DFE0345B4}"/>
    <cellStyle name="Comma 2 2 8 2 2 2" xfId="2024" xr:uid="{80030A53-F489-43DA-B455-B98A5199D7B3}"/>
    <cellStyle name="Comma 2 2 8 2 2 2 2" xfId="4192" xr:uid="{8B9B21A6-1FF8-40F3-A21A-4BB87AF03710}"/>
    <cellStyle name="Comma 2 2 8 2 2 2 2 2" xfId="8528" xr:uid="{2A2A5331-06A9-4E2B-B94A-664F1BA8749F}"/>
    <cellStyle name="Comma 2 2 8 2 2 2 2 2 2" xfId="17200" xr:uid="{2224C019-FD67-4E2A-A605-4679875FB0E8}"/>
    <cellStyle name="Comma 2 2 8 2 2 2 2 2 2 2" xfId="34544" xr:uid="{13A2935A-CC3A-4287-A856-AC0369C3C7C9}"/>
    <cellStyle name="Comma 2 2 8 2 2 2 2 2 3" xfId="25872" xr:uid="{EBAD9C19-300B-429D-BFF1-FBF971721929}"/>
    <cellStyle name="Comma 2 2 8 2 2 2 2 3" xfId="12864" xr:uid="{F9F43259-6452-4068-83C7-3AB8E2830126}"/>
    <cellStyle name="Comma 2 2 8 2 2 2 2 3 2" xfId="30208" xr:uid="{F0AC32CB-51B6-4369-B749-9C6FE3EB1EE9}"/>
    <cellStyle name="Comma 2 2 8 2 2 2 2 4" xfId="21536" xr:uid="{A2C7388E-AD68-4A44-A1AF-7C8FFB5061CD}"/>
    <cellStyle name="Comma 2 2 8 2 2 2 3" xfId="6360" xr:uid="{0671A2CE-69AB-41EC-A685-A265B4B31105}"/>
    <cellStyle name="Comma 2 2 8 2 2 2 3 2" xfId="15032" xr:uid="{4F0438A5-880B-48EB-AE96-F84E83EA7061}"/>
    <cellStyle name="Comma 2 2 8 2 2 2 3 2 2" xfId="32376" xr:uid="{F30ADE2F-D635-4942-BD0E-32DC3C902A81}"/>
    <cellStyle name="Comma 2 2 8 2 2 2 3 3" xfId="23704" xr:uid="{D5F4F410-A181-4EED-B20F-0AFB20E58AED}"/>
    <cellStyle name="Comma 2 2 8 2 2 2 4" xfId="10696" xr:uid="{F81BF9B6-AC5C-41A2-86A6-2781E8CE1CF3}"/>
    <cellStyle name="Comma 2 2 8 2 2 2 4 2" xfId="28040" xr:uid="{AD1F8106-C627-4012-8487-1FF6BFD91832}"/>
    <cellStyle name="Comma 2 2 8 2 2 2 5" xfId="19368" xr:uid="{2472FAFB-29A3-4FF5-A992-C1A2DB532106}"/>
    <cellStyle name="Comma 2 2 8 2 2 3" xfId="3108" xr:uid="{C0B556B5-B068-4F1F-BDC3-2E41E4604CFA}"/>
    <cellStyle name="Comma 2 2 8 2 2 3 2" xfId="7444" xr:uid="{D69B522F-AD20-4C33-B8FA-72289B0E6931}"/>
    <cellStyle name="Comma 2 2 8 2 2 3 2 2" xfId="16116" xr:uid="{C643D61B-EFF1-44CD-8330-81D18F428796}"/>
    <cellStyle name="Comma 2 2 8 2 2 3 2 2 2" xfId="33460" xr:uid="{98B39254-09DE-4EE3-859D-0F82B6583C27}"/>
    <cellStyle name="Comma 2 2 8 2 2 3 2 3" xfId="24788" xr:uid="{DA55DEFB-C67B-49CF-BE60-CF71858B067D}"/>
    <cellStyle name="Comma 2 2 8 2 2 3 3" xfId="11780" xr:uid="{F596618A-FF82-49E0-957D-B5DAAAD32260}"/>
    <cellStyle name="Comma 2 2 8 2 2 3 3 2" xfId="29124" xr:uid="{40048680-D594-42C0-8909-31363B756B99}"/>
    <cellStyle name="Comma 2 2 8 2 2 3 4" xfId="20452" xr:uid="{9FE74548-8A77-411B-860A-56BF69541727}"/>
    <cellStyle name="Comma 2 2 8 2 2 4" xfId="5276" xr:uid="{2FB0A151-9639-49FA-B868-ED340B44C713}"/>
    <cellStyle name="Comma 2 2 8 2 2 4 2" xfId="13948" xr:uid="{51A6985D-7ABF-4480-A8F7-A6106D425F99}"/>
    <cellStyle name="Comma 2 2 8 2 2 4 2 2" xfId="31292" xr:uid="{E624966F-D166-45AE-B407-915B8FAFE06D}"/>
    <cellStyle name="Comma 2 2 8 2 2 4 3" xfId="22620" xr:uid="{81167634-6DAB-411B-9307-8686415BF9BC}"/>
    <cellStyle name="Comma 2 2 8 2 2 5" xfId="9612" xr:uid="{C5E02410-3D23-406C-9479-7CF03773DA09}"/>
    <cellStyle name="Comma 2 2 8 2 2 5 2" xfId="26956" xr:uid="{F2458795-1CE4-404D-B578-05AF1E5FD83B}"/>
    <cellStyle name="Comma 2 2 8 2 2 6" xfId="18284" xr:uid="{992181FD-0DD1-412D-8E27-CD4783BDA35E}"/>
    <cellStyle name="Comma 2 2 8 2 3" xfId="1483" xr:uid="{99B93A37-BC37-4777-A71F-3167F3480C64}"/>
    <cellStyle name="Comma 2 2 8 2 3 2" xfId="3651" xr:uid="{F66E8B20-2329-4C47-A7A4-5BDACC15D7AA}"/>
    <cellStyle name="Comma 2 2 8 2 3 2 2" xfId="7987" xr:uid="{086B683F-3ACB-431C-9E9E-AE210F07F5A0}"/>
    <cellStyle name="Comma 2 2 8 2 3 2 2 2" xfId="16659" xr:uid="{6B351240-6726-4BBE-93E5-45192A31D39D}"/>
    <cellStyle name="Comma 2 2 8 2 3 2 2 2 2" xfId="34003" xr:uid="{CA540BC7-2293-4004-BCF8-535808F27BCF}"/>
    <cellStyle name="Comma 2 2 8 2 3 2 2 3" xfId="25331" xr:uid="{7DC2657A-B8C0-4F68-9623-06D6B9A2EE47}"/>
    <cellStyle name="Comma 2 2 8 2 3 2 3" xfId="12323" xr:uid="{7E07FB4B-D13B-4C17-B25B-AC1BFCF1063E}"/>
    <cellStyle name="Comma 2 2 8 2 3 2 3 2" xfId="29667" xr:uid="{7CF917A4-097B-4A9F-99FD-1CC2C8B1A68D}"/>
    <cellStyle name="Comma 2 2 8 2 3 2 4" xfId="20995" xr:uid="{52CC22E3-F3AA-44EE-966A-C955B04261BB}"/>
    <cellStyle name="Comma 2 2 8 2 3 3" xfId="5819" xr:uid="{2A6CF7D3-1265-4D7A-B0C2-8E09146B0A2A}"/>
    <cellStyle name="Comma 2 2 8 2 3 3 2" xfId="14491" xr:uid="{4E0C7CA3-CAA2-4A07-AB13-6BB8E3C8F624}"/>
    <cellStyle name="Comma 2 2 8 2 3 3 2 2" xfId="31835" xr:uid="{8B22E241-0B1C-498F-91DB-CF89F531D627}"/>
    <cellStyle name="Comma 2 2 8 2 3 3 3" xfId="23163" xr:uid="{CA472208-9BEB-4663-A3BB-A6B60470CC76}"/>
    <cellStyle name="Comma 2 2 8 2 3 4" xfId="10155" xr:uid="{8C64742C-3CFB-44B0-B379-69C7DB4AB176}"/>
    <cellStyle name="Comma 2 2 8 2 3 4 2" xfId="27499" xr:uid="{23E143B3-2E56-46B5-8B04-EC74AB459F52}"/>
    <cellStyle name="Comma 2 2 8 2 3 5" xfId="18827" xr:uid="{94C9A311-D228-4D3D-9B4C-889615518C62}"/>
    <cellStyle name="Comma 2 2 8 2 4" xfId="2567" xr:uid="{6F94D82B-0C67-4B4F-B79D-13AEA28516EB}"/>
    <cellStyle name="Comma 2 2 8 2 4 2" xfId="6903" xr:uid="{34BD7AA7-C440-4949-9AB0-7ED51EA3E99D}"/>
    <cellStyle name="Comma 2 2 8 2 4 2 2" xfId="15575" xr:uid="{35B9D739-F92E-4E3E-8E6D-355FA2464E64}"/>
    <cellStyle name="Comma 2 2 8 2 4 2 2 2" xfId="32919" xr:uid="{11524A98-8082-481E-A593-A7FF043C8DB3}"/>
    <cellStyle name="Comma 2 2 8 2 4 2 3" xfId="24247" xr:uid="{71DE9B8F-5EEA-4895-AB8C-51E18CF759A3}"/>
    <cellStyle name="Comma 2 2 8 2 4 3" xfId="11239" xr:uid="{98B51CFD-2F81-4B3F-A1AB-6CBED8BAD40E}"/>
    <cellStyle name="Comma 2 2 8 2 4 3 2" xfId="28583" xr:uid="{1E44CD55-2E1A-404A-8531-A610AFA25F33}"/>
    <cellStyle name="Comma 2 2 8 2 4 4" xfId="19911" xr:uid="{145AADE0-3B62-439C-9FF8-DCCD270B0FD1}"/>
    <cellStyle name="Comma 2 2 8 2 5" xfId="4735" xr:uid="{DC2B5046-015B-4669-9D85-58E13EC141A9}"/>
    <cellStyle name="Comma 2 2 8 2 5 2" xfId="13407" xr:uid="{CDDC6A9F-4E06-4809-A523-841F99841562}"/>
    <cellStyle name="Comma 2 2 8 2 5 2 2" xfId="30751" xr:uid="{EFBE7304-2B5A-418A-97CB-591FE35F8A3F}"/>
    <cellStyle name="Comma 2 2 8 2 5 3" xfId="22079" xr:uid="{B5928EE1-3BFC-4396-8427-066018543479}"/>
    <cellStyle name="Comma 2 2 8 2 6" xfId="9071" xr:uid="{ED0C7318-E25A-4FE6-B829-95157B44811C}"/>
    <cellStyle name="Comma 2 2 8 2 6 2" xfId="26415" xr:uid="{F76B0DDA-E7A0-4B38-9FDE-2EF4C768E134}"/>
    <cellStyle name="Comma 2 2 8 2 7" xfId="17743" xr:uid="{E0662CBA-AB64-4C01-87EA-D45A2FA0909F}"/>
    <cellStyle name="Comma 2 2 8 3" xfId="670" xr:uid="{89186414-82F3-4133-B281-189AD7A8847D}"/>
    <cellStyle name="Comma 2 2 8 3 2" xfId="1754" xr:uid="{5A4584EC-0A08-48E8-BB56-D8F0547BDEB1}"/>
    <cellStyle name="Comma 2 2 8 3 2 2" xfId="3922" xr:uid="{B02C04EA-5F64-430E-B18D-19633012845D}"/>
    <cellStyle name="Comma 2 2 8 3 2 2 2" xfId="8258" xr:uid="{EAB800D3-7843-4F53-97AE-E7C202621A30}"/>
    <cellStyle name="Comma 2 2 8 3 2 2 2 2" xfId="16930" xr:uid="{2A2FE3F6-CB62-4F45-9AC8-148BB3924885}"/>
    <cellStyle name="Comma 2 2 8 3 2 2 2 2 2" xfId="34274" xr:uid="{B0CBA2D3-44AA-4CC8-8714-20C3C42AA559}"/>
    <cellStyle name="Comma 2 2 8 3 2 2 2 3" xfId="25602" xr:uid="{1EF9B210-6810-43BA-B88B-222C2699B9C9}"/>
    <cellStyle name="Comma 2 2 8 3 2 2 3" xfId="12594" xr:uid="{71023955-02C1-4A87-BB04-9234F0AD8453}"/>
    <cellStyle name="Comma 2 2 8 3 2 2 3 2" xfId="29938" xr:uid="{97BF0297-8D17-4CBA-B829-04CE9D53628A}"/>
    <cellStyle name="Comma 2 2 8 3 2 2 4" xfId="21266" xr:uid="{C67DC0BF-583B-46B9-8ECB-58643EFCA26F}"/>
    <cellStyle name="Comma 2 2 8 3 2 3" xfId="6090" xr:uid="{FD499553-5A45-4F29-BA29-F64C4AE1515E}"/>
    <cellStyle name="Comma 2 2 8 3 2 3 2" xfId="14762" xr:uid="{8A81A8DA-9A1E-4E8A-AA4B-70C1E30300C8}"/>
    <cellStyle name="Comma 2 2 8 3 2 3 2 2" xfId="32106" xr:uid="{9DDB4C8A-207E-4454-9DE4-538DF563EA2D}"/>
    <cellStyle name="Comma 2 2 8 3 2 3 3" xfId="23434" xr:uid="{D5633D66-1AB0-4F10-B1EF-17D9309196D0}"/>
    <cellStyle name="Comma 2 2 8 3 2 4" xfId="10426" xr:uid="{1BD0E55A-1DC0-476F-B463-5C4C71C7AD1F}"/>
    <cellStyle name="Comma 2 2 8 3 2 4 2" xfId="27770" xr:uid="{FF02CE19-19F3-4CDC-BBC3-AA65DCD674C0}"/>
    <cellStyle name="Comma 2 2 8 3 2 5" xfId="19098" xr:uid="{ACC570A1-0E3A-48DC-B5AA-3DF93A401129}"/>
    <cellStyle name="Comma 2 2 8 3 3" xfId="2838" xr:uid="{A4488EF0-0C4B-46CF-B91E-A3B51F303B62}"/>
    <cellStyle name="Comma 2 2 8 3 3 2" xfId="7174" xr:uid="{64E9EA69-5153-4C1D-801C-A5BFAB341E82}"/>
    <cellStyle name="Comma 2 2 8 3 3 2 2" xfId="15846" xr:uid="{30B1EEDE-2C8F-4710-96A0-3BF16848BA91}"/>
    <cellStyle name="Comma 2 2 8 3 3 2 2 2" xfId="33190" xr:uid="{92A1B3BB-633F-4464-A4AE-F7AD43CA97D2}"/>
    <cellStyle name="Comma 2 2 8 3 3 2 3" xfId="24518" xr:uid="{3F0BDF6C-27A8-4613-ACD3-8D5B59E408E9}"/>
    <cellStyle name="Comma 2 2 8 3 3 3" xfId="11510" xr:uid="{ABB72BE6-B9D4-4922-9869-D3BABE8A417C}"/>
    <cellStyle name="Comma 2 2 8 3 3 3 2" xfId="28854" xr:uid="{FF83236C-2E75-49EC-B17A-6369007760D6}"/>
    <cellStyle name="Comma 2 2 8 3 3 4" xfId="20182" xr:uid="{28332E34-B662-48C0-B40F-F5E4EBEE8C29}"/>
    <cellStyle name="Comma 2 2 8 3 4" xfId="5006" xr:uid="{154383FD-DBF7-41C3-9C75-2EE056B7818F}"/>
    <cellStyle name="Comma 2 2 8 3 4 2" xfId="13678" xr:uid="{98B10694-D0AC-4FB8-BD82-08537D1E76E4}"/>
    <cellStyle name="Comma 2 2 8 3 4 2 2" xfId="31022" xr:uid="{B8DC4062-D2F6-4C78-9143-783A1CB89CEA}"/>
    <cellStyle name="Comma 2 2 8 3 4 3" xfId="22350" xr:uid="{8F1352E6-F548-4262-A444-E693AAD5E361}"/>
    <cellStyle name="Comma 2 2 8 3 5" xfId="9342" xr:uid="{943FA3CF-8457-46E6-BCAA-072C86DFF3C0}"/>
    <cellStyle name="Comma 2 2 8 3 5 2" xfId="26686" xr:uid="{25EBF322-EB3C-4266-9B0A-4A1C103025C3}"/>
    <cellStyle name="Comma 2 2 8 3 6" xfId="18014" xr:uid="{BDE194D9-A366-4DE0-B342-A69B996F00F4}"/>
    <cellStyle name="Comma 2 2 8 4" xfId="1213" xr:uid="{5F3C5362-3DFA-4577-82B1-67F48643E6B1}"/>
    <cellStyle name="Comma 2 2 8 4 2" xfId="3381" xr:uid="{C4FF950B-2BC0-49E9-B1B0-E3F5FD3A5E38}"/>
    <cellStyle name="Comma 2 2 8 4 2 2" xfId="7717" xr:uid="{C5D011B4-1B8C-4D43-82FF-06C3313EAB26}"/>
    <cellStyle name="Comma 2 2 8 4 2 2 2" xfId="16389" xr:uid="{DEE6A67D-4F5F-4A05-AE14-05520B9716C3}"/>
    <cellStyle name="Comma 2 2 8 4 2 2 2 2" xfId="33733" xr:uid="{1AC6A8A0-036F-4C1F-A575-4B9FCA2784CE}"/>
    <cellStyle name="Comma 2 2 8 4 2 2 3" xfId="25061" xr:uid="{AC99BFF5-5168-4518-A87D-A78CE1A87965}"/>
    <cellStyle name="Comma 2 2 8 4 2 3" xfId="12053" xr:uid="{2A416B9B-4616-42C8-BBA6-E7BDA5A4C59B}"/>
    <cellStyle name="Comma 2 2 8 4 2 3 2" xfId="29397" xr:uid="{769E2FD0-B234-4A35-BA8A-E07B70E1AD49}"/>
    <cellStyle name="Comma 2 2 8 4 2 4" xfId="20725" xr:uid="{B882C45C-19CD-46D0-A3EE-CAF1BA7A86D2}"/>
    <cellStyle name="Comma 2 2 8 4 3" xfId="5549" xr:uid="{EB1CFC3F-6751-4CD1-A1EC-7AA7FA0AB60E}"/>
    <cellStyle name="Comma 2 2 8 4 3 2" xfId="14221" xr:uid="{B72F4E5C-B5DF-4686-A9DE-9B94B1F236A6}"/>
    <cellStyle name="Comma 2 2 8 4 3 2 2" xfId="31565" xr:uid="{C5BFE26D-F9C2-4933-BBD7-815021416315}"/>
    <cellStyle name="Comma 2 2 8 4 3 3" xfId="22893" xr:uid="{A3DE531B-8E7E-489C-AAAB-BF612174068C}"/>
    <cellStyle name="Comma 2 2 8 4 4" xfId="9885" xr:uid="{B7B9074F-754C-4EBD-894E-4E4EE74B9A64}"/>
    <cellStyle name="Comma 2 2 8 4 4 2" xfId="27229" xr:uid="{214E5955-D981-439B-8DD3-E38CC0E67724}"/>
    <cellStyle name="Comma 2 2 8 4 5" xfId="18557" xr:uid="{BB0547EF-D6A9-4C4C-AD19-5E721BC022EF}"/>
    <cellStyle name="Comma 2 2 8 5" xfId="2297" xr:uid="{F638A527-7788-4CD3-892B-6D4CA4D45C23}"/>
    <cellStyle name="Comma 2 2 8 5 2" xfId="6633" xr:uid="{702AA11D-3548-4F30-B5D8-AE4486845ED1}"/>
    <cellStyle name="Comma 2 2 8 5 2 2" xfId="15305" xr:uid="{2197B216-3234-4380-9F86-D79E4E24907D}"/>
    <cellStyle name="Comma 2 2 8 5 2 2 2" xfId="32649" xr:uid="{A84B018A-D296-46C2-94DA-314B0B23BD02}"/>
    <cellStyle name="Comma 2 2 8 5 2 3" xfId="23977" xr:uid="{0A9D6CD8-FB63-4FA4-B42E-0587ADC924EE}"/>
    <cellStyle name="Comma 2 2 8 5 3" xfId="10969" xr:uid="{521263F9-9ED1-4EDC-B8EA-04A90135F149}"/>
    <cellStyle name="Comma 2 2 8 5 3 2" xfId="28313" xr:uid="{FB6EDC2A-4106-4D33-8167-6F5B43F36276}"/>
    <cellStyle name="Comma 2 2 8 5 4" xfId="19641" xr:uid="{AF2D0633-E96D-439A-9275-F2F7D1892775}"/>
    <cellStyle name="Comma 2 2 8 6" xfId="4465" xr:uid="{7184485C-34F0-4F31-AE18-A25E194EB2BE}"/>
    <cellStyle name="Comma 2 2 8 6 2" xfId="13137" xr:uid="{34CAC4D9-0229-4921-BE1F-F9104E6C7DC7}"/>
    <cellStyle name="Comma 2 2 8 6 2 2" xfId="30481" xr:uid="{C7D056FF-E5C9-49D6-9526-24D5EA77774C}"/>
    <cellStyle name="Comma 2 2 8 6 3" xfId="21809" xr:uid="{A406ECDF-8884-44A9-A8CB-CD09F7235E95}"/>
    <cellStyle name="Comma 2 2 8 7" xfId="8801" xr:uid="{A5111F69-C122-46D0-A084-35EEC2112C7F}"/>
    <cellStyle name="Comma 2 2 8 7 2" xfId="26145" xr:uid="{0F51D1B8-84D1-4216-B0E4-77A28775AA07}"/>
    <cellStyle name="Comma 2 2 8 8" xfId="17473" xr:uid="{34667732-149D-4B9E-9A01-837B47799F71}"/>
    <cellStyle name="Comma 2 2 9" xfId="254" xr:uid="{75324D12-AF67-4A03-B021-6700A63E9576}"/>
    <cellStyle name="Comma 2 2 9 2" xfId="524" xr:uid="{5A251C09-1598-4EC2-8A57-4775B0B09B3F}"/>
    <cellStyle name="Comma 2 2 9 2 2" xfId="1065" xr:uid="{EE836137-4545-43FA-B166-D1A1767841EB}"/>
    <cellStyle name="Comma 2 2 9 2 2 2" xfId="2149" xr:uid="{6BB72482-B6E9-4368-ADAC-1D6C6B1C8261}"/>
    <cellStyle name="Comma 2 2 9 2 2 2 2" xfId="4317" xr:uid="{AF9C210A-4323-4C7E-B888-BC818BEEDB5F}"/>
    <cellStyle name="Comma 2 2 9 2 2 2 2 2" xfId="8653" xr:uid="{232F2652-4A8E-4816-8FDE-405D5EE4B0EA}"/>
    <cellStyle name="Comma 2 2 9 2 2 2 2 2 2" xfId="17325" xr:uid="{252D27A3-FD6A-49BF-8E85-8292C33F3114}"/>
    <cellStyle name="Comma 2 2 9 2 2 2 2 2 2 2" xfId="34669" xr:uid="{4B23CE5E-E31C-4CB0-B4C8-8F60B5851878}"/>
    <cellStyle name="Comma 2 2 9 2 2 2 2 2 3" xfId="25997" xr:uid="{C8DFAFE1-5BFF-4F1F-8A6D-FFB14B43237D}"/>
    <cellStyle name="Comma 2 2 9 2 2 2 2 3" xfId="12989" xr:uid="{084E325A-9AA4-48F2-8B5B-A82939D0C0A0}"/>
    <cellStyle name="Comma 2 2 9 2 2 2 2 3 2" xfId="30333" xr:uid="{7EC13EB2-64E5-45E3-86DF-E32CCCC7B98B}"/>
    <cellStyle name="Comma 2 2 9 2 2 2 2 4" xfId="21661" xr:uid="{1D5E5AA5-3144-4F87-95DC-1993B80FEF45}"/>
    <cellStyle name="Comma 2 2 9 2 2 2 3" xfId="6485" xr:uid="{0328CEF0-17FD-4F63-8F08-78B4C8CB5400}"/>
    <cellStyle name="Comma 2 2 9 2 2 2 3 2" xfId="15157" xr:uid="{B1D8ECBD-329E-463A-AF14-01E4D58A9D53}"/>
    <cellStyle name="Comma 2 2 9 2 2 2 3 2 2" xfId="32501" xr:uid="{85D1DA44-4764-4651-A981-8A8F9F568387}"/>
    <cellStyle name="Comma 2 2 9 2 2 2 3 3" xfId="23829" xr:uid="{1FEA9B33-3132-4098-9531-FBF7C10E6FDB}"/>
    <cellStyle name="Comma 2 2 9 2 2 2 4" xfId="10821" xr:uid="{A2D64557-6916-497C-9741-8B1E4562D6DB}"/>
    <cellStyle name="Comma 2 2 9 2 2 2 4 2" xfId="28165" xr:uid="{A6D0F2BF-E898-4819-B414-7471B7D608D0}"/>
    <cellStyle name="Comma 2 2 9 2 2 2 5" xfId="19493" xr:uid="{AA23A911-60E5-4E15-9F4B-9E0C515AE6BC}"/>
    <cellStyle name="Comma 2 2 9 2 2 3" xfId="3233" xr:uid="{1A562D0E-B13F-4C2F-9125-3204CC3317C2}"/>
    <cellStyle name="Comma 2 2 9 2 2 3 2" xfId="7569" xr:uid="{7D84DB71-A61F-454E-9169-A0B8D2932503}"/>
    <cellStyle name="Comma 2 2 9 2 2 3 2 2" xfId="16241" xr:uid="{4CF076EA-3A59-48A1-9170-116340563AF7}"/>
    <cellStyle name="Comma 2 2 9 2 2 3 2 2 2" xfId="33585" xr:uid="{C528E8C0-5CBE-47D1-838D-DAA9B9497263}"/>
    <cellStyle name="Comma 2 2 9 2 2 3 2 3" xfId="24913" xr:uid="{391D1B4B-CF33-4DEA-BC34-58CDA3F8D6CD}"/>
    <cellStyle name="Comma 2 2 9 2 2 3 3" xfId="11905" xr:uid="{3A0D9B3D-82E0-4880-97D8-25132CC20A94}"/>
    <cellStyle name="Comma 2 2 9 2 2 3 3 2" xfId="29249" xr:uid="{93A37A91-BEF8-4D04-87AA-9BB7D85C6E42}"/>
    <cellStyle name="Comma 2 2 9 2 2 3 4" xfId="20577" xr:uid="{04160CBD-DADC-480D-A139-D9A9346140C1}"/>
    <cellStyle name="Comma 2 2 9 2 2 4" xfId="5401" xr:uid="{6F27AFFE-0863-4E54-9D55-B97EB32AB6D4}"/>
    <cellStyle name="Comma 2 2 9 2 2 4 2" xfId="14073" xr:uid="{96029FAE-A65C-4A14-9BD9-C3C17F568FAF}"/>
    <cellStyle name="Comma 2 2 9 2 2 4 2 2" xfId="31417" xr:uid="{42A210FE-D04B-40A5-88C1-F497FE0D77D7}"/>
    <cellStyle name="Comma 2 2 9 2 2 4 3" xfId="22745" xr:uid="{4DA9FDFA-A7FC-4E27-BD1E-6A8F64E26316}"/>
    <cellStyle name="Comma 2 2 9 2 2 5" xfId="9737" xr:uid="{3D43DFDF-DBE8-4E6E-94A7-1349B1F9F9CA}"/>
    <cellStyle name="Comma 2 2 9 2 2 5 2" xfId="27081" xr:uid="{5A06619A-03A2-48CD-A8BC-890B484A67F2}"/>
    <cellStyle name="Comma 2 2 9 2 2 6" xfId="18409" xr:uid="{EDAE059E-B953-41CC-A9F8-279E8D0F35A9}"/>
    <cellStyle name="Comma 2 2 9 2 3" xfId="1608" xr:uid="{0217468D-415A-435A-937B-256B536AECD0}"/>
    <cellStyle name="Comma 2 2 9 2 3 2" xfId="3776" xr:uid="{BA73531D-7182-446D-A46E-6363FCAB62B4}"/>
    <cellStyle name="Comma 2 2 9 2 3 2 2" xfId="8112" xr:uid="{3199D683-E416-4CCE-92EB-D257C47F72AD}"/>
    <cellStyle name="Comma 2 2 9 2 3 2 2 2" xfId="16784" xr:uid="{B75AA58D-3B70-4EC2-B0DC-E6C2132D7995}"/>
    <cellStyle name="Comma 2 2 9 2 3 2 2 2 2" xfId="34128" xr:uid="{70F54913-838D-4756-817C-CA4F780A8413}"/>
    <cellStyle name="Comma 2 2 9 2 3 2 2 3" xfId="25456" xr:uid="{B6F1D5AF-9AC2-4416-8924-5C608E422EEC}"/>
    <cellStyle name="Comma 2 2 9 2 3 2 3" xfId="12448" xr:uid="{C7907CEE-2AD5-4D03-AC23-7A10622B065C}"/>
    <cellStyle name="Comma 2 2 9 2 3 2 3 2" xfId="29792" xr:uid="{0D76A4FA-CFCC-4D57-AEA3-08BA99DE6AC9}"/>
    <cellStyle name="Comma 2 2 9 2 3 2 4" xfId="21120" xr:uid="{E4F00DB5-1825-42E2-AC6B-1D44AA45A1D6}"/>
    <cellStyle name="Comma 2 2 9 2 3 3" xfId="5944" xr:uid="{3A267678-10E6-4B6E-9F72-5111E2C86ABA}"/>
    <cellStyle name="Comma 2 2 9 2 3 3 2" xfId="14616" xr:uid="{33511E64-7BD5-439E-9015-E6D477EB417D}"/>
    <cellStyle name="Comma 2 2 9 2 3 3 2 2" xfId="31960" xr:uid="{8D1C7EF0-49D9-432D-9520-C04D6E1E65A4}"/>
    <cellStyle name="Comma 2 2 9 2 3 3 3" xfId="23288" xr:uid="{38C3E370-8560-4345-9160-D26EFF66A61F}"/>
    <cellStyle name="Comma 2 2 9 2 3 4" xfId="10280" xr:uid="{CAAD7455-9A9E-4B41-BB0D-D20730C60B42}"/>
    <cellStyle name="Comma 2 2 9 2 3 4 2" xfId="27624" xr:uid="{6CCB0F21-3EA4-4DAE-A400-6EB4A57F7E27}"/>
    <cellStyle name="Comma 2 2 9 2 3 5" xfId="18952" xr:uid="{9177C107-83EF-47AC-916D-1EC77C84037D}"/>
    <cellStyle name="Comma 2 2 9 2 4" xfId="2692" xr:uid="{A45F5B26-04FC-4E81-A276-4410052F2D2E}"/>
    <cellStyle name="Comma 2 2 9 2 4 2" xfId="7028" xr:uid="{E21AEA30-C7CB-42EB-9EA8-DC4E3E07346B}"/>
    <cellStyle name="Comma 2 2 9 2 4 2 2" xfId="15700" xr:uid="{9E595463-8133-44D2-B25E-005D1ABD6A0A}"/>
    <cellStyle name="Comma 2 2 9 2 4 2 2 2" xfId="33044" xr:uid="{15269939-CBBF-4241-8E8D-D91AEA5886F2}"/>
    <cellStyle name="Comma 2 2 9 2 4 2 3" xfId="24372" xr:uid="{7E042D89-F659-48C8-9CDC-33BE70065ED5}"/>
    <cellStyle name="Comma 2 2 9 2 4 3" xfId="11364" xr:uid="{121D3345-4AD7-4C1F-82AB-733A3CB3CA30}"/>
    <cellStyle name="Comma 2 2 9 2 4 3 2" xfId="28708" xr:uid="{30788C6B-3619-43A1-83DA-6BAE98C7E4D9}"/>
    <cellStyle name="Comma 2 2 9 2 4 4" xfId="20036" xr:uid="{0B83AB84-523A-465A-AF94-E46678B81AB7}"/>
    <cellStyle name="Comma 2 2 9 2 5" xfId="4860" xr:uid="{7966832B-574F-4107-8724-02DC8A02C864}"/>
    <cellStyle name="Comma 2 2 9 2 5 2" xfId="13532" xr:uid="{248CE8F1-8FA5-43FC-9EAD-09ADC47BE877}"/>
    <cellStyle name="Comma 2 2 9 2 5 2 2" xfId="30876" xr:uid="{54A9F0C4-E3F8-48D4-A7F3-91B35A96326C}"/>
    <cellStyle name="Comma 2 2 9 2 5 3" xfId="22204" xr:uid="{7622DC7F-74DE-4BF6-9430-74190EFF3D72}"/>
    <cellStyle name="Comma 2 2 9 2 6" xfId="9196" xr:uid="{D4D9CCE2-C5B6-4374-86EF-4C02E7EC6765}"/>
    <cellStyle name="Comma 2 2 9 2 6 2" xfId="26540" xr:uid="{53C4A03E-6C7A-4CF9-B75F-6C1624A3373D}"/>
    <cellStyle name="Comma 2 2 9 2 7" xfId="17868" xr:uid="{9190D423-2F15-4084-B3C7-67DBD724EA94}"/>
    <cellStyle name="Comma 2 2 9 3" xfId="795" xr:uid="{810A0A24-2203-4250-A296-114139C0F174}"/>
    <cellStyle name="Comma 2 2 9 3 2" xfId="1879" xr:uid="{935FA22D-D0B1-493C-99F9-02AA802B2C25}"/>
    <cellStyle name="Comma 2 2 9 3 2 2" xfId="4047" xr:uid="{C45721F9-E642-40E2-86DD-5AE907FA9797}"/>
    <cellStyle name="Comma 2 2 9 3 2 2 2" xfId="8383" xr:uid="{A2EE73A0-5827-4D35-8160-DB8BA1A4BA1B}"/>
    <cellStyle name="Comma 2 2 9 3 2 2 2 2" xfId="17055" xr:uid="{E97CBFD0-037A-4631-836E-453A429211FC}"/>
    <cellStyle name="Comma 2 2 9 3 2 2 2 2 2" xfId="34399" xr:uid="{AF60F05E-4EE8-45B5-B07A-1F4719340F1C}"/>
    <cellStyle name="Comma 2 2 9 3 2 2 2 3" xfId="25727" xr:uid="{F0D724AC-5E64-46AC-BF06-27A175AEA4A3}"/>
    <cellStyle name="Comma 2 2 9 3 2 2 3" xfId="12719" xr:uid="{BE330280-43C2-4FEF-8CF4-FEBE1C0B8EF0}"/>
    <cellStyle name="Comma 2 2 9 3 2 2 3 2" xfId="30063" xr:uid="{EF6DED2A-F7B5-4ABD-9159-30FF91FB1103}"/>
    <cellStyle name="Comma 2 2 9 3 2 2 4" xfId="21391" xr:uid="{D17F712B-8F0A-410A-A86F-4585B789D944}"/>
    <cellStyle name="Comma 2 2 9 3 2 3" xfId="6215" xr:uid="{C7C41D1C-D8C0-4522-984B-64DD7D792A0B}"/>
    <cellStyle name="Comma 2 2 9 3 2 3 2" xfId="14887" xr:uid="{9D10CC99-DCA4-4383-9AAD-708C42B714FF}"/>
    <cellStyle name="Comma 2 2 9 3 2 3 2 2" xfId="32231" xr:uid="{27B725D4-1779-49CA-BC8F-B0B2D3E65567}"/>
    <cellStyle name="Comma 2 2 9 3 2 3 3" xfId="23559" xr:uid="{B81C93A0-066D-4374-A908-CDD39D157558}"/>
    <cellStyle name="Comma 2 2 9 3 2 4" xfId="10551" xr:uid="{6D4FA643-49E7-4519-8867-2BFB1909D0DF}"/>
    <cellStyle name="Comma 2 2 9 3 2 4 2" xfId="27895" xr:uid="{FA54B391-C0BF-418C-8897-55BE607B9DBA}"/>
    <cellStyle name="Comma 2 2 9 3 2 5" xfId="19223" xr:uid="{1B43123C-BCFE-4277-9269-71C37E22E72D}"/>
    <cellStyle name="Comma 2 2 9 3 3" xfId="2963" xr:uid="{C591EE17-7656-47E4-A6B9-EED54B441148}"/>
    <cellStyle name="Comma 2 2 9 3 3 2" xfId="7299" xr:uid="{0D044746-78FB-4953-BBD9-2A4A42D303E4}"/>
    <cellStyle name="Comma 2 2 9 3 3 2 2" xfId="15971" xr:uid="{98BE94AF-4429-460E-871D-37387DACD1CD}"/>
    <cellStyle name="Comma 2 2 9 3 3 2 2 2" xfId="33315" xr:uid="{48C49BD1-AA82-46AA-8043-8E5199D03AAE}"/>
    <cellStyle name="Comma 2 2 9 3 3 2 3" xfId="24643" xr:uid="{993589FD-37D3-47DC-8787-8CFEECFF8D69}"/>
    <cellStyle name="Comma 2 2 9 3 3 3" xfId="11635" xr:uid="{4A402863-FF41-4FB6-8C22-34F5C7BB5505}"/>
    <cellStyle name="Comma 2 2 9 3 3 3 2" xfId="28979" xr:uid="{70A09FFC-592C-43F6-A6A1-32AF9AA5ADDC}"/>
    <cellStyle name="Comma 2 2 9 3 3 4" xfId="20307" xr:uid="{5C89AA3E-3B4A-41E3-9F43-F7F41EC0CE89}"/>
    <cellStyle name="Comma 2 2 9 3 4" xfId="5131" xr:uid="{88059556-F8A1-41F8-85B6-E66F0DF9043A}"/>
    <cellStyle name="Comma 2 2 9 3 4 2" xfId="13803" xr:uid="{AEC7ECAC-8CF2-474D-98BB-C54E16C599EE}"/>
    <cellStyle name="Comma 2 2 9 3 4 2 2" xfId="31147" xr:uid="{9FDDA12B-59AF-4B96-B0B4-79AEC48772EA}"/>
    <cellStyle name="Comma 2 2 9 3 4 3" xfId="22475" xr:uid="{365164C4-6375-4D21-AEAA-3CA2FBCE81E0}"/>
    <cellStyle name="Comma 2 2 9 3 5" xfId="9467" xr:uid="{A78FE005-A55E-4469-98C9-89649AB67F78}"/>
    <cellStyle name="Comma 2 2 9 3 5 2" xfId="26811" xr:uid="{8EE772E3-F423-4C1A-8608-250B4B3DD2F5}"/>
    <cellStyle name="Comma 2 2 9 3 6" xfId="18139" xr:uid="{C0CFAA8B-FBC3-4C3B-A7BA-00694B36B7BC}"/>
    <cellStyle name="Comma 2 2 9 4" xfId="1338" xr:uid="{CD58B29E-2365-4667-AA9F-14E1DD7FA3EB}"/>
    <cellStyle name="Comma 2 2 9 4 2" xfId="3506" xr:uid="{EB40EA84-3125-428C-98CD-15B0373F52DC}"/>
    <cellStyle name="Comma 2 2 9 4 2 2" xfId="7842" xr:uid="{5A70AAFE-6573-467E-904D-7305219B972F}"/>
    <cellStyle name="Comma 2 2 9 4 2 2 2" xfId="16514" xr:uid="{0B9FC0E7-DEFD-4A10-8ADD-75079A3088EE}"/>
    <cellStyle name="Comma 2 2 9 4 2 2 2 2" xfId="33858" xr:uid="{9E92026F-7B2C-4A66-A695-9B39AC9EB713}"/>
    <cellStyle name="Comma 2 2 9 4 2 2 3" xfId="25186" xr:uid="{D38EF61A-3467-4DFB-84BD-A84AE1D1809A}"/>
    <cellStyle name="Comma 2 2 9 4 2 3" xfId="12178" xr:uid="{74BE7FBF-DAF8-47B0-A51A-B5789B7DAD4B}"/>
    <cellStyle name="Comma 2 2 9 4 2 3 2" xfId="29522" xr:uid="{718F0645-0686-498C-812B-56F0A4C1ED44}"/>
    <cellStyle name="Comma 2 2 9 4 2 4" xfId="20850" xr:uid="{288C0970-025A-4671-89DE-021828FEA888}"/>
    <cellStyle name="Comma 2 2 9 4 3" xfId="5674" xr:uid="{3F04ECAF-0637-4950-B0E3-B04F510BF82B}"/>
    <cellStyle name="Comma 2 2 9 4 3 2" xfId="14346" xr:uid="{8173E3FD-68BC-43DA-87D9-60348AAD6EFF}"/>
    <cellStyle name="Comma 2 2 9 4 3 2 2" xfId="31690" xr:uid="{ADD0000B-EA74-489C-8EF0-12B406A31CF5}"/>
    <cellStyle name="Comma 2 2 9 4 3 3" xfId="23018" xr:uid="{B6B60032-2AA2-4383-AA9E-10017894445E}"/>
    <cellStyle name="Comma 2 2 9 4 4" xfId="10010" xr:uid="{95F94F97-52F2-49A4-B24C-EF73405ADBEE}"/>
    <cellStyle name="Comma 2 2 9 4 4 2" xfId="27354" xr:uid="{6B5BB592-3E3F-44E3-99BE-10AA959ED18E}"/>
    <cellStyle name="Comma 2 2 9 4 5" xfId="18682" xr:uid="{9713872E-E4E4-47EA-A9CB-2A626E074BCA}"/>
    <cellStyle name="Comma 2 2 9 5" xfId="2422" xr:uid="{8D9DF9DB-652E-464B-8A7A-1D7462D7F0CF}"/>
    <cellStyle name="Comma 2 2 9 5 2" xfId="6758" xr:uid="{B7B8FE68-BCAC-404F-B366-11EBBB46DE55}"/>
    <cellStyle name="Comma 2 2 9 5 2 2" xfId="15430" xr:uid="{6C82901B-1800-4288-AF95-A1DE53B24305}"/>
    <cellStyle name="Comma 2 2 9 5 2 2 2" xfId="32774" xr:uid="{995C364B-556C-4BAC-9447-B6B1C2647471}"/>
    <cellStyle name="Comma 2 2 9 5 2 3" xfId="24102" xr:uid="{790403D3-DF5C-4A92-8E59-C1F247E6A7F6}"/>
    <cellStyle name="Comma 2 2 9 5 3" xfId="11094" xr:uid="{6CBB66C3-9C86-4897-A2A1-FFD486D7E4BA}"/>
    <cellStyle name="Comma 2 2 9 5 3 2" xfId="28438" xr:uid="{59FF2D34-A184-48B9-AD35-FCECA148385F}"/>
    <cellStyle name="Comma 2 2 9 5 4" xfId="19766" xr:uid="{FBBBC5DA-471B-4BE6-B6CD-9987211EA4A7}"/>
    <cellStyle name="Comma 2 2 9 6" xfId="4590" xr:uid="{3F2BFAAF-1F6D-4CF0-A1CD-29C7D0B03147}"/>
    <cellStyle name="Comma 2 2 9 6 2" xfId="13262" xr:uid="{5E4202FF-42F8-4C13-A685-5F22B2939051}"/>
    <cellStyle name="Comma 2 2 9 6 2 2" xfId="30606" xr:uid="{F9D6B4EE-8637-4F9D-BA9A-73DFD48D48B0}"/>
    <cellStyle name="Comma 2 2 9 6 3" xfId="21934" xr:uid="{CAF6F3E3-32A2-4A79-9942-C2A2BC5B640D}"/>
    <cellStyle name="Comma 2 2 9 7" xfId="8926" xr:uid="{3810420F-95BA-408E-86E1-1C3468B57084}"/>
    <cellStyle name="Comma 2 2 9 7 2" xfId="26270" xr:uid="{736973A5-8913-478A-B8E9-38726EE9BA77}"/>
    <cellStyle name="Comma 2 2 9 8" xfId="17598" xr:uid="{7B940118-020E-4B1B-B174-2AF5C6D0DC47}"/>
    <cellStyle name="Comma 2 20" xfId="34693" xr:uid="{13B8A622-1E12-470D-B084-CEB1E976800E}"/>
    <cellStyle name="Comma 2 21" xfId="34697" xr:uid="{5C517EEC-8BCE-482E-85E2-937F8F9BF3F5}"/>
    <cellStyle name="Comma 2 3" xfId="9" xr:uid="{FBA35D4A-E718-449C-8464-B577681D02A7}"/>
    <cellStyle name="Comma 2 3 10" xfId="2177" xr:uid="{1D325EDC-129E-47BE-B5AC-12528C931A25}"/>
    <cellStyle name="Comma 2 3 10 2" xfId="6513" xr:uid="{BD1C4A28-F431-47D2-869E-7EFBD90DF6A5}"/>
    <cellStyle name="Comma 2 3 10 2 2" xfId="15185" xr:uid="{FCF06E09-0B49-4ACC-878A-9C084A06481D}"/>
    <cellStyle name="Comma 2 3 10 2 2 2" xfId="32529" xr:uid="{51B5DA05-50FB-4D63-87D5-96B25AFDE975}"/>
    <cellStyle name="Comma 2 3 10 2 3" xfId="23857" xr:uid="{AA780575-DF2C-4DC1-B555-798DF3479BFD}"/>
    <cellStyle name="Comma 2 3 10 3" xfId="10849" xr:uid="{7D32BA8F-0037-4116-AA99-0ABB5E1B175E}"/>
    <cellStyle name="Comma 2 3 10 3 2" xfId="28193" xr:uid="{34F8A8CF-0AF1-4D0B-A8C3-BC4280A262A0}"/>
    <cellStyle name="Comma 2 3 10 4" xfId="19521" xr:uid="{69397510-50ED-4FC0-B78F-08FA47235C45}"/>
    <cellStyle name="Comma 2 3 11" xfId="4345" xr:uid="{8A87373C-D598-488A-98D2-F504D33871FD}"/>
    <cellStyle name="Comma 2 3 11 2" xfId="13017" xr:uid="{8CD20A51-8CBB-4297-AC5B-431323543DE1}"/>
    <cellStyle name="Comma 2 3 11 2 2" xfId="30361" xr:uid="{3767DFF5-50CD-4085-8E65-F943890045E8}"/>
    <cellStyle name="Comma 2 3 11 3" xfId="21689" xr:uid="{DF12C76E-D9A5-4301-A88D-BF6EC6A60524}"/>
    <cellStyle name="Comma 2 3 12" xfId="8681" xr:uid="{A603F607-C8D0-4D41-8652-95EEB2195F2C}"/>
    <cellStyle name="Comma 2 3 12 2" xfId="26025" xr:uid="{5C9957D1-7815-4782-829F-EDD9838C451F}"/>
    <cellStyle name="Comma 2 3 13" xfId="17353" xr:uid="{0E102BC0-7161-4867-BCDC-4DE8ACAF938C}"/>
    <cellStyle name="Comma 2 3 2" xfId="25" xr:uid="{B9B49002-A7A0-41FE-AFB1-C49E0649A577}"/>
    <cellStyle name="Comma 2 3 2 10" xfId="17369" xr:uid="{D9D68809-D274-413D-90F4-70D14B7400AC}"/>
    <cellStyle name="Comma 2 3 2 2" xfId="86" xr:uid="{24EAD2B1-DD42-40A5-AE47-CF24C67CDB7E}"/>
    <cellStyle name="Comma 2 3 2 2 2" xfId="208" xr:uid="{79691181-DB19-4A27-BFAC-F37CE5ABC65D}"/>
    <cellStyle name="Comma 2 3 2 2 2 2" xfId="478" xr:uid="{58E2C6B9-13A7-4BD4-A4AE-D53559C0A453}"/>
    <cellStyle name="Comma 2 3 2 2 2 2 2" xfId="1019" xr:uid="{8938F26A-D8F1-4F88-B7E8-2B4D1F434E33}"/>
    <cellStyle name="Comma 2 3 2 2 2 2 2 2" xfId="2103" xr:uid="{E832B645-8983-4378-8DF3-634AE263C2C1}"/>
    <cellStyle name="Comma 2 3 2 2 2 2 2 2 2" xfId="4271" xr:uid="{0C8E0D53-7EFE-442E-A82B-B8EED1A9E4A8}"/>
    <cellStyle name="Comma 2 3 2 2 2 2 2 2 2 2" xfId="8607" xr:uid="{8339E9CF-7DCC-4503-AC24-083BAB0FC50B}"/>
    <cellStyle name="Comma 2 3 2 2 2 2 2 2 2 2 2" xfId="17279" xr:uid="{4E0F5F60-2EBB-49BB-9F9E-080DBC8FF411}"/>
    <cellStyle name="Comma 2 3 2 2 2 2 2 2 2 2 2 2" xfId="34623" xr:uid="{C8799EA2-70CA-4E88-8C9A-0CB1D9241FF8}"/>
    <cellStyle name="Comma 2 3 2 2 2 2 2 2 2 2 3" xfId="25951" xr:uid="{57C21639-EC2D-4D85-BF4D-DA293F44D5B1}"/>
    <cellStyle name="Comma 2 3 2 2 2 2 2 2 2 3" xfId="12943" xr:uid="{87CC2DCC-2979-4FE7-8BFE-0B8A5154829F}"/>
    <cellStyle name="Comma 2 3 2 2 2 2 2 2 2 3 2" xfId="30287" xr:uid="{D074C69E-543B-48E8-96FB-693A5A252FB1}"/>
    <cellStyle name="Comma 2 3 2 2 2 2 2 2 2 4" xfId="21615" xr:uid="{8161C87A-551F-4D04-82E1-E47B92135863}"/>
    <cellStyle name="Comma 2 3 2 2 2 2 2 2 3" xfId="6439" xr:uid="{E7B8A10C-AB3D-43D2-A0C2-1480E8AF826A}"/>
    <cellStyle name="Comma 2 3 2 2 2 2 2 2 3 2" xfId="15111" xr:uid="{46FC690F-DB89-431F-85ED-2EDE01D22F5A}"/>
    <cellStyle name="Comma 2 3 2 2 2 2 2 2 3 2 2" xfId="32455" xr:uid="{38D91E66-070D-4AC4-9734-B04F95C92F35}"/>
    <cellStyle name="Comma 2 3 2 2 2 2 2 2 3 3" xfId="23783" xr:uid="{13CAD63C-4CB4-4A2F-8E72-544EE28368D8}"/>
    <cellStyle name="Comma 2 3 2 2 2 2 2 2 4" xfId="10775" xr:uid="{AD2843A5-66CE-490E-9F08-71BC7BE6FF32}"/>
    <cellStyle name="Comma 2 3 2 2 2 2 2 2 4 2" xfId="28119" xr:uid="{6B6BA0C4-AC9F-45BB-9624-EE261626653F}"/>
    <cellStyle name="Comma 2 3 2 2 2 2 2 2 5" xfId="19447" xr:uid="{64805A2B-EFAE-43C0-BF19-308ABD17D9D2}"/>
    <cellStyle name="Comma 2 3 2 2 2 2 2 3" xfId="3187" xr:uid="{5AE8098E-D99C-4782-A9E1-CE2D2923C920}"/>
    <cellStyle name="Comma 2 3 2 2 2 2 2 3 2" xfId="7523" xr:uid="{8895357C-F1DA-4229-8793-32276468FB92}"/>
    <cellStyle name="Comma 2 3 2 2 2 2 2 3 2 2" xfId="16195" xr:uid="{DB39E215-4A61-422D-A99C-00E2B6C4B9DB}"/>
    <cellStyle name="Comma 2 3 2 2 2 2 2 3 2 2 2" xfId="33539" xr:uid="{318F80D6-377D-4831-A49D-04D3AF14126E}"/>
    <cellStyle name="Comma 2 3 2 2 2 2 2 3 2 3" xfId="24867" xr:uid="{99064185-54E2-4548-B6AE-1420F44C161C}"/>
    <cellStyle name="Comma 2 3 2 2 2 2 2 3 3" xfId="11859" xr:uid="{81526F57-2820-468F-AA39-B3E413A8F4AC}"/>
    <cellStyle name="Comma 2 3 2 2 2 2 2 3 3 2" xfId="29203" xr:uid="{795084AC-D74E-4D84-97C5-D62FB65A7750}"/>
    <cellStyle name="Comma 2 3 2 2 2 2 2 3 4" xfId="20531" xr:uid="{E1570273-E4E3-4173-8599-36DFF2D66A44}"/>
    <cellStyle name="Comma 2 3 2 2 2 2 2 4" xfId="5355" xr:uid="{8A211836-5F81-4443-ADE4-511FCDF1B70D}"/>
    <cellStyle name="Comma 2 3 2 2 2 2 2 4 2" xfId="14027" xr:uid="{0F2B7025-BB25-4A7C-8E5A-15DA6AF1E7BC}"/>
    <cellStyle name="Comma 2 3 2 2 2 2 2 4 2 2" xfId="31371" xr:uid="{F1E0DBEA-FE53-4D32-8DE9-421837660332}"/>
    <cellStyle name="Comma 2 3 2 2 2 2 2 4 3" xfId="22699" xr:uid="{24C13395-F132-4B06-8C2F-DAA1A88344FF}"/>
    <cellStyle name="Comma 2 3 2 2 2 2 2 5" xfId="9691" xr:uid="{EC433357-B2D2-449F-B285-AD524EA29E40}"/>
    <cellStyle name="Comma 2 3 2 2 2 2 2 5 2" xfId="27035" xr:uid="{32694BB9-8A16-4734-AA89-FB8E17C8196C}"/>
    <cellStyle name="Comma 2 3 2 2 2 2 2 6" xfId="18363" xr:uid="{3E0F42D3-17A1-4CEB-9417-CD912F5D8B03}"/>
    <cellStyle name="Comma 2 3 2 2 2 2 3" xfId="1562" xr:uid="{93CDC28E-0328-48A8-AA22-9317824739D7}"/>
    <cellStyle name="Comma 2 3 2 2 2 2 3 2" xfId="3730" xr:uid="{A9A48BD9-E8A7-4F78-94AF-F45035AC93C2}"/>
    <cellStyle name="Comma 2 3 2 2 2 2 3 2 2" xfId="8066" xr:uid="{0AD9866B-0AAA-405B-9174-6EBD5B2F0334}"/>
    <cellStyle name="Comma 2 3 2 2 2 2 3 2 2 2" xfId="16738" xr:uid="{D2FD586C-F0EB-4B5A-95C0-972EB26F32CE}"/>
    <cellStyle name="Comma 2 3 2 2 2 2 3 2 2 2 2" xfId="34082" xr:uid="{BF7A9742-63B6-4BD2-8407-5DBA1E620553}"/>
    <cellStyle name="Comma 2 3 2 2 2 2 3 2 2 3" xfId="25410" xr:uid="{979C353E-E99E-493F-AA4D-B4380160A330}"/>
    <cellStyle name="Comma 2 3 2 2 2 2 3 2 3" xfId="12402" xr:uid="{E53718E2-DACC-4F39-B41C-3B0FAEFA312A}"/>
    <cellStyle name="Comma 2 3 2 2 2 2 3 2 3 2" xfId="29746" xr:uid="{46BBAAC9-0E09-4FEB-8470-ADCAF2C589BD}"/>
    <cellStyle name="Comma 2 3 2 2 2 2 3 2 4" xfId="21074" xr:uid="{A025763A-3E40-4829-8763-6C63069F3F6F}"/>
    <cellStyle name="Comma 2 3 2 2 2 2 3 3" xfId="5898" xr:uid="{6BAEA6F4-3F5A-4C42-9ECF-53F8985C56C9}"/>
    <cellStyle name="Comma 2 3 2 2 2 2 3 3 2" xfId="14570" xr:uid="{6926BD9B-7944-4131-8249-146FC92F4DF4}"/>
    <cellStyle name="Comma 2 3 2 2 2 2 3 3 2 2" xfId="31914" xr:uid="{FF435925-67D2-4820-A464-6A5A5BD9326E}"/>
    <cellStyle name="Comma 2 3 2 2 2 2 3 3 3" xfId="23242" xr:uid="{5718FAE0-F501-4B01-BBEC-43A8BFBDDA51}"/>
    <cellStyle name="Comma 2 3 2 2 2 2 3 4" xfId="10234" xr:uid="{D5E0E479-BE61-4E5B-8D6D-7ACCFC57B677}"/>
    <cellStyle name="Comma 2 3 2 2 2 2 3 4 2" xfId="27578" xr:uid="{A14B025E-AA79-4934-AA1B-2ADC07875676}"/>
    <cellStyle name="Comma 2 3 2 2 2 2 3 5" xfId="18906" xr:uid="{9AF73EBE-2747-4753-B220-9120C2BCC8FB}"/>
    <cellStyle name="Comma 2 3 2 2 2 2 4" xfId="2646" xr:uid="{6FC968B2-9E1B-41DD-9750-1CEA2EF20D45}"/>
    <cellStyle name="Comma 2 3 2 2 2 2 4 2" xfId="6982" xr:uid="{37C79186-F2E8-4A31-BE18-727ABA90579A}"/>
    <cellStyle name="Comma 2 3 2 2 2 2 4 2 2" xfId="15654" xr:uid="{B1BAB698-2A33-41F0-BA99-A0FA4C8D7C73}"/>
    <cellStyle name="Comma 2 3 2 2 2 2 4 2 2 2" xfId="32998" xr:uid="{B36E420A-D3D0-467D-B93C-299FE3D9F58E}"/>
    <cellStyle name="Comma 2 3 2 2 2 2 4 2 3" xfId="24326" xr:uid="{203FD1C7-77DA-4A28-A8AC-CB903C10D334}"/>
    <cellStyle name="Comma 2 3 2 2 2 2 4 3" xfId="11318" xr:uid="{CC0C9DFA-A008-4C1D-8A8C-ACD921623E53}"/>
    <cellStyle name="Comma 2 3 2 2 2 2 4 3 2" xfId="28662" xr:uid="{52A9F74F-EF9D-4955-AA29-9EC287FB039E}"/>
    <cellStyle name="Comma 2 3 2 2 2 2 4 4" xfId="19990" xr:uid="{5F6589EA-604E-475E-8EEB-58FE1A45001B}"/>
    <cellStyle name="Comma 2 3 2 2 2 2 5" xfId="4814" xr:uid="{569D0754-B053-4A82-9013-2C9909199BE1}"/>
    <cellStyle name="Comma 2 3 2 2 2 2 5 2" xfId="13486" xr:uid="{D8EB2756-B9F4-4D1D-9CF3-1AED1BACAA9B}"/>
    <cellStyle name="Comma 2 3 2 2 2 2 5 2 2" xfId="30830" xr:uid="{34CE6516-FE9F-44AC-B90C-C1CE9FC81BB5}"/>
    <cellStyle name="Comma 2 3 2 2 2 2 5 3" xfId="22158" xr:uid="{967DB4D7-DF0D-48C2-B3E9-66966213C9BB}"/>
    <cellStyle name="Comma 2 3 2 2 2 2 6" xfId="9150" xr:uid="{A0B31EEF-E1E0-4AF9-B4E0-2D4409D5F93E}"/>
    <cellStyle name="Comma 2 3 2 2 2 2 6 2" xfId="26494" xr:uid="{E5412B10-94D9-4762-9C42-56C3A01257FC}"/>
    <cellStyle name="Comma 2 3 2 2 2 2 7" xfId="17822" xr:uid="{C8553293-A63B-4AB8-93DF-C8B61FCFF9B2}"/>
    <cellStyle name="Comma 2 3 2 2 2 3" xfId="749" xr:uid="{3C1C0DF9-2F58-4453-8B13-A87AD4BA943D}"/>
    <cellStyle name="Comma 2 3 2 2 2 3 2" xfId="1833" xr:uid="{7EF5AC29-0112-4EF8-98E2-FC822150F1FE}"/>
    <cellStyle name="Comma 2 3 2 2 2 3 2 2" xfId="4001" xr:uid="{AC768F27-FA3B-46D6-B3D0-3C895A37FDF5}"/>
    <cellStyle name="Comma 2 3 2 2 2 3 2 2 2" xfId="8337" xr:uid="{D4C0B141-95FE-454D-8687-741839B0CF2D}"/>
    <cellStyle name="Comma 2 3 2 2 2 3 2 2 2 2" xfId="17009" xr:uid="{DFD0F78A-1317-47A5-80B7-545375260746}"/>
    <cellStyle name="Comma 2 3 2 2 2 3 2 2 2 2 2" xfId="34353" xr:uid="{BC31D0CA-B28F-4CE1-A8C6-C875305B06AA}"/>
    <cellStyle name="Comma 2 3 2 2 2 3 2 2 2 3" xfId="25681" xr:uid="{C545A3AE-2C3A-4058-A772-03AC410D8D48}"/>
    <cellStyle name="Comma 2 3 2 2 2 3 2 2 3" xfId="12673" xr:uid="{D3A1F897-7670-4317-86F0-814AA6B9FE32}"/>
    <cellStyle name="Comma 2 3 2 2 2 3 2 2 3 2" xfId="30017" xr:uid="{673362CA-2F71-4364-A4EC-7A8D72449562}"/>
    <cellStyle name="Comma 2 3 2 2 2 3 2 2 4" xfId="21345" xr:uid="{71E51699-1E97-4C66-A81F-38A20506E8DD}"/>
    <cellStyle name="Comma 2 3 2 2 2 3 2 3" xfId="6169" xr:uid="{76CEF8E5-F8B4-4D9E-A76D-801D5BD04CE2}"/>
    <cellStyle name="Comma 2 3 2 2 2 3 2 3 2" xfId="14841" xr:uid="{C44E4DB3-414A-4FAF-8C60-5E49F95B334D}"/>
    <cellStyle name="Comma 2 3 2 2 2 3 2 3 2 2" xfId="32185" xr:uid="{E8AF05B0-A2D3-4834-8510-03BF3437C938}"/>
    <cellStyle name="Comma 2 3 2 2 2 3 2 3 3" xfId="23513" xr:uid="{8C5F467C-D164-4CA3-B20D-E2BB66B1FA55}"/>
    <cellStyle name="Comma 2 3 2 2 2 3 2 4" xfId="10505" xr:uid="{3EEBBEA1-CF1F-4D46-8BF7-8849C97EC7B8}"/>
    <cellStyle name="Comma 2 3 2 2 2 3 2 4 2" xfId="27849" xr:uid="{D700047F-7DED-4246-BDB7-54E5BCF717AE}"/>
    <cellStyle name="Comma 2 3 2 2 2 3 2 5" xfId="19177" xr:uid="{DCCA0F9D-411A-4010-AE43-50FA931387C2}"/>
    <cellStyle name="Comma 2 3 2 2 2 3 3" xfId="2917" xr:uid="{3596FC8B-51C7-413C-924E-649E412FEB5B}"/>
    <cellStyle name="Comma 2 3 2 2 2 3 3 2" xfId="7253" xr:uid="{9CEA7515-031B-49D2-B9FE-E8C1EFCC75DC}"/>
    <cellStyle name="Comma 2 3 2 2 2 3 3 2 2" xfId="15925" xr:uid="{6EC64900-268F-4B8C-BADB-39AAAE9FDC38}"/>
    <cellStyle name="Comma 2 3 2 2 2 3 3 2 2 2" xfId="33269" xr:uid="{51F1C8E2-81C7-4CC8-A51A-E3AFED59B49F}"/>
    <cellStyle name="Comma 2 3 2 2 2 3 3 2 3" xfId="24597" xr:uid="{0D005516-5D8D-46B2-AC3B-EB053DE230EC}"/>
    <cellStyle name="Comma 2 3 2 2 2 3 3 3" xfId="11589" xr:uid="{603D7DD3-2CB8-447E-9AA4-480376660B18}"/>
    <cellStyle name="Comma 2 3 2 2 2 3 3 3 2" xfId="28933" xr:uid="{0A9F6B60-0E97-4349-8B10-2626EA4E2AE5}"/>
    <cellStyle name="Comma 2 3 2 2 2 3 3 4" xfId="20261" xr:uid="{334EAFCF-AC43-4C80-8BA5-623C4A7755F9}"/>
    <cellStyle name="Comma 2 3 2 2 2 3 4" xfId="5085" xr:uid="{564B1D8E-9F82-4252-B5B7-49AB43B1FACE}"/>
    <cellStyle name="Comma 2 3 2 2 2 3 4 2" xfId="13757" xr:uid="{9DD5961E-F094-4E81-876B-23C53A98E630}"/>
    <cellStyle name="Comma 2 3 2 2 2 3 4 2 2" xfId="31101" xr:uid="{BF9DC472-D3A2-4DB3-873E-3CE1F275F816}"/>
    <cellStyle name="Comma 2 3 2 2 2 3 4 3" xfId="22429" xr:uid="{2FD358D4-7617-4775-AB0C-D9B042207E75}"/>
    <cellStyle name="Comma 2 3 2 2 2 3 5" xfId="9421" xr:uid="{73DB9937-B323-487A-B77B-AF75E259E5C3}"/>
    <cellStyle name="Comma 2 3 2 2 2 3 5 2" xfId="26765" xr:uid="{EB5A9280-EEA2-4CCF-9522-12BE2C7DDCEC}"/>
    <cellStyle name="Comma 2 3 2 2 2 3 6" xfId="18093" xr:uid="{05E10CC0-8BDA-4189-965C-372F511CDF86}"/>
    <cellStyle name="Comma 2 3 2 2 2 4" xfId="1292" xr:uid="{F762EC8E-FFAB-4AC5-8F94-6E59452DE53B}"/>
    <cellStyle name="Comma 2 3 2 2 2 4 2" xfId="3460" xr:uid="{4E1826E6-D625-44BA-8097-38C49D3E24AF}"/>
    <cellStyle name="Comma 2 3 2 2 2 4 2 2" xfId="7796" xr:uid="{9076A514-C78B-4768-8D7C-A1D71F49AA08}"/>
    <cellStyle name="Comma 2 3 2 2 2 4 2 2 2" xfId="16468" xr:uid="{04F1859E-E749-4A2D-899A-CEC0100CFC59}"/>
    <cellStyle name="Comma 2 3 2 2 2 4 2 2 2 2" xfId="33812" xr:uid="{367C9042-A063-4D49-9E1A-EB3F3A91CB60}"/>
    <cellStyle name="Comma 2 3 2 2 2 4 2 2 3" xfId="25140" xr:uid="{0590EEA8-24C0-4CDF-B251-71E59F08A938}"/>
    <cellStyle name="Comma 2 3 2 2 2 4 2 3" xfId="12132" xr:uid="{C4FF22EA-BBB9-43D8-A8C7-A58B479C14C4}"/>
    <cellStyle name="Comma 2 3 2 2 2 4 2 3 2" xfId="29476" xr:uid="{971A56E3-58B1-4C1F-A3B2-B7EA5E87591B}"/>
    <cellStyle name="Comma 2 3 2 2 2 4 2 4" xfId="20804" xr:uid="{D470D9EF-ED22-4CA0-90AE-5D731E4161FF}"/>
    <cellStyle name="Comma 2 3 2 2 2 4 3" xfId="5628" xr:uid="{2A821AFA-DCCB-4E47-AC63-1828DE568487}"/>
    <cellStyle name="Comma 2 3 2 2 2 4 3 2" xfId="14300" xr:uid="{29CFC89D-38E1-462F-B83B-02E0D13F79E9}"/>
    <cellStyle name="Comma 2 3 2 2 2 4 3 2 2" xfId="31644" xr:uid="{3B78FFD0-CC78-44C5-A209-239FE315C2E5}"/>
    <cellStyle name="Comma 2 3 2 2 2 4 3 3" xfId="22972" xr:uid="{A606DD06-11E0-4E5C-A2EC-B1ECF2EE7C90}"/>
    <cellStyle name="Comma 2 3 2 2 2 4 4" xfId="9964" xr:uid="{447A0F8E-2639-4325-93EA-46FF2A1A4192}"/>
    <cellStyle name="Comma 2 3 2 2 2 4 4 2" xfId="27308" xr:uid="{9AEFC466-FBA8-45ED-8C5C-213541CD5AE7}"/>
    <cellStyle name="Comma 2 3 2 2 2 4 5" xfId="18636" xr:uid="{E58A1B09-023B-424E-9FD5-74E5C05C89D1}"/>
    <cellStyle name="Comma 2 3 2 2 2 5" xfId="2376" xr:uid="{24C8C1FE-DF9C-4BB7-8B28-0C149E2D7E45}"/>
    <cellStyle name="Comma 2 3 2 2 2 5 2" xfId="6712" xr:uid="{AC2B9A8B-8FB9-4A6A-9F58-F85586F4D1F3}"/>
    <cellStyle name="Comma 2 3 2 2 2 5 2 2" xfId="15384" xr:uid="{97CD318E-EB7D-43D9-855B-33ECA0825033}"/>
    <cellStyle name="Comma 2 3 2 2 2 5 2 2 2" xfId="32728" xr:uid="{513CBF31-9A9B-4241-94A3-D2A8D84118C0}"/>
    <cellStyle name="Comma 2 3 2 2 2 5 2 3" xfId="24056" xr:uid="{D14702F6-865D-4F1C-9FFE-27B474944E8E}"/>
    <cellStyle name="Comma 2 3 2 2 2 5 3" xfId="11048" xr:uid="{D07F0E1B-95FA-4DD3-AFBE-30CB25C7D552}"/>
    <cellStyle name="Comma 2 3 2 2 2 5 3 2" xfId="28392" xr:uid="{455987DE-81F7-4655-A30A-55A25BBAC925}"/>
    <cellStyle name="Comma 2 3 2 2 2 5 4" xfId="19720" xr:uid="{ED58447F-3056-4697-A737-51F4CD89FA80}"/>
    <cellStyle name="Comma 2 3 2 2 2 6" xfId="4544" xr:uid="{E91AE63C-231D-4105-A8D2-A0563F05BD80}"/>
    <cellStyle name="Comma 2 3 2 2 2 6 2" xfId="13216" xr:uid="{7181A6A2-5134-440D-A5EF-9CC310257FE4}"/>
    <cellStyle name="Comma 2 3 2 2 2 6 2 2" xfId="30560" xr:uid="{9D3E56BB-BF62-4590-A348-28AF4D120D74}"/>
    <cellStyle name="Comma 2 3 2 2 2 6 3" xfId="21888" xr:uid="{73A64EEB-48DF-4ADD-ABE5-E5706B35A505}"/>
    <cellStyle name="Comma 2 3 2 2 2 7" xfId="8880" xr:uid="{648BE90E-EA41-4BF0-8E3E-AA1638E13F51}"/>
    <cellStyle name="Comma 2 3 2 2 2 7 2" xfId="26224" xr:uid="{B84C4749-A867-4014-A7E4-1106557D24F4}"/>
    <cellStyle name="Comma 2 3 2 2 2 8" xfId="17552" xr:uid="{3B7C2111-4070-42E1-B842-14DFF21B61BE}"/>
    <cellStyle name="Comma 2 3 2 2 3" xfId="356" xr:uid="{90A8E664-9EE8-4005-993B-F2EAA332AE09}"/>
    <cellStyle name="Comma 2 3 2 2 3 2" xfId="897" xr:uid="{698EF6E0-FDBA-45E1-AC62-995531AC60AE}"/>
    <cellStyle name="Comma 2 3 2 2 3 2 2" xfId="1981" xr:uid="{E76F0A3E-E237-41C8-B8B8-31F294C0D028}"/>
    <cellStyle name="Comma 2 3 2 2 3 2 2 2" xfId="4149" xr:uid="{73B16072-2264-4D90-8C06-E6A044DF6B4E}"/>
    <cellStyle name="Comma 2 3 2 2 3 2 2 2 2" xfId="8485" xr:uid="{067633B9-FCC6-4934-B3D0-8649F2EFCF46}"/>
    <cellStyle name="Comma 2 3 2 2 3 2 2 2 2 2" xfId="17157" xr:uid="{C51FB5DF-1F64-4B7A-998D-5CEAC073A618}"/>
    <cellStyle name="Comma 2 3 2 2 3 2 2 2 2 2 2" xfId="34501" xr:uid="{78BC188B-C368-4079-8E2A-21549BB51F37}"/>
    <cellStyle name="Comma 2 3 2 2 3 2 2 2 2 3" xfId="25829" xr:uid="{323FAAF1-B17C-4A5B-BE30-3D5B9C102F79}"/>
    <cellStyle name="Comma 2 3 2 2 3 2 2 2 3" xfId="12821" xr:uid="{260B6010-3548-4536-A474-E230C1429157}"/>
    <cellStyle name="Comma 2 3 2 2 3 2 2 2 3 2" xfId="30165" xr:uid="{EA982FFE-4E04-46B3-A284-A65D011D8A8A}"/>
    <cellStyle name="Comma 2 3 2 2 3 2 2 2 4" xfId="21493" xr:uid="{8A96EA79-CB02-47F8-BA5E-0AECF473E912}"/>
    <cellStyle name="Comma 2 3 2 2 3 2 2 3" xfId="6317" xr:uid="{6C10CE7B-B84E-4ADB-BB17-8AC44AF7AD21}"/>
    <cellStyle name="Comma 2 3 2 2 3 2 2 3 2" xfId="14989" xr:uid="{8A4FC4A2-1096-4269-BFF0-D81C297FBC81}"/>
    <cellStyle name="Comma 2 3 2 2 3 2 2 3 2 2" xfId="32333" xr:uid="{37BA8B41-938B-4D40-8DA4-953FC0BF5FF0}"/>
    <cellStyle name="Comma 2 3 2 2 3 2 2 3 3" xfId="23661" xr:uid="{034F1CD8-BAD7-4208-A250-5629C4F53EA7}"/>
    <cellStyle name="Comma 2 3 2 2 3 2 2 4" xfId="10653" xr:uid="{B08FE201-C9C7-48E4-82AC-105BEE71266E}"/>
    <cellStyle name="Comma 2 3 2 2 3 2 2 4 2" xfId="27997" xr:uid="{DC06134C-12A8-4AFA-9865-D78B390FC211}"/>
    <cellStyle name="Comma 2 3 2 2 3 2 2 5" xfId="19325" xr:uid="{D32B7326-3858-45BD-8EC7-FBC80A856CAC}"/>
    <cellStyle name="Comma 2 3 2 2 3 2 3" xfId="3065" xr:uid="{7AD5EE49-AAA0-4256-95A7-CBD9CEB01564}"/>
    <cellStyle name="Comma 2 3 2 2 3 2 3 2" xfId="7401" xr:uid="{B6F9D429-AB75-4617-8180-FD654BE93FED}"/>
    <cellStyle name="Comma 2 3 2 2 3 2 3 2 2" xfId="16073" xr:uid="{2EBD1F8D-7225-4397-BC56-BEDCD06D100E}"/>
    <cellStyle name="Comma 2 3 2 2 3 2 3 2 2 2" xfId="33417" xr:uid="{89881386-5E9D-4845-A220-DF647A7713BE}"/>
    <cellStyle name="Comma 2 3 2 2 3 2 3 2 3" xfId="24745" xr:uid="{2933FE80-5B11-4D70-867A-AC77232E8518}"/>
    <cellStyle name="Comma 2 3 2 2 3 2 3 3" xfId="11737" xr:uid="{79290A52-ACC9-45CD-A2B7-582343DB8C2C}"/>
    <cellStyle name="Comma 2 3 2 2 3 2 3 3 2" xfId="29081" xr:uid="{CD75618F-5098-41C7-B7C9-941A08BE98E3}"/>
    <cellStyle name="Comma 2 3 2 2 3 2 3 4" xfId="20409" xr:uid="{5D3415BF-F58B-4707-AA0F-9F0793ADC86B}"/>
    <cellStyle name="Comma 2 3 2 2 3 2 4" xfId="5233" xr:uid="{7D3D1D7C-69C8-46CD-B948-7030CF800415}"/>
    <cellStyle name="Comma 2 3 2 2 3 2 4 2" xfId="13905" xr:uid="{ECE2C2F0-4DED-49ED-8EAE-66CFA2405112}"/>
    <cellStyle name="Comma 2 3 2 2 3 2 4 2 2" xfId="31249" xr:uid="{0D645504-48B4-4453-AFA9-42CD69E7E120}"/>
    <cellStyle name="Comma 2 3 2 2 3 2 4 3" xfId="22577" xr:uid="{8AE16F6B-C10C-4241-9AF4-E6BE50AF9320}"/>
    <cellStyle name="Comma 2 3 2 2 3 2 5" xfId="9569" xr:uid="{6EB3E32D-D84E-4EF4-AAD9-EE2F310513CC}"/>
    <cellStyle name="Comma 2 3 2 2 3 2 5 2" xfId="26913" xr:uid="{EDD25893-4C9E-4142-A301-233756F705E8}"/>
    <cellStyle name="Comma 2 3 2 2 3 2 6" xfId="18241" xr:uid="{6CB6B569-1C29-4D56-8646-3C2D93F3B9E4}"/>
    <cellStyle name="Comma 2 3 2 2 3 3" xfId="1440" xr:uid="{3014FD0B-67B6-4295-899C-F0F376152F19}"/>
    <cellStyle name="Comma 2 3 2 2 3 3 2" xfId="3608" xr:uid="{D4316FBA-2D28-4D3A-8BD6-C0AE04B774F4}"/>
    <cellStyle name="Comma 2 3 2 2 3 3 2 2" xfId="7944" xr:uid="{E7B90DF8-92B6-42F0-8A8E-3B00F26BB632}"/>
    <cellStyle name="Comma 2 3 2 2 3 3 2 2 2" xfId="16616" xr:uid="{670FC40E-CEF1-47D4-95B9-6B412B40A0A9}"/>
    <cellStyle name="Comma 2 3 2 2 3 3 2 2 2 2" xfId="33960" xr:uid="{77EC6F46-E547-457A-B556-844BBC2EA0D8}"/>
    <cellStyle name="Comma 2 3 2 2 3 3 2 2 3" xfId="25288" xr:uid="{D08B8A2D-E4B7-4A8B-9528-F962E6894796}"/>
    <cellStyle name="Comma 2 3 2 2 3 3 2 3" xfId="12280" xr:uid="{45CBFA37-E87D-4083-B195-78C74B88DB70}"/>
    <cellStyle name="Comma 2 3 2 2 3 3 2 3 2" xfId="29624" xr:uid="{FCD9BC80-7A67-455F-BAF9-B41BE4D52C11}"/>
    <cellStyle name="Comma 2 3 2 2 3 3 2 4" xfId="20952" xr:uid="{D61516F2-273D-4388-BF20-0279DEC8CD61}"/>
    <cellStyle name="Comma 2 3 2 2 3 3 3" xfId="5776" xr:uid="{925F57E6-931F-432C-926D-984512B4A133}"/>
    <cellStyle name="Comma 2 3 2 2 3 3 3 2" xfId="14448" xr:uid="{366F96AD-1850-48D6-9703-6C1F9CE02AFF}"/>
    <cellStyle name="Comma 2 3 2 2 3 3 3 2 2" xfId="31792" xr:uid="{F79363FA-1367-4137-A87C-505F3F50B9E9}"/>
    <cellStyle name="Comma 2 3 2 2 3 3 3 3" xfId="23120" xr:uid="{B2629E9D-C44E-4981-AC6A-E38FB82A90BE}"/>
    <cellStyle name="Comma 2 3 2 2 3 3 4" xfId="10112" xr:uid="{FF6031CB-48CB-4683-AE08-0B9BB456B004}"/>
    <cellStyle name="Comma 2 3 2 2 3 3 4 2" xfId="27456" xr:uid="{96FA44A9-B594-4F72-A1B1-CCB7927C0644}"/>
    <cellStyle name="Comma 2 3 2 2 3 3 5" xfId="18784" xr:uid="{8B36FDF1-5DC9-4295-B3CB-0DEE9B59CACA}"/>
    <cellStyle name="Comma 2 3 2 2 3 4" xfId="2524" xr:uid="{1FE70742-4A91-43F8-80D4-63655EEEB430}"/>
    <cellStyle name="Comma 2 3 2 2 3 4 2" xfId="6860" xr:uid="{FE76E9E3-79CD-4DD4-83EE-FAF68E8B0F11}"/>
    <cellStyle name="Comma 2 3 2 2 3 4 2 2" xfId="15532" xr:uid="{134A005C-171C-41D4-A5F6-E927EDF34736}"/>
    <cellStyle name="Comma 2 3 2 2 3 4 2 2 2" xfId="32876" xr:uid="{030D4900-F953-4A45-8C5B-13EB4801A2C6}"/>
    <cellStyle name="Comma 2 3 2 2 3 4 2 3" xfId="24204" xr:uid="{179DB2E3-1846-4E06-9C1E-3169BA72C69A}"/>
    <cellStyle name="Comma 2 3 2 2 3 4 3" xfId="11196" xr:uid="{53F23D70-60E2-40AE-AA32-AF115FF61661}"/>
    <cellStyle name="Comma 2 3 2 2 3 4 3 2" xfId="28540" xr:uid="{B3AA3960-3086-4418-B97E-EC2684F4EA5F}"/>
    <cellStyle name="Comma 2 3 2 2 3 4 4" xfId="19868" xr:uid="{9B9225D5-72EB-4E2F-B1B3-69F50633AA1D}"/>
    <cellStyle name="Comma 2 3 2 2 3 5" xfId="4692" xr:uid="{1489EECA-37EF-409F-BABE-170B36E0394E}"/>
    <cellStyle name="Comma 2 3 2 2 3 5 2" xfId="13364" xr:uid="{C1FD2AEF-46BB-4A25-AB1D-BB5F72D03CC7}"/>
    <cellStyle name="Comma 2 3 2 2 3 5 2 2" xfId="30708" xr:uid="{EAB59C1B-FF5B-481C-AA4D-EE0FB324EC3E}"/>
    <cellStyle name="Comma 2 3 2 2 3 5 3" xfId="22036" xr:uid="{7ADAFB15-F534-4E9F-AC38-4F352A8BEE0E}"/>
    <cellStyle name="Comma 2 3 2 2 3 6" xfId="9028" xr:uid="{52820FC5-E261-44E5-86D3-AAD810711F0B}"/>
    <cellStyle name="Comma 2 3 2 2 3 6 2" xfId="26372" xr:uid="{F16EFE67-0D30-4489-8CE1-2E2D700F1BDA}"/>
    <cellStyle name="Comma 2 3 2 2 3 7" xfId="17700" xr:uid="{CFCF1F80-FF46-418B-AE6F-3F47B369DACA}"/>
    <cellStyle name="Comma 2 3 2 2 4" xfId="627" xr:uid="{CC9964E6-2466-4BB4-996F-3F34413223AA}"/>
    <cellStyle name="Comma 2 3 2 2 4 2" xfId="1711" xr:uid="{8A44EC3D-06FC-4594-BE92-D49BE16FAC1E}"/>
    <cellStyle name="Comma 2 3 2 2 4 2 2" xfId="3879" xr:uid="{4EE7C6B9-2206-4B6D-862D-FD43D3DD3A99}"/>
    <cellStyle name="Comma 2 3 2 2 4 2 2 2" xfId="8215" xr:uid="{D395693E-266A-48F9-9B53-1ECC3220505B}"/>
    <cellStyle name="Comma 2 3 2 2 4 2 2 2 2" xfId="16887" xr:uid="{439BDA9B-0D55-46FF-B070-D92F82FD1169}"/>
    <cellStyle name="Comma 2 3 2 2 4 2 2 2 2 2" xfId="34231" xr:uid="{D249AD0C-97C3-4C9C-A865-5CE29589EDF4}"/>
    <cellStyle name="Comma 2 3 2 2 4 2 2 2 3" xfId="25559" xr:uid="{891F20B6-E9BB-4AB8-9B97-01F4AC6F2939}"/>
    <cellStyle name="Comma 2 3 2 2 4 2 2 3" xfId="12551" xr:uid="{BA8F80D6-FFC1-45E7-88A2-2E75B78B97AA}"/>
    <cellStyle name="Comma 2 3 2 2 4 2 2 3 2" xfId="29895" xr:uid="{9B892CD6-0FBD-4877-BDFB-09BC3A6A81CA}"/>
    <cellStyle name="Comma 2 3 2 2 4 2 2 4" xfId="21223" xr:uid="{102C8B21-85BB-4C2C-BE95-4A53BA76AD03}"/>
    <cellStyle name="Comma 2 3 2 2 4 2 3" xfId="6047" xr:uid="{6AE2D123-0ADE-40FF-82B9-47831C17542E}"/>
    <cellStyle name="Comma 2 3 2 2 4 2 3 2" xfId="14719" xr:uid="{E5493C51-C0E2-4852-8AD9-3987D46C9A9B}"/>
    <cellStyle name="Comma 2 3 2 2 4 2 3 2 2" xfId="32063" xr:uid="{7057904D-25A7-4A53-A747-726C5D75BA61}"/>
    <cellStyle name="Comma 2 3 2 2 4 2 3 3" xfId="23391" xr:uid="{EDA11B1D-7F52-4527-8A1A-09E5096A9898}"/>
    <cellStyle name="Comma 2 3 2 2 4 2 4" xfId="10383" xr:uid="{E14D0D37-28D1-400C-A0F1-DB5E211FB4E8}"/>
    <cellStyle name="Comma 2 3 2 2 4 2 4 2" xfId="27727" xr:uid="{455F2440-1B23-411D-81E1-742446258510}"/>
    <cellStyle name="Comma 2 3 2 2 4 2 5" xfId="19055" xr:uid="{DF74F86E-0A1B-4125-AE1E-1E04D2333043}"/>
    <cellStyle name="Comma 2 3 2 2 4 3" xfId="2795" xr:uid="{CB849A83-66B1-47E2-8C56-CEED03E8B2E0}"/>
    <cellStyle name="Comma 2 3 2 2 4 3 2" xfId="7131" xr:uid="{10B1F396-6924-4838-B4DE-B346C1498754}"/>
    <cellStyle name="Comma 2 3 2 2 4 3 2 2" xfId="15803" xr:uid="{20C74DDF-6FA2-4416-87C8-0EEF5D8FF69F}"/>
    <cellStyle name="Comma 2 3 2 2 4 3 2 2 2" xfId="33147" xr:uid="{6FD17396-F1D9-4E89-90EB-34C1FB73F1F5}"/>
    <cellStyle name="Comma 2 3 2 2 4 3 2 3" xfId="24475" xr:uid="{6F3B2D32-3632-4A9F-B163-85077D2C9D61}"/>
    <cellStyle name="Comma 2 3 2 2 4 3 3" xfId="11467" xr:uid="{5FADD0EB-3097-4FA2-9F20-753D9C351B89}"/>
    <cellStyle name="Comma 2 3 2 2 4 3 3 2" xfId="28811" xr:uid="{E9ADD00B-8459-48FA-A276-27B0B14418A4}"/>
    <cellStyle name="Comma 2 3 2 2 4 3 4" xfId="20139" xr:uid="{376DFF55-C450-429D-9D64-395C2E6ECBEE}"/>
    <cellStyle name="Comma 2 3 2 2 4 4" xfId="4963" xr:uid="{990F98A4-34D8-4477-9EE1-FD8D88BAB08D}"/>
    <cellStyle name="Comma 2 3 2 2 4 4 2" xfId="13635" xr:uid="{2AED6D19-C31E-43DF-80D3-3CF6F51AC3BC}"/>
    <cellStyle name="Comma 2 3 2 2 4 4 2 2" xfId="30979" xr:uid="{5A4AC5DE-8055-4A6C-B16C-EEBDFF0D315F}"/>
    <cellStyle name="Comma 2 3 2 2 4 4 3" xfId="22307" xr:uid="{4325F973-944F-4FAD-A8D7-6789AA749105}"/>
    <cellStyle name="Comma 2 3 2 2 4 5" xfId="9299" xr:uid="{31A2ABD0-B737-493D-8D73-C3D9DA4EB5EC}"/>
    <cellStyle name="Comma 2 3 2 2 4 5 2" xfId="26643" xr:uid="{E1ABCE6F-4B45-4384-9D74-78C807F1FD60}"/>
    <cellStyle name="Comma 2 3 2 2 4 6" xfId="17971" xr:uid="{50806040-4BD9-4F41-B438-22162B59EBC1}"/>
    <cellStyle name="Comma 2 3 2 2 5" xfId="1170" xr:uid="{815C2893-291D-4957-89E8-792D3F74D40A}"/>
    <cellStyle name="Comma 2 3 2 2 5 2" xfId="3338" xr:uid="{474AE1F7-BA73-46CF-81D3-4D1A58FB9A94}"/>
    <cellStyle name="Comma 2 3 2 2 5 2 2" xfId="7674" xr:uid="{B065C88C-CD62-42F4-9AEF-960C16560792}"/>
    <cellStyle name="Comma 2 3 2 2 5 2 2 2" xfId="16346" xr:uid="{7F102CA5-BC31-42AC-B179-AABDA63581EA}"/>
    <cellStyle name="Comma 2 3 2 2 5 2 2 2 2" xfId="33690" xr:uid="{46B57E2B-BA0D-491A-A4CC-BF3BF99ADF1E}"/>
    <cellStyle name="Comma 2 3 2 2 5 2 2 3" xfId="25018" xr:uid="{1E1697C4-D860-48D3-AA03-51FAA3A56B4B}"/>
    <cellStyle name="Comma 2 3 2 2 5 2 3" xfId="12010" xr:uid="{E6A727C2-FBE0-42BE-AF8D-A2E5732F668E}"/>
    <cellStyle name="Comma 2 3 2 2 5 2 3 2" xfId="29354" xr:uid="{0C5739D0-31BC-462B-968D-0682ADA665FC}"/>
    <cellStyle name="Comma 2 3 2 2 5 2 4" xfId="20682" xr:uid="{FD21AAE9-001E-4F51-8479-EDAA0737AFEC}"/>
    <cellStyle name="Comma 2 3 2 2 5 3" xfId="5506" xr:uid="{7DAAEDBA-1F1F-46D2-8DBB-3AC8AB20180A}"/>
    <cellStyle name="Comma 2 3 2 2 5 3 2" xfId="14178" xr:uid="{F737C0B0-299E-4C79-95B7-CA9B57975349}"/>
    <cellStyle name="Comma 2 3 2 2 5 3 2 2" xfId="31522" xr:uid="{FA05EC3C-716D-4ACB-A956-69FC1127A8E5}"/>
    <cellStyle name="Comma 2 3 2 2 5 3 3" xfId="22850" xr:uid="{AE958956-6984-47C2-BAFF-742E8BF661C6}"/>
    <cellStyle name="Comma 2 3 2 2 5 4" xfId="9842" xr:uid="{4F0483F4-2B58-4EB4-98C4-E9D0E178B43A}"/>
    <cellStyle name="Comma 2 3 2 2 5 4 2" xfId="27186" xr:uid="{40A8B972-4FA2-4FE8-872C-8D6D8582AB7D}"/>
    <cellStyle name="Comma 2 3 2 2 5 5" xfId="18514" xr:uid="{77644CB1-8DBE-4642-8FBD-AAE1C9F6585B}"/>
    <cellStyle name="Comma 2 3 2 2 6" xfId="2254" xr:uid="{B5DA0361-DE06-45CD-9A60-0CF4FEF9B020}"/>
    <cellStyle name="Comma 2 3 2 2 6 2" xfId="6590" xr:uid="{62FC13AF-B6E7-4034-86D3-5DB520B4E46A}"/>
    <cellStyle name="Comma 2 3 2 2 6 2 2" xfId="15262" xr:uid="{9B06C1F2-E950-4F63-859C-DF8EF1F459FE}"/>
    <cellStyle name="Comma 2 3 2 2 6 2 2 2" xfId="32606" xr:uid="{9F01F312-227B-4731-B9AE-391F77ABE191}"/>
    <cellStyle name="Comma 2 3 2 2 6 2 3" xfId="23934" xr:uid="{6D0844FC-DCA5-483D-8F85-D18A4A3487DF}"/>
    <cellStyle name="Comma 2 3 2 2 6 3" xfId="10926" xr:uid="{E2E2F44A-71D4-404F-82C1-30A0F4489EC5}"/>
    <cellStyle name="Comma 2 3 2 2 6 3 2" xfId="28270" xr:uid="{D0148D51-0032-40B2-8F1F-3F4EEF8843CA}"/>
    <cellStyle name="Comma 2 3 2 2 6 4" xfId="19598" xr:uid="{F7ADB32F-A458-4372-A3C8-1023100DB8DB}"/>
    <cellStyle name="Comma 2 3 2 2 7" xfId="4422" xr:uid="{FD78D9BD-91AE-45CF-A706-80BE195A933D}"/>
    <cellStyle name="Comma 2 3 2 2 7 2" xfId="13094" xr:uid="{8078FD12-C2B6-403A-BAD9-B92C8B9F7062}"/>
    <cellStyle name="Comma 2 3 2 2 7 2 2" xfId="30438" xr:uid="{532036B0-4641-4E55-A2AF-D92C6F5D39F1}"/>
    <cellStyle name="Comma 2 3 2 2 7 3" xfId="21766" xr:uid="{F685BD70-7FF8-40AD-B74B-F344CBEC9DE6}"/>
    <cellStyle name="Comma 2 3 2 2 8" xfId="8758" xr:uid="{12DA38EA-9B35-4A69-889F-7D6EACD5B622}"/>
    <cellStyle name="Comma 2 3 2 2 8 2" xfId="26102" xr:uid="{718199EC-A96B-4E9F-B5D0-2FADA42BF57D}"/>
    <cellStyle name="Comma 2 3 2 2 9" xfId="17430" xr:uid="{DBBE14F1-FF49-4B0E-B546-80591BBCAE71}"/>
    <cellStyle name="Comma 2 3 2 3" xfId="147" xr:uid="{7BD99E8E-A00A-439B-8DD9-3F3C65D39FE2}"/>
    <cellStyle name="Comma 2 3 2 3 2" xfId="417" xr:uid="{74E53405-48F6-4420-BB34-2BF7D9CEB0A5}"/>
    <cellStyle name="Comma 2 3 2 3 2 2" xfId="958" xr:uid="{7179B43B-00D5-4BE7-95D5-CB1E98CBCB4F}"/>
    <cellStyle name="Comma 2 3 2 3 2 2 2" xfId="2042" xr:uid="{613DBB81-AD39-49BB-8E44-8309B3EA34CF}"/>
    <cellStyle name="Comma 2 3 2 3 2 2 2 2" xfId="4210" xr:uid="{C8F3D20E-564C-4E5E-A354-99725C7F61FF}"/>
    <cellStyle name="Comma 2 3 2 3 2 2 2 2 2" xfId="8546" xr:uid="{9B413712-BA7B-4D61-BE69-2C6F8CEEC4D2}"/>
    <cellStyle name="Comma 2 3 2 3 2 2 2 2 2 2" xfId="17218" xr:uid="{546B1140-1711-4A72-86BA-FCD261481570}"/>
    <cellStyle name="Comma 2 3 2 3 2 2 2 2 2 2 2" xfId="34562" xr:uid="{BC741552-866A-45DD-9C7B-AD5EE3F71AD6}"/>
    <cellStyle name="Comma 2 3 2 3 2 2 2 2 2 3" xfId="25890" xr:uid="{CF033D6C-3391-4200-9DCC-5D997A73E404}"/>
    <cellStyle name="Comma 2 3 2 3 2 2 2 2 3" xfId="12882" xr:uid="{252E39D2-4F25-4BDC-B7CB-01487FBA8E37}"/>
    <cellStyle name="Comma 2 3 2 3 2 2 2 2 3 2" xfId="30226" xr:uid="{0459F1CF-20C7-485D-8D87-DE23734DE1E9}"/>
    <cellStyle name="Comma 2 3 2 3 2 2 2 2 4" xfId="21554" xr:uid="{18EC8547-54DA-4C28-A203-DBD0CC41631C}"/>
    <cellStyle name="Comma 2 3 2 3 2 2 2 3" xfId="6378" xr:uid="{73998E85-B673-4770-8D5E-1D19D9DBB630}"/>
    <cellStyle name="Comma 2 3 2 3 2 2 2 3 2" xfId="15050" xr:uid="{4918443B-9737-4A3C-8A31-0FF4939F1B3E}"/>
    <cellStyle name="Comma 2 3 2 3 2 2 2 3 2 2" xfId="32394" xr:uid="{6BD910C2-EF9A-4762-BA24-692E070F4F90}"/>
    <cellStyle name="Comma 2 3 2 3 2 2 2 3 3" xfId="23722" xr:uid="{DF551B4C-BE44-45FB-B287-230BDF6F1B2B}"/>
    <cellStyle name="Comma 2 3 2 3 2 2 2 4" xfId="10714" xr:uid="{EC83F39D-0418-4563-86A4-4C54ED777B64}"/>
    <cellStyle name="Comma 2 3 2 3 2 2 2 4 2" xfId="28058" xr:uid="{F05E1033-75AF-47F2-A020-7523C3297BD4}"/>
    <cellStyle name="Comma 2 3 2 3 2 2 2 5" xfId="19386" xr:uid="{D55545BC-6936-429C-A00B-64971B964455}"/>
    <cellStyle name="Comma 2 3 2 3 2 2 3" xfId="3126" xr:uid="{3B86C9F7-6B41-4AAB-85F4-5B45A4F1FA10}"/>
    <cellStyle name="Comma 2 3 2 3 2 2 3 2" xfId="7462" xr:uid="{9793E1C7-9194-4951-BB53-F45172BE8C8A}"/>
    <cellStyle name="Comma 2 3 2 3 2 2 3 2 2" xfId="16134" xr:uid="{0EF4C942-4747-4540-9A63-42AEB0BD3D56}"/>
    <cellStyle name="Comma 2 3 2 3 2 2 3 2 2 2" xfId="33478" xr:uid="{FCEA1EC6-105F-4751-8256-74632BFAD28B}"/>
    <cellStyle name="Comma 2 3 2 3 2 2 3 2 3" xfId="24806" xr:uid="{04DFAE3D-0123-49E8-9861-123B01695890}"/>
    <cellStyle name="Comma 2 3 2 3 2 2 3 3" xfId="11798" xr:uid="{35DE1AD1-472C-4023-B3DF-7463BA545546}"/>
    <cellStyle name="Comma 2 3 2 3 2 2 3 3 2" xfId="29142" xr:uid="{68231ED9-5733-4C28-BB38-8237ACD4CFB3}"/>
    <cellStyle name="Comma 2 3 2 3 2 2 3 4" xfId="20470" xr:uid="{D67EF5D7-E417-4DD4-B707-50AE1097791C}"/>
    <cellStyle name="Comma 2 3 2 3 2 2 4" xfId="5294" xr:uid="{ADD3C204-73D8-4002-B008-815A1EFBAE27}"/>
    <cellStyle name="Comma 2 3 2 3 2 2 4 2" xfId="13966" xr:uid="{A80116EB-13E1-4844-AC91-F375D163BFB2}"/>
    <cellStyle name="Comma 2 3 2 3 2 2 4 2 2" xfId="31310" xr:uid="{B23B5B5A-CAFB-402F-8AB9-E24011DDF0D5}"/>
    <cellStyle name="Comma 2 3 2 3 2 2 4 3" xfId="22638" xr:uid="{4FCEA824-A099-4A20-B367-8EDA78EC15EB}"/>
    <cellStyle name="Comma 2 3 2 3 2 2 5" xfId="9630" xr:uid="{1B8D397B-574C-41ED-9DC3-1ADE76B33A87}"/>
    <cellStyle name="Comma 2 3 2 3 2 2 5 2" xfId="26974" xr:uid="{C4F431FA-F8BD-4799-8948-98B25AA8F611}"/>
    <cellStyle name="Comma 2 3 2 3 2 2 6" xfId="18302" xr:uid="{C8492187-059D-4D0D-8FFA-23AD535C6CB1}"/>
    <cellStyle name="Comma 2 3 2 3 2 3" xfId="1501" xr:uid="{2B9EF547-15A7-42C7-BEC3-474A6D401258}"/>
    <cellStyle name="Comma 2 3 2 3 2 3 2" xfId="3669" xr:uid="{1627B105-205F-474B-97F8-684D11483545}"/>
    <cellStyle name="Comma 2 3 2 3 2 3 2 2" xfId="8005" xr:uid="{EECB3FD9-4D6A-4A87-943A-35C2A3FB9574}"/>
    <cellStyle name="Comma 2 3 2 3 2 3 2 2 2" xfId="16677" xr:uid="{1B6B3E05-1DBF-4230-A5A2-B0B1AAEAB739}"/>
    <cellStyle name="Comma 2 3 2 3 2 3 2 2 2 2" xfId="34021" xr:uid="{A399E3CF-476D-417E-8942-A24B452A30D9}"/>
    <cellStyle name="Comma 2 3 2 3 2 3 2 2 3" xfId="25349" xr:uid="{C5F0D888-2756-4749-8C68-E5BE48477527}"/>
    <cellStyle name="Comma 2 3 2 3 2 3 2 3" xfId="12341" xr:uid="{6943880C-7ED5-4D17-B43E-76AD6372996E}"/>
    <cellStyle name="Comma 2 3 2 3 2 3 2 3 2" xfId="29685" xr:uid="{03CF330D-D77B-4DA0-9581-7EE87D92DB1A}"/>
    <cellStyle name="Comma 2 3 2 3 2 3 2 4" xfId="21013" xr:uid="{BFCA661C-9D2E-4C11-83AF-3E494B1724F7}"/>
    <cellStyle name="Comma 2 3 2 3 2 3 3" xfId="5837" xr:uid="{244BCF67-4F04-4A58-8DD9-765698434658}"/>
    <cellStyle name="Comma 2 3 2 3 2 3 3 2" xfId="14509" xr:uid="{594DCAFE-C058-42B2-AAC8-B8C0BE789AA6}"/>
    <cellStyle name="Comma 2 3 2 3 2 3 3 2 2" xfId="31853" xr:uid="{5C825523-3A01-4A08-A099-686E134012B4}"/>
    <cellStyle name="Comma 2 3 2 3 2 3 3 3" xfId="23181" xr:uid="{02A572BA-5AC3-4D84-A55B-F79E8A620D45}"/>
    <cellStyle name="Comma 2 3 2 3 2 3 4" xfId="10173" xr:uid="{1EDDD09E-4F07-44E6-A89A-F26EB07E8DD0}"/>
    <cellStyle name="Comma 2 3 2 3 2 3 4 2" xfId="27517" xr:uid="{BFEC357B-DAB4-4FB7-8C6D-7C18ACEAE0DF}"/>
    <cellStyle name="Comma 2 3 2 3 2 3 5" xfId="18845" xr:uid="{78B4843B-A697-45D6-B76D-AD7A6542F6CE}"/>
    <cellStyle name="Comma 2 3 2 3 2 4" xfId="2585" xr:uid="{859462BF-B7FB-437E-93C0-3F094BD597C0}"/>
    <cellStyle name="Comma 2 3 2 3 2 4 2" xfId="6921" xr:uid="{281AF3E1-704D-43B0-94F4-FB1E3CEDCCF8}"/>
    <cellStyle name="Comma 2 3 2 3 2 4 2 2" xfId="15593" xr:uid="{BAD3F5FC-9445-43C0-90E4-ADAF627E0444}"/>
    <cellStyle name="Comma 2 3 2 3 2 4 2 2 2" xfId="32937" xr:uid="{7730C25B-F5D7-4A75-8CE6-E5F3607A3372}"/>
    <cellStyle name="Comma 2 3 2 3 2 4 2 3" xfId="24265" xr:uid="{D0B7FCD4-F2F8-4E78-8D78-6DD4211D524A}"/>
    <cellStyle name="Comma 2 3 2 3 2 4 3" xfId="11257" xr:uid="{95B6E4DA-3CA3-49A4-9A5C-D6824BD1DA2E}"/>
    <cellStyle name="Comma 2 3 2 3 2 4 3 2" xfId="28601" xr:uid="{CC79D919-7414-4A74-842A-ECD80B8D952F}"/>
    <cellStyle name="Comma 2 3 2 3 2 4 4" xfId="19929" xr:uid="{9BE2129D-46D3-45DB-B0B2-33DD08EE55D5}"/>
    <cellStyle name="Comma 2 3 2 3 2 5" xfId="4753" xr:uid="{F3C098D4-88AA-4E96-BBEF-4D3BA44BC635}"/>
    <cellStyle name="Comma 2 3 2 3 2 5 2" xfId="13425" xr:uid="{DC4FF61A-40FC-4DD5-A687-86BA88C6311A}"/>
    <cellStyle name="Comma 2 3 2 3 2 5 2 2" xfId="30769" xr:uid="{503FA2C1-30D2-4C47-8EEC-B1CE5F5310E0}"/>
    <cellStyle name="Comma 2 3 2 3 2 5 3" xfId="22097" xr:uid="{8C8F925C-B0C2-4723-857D-6AEAD8CF5129}"/>
    <cellStyle name="Comma 2 3 2 3 2 6" xfId="9089" xr:uid="{DD8306F6-A51B-4121-B56E-2347472F2B6E}"/>
    <cellStyle name="Comma 2 3 2 3 2 6 2" xfId="26433" xr:uid="{DE1E9A21-6C7B-42BD-931D-4A436EB84685}"/>
    <cellStyle name="Comma 2 3 2 3 2 7" xfId="17761" xr:uid="{D9D67EC7-C17E-42BA-9663-985D53F08BBF}"/>
    <cellStyle name="Comma 2 3 2 3 3" xfId="688" xr:uid="{29026D10-FD37-490D-8A5D-AA102AB59B93}"/>
    <cellStyle name="Comma 2 3 2 3 3 2" xfId="1772" xr:uid="{9B0E2271-ABF6-4186-A879-AAF0FF4F5317}"/>
    <cellStyle name="Comma 2 3 2 3 3 2 2" xfId="3940" xr:uid="{86863C73-E33D-4620-B016-5875EA1D9504}"/>
    <cellStyle name="Comma 2 3 2 3 3 2 2 2" xfId="8276" xr:uid="{2FD4C47A-4822-4F71-99E2-1207C09FEAA7}"/>
    <cellStyle name="Comma 2 3 2 3 3 2 2 2 2" xfId="16948" xr:uid="{56D4BA9B-E26D-46F6-83D4-C80ECFF2C216}"/>
    <cellStyle name="Comma 2 3 2 3 3 2 2 2 2 2" xfId="34292" xr:uid="{505A9B14-837E-4C69-9ACA-6680D5958DEB}"/>
    <cellStyle name="Comma 2 3 2 3 3 2 2 2 3" xfId="25620" xr:uid="{A160A63E-4C01-4E71-942C-A749F8A0BF9E}"/>
    <cellStyle name="Comma 2 3 2 3 3 2 2 3" xfId="12612" xr:uid="{BA252752-EBA8-4603-8C90-F18EED86BDB1}"/>
    <cellStyle name="Comma 2 3 2 3 3 2 2 3 2" xfId="29956" xr:uid="{178DBBEE-26B7-402C-9ECA-650CDC4BC766}"/>
    <cellStyle name="Comma 2 3 2 3 3 2 2 4" xfId="21284" xr:uid="{566938E7-368F-4FA4-A9B8-B4A33CD347F4}"/>
    <cellStyle name="Comma 2 3 2 3 3 2 3" xfId="6108" xr:uid="{04BA7E77-6DF4-4A2B-88AC-C69FA1CA6F59}"/>
    <cellStyle name="Comma 2 3 2 3 3 2 3 2" xfId="14780" xr:uid="{BD756A92-7667-477E-B3D7-89ECA1B4C36A}"/>
    <cellStyle name="Comma 2 3 2 3 3 2 3 2 2" xfId="32124" xr:uid="{DC15DC68-C829-49D2-988C-A9F2D5377B4C}"/>
    <cellStyle name="Comma 2 3 2 3 3 2 3 3" xfId="23452" xr:uid="{06D832EB-3F58-4CC6-96FA-0AC80A2FBF34}"/>
    <cellStyle name="Comma 2 3 2 3 3 2 4" xfId="10444" xr:uid="{E96A8E21-81C2-4414-80E9-7DB59D7277CF}"/>
    <cellStyle name="Comma 2 3 2 3 3 2 4 2" xfId="27788" xr:uid="{08AC1B19-E856-47C2-8A7F-6624193F022A}"/>
    <cellStyle name="Comma 2 3 2 3 3 2 5" xfId="19116" xr:uid="{FA3302D1-8C41-47E7-9CAE-EC323601F109}"/>
    <cellStyle name="Comma 2 3 2 3 3 3" xfId="2856" xr:uid="{819D322C-4754-47CC-9CAE-E80A85DF5021}"/>
    <cellStyle name="Comma 2 3 2 3 3 3 2" xfId="7192" xr:uid="{6121E699-980C-4112-868D-85741CF37F12}"/>
    <cellStyle name="Comma 2 3 2 3 3 3 2 2" xfId="15864" xr:uid="{3097CF33-A5F7-4C44-8071-996B8441A7B5}"/>
    <cellStyle name="Comma 2 3 2 3 3 3 2 2 2" xfId="33208" xr:uid="{77AAC1DD-F89F-4573-97F0-412E8FA7D12A}"/>
    <cellStyle name="Comma 2 3 2 3 3 3 2 3" xfId="24536" xr:uid="{7CB01412-B482-47E1-AA68-02DE7CCA7218}"/>
    <cellStyle name="Comma 2 3 2 3 3 3 3" xfId="11528" xr:uid="{7DEA1FEF-9B93-48F2-9577-667204C2D500}"/>
    <cellStyle name="Comma 2 3 2 3 3 3 3 2" xfId="28872" xr:uid="{7041B1BB-4ABC-48B4-B995-57859E617FDA}"/>
    <cellStyle name="Comma 2 3 2 3 3 3 4" xfId="20200" xr:uid="{97EB0E60-8FA2-4F13-BE26-E28246E5DE1B}"/>
    <cellStyle name="Comma 2 3 2 3 3 4" xfId="5024" xr:uid="{25878E3C-EA47-44E4-B932-460FF9A16ADC}"/>
    <cellStyle name="Comma 2 3 2 3 3 4 2" xfId="13696" xr:uid="{CDF794B8-EC63-4233-8712-E172FC2F7C67}"/>
    <cellStyle name="Comma 2 3 2 3 3 4 2 2" xfId="31040" xr:uid="{5096C5E7-E8E8-4DE2-9B73-171D99B6E9EB}"/>
    <cellStyle name="Comma 2 3 2 3 3 4 3" xfId="22368" xr:uid="{7E69501C-4D2E-44AA-BF25-ACA30FDE4E97}"/>
    <cellStyle name="Comma 2 3 2 3 3 5" xfId="9360" xr:uid="{D4E0DCF1-1579-426A-87FC-09F239F923BC}"/>
    <cellStyle name="Comma 2 3 2 3 3 5 2" xfId="26704" xr:uid="{E47DC33F-E380-40C7-8731-15889D98280F}"/>
    <cellStyle name="Comma 2 3 2 3 3 6" xfId="18032" xr:uid="{11F8A902-4FF0-4270-B038-42B98CE4EBBC}"/>
    <cellStyle name="Comma 2 3 2 3 4" xfId="1231" xr:uid="{0181049A-4788-4945-9089-714C97D05FA3}"/>
    <cellStyle name="Comma 2 3 2 3 4 2" xfId="3399" xr:uid="{6FF5BBCE-CAB1-41D4-A1A5-883EF6CCC536}"/>
    <cellStyle name="Comma 2 3 2 3 4 2 2" xfId="7735" xr:uid="{7DA1752C-0129-461B-BC4C-A1D9CFF0A24C}"/>
    <cellStyle name="Comma 2 3 2 3 4 2 2 2" xfId="16407" xr:uid="{9FF161FB-69BB-40A9-9105-4412E5161575}"/>
    <cellStyle name="Comma 2 3 2 3 4 2 2 2 2" xfId="33751" xr:uid="{8BEFE88B-712B-4712-B534-943F3BEF14AD}"/>
    <cellStyle name="Comma 2 3 2 3 4 2 2 3" xfId="25079" xr:uid="{9BD55D9D-8775-4411-A802-4DEE4A73CE16}"/>
    <cellStyle name="Comma 2 3 2 3 4 2 3" xfId="12071" xr:uid="{36AAE966-6E49-4ED3-817B-6C54AFBE6848}"/>
    <cellStyle name="Comma 2 3 2 3 4 2 3 2" xfId="29415" xr:uid="{42BB6637-F6AA-40B0-9E5A-C5B5DD1FFF45}"/>
    <cellStyle name="Comma 2 3 2 3 4 2 4" xfId="20743" xr:uid="{CC2B9FEE-C253-48DF-B5C5-FBBE5788331D}"/>
    <cellStyle name="Comma 2 3 2 3 4 3" xfId="5567" xr:uid="{8B75A0C0-343C-468C-9096-BF2EFADB1870}"/>
    <cellStyle name="Comma 2 3 2 3 4 3 2" xfId="14239" xr:uid="{2188E37E-DC68-43CA-8001-057F02155F3C}"/>
    <cellStyle name="Comma 2 3 2 3 4 3 2 2" xfId="31583" xr:uid="{A9CAC45A-E68C-4C95-96CC-BD8D02EC6802}"/>
    <cellStyle name="Comma 2 3 2 3 4 3 3" xfId="22911" xr:uid="{5E880157-BD7B-42B3-AD64-8BF6D60628B0}"/>
    <cellStyle name="Comma 2 3 2 3 4 4" xfId="9903" xr:uid="{572DDF67-C484-4E2D-9C91-8369CB98293F}"/>
    <cellStyle name="Comma 2 3 2 3 4 4 2" xfId="27247" xr:uid="{CBFF7521-A17F-497F-AC4B-1C174BA9A6E2}"/>
    <cellStyle name="Comma 2 3 2 3 4 5" xfId="18575" xr:uid="{196DA4AA-71D4-4DFD-B6F1-C711B397454D}"/>
    <cellStyle name="Comma 2 3 2 3 5" xfId="2315" xr:uid="{1F24544A-4AAE-4DCF-BE24-FDC069CFADD5}"/>
    <cellStyle name="Comma 2 3 2 3 5 2" xfId="6651" xr:uid="{9426236D-5A69-434B-8E5A-0C948FB248B9}"/>
    <cellStyle name="Comma 2 3 2 3 5 2 2" xfId="15323" xr:uid="{1BBE70A3-F568-43D0-A610-FA29C4BEC1EC}"/>
    <cellStyle name="Comma 2 3 2 3 5 2 2 2" xfId="32667" xr:uid="{ED8B8961-1B3E-4C8B-A6E6-BDF41BD334CA}"/>
    <cellStyle name="Comma 2 3 2 3 5 2 3" xfId="23995" xr:uid="{5547E4FB-C434-45A8-A048-926847FF4D95}"/>
    <cellStyle name="Comma 2 3 2 3 5 3" xfId="10987" xr:uid="{D96A7552-EE50-4341-A9DF-5BBDA7329377}"/>
    <cellStyle name="Comma 2 3 2 3 5 3 2" xfId="28331" xr:uid="{8555929B-1550-414B-8D2B-598580535362}"/>
    <cellStyle name="Comma 2 3 2 3 5 4" xfId="19659" xr:uid="{3E21CEC0-DBCC-4BAF-95C6-1400F3EFFABE}"/>
    <cellStyle name="Comma 2 3 2 3 6" xfId="4483" xr:uid="{C57A9498-13C1-40CF-80AF-73BD0CA41D74}"/>
    <cellStyle name="Comma 2 3 2 3 6 2" xfId="13155" xr:uid="{AF56C438-AD51-44FB-A535-245E40E43D56}"/>
    <cellStyle name="Comma 2 3 2 3 6 2 2" xfId="30499" xr:uid="{0ACA6426-71E2-4934-BF96-DFB6ACBEB67A}"/>
    <cellStyle name="Comma 2 3 2 3 6 3" xfId="21827" xr:uid="{2AB4FBEB-CFAB-496D-928F-78E01D70817C}"/>
    <cellStyle name="Comma 2 3 2 3 7" xfId="8819" xr:uid="{7A1374E0-2A7B-4B4D-8BC3-DD71796B64EF}"/>
    <cellStyle name="Comma 2 3 2 3 7 2" xfId="26163" xr:uid="{88A2CBEA-0696-470C-8013-FBEF18C49C15}"/>
    <cellStyle name="Comma 2 3 2 3 8" xfId="17491" xr:uid="{54105748-F527-4A10-9E27-8E0ED295BD52}"/>
    <cellStyle name="Comma 2 3 2 4" xfId="295" xr:uid="{386C3C8B-98C6-4270-9F21-9145FA08BBE4}"/>
    <cellStyle name="Comma 2 3 2 4 2" xfId="836" xr:uid="{3EFE6373-9DDB-4823-A92F-402CF24C36B6}"/>
    <cellStyle name="Comma 2 3 2 4 2 2" xfId="1920" xr:uid="{33050D6A-6514-4367-B34C-89725300AA9C}"/>
    <cellStyle name="Comma 2 3 2 4 2 2 2" xfId="4088" xr:uid="{CFDA05E2-6A54-450C-9C9A-6EA9CE1DD883}"/>
    <cellStyle name="Comma 2 3 2 4 2 2 2 2" xfId="8424" xr:uid="{E102EC11-98AB-4BAC-BC5F-FCAE37EC8CD6}"/>
    <cellStyle name="Comma 2 3 2 4 2 2 2 2 2" xfId="17096" xr:uid="{D26044EB-67F5-4837-8C58-C2F3C5895611}"/>
    <cellStyle name="Comma 2 3 2 4 2 2 2 2 2 2" xfId="34440" xr:uid="{B5F8F93D-1287-437B-BE67-8BDF1A00A5BE}"/>
    <cellStyle name="Comma 2 3 2 4 2 2 2 2 3" xfId="25768" xr:uid="{CB74F78B-429B-4808-8737-5D708EECD60C}"/>
    <cellStyle name="Comma 2 3 2 4 2 2 2 3" xfId="12760" xr:uid="{107EB2E5-4D5A-44F7-B4FB-7ECEC20045EE}"/>
    <cellStyle name="Comma 2 3 2 4 2 2 2 3 2" xfId="30104" xr:uid="{00B7159B-636D-4DD9-813C-212D4B9E067E}"/>
    <cellStyle name="Comma 2 3 2 4 2 2 2 4" xfId="21432" xr:uid="{32B77DE7-E243-4194-BB65-1021F7A2D01A}"/>
    <cellStyle name="Comma 2 3 2 4 2 2 3" xfId="6256" xr:uid="{B85112B6-FBAF-45FC-8DD2-905E6131CBBD}"/>
    <cellStyle name="Comma 2 3 2 4 2 2 3 2" xfId="14928" xr:uid="{8ABFC423-540F-41E2-AE30-349A7B781C98}"/>
    <cellStyle name="Comma 2 3 2 4 2 2 3 2 2" xfId="32272" xr:uid="{2F782573-DCBA-4BBA-9A08-C64BC678CD7B}"/>
    <cellStyle name="Comma 2 3 2 4 2 2 3 3" xfId="23600" xr:uid="{6DAF6178-357E-4EAB-A52E-922EED0446A7}"/>
    <cellStyle name="Comma 2 3 2 4 2 2 4" xfId="10592" xr:uid="{78278AC6-B6B8-4D72-A6D0-8984D6573E54}"/>
    <cellStyle name="Comma 2 3 2 4 2 2 4 2" xfId="27936" xr:uid="{2A450D8A-3863-4D06-B9E8-3A5EC45C5C0D}"/>
    <cellStyle name="Comma 2 3 2 4 2 2 5" xfId="19264" xr:uid="{18113533-DF55-4C3F-A3EA-FDA0E11877A2}"/>
    <cellStyle name="Comma 2 3 2 4 2 3" xfId="3004" xr:uid="{61B098CF-2C74-4ECC-B0B2-4D921F64DE64}"/>
    <cellStyle name="Comma 2 3 2 4 2 3 2" xfId="7340" xr:uid="{23A68746-59A8-40B3-B791-6E37B7AA19B1}"/>
    <cellStyle name="Comma 2 3 2 4 2 3 2 2" xfId="16012" xr:uid="{329A2BE8-CAFF-4654-8B19-B2168BD704DB}"/>
    <cellStyle name="Comma 2 3 2 4 2 3 2 2 2" xfId="33356" xr:uid="{9A7F621E-9AB5-4804-8716-85BEB1978EE0}"/>
    <cellStyle name="Comma 2 3 2 4 2 3 2 3" xfId="24684" xr:uid="{FD0D33DE-5FCE-4E8A-A960-BA3BDFA12876}"/>
    <cellStyle name="Comma 2 3 2 4 2 3 3" xfId="11676" xr:uid="{76B169D5-73A0-4848-93E1-07AC6F07F0EA}"/>
    <cellStyle name="Comma 2 3 2 4 2 3 3 2" xfId="29020" xr:uid="{0A59DDEF-BE24-4F7F-9FB6-DE74E67B4D96}"/>
    <cellStyle name="Comma 2 3 2 4 2 3 4" xfId="20348" xr:uid="{80E446B1-3366-4051-846F-EBB1EE67A1B7}"/>
    <cellStyle name="Comma 2 3 2 4 2 4" xfId="5172" xr:uid="{FF4CAF90-321B-4B8E-976A-F8926E5500D4}"/>
    <cellStyle name="Comma 2 3 2 4 2 4 2" xfId="13844" xr:uid="{F47EE94B-0C35-47AD-BC63-AAD6AFCC324D}"/>
    <cellStyle name="Comma 2 3 2 4 2 4 2 2" xfId="31188" xr:uid="{7D81FB95-94A4-49A2-86BF-FE2EF92BFE49}"/>
    <cellStyle name="Comma 2 3 2 4 2 4 3" xfId="22516" xr:uid="{318A603E-8CF8-4FFA-9862-2D419A7F4C13}"/>
    <cellStyle name="Comma 2 3 2 4 2 5" xfId="9508" xr:uid="{25CE2570-E415-4071-9569-C94AF5AD8F1F}"/>
    <cellStyle name="Comma 2 3 2 4 2 5 2" xfId="26852" xr:uid="{6CB31B3A-20B7-4F32-9738-E0D2B8AA496C}"/>
    <cellStyle name="Comma 2 3 2 4 2 6" xfId="18180" xr:uid="{E77AF5B5-7121-433D-9F5B-FB7255DF70C6}"/>
    <cellStyle name="Comma 2 3 2 4 3" xfId="1379" xr:uid="{2973543D-EBF3-4BB6-9CA8-A89FC0088EBE}"/>
    <cellStyle name="Comma 2 3 2 4 3 2" xfId="3547" xr:uid="{3FFD50C0-AED9-4836-AA36-4A5C997EDA16}"/>
    <cellStyle name="Comma 2 3 2 4 3 2 2" xfId="7883" xr:uid="{09087874-8863-46F4-B7CB-BC2610A4C15B}"/>
    <cellStyle name="Comma 2 3 2 4 3 2 2 2" xfId="16555" xr:uid="{E61A8C73-5EA8-45A8-B649-37888B1D2143}"/>
    <cellStyle name="Comma 2 3 2 4 3 2 2 2 2" xfId="33899" xr:uid="{276F297C-8A07-40C6-8922-260B0B63EC8E}"/>
    <cellStyle name="Comma 2 3 2 4 3 2 2 3" xfId="25227" xr:uid="{348A8F3B-93E7-4A85-AD14-42F297214264}"/>
    <cellStyle name="Comma 2 3 2 4 3 2 3" xfId="12219" xr:uid="{0B515B66-62EF-4346-8A5E-B2AF3F992A14}"/>
    <cellStyle name="Comma 2 3 2 4 3 2 3 2" xfId="29563" xr:uid="{6668F99A-D459-47DA-A3D1-5BEAC61351C7}"/>
    <cellStyle name="Comma 2 3 2 4 3 2 4" xfId="20891" xr:uid="{1E96B8E2-6A9C-4378-956E-3570DE4B9E72}"/>
    <cellStyle name="Comma 2 3 2 4 3 3" xfId="5715" xr:uid="{F3069513-19D7-4D09-B5E1-E24B002B7498}"/>
    <cellStyle name="Comma 2 3 2 4 3 3 2" xfId="14387" xr:uid="{8F2BFD3E-854D-4658-9995-FD67DE6E4826}"/>
    <cellStyle name="Comma 2 3 2 4 3 3 2 2" xfId="31731" xr:uid="{C4F74E13-F105-4766-9B73-93B6B06E22D9}"/>
    <cellStyle name="Comma 2 3 2 4 3 3 3" xfId="23059" xr:uid="{CF130F99-CD88-4A9A-89C5-42DC0CA25DDB}"/>
    <cellStyle name="Comma 2 3 2 4 3 4" xfId="10051" xr:uid="{E6E30E3C-46FA-4E97-A91E-DA533643ABD0}"/>
    <cellStyle name="Comma 2 3 2 4 3 4 2" xfId="27395" xr:uid="{FB26D234-30FD-4D98-8C83-75DD57F84A86}"/>
    <cellStyle name="Comma 2 3 2 4 3 5" xfId="18723" xr:uid="{E18D9325-6842-45C9-B41B-A0F2E337135E}"/>
    <cellStyle name="Comma 2 3 2 4 4" xfId="2463" xr:uid="{5E892A09-7B9E-48B5-9A44-55773AE41EE7}"/>
    <cellStyle name="Comma 2 3 2 4 4 2" xfId="6799" xr:uid="{61CCC30E-9D95-4D52-8115-0C1D1642533C}"/>
    <cellStyle name="Comma 2 3 2 4 4 2 2" xfId="15471" xr:uid="{1C32A11F-7C62-4F1D-9227-69E75BC90109}"/>
    <cellStyle name="Comma 2 3 2 4 4 2 2 2" xfId="32815" xr:uid="{BC5DC402-9954-4079-85EA-D08F2C8E746D}"/>
    <cellStyle name="Comma 2 3 2 4 4 2 3" xfId="24143" xr:uid="{F76628FF-F342-4BF9-89DC-EE1974CD64EE}"/>
    <cellStyle name="Comma 2 3 2 4 4 3" xfId="11135" xr:uid="{A501CB00-346C-4680-988B-FC3CAAF56A56}"/>
    <cellStyle name="Comma 2 3 2 4 4 3 2" xfId="28479" xr:uid="{2BCF70FA-4CB4-464F-8F2B-3DC880734D3C}"/>
    <cellStyle name="Comma 2 3 2 4 4 4" xfId="19807" xr:uid="{840A69F4-F539-48DB-9B07-9272C66165AB}"/>
    <cellStyle name="Comma 2 3 2 4 5" xfId="4631" xr:uid="{F52ECCEF-1A3E-4C6F-915E-1DF133934164}"/>
    <cellStyle name="Comma 2 3 2 4 5 2" xfId="13303" xr:uid="{169F0B99-6F9A-4AC5-A3E9-AD6447CBC4B7}"/>
    <cellStyle name="Comma 2 3 2 4 5 2 2" xfId="30647" xr:uid="{1696A9DF-A43D-44B2-A20E-20EE3EC4465B}"/>
    <cellStyle name="Comma 2 3 2 4 5 3" xfId="21975" xr:uid="{F58016DF-ADF8-4C76-81F4-7C93F5131A61}"/>
    <cellStyle name="Comma 2 3 2 4 6" xfId="8967" xr:uid="{14754CEA-D824-4E71-BF47-CFC1E038F0C3}"/>
    <cellStyle name="Comma 2 3 2 4 6 2" xfId="26311" xr:uid="{13419A00-9490-4A14-B878-57EC7690B689}"/>
    <cellStyle name="Comma 2 3 2 4 7" xfId="17639" xr:uid="{1B1FC21A-28B0-42E6-A650-678FC316F99C}"/>
    <cellStyle name="Comma 2 3 2 5" xfId="566" xr:uid="{FF578FE0-9B5B-48BB-9BA6-A416751BBF2F}"/>
    <cellStyle name="Comma 2 3 2 5 2" xfId="1650" xr:uid="{E9341397-AE20-4977-B3B7-0CA2F2536639}"/>
    <cellStyle name="Comma 2 3 2 5 2 2" xfId="3818" xr:uid="{5F6012AA-4415-4739-ADFB-977ED9A7C2CF}"/>
    <cellStyle name="Comma 2 3 2 5 2 2 2" xfId="8154" xr:uid="{88AE26E9-48CE-4E72-8CDD-52D590F72F92}"/>
    <cellStyle name="Comma 2 3 2 5 2 2 2 2" xfId="16826" xr:uid="{725D9193-3A5D-45E2-AECB-DF935BB8EAD5}"/>
    <cellStyle name="Comma 2 3 2 5 2 2 2 2 2" xfId="34170" xr:uid="{EB82CA69-DFE3-4185-B8BE-49E5F061B5E3}"/>
    <cellStyle name="Comma 2 3 2 5 2 2 2 3" xfId="25498" xr:uid="{EA917490-5D9E-4D51-A4DA-4D6C10496CC9}"/>
    <cellStyle name="Comma 2 3 2 5 2 2 3" xfId="12490" xr:uid="{1457A0A6-FD36-4CBD-9634-DA84042101B8}"/>
    <cellStyle name="Comma 2 3 2 5 2 2 3 2" xfId="29834" xr:uid="{86ACEE8C-EA21-4E18-A626-DA45893820E9}"/>
    <cellStyle name="Comma 2 3 2 5 2 2 4" xfId="21162" xr:uid="{D67191FE-33CD-426C-9B6A-2259FB3F26D4}"/>
    <cellStyle name="Comma 2 3 2 5 2 3" xfId="5986" xr:uid="{2342F515-5F11-4076-803E-83D97D7D38C4}"/>
    <cellStyle name="Comma 2 3 2 5 2 3 2" xfId="14658" xr:uid="{7CA2C9C5-2021-4CA2-8AD6-78DEEB30D932}"/>
    <cellStyle name="Comma 2 3 2 5 2 3 2 2" xfId="32002" xr:uid="{B60D3E5B-3EED-4A41-83AF-F310B739AECB}"/>
    <cellStyle name="Comma 2 3 2 5 2 3 3" xfId="23330" xr:uid="{773257FB-F07A-4DBB-8E6F-A1FEFBBC3EA5}"/>
    <cellStyle name="Comma 2 3 2 5 2 4" xfId="10322" xr:uid="{3BF4BFD1-A2FC-43FB-8134-9907844D8758}"/>
    <cellStyle name="Comma 2 3 2 5 2 4 2" xfId="27666" xr:uid="{0F83F6E7-F001-4262-B4C7-D049F1523CF1}"/>
    <cellStyle name="Comma 2 3 2 5 2 5" xfId="18994" xr:uid="{EAABA5B6-DE90-4E9C-B53E-72517E3EE3DD}"/>
    <cellStyle name="Comma 2 3 2 5 3" xfId="2734" xr:uid="{7C1778A8-6BD4-44AB-92DD-B74651BF9D47}"/>
    <cellStyle name="Comma 2 3 2 5 3 2" xfId="7070" xr:uid="{15A3C097-9412-442B-BD14-6E777F6AA79C}"/>
    <cellStyle name="Comma 2 3 2 5 3 2 2" xfId="15742" xr:uid="{17F8DFC4-D51C-4821-93A7-C8514810010B}"/>
    <cellStyle name="Comma 2 3 2 5 3 2 2 2" xfId="33086" xr:uid="{35045756-C5AC-445F-8DE3-FA82C4ECC55A}"/>
    <cellStyle name="Comma 2 3 2 5 3 2 3" xfId="24414" xr:uid="{55DC7277-585D-40D0-9C52-54CA15858440}"/>
    <cellStyle name="Comma 2 3 2 5 3 3" xfId="11406" xr:uid="{0B8599AC-4F44-4FB4-80C4-C1C75972E48E}"/>
    <cellStyle name="Comma 2 3 2 5 3 3 2" xfId="28750" xr:uid="{CB80D67D-2BF0-44CE-9598-428DB4EF6A9A}"/>
    <cellStyle name="Comma 2 3 2 5 3 4" xfId="20078" xr:uid="{84B28AF0-468E-4183-B8F2-EE2FFFFC12D5}"/>
    <cellStyle name="Comma 2 3 2 5 4" xfId="4902" xr:uid="{0C40AE24-1429-4ED9-AECE-135BD61B7ADE}"/>
    <cellStyle name="Comma 2 3 2 5 4 2" xfId="13574" xr:uid="{6BB016EF-2705-43FF-ADBE-DD4F07CB0BE4}"/>
    <cellStyle name="Comma 2 3 2 5 4 2 2" xfId="30918" xr:uid="{C055FC1E-A401-460E-B86F-85C500899CD8}"/>
    <cellStyle name="Comma 2 3 2 5 4 3" xfId="22246" xr:uid="{4D109A1D-8682-4778-9D43-0B075D13677A}"/>
    <cellStyle name="Comma 2 3 2 5 5" xfId="9238" xr:uid="{C8F10D2C-54A7-49C0-891A-28F7A8C07008}"/>
    <cellStyle name="Comma 2 3 2 5 5 2" xfId="26582" xr:uid="{F965647D-717E-45A9-970C-D6B04176A179}"/>
    <cellStyle name="Comma 2 3 2 5 6" xfId="17910" xr:uid="{4FCF3D41-D394-43C2-9FC1-652B1DD8899B}"/>
    <cellStyle name="Comma 2 3 2 6" xfId="1109" xr:uid="{AB851889-8835-42EF-8818-CF7CD832CAE6}"/>
    <cellStyle name="Comma 2 3 2 6 2" xfId="3277" xr:uid="{5755A754-4486-4E77-800D-27400D51A57F}"/>
    <cellStyle name="Comma 2 3 2 6 2 2" xfId="7613" xr:uid="{8D4E4BF3-819D-42E9-96DE-46801EB55FB6}"/>
    <cellStyle name="Comma 2 3 2 6 2 2 2" xfId="16285" xr:uid="{BA65CE17-6A1C-42B1-B38A-B7B3A4DB0234}"/>
    <cellStyle name="Comma 2 3 2 6 2 2 2 2" xfId="33629" xr:uid="{525C7E9A-F8F6-4625-B6F1-0BFD82169B46}"/>
    <cellStyle name="Comma 2 3 2 6 2 2 3" xfId="24957" xr:uid="{6DC53890-8F4E-42CA-9C78-E60B200D17BF}"/>
    <cellStyle name="Comma 2 3 2 6 2 3" xfId="11949" xr:uid="{5648A4DD-1987-4269-8823-78562B1D8876}"/>
    <cellStyle name="Comma 2 3 2 6 2 3 2" xfId="29293" xr:uid="{029E699A-0BC3-4B7E-9F5C-656FE9C9972F}"/>
    <cellStyle name="Comma 2 3 2 6 2 4" xfId="20621" xr:uid="{9A770E63-0600-4C91-AD2D-2D497E2DF9F4}"/>
    <cellStyle name="Comma 2 3 2 6 3" xfId="5445" xr:uid="{F186F90E-6185-40AC-910D-41C538ED27C9}"/>
    <cellStyle name="Comma 2 3 2 6 3 2" xfId="14117" xr:uid="{99CA0EDE-AE82-4B0C-BEB2-B0F49E042E9B}"/>
    <cellStyle name="Comma 2 3 2 6 3 2 2" xfId="31461" xr:uid="{B5270EC6-FB50-408D-A7A8-16B03EE318F2}"/>
    <cellStyle name="Comma 2 3 2 6 3 3" xfId="22789" xr:uid="{3E5219D8-092B-4A85-A4BC-DEEEE4211795}"/>
    <cellStyle name="Comma 2 3 2 6 4" xfId="9781" xr:uid="{E2621B49-AB37-4682-8914-077DDD0EBA1E}"/>
    <cellStyle name="Comma 2 3 2 6 4 2" xfId="27125" xr:uid="{7DE91DE8-43AA-4E67-A4DE-E995E44B7BEE}"/>
    <cellStyle name="Comma 2 3 2 6 5" xfId="18453" xr:uid="{90FD7D81-F259-4FE1-8516-ED1A097A8C3D}"/>
    <cellStyle name="Comma 2 3 2 7" xfId="2193" xr:uid="{7D4A99C4-FAD2-4DA9-AAAC-7DA43C461FEC}"/>
    <cellStyle name="Comma 2 3 2 7 2" xfId="6529" xr:uid="{EED31CC1-4EAC-4901-9D93-F5F6F962B7BA}"/>
    <cellStyle name="Comma 2 3 2 7 2 2" xfId="15201" xr:uid="{A8F62D29-EF85-4B1E-928D-CD222CF656D8}"/>
    <cellStyle name="Comma 2 3 2 7 2 2 2" xfId="32545" xr:uid="{8F43FAC0-8AB9-4D88-A04C-4C23B23EC445}"/>
    <cellStyle name="Comma 2 3 2 7 2 3" xfId="23873" xr:uid="{6B32756E-DB28-4A12-9B3F-3005670D7C66}"/>
    <cellStyle name="Comma 2 3 2 7 3" xfId="10865" xr:uid="{85B7FFFF-AE02-440E-B409-869E4127EF99}"/>
    <cellStyle name="Comma 2 3 2 7 3 2" xfId="28209" xr:uid="{FED904CD-DFA2-4EF7-BBD5-BD689737AEE8}"/>
    <cellStyle name="Comma 2 3 2 7 4" xfId="19537" xr:uid="{42131344-A8CC-4018-8256-FFA52E5C4F11}"/>
    <cellStyle name="Comma 2 3 2 8" xfId="4361" xr:uid="{A223C777-C228-4EEE-BBA1-5F45EB4472A7}"/>
    <cellStyle name="Comma 2 3 2 8 2" xfId="13033" xr:uid="{B2D1E35D-C48C-4A30-B763-356F84DE5CA0}"/>
    <cellStyle name="Comma 2 3 2 8 2 2" xfId="30377" xr:uid="{9644A76D-8018-45A0-A4ED-4587439EB441}"/>
    <cellStyle name="Comma 2 3 2 8 3" xfId="21705" xr:uid="{4E6CD25D-03F8-467D-9F95-D5168E16AC38}"/>
    <cellStyle name="Comma 2 3 2 9" xfId="8697" xr:uid="{CBCCDC7D-0DE2-42B4-B80D-4AE7FA445D5F}"/>
    <cellStyle name="Comma 2 3 2 9 2" xfId="26041" xr:uid="{A8161E57-5AC1-4C16-9FE5-E19B91E77C3A}"/>
    <cellStyle name="Comma 2 3 3" xfId="57" xr:uid="{3B354AA7-24AC-4F25-8D7A-5530219CD926}"/>
    <cellStyle name="Comma 2 3 3 10" xfId="17401" xr:uid="{202123A4-1541-4726-8F01-6901A8FAB5AD}"/>
    <cellStyle name="Comma 2 3 3 2" xfId="118" xr:uid="{38B96AD3-41D9-40F9-B363-04B31EF9C8BF}"/>
    <cellStyle name="Comma 2 3 3 2 2" xfId="240" xr:uid="{9061A30A-6AA7-449E-888B-64F76DE6D843}"/>
    <cellStyle name="Comma 2 3 3 2 2 2" xfId="510" xr:uid="{2A79B07B-CE7E-42D3-B730-274C4BC124A2}"/>
    <cellStyle name="Comma 2 3 3 2 2 2 2" xfId="1051" xr:uid="{D7C88D0E-0515-4EDC-863B-49EA9372D9B2}"/>
    <cellStyle name="Comma 2 3 3 2 2 2 2 2" xfId="2135" xr:uid="{A132BA5D-1F79-493D-9E98-695CE0206F71}"/>
    <cellStyle name="Comma 2 3 3 2 2 2 2 2 2" xfId="4303" xr:uid="{A80E912F-0D01-4EB0-96AE-DDB8E11CDD30}"/>
    <cellStyle name="Comma 2 3 3 2 2 2 2 2 2 2" xfId="8639" xr:uid="{41BC01C2-1273-4919-B48E-61FBEF49ACB3}"/>
    <cellStyle name="Comma 2 3 3 2 2 2 2 2 2 2 2" xfId="17311" xr:uid="{51FBC944-12CC-494E-8DCA-F57DDB81A0CB}"/>
    <cellStyle name="Comma 2 3 3 2 2 2 2 2 2 2 2 2" xfId="34655" xr:uid="{108FB308-FC4A-4062-A92E-83AE7B491522}"/>
    <cellStyle name="Comma 2 3 3 2 2 2 2 2 2 2 3" xfId="25983" xr:uid="{DBB3A6F4-2D75-4F5F-BC43-2701DDCF3893}"/>
    <cellStyle name="Comma 2 3 3 2 2 2 2 2 2 3" xfId="12975" xr:uid="{014BE3DF-3AE5-4CA1-8548-C70DC085881D}"/>
    <cellStyle name="Comma 2 3 3 2 2 2 2 2 2 3 2" xfId="30319" xr:uid="{0FFB8DB5-6436-427F-A3B1-07640F22E96D}"/>
    <cellStyle name="Comma 2 3 3 2 2 2 2 2 2 4" xfId="21647" xr:uid="{EF972B68-3C19-40FA-8489-0B9B2FC2C6CE}"/>
    <cellStyle name="Comma 2 3 3 2 2 2 2 2 3" xfId="6471" xr:uid="{3A54F286-625B-43AA-9538-0A84B5F717AD}"/>
    <cellStyle name="Comma 2 3 3 2 2 2 2 2 3 2" xfId="15143" xr:uid="{57E47A65-D2C9-4F5F-BC1B-0DA7908AA134}"/>
    <cellStyle name="Comma 2 3 3 2 2 2 2 2 3 2 2" xfId="32487" xr:uid="{E977A391-7DF2-4138-B4F0-D1E40D2D2DB5}"/>
    <cellStyle name="Comma 2 3 3 2 2 2 2 2 3 3" xfId="23815" xr:uid="{41577881-B07F-47F9-BD9B-CBD78B841981}"/>
    <cellStyle name="Comma 2 3 3 2 2 2 2 2 4" xfId="10807" xr:uid="{EB97C1FD-5DD6-4E85-BFA1-92BECA3C8FF0}"/>
    <cellStyle name="Comma 2 3 3 2 2 2 2 2 4 2" xfId="28151" xr:uid="{64084F18-9107-445B-A12C-6E7A2FEDFCC0}"/>
    <cellStyle name="Comma 2 3 3 2 2 2 2 2 5" xfId="19479" xr:uid="{F710F1B5-70F4-48E4-9E89-ECC8D32949CC}"/>
    <cellStyle name="Comma 2 3 3 2 2 2 2 3" xfId="3219" xr:uid="{87FFA1D7-1004-4724-B3B8-C4DBECE287A9}"/>
    <cellStyle name="Comma 2 3 3 2 2 2 2 3 2" xfId="7555" xr:uid="{B70090A3-A43A-4B2A-AD3E-6C84F361FA50}"/>
    <cellStyle name="Comma 2 3 3 2 2 2 2 3 2 2" xfId="16227" xr:uid="{E249C507-D887-43E7-8233-8442554F1BE9}"/>
    <cellStyle name="Comma 2 3 3 2 2 2 2 3 2 2 2" xfId="33571" xr:uid="{2FD1434B-0E2F-4C5A-AF78-3ECC5F0E511C}"/>
    <cellStyle name="Comma 2 3 3 2 2 2 2 3 2 3" xfId="24899" xr:uid="{7EA332B2-21E2-49AF-8DAC-B1EED7198CEB}"/>
    <cellStyle name="Comma 2 3 3 2 2 2 2 3 3" xfId="11891" xr:uid="{4D462791-6D8B-47DD-A802-8ECAA16A87F4}"/>
    <cellStyle name="Comma 2 3 3 2 2 2 2 3 3 2" xfId="29235" xr:uid="{22F51E4C-E8F6-4977-967B-EBAC4BB4640E}"/>
    <cellStyle name="Comma 2 3 3 2 2 2 2 3 4" xfId="20563" xr:uid="{DB244FC3-1D18-409E-8BAB-9AEA34BE4974}"/>
    <cellStyle name="Comma 2 3 3 2 2 2 2 4" xfId="5387" xr:uid="{54D50F19-EDD3-45AA-AEB5-B6F9B8FCE57F}"/>
    <cellStyle name="Comma 2 3 3 2 2 2 2 4 2" xfId="14059" xr:uid="{351CB8E7-A7D9-4B40-917A-E76381D11CDA}"/>
    <cellStyle name="Comma 2 3 3 2 2 2 2 4 2 2" xfId="31403" xr:uid="{027232CF-DA50-4B2E-BB21-668AB90BEB78}"/>
    <cellStyle name="Comma 2 3 3 2 2 2 2 4 3" xfId="22731" xr:uid="{B1BE0793-B6ED-4C04-86F4-565C6978CFCF}"/>
    <cellStyle name="Comma 2 3 3 2 2 2 2 5" xfId="9723" xr:uid="{F72439EE-1BC5-42FA-BA6B-49647E165047}"/>
    <cellStyle name="Comma 2 3 3 2 2 2 2 5 2" xfId="27067" xr:uid="{0EF5FCE7-38C1-489E-B589-B91809F2EC75}"/>
    <cellStyle name="Comma 2 3 3 2 2 2 2 6" xfId="18395" xr:uid="{CA3A73F0-2EDD-406F-99BF-A85490FED7C6}"/>
    <cellStyle name="Comma 2 3 3 2 2 2 3" xfId="1594" xr:uid="{42F9976E-2397-4234-A5C9-6EB5293EDD6C}"/>
    <cellStyle name="Comma 2 3 3 2 2 2 3 2" xfId="3762" xr:uid="{206D6AE3-6C31-4A2D-9B31-7BE752C95CB0}"/>
    <cellStyle name="Comma 2 3 3 2 2 2 3 2 2" xfId="8098" xr:uid="{CFFA8539-374A-493F-AC2E-46DF03686886}"/>
    <cellStyle name="Comma 2 3 3 2 2 2 3 2 2 2" xfId="16770" xr:uid="{0F9DC482-63BC-4D1B-BE35-D3DC1B31D392}"/>
    <cellStyle name="Comma 2 3 3 2 2 2 3 2 2 2 2" xfId="34114" xr:uid="{377BE1F1-03C4-4ED5-ACB9-3A8736D17252}"/>
    <cellStyle name="Comma 2 3 3 2 2 2 3 2 2 3" xfId="25442" xr:uid="{60302BF2-9F42-4613-B468-F3C922786311}"/>
    <cellStyle name="Comma 2 3 3 2 2 2 3 2 3" xfId="12434" xr:uid="{340D231C-6449-4911-9035-1FEB09B79345}"/>
    <cellStyle name="Comma 2 3 3 2 2 2 3 2 3 2" xfId="29778" xr:uid="{23091287-1615-497F-B34E-15FB8B729944}"/>
    <cellStyle name="Comma 2 3 3 2 2 2 3 2 4" xfId="21106" xr:uid="{5C40C21A-735D-4CAA-A514-482DE9D71BC6}"/>
    <cellStyle name="Comma 2 3 3 2 2 2 3 3" xfId="5930" xr:uid="{2929E022-73E5-4FF8-ADDE-E3E45C9440FC}"/>
    <cellStyle name="Comma 2 3 3 2 2 2 3 3 2" xfId="14602" xr:uid="{C3ED7E38-5F0B-43CF-B056-B10D9FB3DDC0}"/>
    <cellStyle name="Comma 2 3 3 2 2 2 3 3 2 2" xfId="31946" xr:uid="{2F9073DC-AB1F-4901-8C42-CDD4ED685910}"/>
    <cellStyle name="Comma 2 3 3 2 2 2 3 3 3" xfId="23274" xr:uid="{0A12F67F-0393-4A32-90E5-B61019C2F581}"/>
    <cellStyle name="Comma 2 3 3 2 2 2 3 4" xfId="10266" xr:uid="{B5D42AA8-DC20-4760-9773-A1588DA2E92D}"/>
    <cellStyle name="Comma 2 3 3 2 2 2 3 4 2" xfId="27610" xr:uid="{802965FE-99A3-4C1D-B899-C14D35A3E76E}"/>
    <cellStyle name="Comma 2 3 3 2 2 2 3 5" xfId="18938" xr:uid="{516CE8A9-B017-4DB2-B6D9-07D3B377AFE4}"/>
    <cellStyle name="Comma 2 3 3 2 2 2 4" xfId="2678" xr:uid="{81319580-8508-4BDF-B102-E36FF40A5960}"/>
    <cellStyle name="Comma 2 3 3 2 2 2 4 2" xfId="7014" xr:uid="{9F76A886-B209-4B7D-B939-D6624F84E21A}"/>
    <cellStyle name="Comma 2 3 3 2 2 2 4 2 2" xfId="15686" xr:uid="{4A8EA775-C2BA-4D5D-95CB-2B72FE3F2DD2}"/>
    <cellStyle name="Comma 2 3 3 2 2 2 4 2 2 2" xfId="33030" xr:uid="{7E1676FE-35D1-46EF-89AD-136E661040A0}"/>
    <cellStyle name="Comma 2 3 3 2 2 2 4 2 3" xfId="24358" xr:uid="{30A477F3-880C-42E5-9A13-5ED254006DAC}"/>
    <cellStyle name="Comma 2 3 3 2 2 2 4 3" xfId="11350" xr:uid="{F0F80BCC-DBEC-4648-996C-B6E4428128CE}"/>
    <cellStyle name="Comma 2 3 3 2 2 2 4 3 2" xfId="28694" xr:uid="{4A2338BD-B9BF-48CC-97A0-E98977111278}"/>
    <cellStyle name="Comma 2 3 3 2 2 2 4 4" xfId="20022" xr:uid="{91B8A9FB-B769-415B-8B8B-77117A84FD96}"/>
    <cellStyle name="Comma 2 3 3 2 2 2 5" xfId="4846" xr:uid="{2D61ED43-150A-491E-8DDA-211F39160B49}"/>
    <cellStyle name="Comma 2 3 3 2 2 2 5 2" xfId="13518" xr:uid="{AAA70C14-0980-4761-AD4B-D2FEBFD67436}"/>
    <cellStyle name="Comma 2 3 3 2 2 2 5 2 2" xfId="30862" xr:uid="{0F288F95-073A-46B7-8F59-A26004562993}"/>
    <cellStyle name="Comma 2 3 3 2 2 2 5 3" xfId="22190" xr:uid="{D39E1531-9EFB-4BBD-AE5A-535B27EBA373}"/>
    <cellStyle name="Comma 2 3 3 2 2 2 6" xfId="9182" xr:uid="{DF37A3FA-9885-4504-B54A-6176D1F38660}"/>
    <cellStyle name="Comma 2 3 3 2 2 2 6 2" xfId="26526" xr:uid="{19E1D8A7-65FA-42C6-BD7B-C13ECE127E41}"/>
    <cellStyle name="Comma 2 3 3 2 2 2 7" xfId="17854" xr:uid="{7FC53DA0-72F3-46A0-9673-DF6D65F15A42}"/>
    <cellStyle name="Comma 2 3 3 2 2 3" xfId="781" xr:uid="{D8ACBF9A-3DA9-4C34-AEBC-1729820BE171}"/>
    <cellStyle name="Comma 2 3 3 2 2 3 2" xfId="1865" xr:uid="{2A5CC60B-06B7-4B48-B3CE-53094A529E77}"/>
    <cellStyle name="Comma 2 3 3 2 2 3 2 2" xfId="4033" xr:uid="{BF509922-34D5-4931-A694-015E45FCCF85}"/>
    <cellStyle name="Comma 2 3 3 2 2 3 2 2 2" xfId="8369" xr:uid="{5379D43D-62A9-4C10-8BDF-8B87783B455A}"/>
    <cellStyle name="Comma 2 3 3 2 2 3 2 2 2 2" xfId="17041" xr:uid="{D6BF1099-C32D-45EF-89B2-5C9318934726}"/>
    <cellStyle name="Comma 2 3 3 2 2 3 2 2 2 2 2" xfId="34385" xr:uid="{E55948BA-6FAC-41E5-B5DB-590622275BB8}"/>
    <cellStyle name="Comma 2 3 3 2 2 3 2 2 2 3" xfId="25713" xr:uid="{00C1F601-12F0-4D67-9429-F436A33393E7}"/>
    <cellStyle name="Comma 2 3 3 2 2 3 2 2 3" xfId="12705" xr:uid="{ADDC9420-41DF-47B5-B009-A8717C8F4894}"/>
    <cellStyle name="Comma 2 3 3 2 2 3 2 2 3 2" xfId="30049" xr:uid="{1DFEEB09-551C-4DAA-89ED-D332B8BCDE19}"/>
    <cellStyle name="Comma 2 3 3 2 2 3 2 2 4" xfId="21377" xr:uid="{50AB25DE-0A60-4BBF-AF88-53E015105FA7}"/>
    <cellStyle name="Comma 2 3 3 2 2 3 2 3" xfId="6201" xr:uid="{68A9A65C-3E87-4BFB-B826-134FACDC5C35}"/>
    <cellStyle name="Comma 2 3 3 2 2 3 2 3 2" xfId="14873" xr:uid="{741CF7E4-5C57-4519-AD50-F533FB666EC2}"/>
    <cellStyle name="Comma 2 3 3 2 2 3 2 3 2 2" xfId="32217" xr:uid="{3F82DBC9-47E2-4FD0-BB0D-A188789B74CF}"/>
    <cellStyle name="Comma 2 3 3 2 2 3 2 3 3" xfId="23545" xr:uid="{35E2DA41-67CE-4DB0-BC86-310553B7BBE1}"/>
    <cellStyle name="Comma 2 3 3 2 2 3 2 4" xfId="10537" xr:uid="{7A505039-9F22-4C82-802E-24EDD6EEFC10}"/>
    <cellStyle name="Comma 2 3 3 2 2 3 2 4 2" xfId="27881" xr:uid="{42747D75-83F9-4D1D-91B9-4302A5C53A49}"/>
    <cellStyle name="Comma 2 3 3 2 2 3 2 5" xfId="19209" xr:uid="{E5460A18-DDE5-4ADA-9494-13AE135760AC}"/>
    <cellStyle name="Comma 2 3 3 2 2 3 3" xfId="2949" xr:uid="{7214A6CE-3FB1-42E3-8E7A-9E9C4B24B747}"/>
    <cellStyle name="Comma 2 3 3 2 2 3 3 2" xfId="7285" xr:uid="{EBD06B69-6693-4CA1-AED6-DB1851073F15}"/>
    <cellStyle name="Comma 2 3 3 2 2 3 3 2 2" xfId="15957" xr:uid="{9390A3CB-9359-4139-A36A-6FC9E93613C8}"/>
    <cellStyle name="Comma 2 3 3 2 2 3 3 2 2 2" xfId="33301" xr:uid="{3BBB5312-ED26-435D-962E-F44C0320C4EC}"/>
    <cellStyle name="Comma 2 3 3 2 2 3 3 2 3" xfId="24629" xr:uid="{F07FAD68-0D76-42C2-BD86-2240F554C70F}"/>
    <cellStyle name="Comma 2 3 3 2 2 3 3 3" xfId="11621" xr:uid="{1B71793A-BFB9-4326-8897-B81F322EFDBC}"/>
    <cellStyle name="Comma 2 3 3 2 2 3 3 3 2" xfId="28965" xr:uid="{300E7BDE-3CFE-4766-B954-AB7E6287C2B0}"/>
    <cellStyle name="Comma 2 3 3 2 2 3 3 4" xfId="20293" xr:uid="{5CF797C5-1708-4410-B8B4-964FF8DF2B0C}"/>
    <cellStyle name="Comma 2 3 3 2 2 3 4" xfId="5117" xr:uid="{65C36BD1-B891-4148-BFC1-68F6A67BB5D5}"/>
    <cellStyle name="Comma 2 3 3 2 2 3 4 2" xfId="13789" xr:uid="{5BE1F1D3-BA8B-4A4F-A2E2-8CB7A58CDC43}"/>
    <cellStyle name="Comma 2 3 3 2 2 3 4 2 2" xfId="31133" xr:uid="{D69F9900-9718-4499-9209-FD53836A0EDD}"/>
    <cellStyle name="Comma 2 3 3 2 2 3 4 3" xfId="22461" xr:uid="{579E78B7-3C33-4619-9452-DD40ECA5B9E5}"/>
    <cellStyle name="Comma 2 3 3 2 2 3 5" xfId="9453" xr:uid="{D59915AD-8965-4C3E-B70C-371CFAD732F1}"/>
    <cellStyle name="Comma 2 3 3 2 2 3 5 2" xfId="26797" xr:uid="{62251B40-D3A9-48E1-972D-A89A0D229788}"/>
    <cellStyle name="Comma 2 3 3 2 2 3 6" xfId="18125" xr:uid="{5091B7B2-311D-4E6D-916D-F9C6089073A0}"/>
    <cellStyle name="Comma 2 3 3 2 2 4" xfId="1324" xr:uid="{798180B2-510D-4266-A7F9-E59600E0D29E}"/>
    <cellStyle name="Comma 2 3 3 2 2 4 2" xfId="3492" xr:uid="{15276794-621B-4DB6-8076-9B8E5188D0A1}"/>
    <cellStyle name="Comma 2 3 3 2 2 4 2 2" xfId="7828" xr:uid="{234FADF4-F052-4E94-B1F4-60D21CBECC9D}"/>
    <cellStyle name="Comma 2 3 3 2 2 4 2 2 2" xfId="16500" xr:uid="{5FFE4FE4-7C77-457E-8F59-804C99F06F19}"/>
    <cellStyle name="Comma 2 3 3 2 2 4 2 2 2 2" xfId="33844" xr:uid="{4EC56897-A772-4F43-BB0D-148EA7F51D3A}"/>
    <cellStyle name="Comma 2 3 3 2 2 4 2 2 3" xfId="25172" xr:uid="{B91A0061-FFD9-4FC1-8238-13AFBB14D004}"/>
    <cellStyle name="Comma 2 3 3 2 2 4 2 3" xfId="12164" xr:uid="{2A60169C-4A36-40BA-952D-3078374C3DEC}"/>
    <cellStyle name="Comma 2 3 3 2 2 4 2 3 2" xfId="29508" xr:uid="{C2830996-C792-45D5-8853-C4DE07C13650}"/>
    <cellStyle name="Comma 2 3 3 2 2 4 2 4" xfId="20836" xr:uid="{834B1A2F-92CB-46F5-8B5B-A33AC4406C28}"/>
    <cellStyle name="Comma 2 3 3 2 2 4 3" xfId="5660" xr:uid="{A6A79FFC-9391-4CCD-9AFC-29FC7D985D53}"/>
    <cellStyle name="Comma 2 3 3 2 2 4 3 2" xfId="14332" xr:uid="{D43EB6DB-357B-4E76-A353-97E482315BF0}"/>
    <cellStyle name="Comma 2 3 3 2 2 4 3 2 2" xfId="31676" xr:uid="{2792E618-8621-46BB-8AE3-2DB1E23091F9}"/>
    <cellStyle name="Comma 2 3 3 2 2 4 3 3" xfId="23004" xr:uid="{C42AFFE3-2199-456A-AF84-D2F90B7F7948}"/>
    <cellStyle name="Comma 2 3 3 2 2 4 4" xfId="9996" xr:uid="{07697BA2-2C3F-4D81-B5DD-88BD65B82658}"/>
    <cellStyle name="Comma 2 3 3 2 2 4 4 2" xfId="27340" xr:uid="{85E39218-D6EF-4453-87AA-BB6398C10A73}"/>
    <cellStyle name="Comma 2 3 3 2 2 4 5" xfId="18668" xr:uid="{0BFC6D4B-F8B2-4A75-8F6C-0D1136BC3FB2}"/>
    <cellStyle name="Comma 2 3 3 2 2 5" xfId="2408" xr:uid="{64F2730D-759D-46E5-A4AC-0328C10A6257}"/>
    <cellStyle name="Comma 2 3 3 2 2 5 2" xfId="6744" xr:uid="{B996C730-CFC6-4FEC-97EC-F2CFAC3BD837}"/>
    <cellStyle name="Comma 2 3 3 2 2 5 2 2" xfId="15416" xr:uid="{B6130C94-B34D-4B39-B237-EE3FD5852C89}"/>
    <cellStyle name="Comma 2 3 3 2 2 5 2 2 2" xfId="32760" xr:uid="{0687A289-3579-4335-82E8-59E1578D6583}"/>
    <cellStyle name="Comma 2 3 3 2 2 5 2 3" xfId="24088" xr:uid="{96821203-300C-4B5E-9640-635F1CFCF5C3}"/>
    <cellStyle name="Comma 2 3 3 2 2 5 3" xfId="11080" xr:uid="{FBBF6318-3684-4585-87FF-C8FB73C61FAD}"/>
    <cellStyle name="Comma 2 3 3 2 2 5 3 2" xfId="28424" xr:uid="{D7447C84-59DE-4E96-89BA-74B35155F1A5}"/>
    <cellStyle name="Comma 2 3 3 2 2 5 4" xfId="19752" xr:uid="{63444CAB-7DBE-4074-80BB-11694E88569F}"/>
    <cellStyle name="Comma 2 3 3 2 2 6" xfId="4576" xr:uid="{86741958-A0DA-4EE8-B983-9E96F9F2248C}"/>
    <cellStyle name="Comma 2 3 3 2 2 6 2" xfId="13248" xr:uid="{E4119E6F-B258-4AD8-8718-8CA56705FE5F}"/>
    <cellStyle name="Comma 2 3 3 2 2 6 2 2" xfId="30592" xr:uid="{71FF697A-A72E-4DEE-AC67-AB546B5E3C25}"/>
    <cellStyle name="Comma 2 3 3 2 2 6 3" xfId="21920" xr:uid="{4818EB78-12AE-45A5-B7CF-447AE84ECF13}"/>
    <cellStyle name="Comma 2 3 3 2 2 7" xfId="8912" xr:uid="{20171AB8-E95A-484D-A92B-1CCE2CA4DA55}"/>
    <cellStyle name="Comma 2 3 3 2 2 7 2" xfId="26256" xr:uid="{7062AA51-64C9-4D42-86E0-8DA8718E4803}"/>
    <cellStyle name="Comma 2 3 3 2 2 8" xfId="17584" xr:uid="{214BB7EA-E874-4DE9-BF49-5C5D6E8961AB}"/>
    <cellStyle name="Comma 2 3 3 2 3" xfId="388" xr:uid="{8BA73DEB-F310-4D47-A381-47894121C0D2}"/>
    <cellStyle name="Comma 2 3 3 2 3 2" xfId="929" xr:uid="{A4906752-A218-4AB2-BABA-035F18714241}"/>
    <cellStyle name="Comma 2 3 3 2 3 2 2" xfId="2013" xr:uid="{420C4E61-BD1D-4EB1-BF60-A72B6990A7C7}"/>
    <cellStyle name="Comma 2 3 3 2 3 2 2 2" xfId="4181" xr:uid="{1DC6FCA3-BADF-4B4B-882B-45B16F1D0EE0}"/>
    <cellStyle name="Comma 2 3 3 2 3 2 2 2 2" xfId="8517" xr:uid="{DE6C0A7F-2E11-4E7F-B09D-4FD7D58D1DCF}"/>
    <cellStyle name="Comma 2 3 3 2 3 2 2 2 2 2" xfId="17189" xr:uid="{07922A7D-B9CE-41B2-AFEF-530E6B1DE397}"/>
    <cellStyle name="Comma 2 3 3 2 3 2 2 2 2 2 2" xfId="34533" xr:uid="{63586D3F-4AE2-40D5-8FE0-8E1954FF8443}"/>
    <cellStyle name="Comma 2 3 3 2 3 2 2 2 2 3" xfId="25861" xr:uid="{30B9C78A-F80E-4B66-BD84-F203092D12DE}"/>
    <cellStyle name="Comma 2 3 3 2 3 2 2 2 3" xfId="12853" xr:uid="{F02B1975-8976-44BA-9B7F-111110A65CB4}"/>
    <cellStyle name="Comma 2 3 3 2 3 2 2 2 3 2" xfId="30197" xr:uid="{23D3973C-9976-4549-873E-9D7FFC1B6203}"/>
    <cellStyle name="Comma 2 3 3 2 3 2 2 2 4" xfId="21525" xr:uid="{186373DB-DA85-4242-B169-5030F01D3CA8}"/>
    <cellStyle name="Comma 2 3 3 2 3 2 2 3" xfId="6349" xr:uid="{509C1F2E-35BF-455A-B3C8-ACA745D93525}"/>
    <cellStyle name="Comma 2 3 3 2 3 2 2 3 2" xfId="15021" xr:uid="{A5059151-C346-4D8C-A7F4-48AE32137EF7}"/>
    <cellStyle name="Comma 2 3 3 2 3 2 2 3 2 2" xfId="32365" xr:uid="{50E1BF6D-7F52-4BC9-8DDB-BCB989800145}"/>
    <cellStyle name="Comma 2 3 3 2 3 2 2 3 3" xfId="23693" xr:uid="{06821202-AB82-41F7-A9D9-1FB2FB426BCA}"/>
    <cellStyle name="Comma 2 3 3 2 3 2 2 4" xfId="10685" xr:uid="{86037319-B564-49FB-A02C-0E100F7D96A9}"/>
    <cellStyle name="Comma 2 3 3 2 3 2 2 4 2" xfId="28029" xr:uid="{80803CB9-CCF4-4C66-8A0A-ECE3565F7282}"/>
    <cellStyle name="Comma 2 3 3 2 3 2 2 5" xfId="19357" xr:uid="{15CF382C-912B-4B3B-9A0E-C9DE7DFAA608}"/>
    <cellStyle name="Comma 2 3 3 2 3 2 3" xfId="3097" xr:uid="{935F64F3-1D88-4C94-8281-BD0C62A4D72B}"/>
    <cellStyle name="Comma 2 3 3 2 3 2 3 2" xfId="7433" xr:uid="{0957B792-FB48-43CD-979D-D74431CBE0BF}"/>
    <cellStyle name="Comma 2 3 3 2 3 2 3 2 2" xfId="16105" xr:uid="{DA3ACD99-4912-48A1-96D7-116B9B770522}"/>
    <cellStyle name="Comma 2 3 3 2 3 2 3 2 2 2" xfId="33449" xr:uid="{D73D2745-9CA0-42A5-83FC-1A11CB6144AF}"/>
    <cellStyle name="Comma 2 3 3 2 3 2 3 2 3" xfId="24777" xr:uid="{BF9EAFF5-71CA-4F84-9A1C-5EADF722C0EC}"/>
    <cellStyle name="Comma 2 3 3 2 3 2 3 3" xfId="11769" xr:uid="{0CE956D9-355C-40B7-9EA2-4D384AA410A2}"/>
    <cellStyle name="Comma 2 3 3 2 3 2 3 3 2" xfId="29113" xr:uid="{C698F983-CD08-48F2-BA79-0172F32A3305}"/>
    <cellStyle name="Comma 2 3 3 2 3 2 3 4" xfId="20441" xr:uid="{3CD41399-156A-47D1-8943-EEE896DE9026}"/>
    <cellStyle name="Comma 2 3 3 2 3 2 4" xfId="5265" xr:uid="{2414B907-FD19-4EC0-870C-F8F6B706F0A6}"/>
    <cellStyle name="Comma 2 3 3 2 3 2 4 2" xfId="13937" xr:uid="{0AA654E1-A1B1-40B4-9069-18C018ECF6A5}"/>
    <cellStyle name="Comma 2 3 3 2 3 2 4 2 2" xfId="31281" xr:uid="{4D22DB2D-F3CA-4AA9-AEC6-51EF1FB4752C}"/>
    <cellStyle name="Comma 2 3 3 2 3 2 4 3" xfId="22609" xr:uid="{89A9871B-A654-4899-A7E5-62C75411A2C4}"/>
    <cellStyle name="Comma 2 3 3 2 3 2 5" xfId="9601" xr:uid="{2778DC0F-9DAA-44E6-9A72-8BB478705A05}"/>
    <cellStyle name="Comma 2 3 3 2 3 2 5 2" xfId="26945" xr:uid="{D0310E09-ADEA-4522-AF51-BD75F1157D1F}"/>
    <cellStyle name="Comma 2 3 3 2 3 2 6" xfId="18273" xr:uid="{6AE58E96-8B3C-4C36-B0C7-7A6680A332AA}"/>
    <cellStyle name="Comma 2 3 3 2 3 3" xfId="1472" xr:uid="{13C6E749-760D-433D-B52B-46CC5BF0E8D1}"/>
    <cellStyle name="Comma 2 3 3 2 3 3 2" xfId="3640" xr:uid="{2814CACE-08EA-4E77-8321-85121E0AF104}"/>
    <cellStyle name="Comma 2 3 3 2 3 3 2 2" xfId="7976" xr:uid="{1E143AC0-36B9-410A-9FB6-3F61FB178FC9}"/>
    <cellStyle name="Comma 2 3 3 2 3 3 2 2 2" xfId="16648" xr:uid="{CAFF14DB-DC5B-47DA-A5EC-65DB5A96F8E1}"/>
    <cellStyle name="Comma 2 3 3 2 3 3 2 2 2 2" xfId="33992" xr:uid="{B7A8E43B-311E-4916-860F-481B6C9082E1}"/>
    <cellStyle name="Comma 2 3 3 2 3 3 2 2 3" xfId="25320" xr:uid="{46EA68D0-E4AE-4C56-A34F-F333617CEB1C}"/>
    <cellStyle name="Comma 2 3 3 2 3 3 2 3" xfId="12312" xr:uid="{D71FD398-0852-4CCE-B253-4158F5BB1F0B}"/>
    <cellStyle name="Comma 2 3 3 2 3 3 2 3 2" xfId="29656" xr:uid="{E72F4E57-E99F-42D5-A638-A6899978F851}"/>
    <cellStyle name="Comma 2 3 3 2 3 3 2 4" xfId="20984" xr:uid="{F71CBFB6-50F2-47C0-A627-D07B78B5AD7E}"/>
    <cellStyle name="Comma 2 3 3 2 3 3 3" xfId="5808" xr:uid="{E7380FDC-5EDC-44F8-9C25-2D92094559B4}"/>
    <cellStyle name="Comma 2 3 3 2 3 3 3 2" xfId="14480" xr:uid="{01E798B1-8955-4C01-A4EF-4E8FD51496AD}"/>
    <cellStyle name="Comma 2 3 3 2 3 3 3 2 2" xfId="31824" xr:uid="{2C469777-1C87-48CF-9970-4862D2270A94}"/>
    <cellStyle name="Comma 2 3 3 2 3 3 3 3" xfId="23152" xr:uid="{450D3E8B-223C-4965-AA3F-9A8B9E975453}"/>
    <cellStyle name="Comma 2 3 3 2 3 3 4" xfId="10144" xr:uid="{BF1BFE55-2F72-462F-BC8E-E75467DCC006}"/>
    <cellStyle name="Comma 2 3 3 2 3 3 4 2" xfId="27488" xr:uid="{E77ED6C6-506B-40E9-8A5C-ADF6202FB5AB}"/>
    <cellStyle name="Comma 2 3 3 2 3 3 5" xfId="18816" xr:uid="{237FEE7A-0316-4616-A34C-B1BD8EBC820E}"/>
    <cellStyle name="Comma 2 3 3 2 3 4" xfId="2556" xr:uid="{9DE76EE8-08C4-458A-9F1E-495307FE7B32}"/>
    <cellStyle name="Comma 2 3 3 2 3 4 2" xfId="6892" xr:uid="{D2976FE0-45DD-4589-8703-789CF1269BAC}"/>
    <cellStyle name="Comma 2 3 3 2 3 4 2 2" xfId="15564" xr:uid="{96856BE3-CA59-49D7-B281-8BB559839213}"/>
    <cellStyle name="Comma 2 3 3 2 3 4 2 2 2" xfId="32908" xr:uid="{A963750E-852D-40CE-964C-F7D286476B88}"/>
    <cellStyle name="Comma 2 3 3 2 3 4 2 3" xfId="24236" xr:uid="{D01846D7-A662-4504-AA08-270FA379D206}"/>
    <cellStyle name="Comma 2 3 3 2 3 4 3" xfId="11228" xr:uid="{0C4EC12C-2494-4030-A49D-9B101B4688B0}"/>
    <cellStyle name="Comma 2 3 3 2 3 4 3 2" xfId="28572" xr:uid="{93932B61-87D3-4026-B67D-CD8BFD8BE51C}"/>
    <cellStyle name="Comma 2 3 3 2 3 4 4" xfId="19900" xr:uid="{669D38F7-E39A-4756-AAC7-C168C16DAC24}"/>
    <cellStyle name="Comma 2 3 3 2 3 5" xfId="4724" xr:uid="{C0B02923-2E79-431E-9CAA-CABDDED0D5C7}"/>
    <cellStyle name="Comma 2 3 3 2 3 5 2" xfId="13396" xr:uid="{394B4433-9522-4A5A-81B1-CBEEEB3C109B}"/>
    <cellStyle name="Comma 2 3 3 2 3 5 2 2" xfId="30740" xr:uid="{99EFB9D8-E3EF-444D-96B1-D56AD3F7FAA7}"/>
    <cellStyle name="Comma 2 3 3 2 3 5 3" xfId="22068" xr:uid="{CE4EA967-B07D-4137-97DC-912CC8DC72FB}"/>
    <cellStyle name="Comma 2 3 3 2 3 6" xfId="9060" xr:uid="{86FE1849-B339-477C-AB83-769097955079}"/>
    <cellStyle name="Comma 2 3 3 2 3 6 2" xfId="26404" xr:uid="{AEB5A2E1-DB20-4EB8-96B1-D2A17D1F2DBD}"/>
    <cellStyle name="Comma 2 3 3 2 3 7" xfId="17732" xr:uid="{D39E3E15-F171-42CB-9BC3-9B00C93DE3A9}"/>
    <cellStyle name="Comma 2 3 3 2 4" xfId="659" xr:uid="{C243A95B-B62C-4A61-BA5B-E0EFE55B9EA9}"/>
    <cellStyle name="Comma 2 3 3 2 4 2" xfId="1743" xr:uid="{022FBA45-B628-4D9B-BFE7-3DE56EBB34DF}"/>
    <cellStyle name="Comma 2 3 3 2 4 2 2" xfId="3911" xr:uid="{C8465589-557E-4053-A74C-D4126148BD1F}"/>
    <cellStyle name="Comma 2 3 3 2 4 2 2 2" xfId="8247" xr:uid="{808D0260-A3D2-446C-A274-D1B6A5E03071}"/>
    <cellStyle name="Comma 2 3 3 2 4 2 2 2 2" xfId="16919" xr:uid="{F52B8634-F255-4548-9A61-6939ED63069A}"/>
    <cellStyle name="Comma 2 3 3 2 4 2 2 2 2 2" xfId="34263" xr:uid="{D6AC4EFC-AD3A-4767-B7FD-D14303F3AB46}"/>
    <cellStyle name="Comma 2 3 3 2 4 2 2 2 3" xfId="25591" xr:uid="{7E16972F-EE1B-4864-B108-F2798ECDC1F1}"/>
    <cellStyle name="Comma 2 3 3 2 4 2 2 3" xfId="12583" xr:uid="{F34E0DFF-460E-4B80-8DAF-544A56D6E912}"/>
    <cellStyle name="Comma 2 3 3 2 4 2 2 3 2" xfId="29927" xr:uid="{46AD6B03-D4FC-4151-B938-D908B3CE1B4D}"/>
    <cellStyle name="Comma 2 3 3 2 4 2 2 4" xfId="21255" xr:uid="{DD630D2D-E54F-4B4D-9A87-C1288966D157}"/>
    <cellStyle name="Comma 2 3 3 2 4 2 3" xfId="6079" xr:uid="{09DBFD51-2E2C-414F-8924-A1248C60C5D1}"/>
    <cellStyle name="Comma 2 3 3 2 4 2 3 2" xfId="14751" xr:uid="{0F14E32D-54B4-4F57-A819-F41DB0BB131E}"/>
    <cellStyle name="Comma 2 3 3 2 4 2 3 2 2" xfId="32095" xr:uid="{BAD11326-CB01-4411-9622-8643855EFD24}"/>
    <cellStyle name="Comma 2 3 3 2 4 2 3 3" xfId="23423" xr:uid="{3E0A3084-70F6-4815-B401-23221DFFFFEF}"/>
    <cellStyle name="Comma 2 3 3 2 4 2 4" xfId="10415" xr:uid="{353D76AD-5C02-433A-84F4-53CE540D38F6}"/>
    <cellStyle name="Comma 2 3 3 2 4 2 4 2" xfId="27759" xr:uid="{AF0E256F-BB89-4153-8D7A-CA6CBCF45DEE}"/>
    <cellStyle name="Comma 2 3 3 2 4 2 5" xfId="19087" xr:uid="{A1B4B4EF-759A-4C8B-8A7D-672D760853E5}"/>
    <cellStyle name="Comma 2 3 3 2 4 3" xfId="2827" xr:uid="{9CF2FF58-B9DD-4DFA-AE72-0088701113E7}"/>
    <cellStyle name="Comma 2 3 3 2 4 3 2" xfId="7163" xr:uid="{D7E85B52-4CA2-4F2A-8301-A1205601A810}"/>
    <cellStyle name="Comma 2 3 3 2 4 3 2 2" xfId="15835" xr:uid="{B13720BD-5E10-419B-AC83-34BB43375AD8}"/>
    <cellStyle name="Comma 2 3 3 2 4 3 2 2 2" xfId="33179" xr:uid="{BF7060EE-FB1D-4A0B-9C4D-9A72B7DC1B1D}"/>
    <cellStyle name="Comma 2 3 3 2 4 3 2 3" xfId="24507" xr:uid="{58857083-5B86-47D0-B0BA-8A9423E35168}"/>
    <cellStyle name="Comma 2 3 3 2 4 3 3" xfId="11499" xr:uid="{7DDC6319-A143-46C7-AD27-D6DFAF5D0C6F}"/>
    <cellStyle name="Comma 2 3 3 2 4 3 3 2" xfId="28843" xr:uid="{9057C306-337F-49EC-924A-281FBCA8D4A1}"/>
    <cellStyle name="Comma 2 3 3 2 4 3 4" xfId="20171" xr:uid="{DEA82573-829B-4131-B76B-7B884361FD4B}"/>
    <cellStyle name="Comma 2 3 3 2 4 4" xfId="4995" xr:uid="{9F732831-0066-42DC-AB51-3A86D62DC59B}"/>
    <cellStyle name="Comma 2 3 3 2 4 4 2" xfId="13667" xr:uid="{8F75081F-4C3E-4F5B-B14C-9460721214FF}"/>
    <cellStyle name="Comma 2 3 3 2 4 4 2 2" xfId="31011" xr:uid="{C15FFA3C-1419-4D50-9548-1868E8FD11E5}"/>
    <cellStyle name="Comma 2 3 3 2 4 4 3" xfId="22339" xr:uid="{402A37B2-952E-4C88-B82D-BB0AF9DE90CC}"/>
    <cellStyle name="Comma 2 3 3 2 4 5" xfId="9331" xr:uid="{1804C22E-4E20-4306-8C79-F9CFA435D76A}"/>
    <cellStyle name="Comma 2 3 3 2 4 5 2" xfId="26675" xr:uid="{B2C99233-8922-48EA-B35B-AF500393FCA1}"/>
    <cellStyle name="Comma 2 3 3 2 4 6" xfId="18003" xr:uid="{C0862F54-ACFA-4924-A4BD-A8815AD061AF}"/>
    <cellStyle name="Comma 2 3 3 2 5" xfId="1202" xr:uid="{F147052B-7961-48DB-AC9A-1E494995F2CC}"/>
    <cellStyle name="Comma 2 3 3 2 5 2" xfId="3370" xr:uid="{BB951ED9-C92E-48D1-91B6-4BC581BF36B1}"/>
    <cellStyle name="Comma 2 3 3 2 5 2 2" xfId="7706" xr:uid="{7489D4C7-78F8-44A1-8ED2-8190C4008F66}"/>
    <cellStyle name="Comma 2 3 3 2 5 2 2 2" xfId="16378" xr:uid="{0A683E31-83A8-4323-9A52-B1B26DA9321A}"/>
    <cellStyle name="Comma 2 3 3 2 5 2 2 2 2" xfId="33722" xr:uid="{3EBDE046-9621-471C-B212-F29D0412BCF7}"/>
    <cellStyle name="Comma 2 3 3 2 5 2 2 3" xfId="25050" xr:uid="{86C8E6F6-9103-4A33-B229-7B5E9CACB184}"/>
    <cellStyle name="Comma 2 3 3 2 5 2 3" xfId="12042" xr:uid="{CF21A7F2-C8CA-429E-9EA5-4CE467DED9CB}"/>
    <cellStyle name="Comma 2 3 3 2 5 2 3 2" xfId="29386" xr:uid="{0B7DBEE7-BF8C-4F92-9557-90718A6F31AA}"/>
    <cellStyle name="Comma 2 3 3 2 5 2 4" xfId="20714" xr:uid="{71F187C3-25F3-40E1-8095-D28CA6E29135}"/>
    <cellStyle name="Comma 2 3 3 2 5 3" xfId="5538" xr:uid="{4BF8482F-2CF4-4236-8356-4E012C82A0D6}"/>
    <cellStyle name="Comma 2 3 3 2 5 3 2" xfId="14210" xr:uid="{409B5A51-1EDD-4C05-8303-6AFA883DCF1B}"/>
    <cellStyle name="Comma 2 3 3 2 5 3 2 2" xfId="31554" xr:uid="{27BBCC49-19FC-4398-A26A-045D9541B39D}"/>
    <cellStyle name="Comma 2 3 3 2 5 3 3" xfId="22882" xr:uid="{B2029060-F1CB-4923-B85D-08761B411B7E}"/>
    <cellStyle name="Comma 2 3 3 2 5 4" xfId="9874" xr:uid="{3147814C-70D0-435F-A56D-EB5C84826076}"/>
    <cellStyle name="Comma 2 3 3 2 5 4 2" xfId="27218" xr:uid="{8FA3402A-00BB-4C1D-AA1C-255927592D25}"/>
    <cellStyle name="Comma 2 3 3 2 5 5" xfId="18546" xr:uid="{2C80BE41-0DA2-4034-B4AC-34EAA0BEAC9F}"/>
    <cellStyle name="Comma 2 3 3 2 6" xfId="2286" xr:uid="{F90CDFE4-59CD-454F-AACA-07CD14A433A2}"/>
    <cellStyle name="Comma 2 3 3 2 6 2" xfId="6622" xr:uid="{76B1D04C-16B8-47C9-A84C-B1C0FE68A8C3}"/>
    <cellStyle name="Comma 2 3 3 2 6 2 2" xfId="15294" xr:uid="{45934126-4970-4E12-A9E2-79B0AC75CA17}"/>
    <cellStyle name="Comma 2 3 3 2 6 2 2 2" xfId="32638" xr:uid="{58C23DE1-A9A7-4020-A781-C2BBFB730C39}"/>
    <cellStyle name="Comma 2 3 3 2 6 2 3" xfId="23966" xr:uid="{162ADCD6-8EA7-48E6-9904-21A10FDA80C3}"/>
    <cellStyle name="Comma 2 3 3 2 6 3" xfId="10958" xr:uid="{CBA4589C-08D9-42F6-9328-FEBDB8EFFF1A}"/>
    <cellStyle name="Comma 2 3 3 2 6 3 2" xfId="28302" xr:uid="{40BA9089-4C06-42F9-AA1D-8C8AE458D4B6}"/>
    <cellStyle name="Comma 2 3 3 2 6 4" xfId="19630" xr:uid="{247EEBCC-8742-4E12-84A5-D880AA4BB868}"/>
    <cellStyle name="Comma 2 3 3 2 7" xfId="4454" xr:uid="{F12FB467-3FFD-4AA1-B4F0-E3FD14D497F7}"/>
    <cellStyle name="Comma 2 3 3 2 7 2" xfId="13126" xr:uid="{802CBF5A-FD05-4686-8FD5-4674290F6835}"/>
    <cellStyle name="Comma 2 3 3 2 7 2 2" xfId="30470" xr:uid="{5B2D12EF-5004-4F54-81D6-786580A68232}"/>
    <cellStyle name="Comma 2 3 3 2 7 3" xfId="21798" xr:uid="{C8A29FF4-BDCE-41B6-9483-0B45C2F9C949}"/>
    <cellStyle name="Comma 2 3 3 2 8" xfId="8790" xr:uid="{F539CC2C-4AA2-4572-82BE-3E5D704FCE17}"/>
    <cellStyle name="Comma 2 3 3 2 8 2" xfId="26134" xr:uid="{24D07BE7-B305-49E3-A616-8DBBAD1638EE}"/>
    <cellStyle name="Comma 2 3 3 2 9" xfId="17462" xr:uid="{6098C5A4-730F-45D5-8221-6F772C8590A3}"/>
    <cellStyle name="Comma 2 3 3 3" xfId="179" xr:uid="{43992127-2C5F-4066-90D7-E2F694470442}"/>
    <cellStyle name="Comma 2 3 3 3 2" xfId="449" xr:uid="{1D1BD590-32C8-461F-AA42-AB719294EB91}"/>
    <cellStyle name="Comma 2 3 3 3 2 2" xfId="990" xr:uid="{B5AB628B-E392-4B8C-B084-6B939DF94F74}"/>
    <cellStyle name="Comma 2 3 3 3 2 2 2" xfId="2074" xr:uid="{9D5F01D9-2ACE-4BFC-A417-066039CFE3C9}"/>
    <cellStyle name="Comma 2 3 3 3 2 2 2 2" xfId="4242" xr:uid="{BDD866AB-B9ED-4EA2-A683-518B6C04FF99}"/>
    <cellStyle name="Comma 2 3 3 3 2 2 2 2 2" xfId="8578" xr:uid="{C921CE89-96BB-4DCB-B36F-40A173A67873}"/>
    <cellStyle name="Comma 2 3 3 3 2 2 2 2 2 2" xfId="17250" xr:uid="{D49DE0F3-64CD-43A6-9D5F-EF0505621CAE}"/>
    <cellStyle name="Comma 2 3 3 3 2 2 2 2 2 2 2" xfId="34594" xr:uid="{4FC1CEC0-637E-4D03-A80E-09F39B024030}"/>
    <cellStyle name="Comma 2 3 3 3 2 2 2 2 2 3" xfId="25922" xr:uid="{F365F680-5BC0-4229-A74C-49CA04C1A2AE}"/>
    <cellStyle name="Comma 2 3 3 3 2 2 2 2 3" xfId="12914" xr:uid="{E7BB4032-E87D-40ED-B715-480F24D67B53}"/>
    <cellStyle name="Comma 2 3 3 3 2 2 2 2 3 2" xfId="30258" xr:uid="{9C07BDB6-A697-4B70-A505-FD8F1CA95159}"/>
    <cellStyle name="Comma 2 3 3 3 2 2 2 2 4" xfId="21586" xr:uid="{D8FA6846-536C-4283-9718-F30E3B052C2A}"/>
    <cellStyle name="Comma 2 3 3 3 2 2 2 3" xfId="6410" xr:uid="{A1BEBCF9-4A5F-4F55-941D-A755FAD7401B}"/>
    <cellStyle name="Comma 2 3 3 3 2 2 2 3 2" xfId="15082" xr:uid="{404C8CCE-2CEB-46E2-86E2-25685ECC8054}"/>
    <cellStyle name="Comma 2 3 3 3 2 2 2 3 2 2" xfId="32426" xr:uid="{7D059D2B-43CE-42F5-B6CC-FBA122E8A3D4}"/>
    <cellStyle name="Comma 2 3 3 3 2 2 2 3 3" xfId="23754" xr:uid="{913E1958-F289-4B1F-85F5-ACB697A0812F}"/>
    <cellStyle name="Comma 2 3 3 3 2 2 2 4" xfId="10746" xr:uid="{55C502FD-64E3-4567-86FD-005590E9E55A}"/>
    <cellStyle name="Comma 2 3 3 3 2 2 2 4 2" xfId="28090" xr:uid="{76688D1A-4928-4914-AEAE-78243E577596}"/>
    <cellStyle name="Comma 2 3 3 3 2 2 2 5" xfId="19418" xr:uid="{963E20BA-6ED2-49A9-9A5A-AF7BDFA2599D}"/>
    <cellStyle name="Comma 2 3 3 3 2 2 3" xfId="3158" xr:uid="{9DFEF6AD-C666-404F-BD7F-0C33FC7EA2B7}"/>
    <cellStyle name="Comma 2 3 3 3 2 2 3 2" xfId="7494" xr:uid="{D990D1D1-69DB-4671-B560-8A463EBB7C1A}"/>
    <cellStyle name="Comma 2 3 3 3 2 2 3 2 2" xfId="16166" xr:uid="{FB0ACAFD-EF46-4CE7-A277-6D23BCA76275}"/>
    <cellStyle name="Comma 2 3 3 3 2 2 3 2 2 2" xfId="33510" xr:uid="{65B2BC70-0303-4A66-9211-36E8F136B717}"/>
    <cellStyle name="Comma 2 3 3 3 2 2 3 2 3" xfId="24838" xr:uid="{0734528C-C6FE-47AB-82E3-D4A04818D884}"/>
    <cellStyle name="Comma 2 3 3 3 2 2 3 3" xfId="11830" xr:uid="{5E3CCEA5-EC23-4DBE-8E81-3A5A22F2B517}"/>
    <cellStyle name="Comma 2 3 3 3 2 2 3 3 2" xfId="29174" xr:uid="{0465AC7E-B48F-4A9D-B832-73E6FFF618B4}"/>
    <cellStyle name="Comma 2 3 3 3 2 2 3 4" xfId="20502" xr:uid="{9497ED6E-FCEB-4289-B375-EDABC544A7B8}"/>
    <cellStyle name="Comma 2 3 3 3 2 2 4" xfId="5326" xr:uid="{A53050F0-5A31-48A5-BA82-470411DEA67B}"/>
    <cellStyle name="Comma 2 3 3 3 2 2 4 2" xfId="13998" xr:uid="{AB7E3FA1-2853-4A21-842E-9ED9D46DF4BB}"/>
    <cellStyle name="Comma 2 3 3 3 2 2 4 2 2" xfId="31342" xr:uid="{B31203D6-6EAB-43C2-A524-6DC8F4C0D474}"/>
    <cellStyle name="Comma 2 3 3 3 2 2 4 3" xfId="22670" xr:uid="{D26A47C6-9040-40A0-9401-4625B7002EC0}"/>
    <cellStyle name="Comma 2 3 3 3 2 2 5" xfId="9662" xr:uid="{89924E9D-EA97-4237-8239-DAAD4DBCACA0}"/>
    <cellStyle name="Comma 2 3 3 3 2 2 5 2" xfId="27006" xr:uid="{08BDF0E1-D201-4068-965E-2A6AA8D7F89F}"/>
    <cellStyle name="Comma 2 3 3 3 2 2 6" xfId="18334" xr:uid="{3A9A7BB4-2E82-495A-81EC-16FE6E4CF33A}"/>
    <cellStyle name="Comma 2 3 3 3 2 3" xfId="1533" xr:uid="{0D10003A-F0FB-4A20-84DB-7F3A32DCDD3F}"/>
    <cellStyle name="Comma 2 3 3 3 2 3 2" xfId="3701" xr:uid="{8FF7E58A-C395-4BCB-9D60-D5E7F4685820}"/>
    <cellStyle name="Comma 2 3 3 3 2 3 2 2" xfId="8037" xr:uid="{1929BF76-93F8-45D2-92EC-896908D08A5D}"/>
    <cellStyle name="Comma 2 3 3 3 2 3 2 2 2" xfId="16709" xr:uid="{A8399F5B-3C02-4C3A-8910-450AB556EDE4}"/>
    <cellStyle name="Comma 2 3 3 3 2 3 2 2 2 2" xfId="34053" xr:uid="{491757B3-B31B-4156-AD6F-2327478F37D7}"/>
    <cellStyle name="Comma 2 3 3 3 2 3 2 2 3" xfId="25381" xr:uid="{31BF615E-BA34-4965-992A-899C4C8A0567}"/>
    <cellStyle name="Comma 2 3 3 3 2 3 2 3" xfId="12373" xr:uid="{E7FB2483-9D3A-468C-A778-A4244A3FF5C3}"/>
    <cellStyle name="Comma 2 3 3 3 2 3 2 3 2" xfId="29717" xr:uid="{78DEC0B2-5549-4727-92F3-A8D6DD8B6293}"/>
    <cellStyle name="Comma 2 3 3 3 2 3 2 4" xfId="21045" xr:uid="{FD011CD2-AC5F-4C85-9A16-1E52DB9DCCCC}"/>
    <cellStyle name="Comma 2 3 3 3 2 3 3" xfId="5869" xr:uid="{A6AF3F92-DA72-4F3E-94AB-EF42DC1F6059}"/>
    <cellStyle name="Comma 2 3 3 3 2 3 3 2" xfId="14541" xr:uid="{979723A1-5569-4700-AD19-D419376257B3}"/>
    <cellStyle name="Comma 2 3 3 3 2 3 3 2 2" xfId="31885" xr:uid="{63E6EF1B-BB29-477D-89C3-30DBC4F6541B}"/>
    <cellStyle name="Comma 2 3 3 3 2 3 3 3" xfId="23213" xr:uid="{81C2A70A-3289-4314-845C-1A1BF6CEDF59}"/>
    <cellStyle name="Comma 2 3 3 3 2 3 4" xfId="10205" xr:uid="{F0463C20-C2EB-428B-865F-1797B5F675C2}"/>
    <cellStyle name="Comma 2 3 3 3 2 3 4 2" xfId="27549" xr:uid="{57DE3469-26BD-44D6-A976-67049CEBC220}"/>
    <cellStyle name="Comma 2 3 3 3 2 3 5" xfId="18877" xr:uid="{A03F43EB-2FC8-4652-B1ED-1E4BC7436326}"/>
    <cellStyle name="Comma 2 3 3 3 2 4" xfId="2617" xr:uid="{CA570594-0C25-431C-B608-CB15AA005542}"/>
    <cellStyle name="Comma 2 3 3 3 2 4 2" xfId="6953" xr:uid="{90E3D943-4288-4E75-B246-3A66BEFCAD97}"/>
    <cellStyle name="Comma 2 3 3 3 2 4 2 2" xfId="15625" xr:uid="{E17BCE6B-DE1D-44B8-8D6A-982B607BA705}"/>
    <cellStyle name="Comma 2 3 3 3 2 4 2 2 2" xfId="32969" xr:uid="{AC0A0BF4-FC23-43E3-BEA1-3F8DD62718B2}"/>
    <cellStyle name="Comma 2 3 3 3 2 4 2 3" xfId="24297" xr:uid="{FD051BAF-A953-4519-B8A5-EDB5DB84305C}"/>
    <cellStyle name="Comma 2 3 3 3 2 4 3" xfId="11289" xr:uid="{E994D51A-EABF-4DBD-B141-F1C8AD2A871B}"/>
    <cellStyle name="Comma 2 3 3 3 2 4 3 2" xfId="28633" xr:uid="{59BBE56C-40BE-40A9-9760-60632A95D524}"/>
    <cellStyle name="Comma 2 3 3 3 2 4 4" xfId="19961" xr:uid="{DC589A2E-FFED-4CA7-AAC2-3326838CAAAB}"/>
    <cellStyle name="Comma 2 3 3 3 2 5" xfId="4785" xr:uid="{007A853F-59ED-4823-A118-28CFE178B61F}"/>
    <cellStyle name="Comma 2 3 3 3 2 5 2" xfId="13457" xr:uid="{FD75DBFC-12C1-4EF6-BCF5-A38576EB8A6F}"/>
    <cellStyle name="Comma 2 3 3 3 2 5 2 2" xfId="30801" xr:uid="{342DDFDF-E336-4507-9F80-78E687A31BA0}"/>
    <cellStyle name="Comma 2 3 3 3 2 5 3" xfId="22129" xr:uid="{375E66D1-9E1E-4B58-88ED-DF998A1FBA40}"/>
    <cellStyle name="Comma 2 3 3 3 2 6" xfId="9121" xr:uid="{C07C7EC5-2966-4E43-8BCE-B1E906B0C0CC}"/>
    <cellStyle name="Comma 2 3 3 3 2 6 2" xfId="26465" xr:uid="{9E41AB1D-DC9D-49A9-AC8A-28650125B40B}"/>
    <cellStyle name="Comma 2 3 3 3 2 7" xfId="17793" xr:uid="{EC38F64D-BCF6-4DCE-9826-FE91403A47C9}"/>
    <cellStyle name="Comma 2 3 3 3 3" xfId="720" xr:uid="{45AEC838-074B-4E9C-8264-A5E5953C3F8D}"/>
    <cellStyle name="Comma 2 3 3 3 3 2" xfId="1804" xr:uid="{DB584975-6763-43AC-BAA4-2E44B7EE0504}"/>
    <cellStyle name="Comma 2 3 3 3 3 2 2" xfId="3972" xr:uid="{D321B127-2374-4C86-8C43-6F1EE52BE1FA}"/>
    <cellStyle name="Comma 2 3 3 3 3 2 2 2" xfId="8308" xr:uid="{8AD3ED68-7199-4AEF-ABEA-AB66E7A9F8FE}"/>
    <cellStyle name="Comma 2 3 3 3 3 2 2 2 2" xfId="16980" xr:uid="{E6A9ECE3-7169-4FB5-AB3A-470F03999947}"/>
    <cellStyle name="Comma 2 3 3 3 3 2 2 2 2 2" xfId="34324" xr:uid="{26234813-C416-4AA1-B34D-EDF1F1859059}"/>
    <cellStyle name="Comma 2 3 3 3 3 2 2 2 3" xfId="25652" xr:uid="{78D08095-8C5D-48E1-A598-B009D3252BC9}"/>
    <cellStyle name="Comma 2 3 3 3 3 2 2 3" xfId="12644" xr:uid="{66ED2CA3-9847-463A-8E06-8A5744D93255}"/>
    <cellStyle name="Comma 2 3 3 3 3 2 2 3 2" xfId="29988" xr:uid="{95F0AACA-F4FB-419F-B2BC-EBA3878A2401}"/>
    <cellStyle name="Comma 2 3 3 3 3 2 2 4" xfId="21316" xr:uid="{846CDA0A-84AE-4754-A68E-2F246A091838}"/>
    <cellStyle name="Comma 2 3 3 3 3 2 3" xfId="6140" xr:uid="{660EE45B-C84D-4482-8454-E4CC21BB9CF0}"/>
    <cellStyle name="Comma 2 3 3 3 3 2 3 2" xfId="14812" xr:uid="{1564ED9E-E0D9-4286-986B-335BA98DFBDB}"/>
    <cellStyle name="Comma 2 3 3 3 3 2 3 2 2" xfId="32156" xr:uid="{A00429E8-82E3-4B7B-8AC4-BAD35E4F3038}"/>
    <cellStyle name="Comma 2 3 3 3 3 2 3 3" xfId="23484" xr:uid="{2653D92C-8FFC-4CD7-9FCF-53712E2707B6}"/>
    <cellStyle name="Comma 2 3 3 3 3 2 4" xfId="10476" xr:uid="{259BB6D4-F50D-496A-AF72-44D11314FB65}"/>
    <cellStyle name="Comma 2 3 3 3 3 2 4 2" xfId="27820" xr:uid="{893781BA-D515-4C4D-83EB-543485B85F24}"/>
    <cellStyle name="Comma 2 3 3 3 3 2 5" xfId="19148" xr:uid="{23EC073C-5C48-4A03-BE83-DC9B8CEB92EA}"/>
    <cellStyle name="Comma 2 3 3 3 3 3" xfId="2888" xr:uid="{84321D38-0C6D-4C40-BB21-39BDD668AD31}"/>
    <cellStyle name="Comma 2 3 3 3 3 3 2" xfId="7224" xr:uid="{437FED57-64D3-4C6C-82CD-E7B17B0B92F6}"/>
    <cellStyle name="Comma 2 3 3 3 3 3 2 2" xfId="15896" xr:uid="{1A9957AF-CD71-4F2A-8F7C-0519B173D801}"/>
    <cellStyle name="Comma 2 3 3 3 3 3 2 2 2" xfId="33240" xr:uid="{BCEA2FEA-3E0F-42B0-AB56-7CE106B6911F}"/>
    <cellStyle name="Comma 2 3 3 3 3 3 2 3" xfId="24568" xr:uid="{040400E7-A77F-4491-B2C6-E6238CEF0B4C}"/>
    <cellStyle name="Comma 2 3 3 3 3 3 3" xfId="11560" xr:uid="{17ADBCAC-F035-407C-B5FB-77236F3F0B2C}"/>
    <cellStyle name="Comma 2 3 3 3 3 3 3 2" xfId="28904" xr:uid="{68087A0E-2BA5-4A5C-88DC-171516E1D397}"/>
    <cellStyle name="Comma 2 3 3 3 3 3 4" xfId="20232" xr:uid="{AFC2E753-2B99-4971-9ABA-A873A7BFD108}"/>
    <cellStyle name="Comma 2 3 3 3 3 4" xfId="5056" xr:uid="{DE3AE199-5874-458C-A4F8-1D2EDDB6EE63}"/>
    <cellStyle name="Comma 2 3 3 3 3 4 2" xfId="13728" xr:uid="{2B8CB01B-15F1-47C3-AE67-818A173D77E0}"/>
    <cellStyle name="Comma 2 3 3 3 3 4 2 2" xfId="31072" xr:uid="{7DB1A993-309B-4CD7-B8D2-DC29AA5EE7C9}"/>
    <cellStyle name="Comma 2 3 3 3 3 4 3" xfId="22400" xr:uid="{91E62D92-8799-4DDA-9AA8-47A104C18ED0}"/>
    <cellStyle name="Comma 2 3 3 3 3 5" xfId="9392" xr:uid="{733641FC-FFCC-49BD-BBFA-C8DF48507755}"/>
    <cellStyle name="Comma 2 3 3 3 3 5 2" xfId="26736" xr:uid="{31FEF773-E2B7-4D6A-90A2-FE5A73539734}"/>
    <cellStyle name="Comma 2 3 3 3 3 6" xfId="18064" xr:uid="{4E381513-D3C0-4BE2-954A-167E45D6A368}"/>
    <cellStyle name="Comma 2 3 3 3 4" xfId="1263" xr:uid="{C8638B55-2F87-4E85-BE49-9345773B6ADE}"/>
    <cellStyle name="Comma 2 3 3 3 4 2" xfId="3431" xr:uid="{DE58224A-FAD0-46B7-B31C-5733FFF2F765}"/>
    <cellStyle name="Comma 2 3 3 3 4 2 2" xfId="7767" xr:uid="{609FB1D5-DBFE-4021-B5B5-AF5C809A8CBA}"/>
    <cellStyle name="Comma 2 3 3 3 4 2 2 2" xfId="16439" xr:uid="{846D6CF2-27CF-4471-8600-AE68F1B968A4}"/>
    <cellStyle name="Comma 2 3 3 3 4 2 2 2 2" xfId="33783" xr:uid="{CCAC9E4C-6391-4D0F-B2DC-58F6A7B1B2A7}"/>
    <cellStyle name="Comma 2 3 3 3 4 2 2 3" xfId="25111" xr:uid="{DD4D5018-B4C5-46F2-9E3E-644B9029F35B}"/>
    <cellStyle name="Comma 2 3 3 3 4 2 3" xfId="12103" xr:uid="{FC762C90-DE7D-4A92-8037-9BFAFAC1412F}"/>
    <cellStyle name="Comma 2 3 3 3 4 2 3 2" xfId="29447" xr:uid="{BBF2BCD3-9922-4750-A02C-6F743B6EDD66}"/>
    <cellStyle name="Comma 2 3 3 3 4 2 4" xfId="20775" xr:uid="{D65B2142-C450-4864-86AD-17B51D2AFFCA}"/>
    <cellStyle name="Comma 2 3 3 3 4 3" xfId="5599" xr:uid="{5D0E0851-7803-4A74-B733-58E6D7642D15}"/>
    <cellStyle name="Comma 2 3 3 3 4 3 2" xfId="14271" xr:uid="{453B022D-24B5-450B-8550-8E6C845D765C}"/>
    <cellStyle name="Comma 2 3 3 3 4 3 2 2" xfId="31615" xr:uid="{DEA5C7E0-6607-4084-8E5E-2A9A2B0AAA11}"/>
    <cellStyle name="Comma 2 3 3 3 4 3 3" xfId="22943" xr:uid="{38C3AB76-490E-4455-82C2-154AED048D1B}"/>
    <cellStyle name="Comma 2 3 3 3 4 4" xfId="9935" xr:uid="{46875B77-952B-4ED8-8F2F-DD8196CA931F}"/>
    <cellStyle name="Comma 2 3 3 3 4 4 2" xfId="27279" xr:uid="{0A48C116-B29B-453D-8C68-F31923C4BB15}"/>
    <cellStyle name="Comma 2 3 3 3 4 5" xfId="18607" xr:uid="{0A10C647-0303-4258-B8C5-E56FC4B6B81A}"/>
    <cellStyle name="Comma 2 3 3 3 5" xfId="2347" xr:uid="{2D18B916-FBBF-445C-8EE5-7EA585F5B35E}"/>
    <cellStyle name="Comma 2 3 3 3 5 2" xfId="6683" xr:uid="{C60B0388-D3EE-4551-B93E-7D62741450A5}"/>
    <cellStyle name="Comma 2 3 3 3 5 2 2" xfId="15355" xr:uid="{A7758E7C-2EE1-4011-9D79-E3944B00CFCB}"/>
    <cellStyle name="Comma 2 3 3 3 5 2 2 2" xfId="32699" xr:uid="{7127F87A-80F3-466F-BB50-1A509CB393A4}"/>
    <cellStyle name="Comma 2 3 3 3 5 2 3" xfId="24027" xr:uid="{12EE5FA3-8261-4654-A117-FFFA82FFC444}"/>
    <cellStyle name="Comma 2 3 3 3 5 3" xfId="11019" xr:uid="{C400E135-0E9F-4712-A79E-CFB3FEAD740C}"/>
    <cellStyle name="Comma 2 3 3 3 5 3 2" xfId="28363" xr:uid="{AA014D9D-108E-4364-8526-FFAFEAD6390E}"/>
    <cellStyle name="Comma 2 3 3 3 5 4" xfId="19691" xr:uid="{7E8EA92E-C7AF-4FD5-9827-10F1633C25F9}"/>
    <cellStyle name="Comma 2 3 3 3 6" xfId="4515" xr:uid="{E579C66B-077C-4C70-8EE3-532CF69F56C9}"/>
    <cellStyle name="Comma 2 3 3 3 6 2" xfId="13187" xr:uid="{D4189B6C-4DF3-483A-AC91-7CB1411E9960}"/>
    <cellStyle name="Comma 2 3 3 3 6 2 2" xfId="30531" xr:uid="{2C2C2546-A324-4261-A3F4-B4D6AA47ACB3}"/>
    <cellStyle name="Comma 2 3 3 3 6 3" xfId="21859" xr:uid="{3CC87C95-9E37-41CA-AB58-FE6154F26B3F}"/>
    <cellStyle name="Comma 2 3 3 3 7" xfId="8851" xr:uid="{F9FFEC83-EB57-45EE-8868-F0EDC425D7A7}"/>
    <cellStyle name="Comma 2 3 3 3 7 2" xfId="26195" xr:uid="{9D0EC1CF-7B6D-49B0-9A1A-2E58B8A2F961}"/>
    <cellStyle name="Comma 2 3 3 3 8" xfId="17523" xr:uid="{C399148A-AA6C-4651-881C-B9F0FB6A1229}"/>
    <cellStyle name="Comma 2 3 3 4" xfId="327" xr:uid="{E86FCA6D-A64C-4A6B-8D78-3E6EEEE5F0FA}"/>
    <cellStyle name="Comma 2 3 3 4 2" xfId="868" xr:uid="{B5B0AFF9-05DF-48FF-8076-A98AA8BC22E4}"/>
    <cellStyle name="Comma 2 3 3 4 2 2" xfId="1952" xr:uid="{5AB2C764-8CB3-4958-ABAB-00E985A4ECAC}"/>
    <cellStyle name="Comma 2 3 3 4 2 2 2" xfId="4120" xr:uid="{E1EAD41E-044D-4110-A4EA-667B10F326EC}"/>
    <cellStyle name="Comma 2 3 3 4 2 2 2 2" xfId="8456" xr:uid="{A8840B9B-B078-4615-A86B-A564924760D5}"/>
    <cellStyle name="Comma 2 3 3 4 2 2 2 2 2" xfId="17128" xr:uid="{2DB9EBFD-070E-4CE1-BA31-DBAFDD5085A9}"/>
    <cellStyle name="Comma 2 3 3 4 2 2 2 2 2 2" xfId="34472" xr:uid="{9FD8E5D6-C6FD-4FD2-BA5C-C978327B6139}"/>
    <cellStyle name="Comma 2 3 3 4 2 2 2 2 3" xfId="25800" xr:uid="{0E6AA507-C43D-4D3D-9E96-A9D273DBB3BD}"/>
    <cellStyle name="Comma 2 3 3 4 2 2 2 3" xfId="12792" xr:uid="{582A7BB7-F07B-490A-9BD7-0F2E558C5505}"/>
    <cellStyle name="Comma 2 3 3 4 2 2 2 3 2" xfId="30136" xr:uid="{3D38292C-8D16-463F-8DF6-552C339D4EA5}"/>
    <cellStyle name="Comma 2 3 3 4 2 2 2 4" xfId="21464" xr:uid="{95E1BABF-5876-45C7-966F-CE8DBA567D6D}"/>
    <cellStyle name="Comma 2 3 3 4 2 2 3" xfId="6288" xr:uid="{7FFF6FA2-F893-40D0-B99C-E0090AFCEBA0}"/>
    <cellStyle name="Comma 2 3 3 4 2 2 3 2" xfId="14960" xr:uid="{D2EF1076-5E06-4F43-93A0-BE7B173A3989}"/>
    <cellStyle name="Comma 2 3 3 4 2 2 3 2 2" xfId="32304" xr:uid="{AB2D3047-941C-4280-924D-49EF035382C4}"/>
    <cellStyle name="Comma 2 3 3 4 2 2 3 3" xfId="23632" xr:uid="{B7B9F551-8F09-452A-B82A-D9235B6F3A34}"/>
    <cellStyle name="Comma 2 3 3 4 2 2 4" xfId="10624" xr:uid="{505D2AC3-1E78-4059-B22C-6C688081138C}"/>
    <cellStyle name="Comma 2 3 3 4 2 2 4 2" xfId="27968" xr:uid="{AD2D2120-FEDD-448A-962C-326F52DD454A}"/>
    <cellStyle name="Comma 2 3 3 4 2 2 5" xfId="19296" xr:uid="{96E59F77-FFFD-4181-B715-0360ABC83E66}"/>
    <cellStyle name="Comma 2 3 3 4 2 3" xfId="3036" xr:uid="{324AE0B0-502E-498C-8301-231BA5FCEA42}"/>
    <cellStyle name="Comma 2 3 3 4 2 3 2" xfId="7372" xr:uid="{C0146A70-0703-4D90-9162-D2C1B633868D}"/>
    <cellStyle name="Comma 2 3 3 4 2 3 2 2" xfId="16044" xr:uid="{43624086-D1D3-4181-BA8F-3D8F2CE277A6}"/>
    <cellStyle name="Comma 2 3 3 4 2 3 2 2 2" xfId="33388" xr:uid="{15C10A6F-26AD-4B28-837E-F6DFA20DF724}"/>
    <cellStyle name="Comma 2 3 3 4 2 3 2 3" xfId="24716" xr:uid="{040B8612-5B45-45D5-88FC-F5210B61422D}"/>
    <cellStyle name="Comma 2 3 3 4 2 3 3" xfId="11708" xr:uid="{F2B2539D-6265-4EE2-BCE1-233EA4D614EE}"/>
    <cellStyle name="Comma 2 3 3 4 2 3 3 2" xfId="29052" xr:uid="{2DAE23C7-B701-4E28-9767-E9B2C832E6E5}"/>
    <cellStyle name="Comma 2 3 3 4 2 3 4" xfId="20380" xr:uid="{B3FD35EE-3207-4483-BFF3-6FCC85DE055E}"/>
    <cellStyle name="Comma 2 3 3 4 2 4" xfId="5204" xr:uid="{071EF44A-B60C-4379-9ACE-9974F9B93B5E}"/>
    <cellStyle name="Comma 2 3 3 4 2 4 2" xfId="13876" xr:uid="{143DBF48-D613-4FF5-A359-A0AF573D4D96}"/>
    <cellStyle name="Comma 2 3 3 4 2 4 2 2" xfId="31220" xr:uid="{9D4C66C9-4835-481A-889C-64490DB379C3}"/>
    <cellStyle name="Comma 2 3 3 4 2 4 3" xfId="22548" xr:uid="{80FADD82-AD5E-4BCF-8D3D-6D4702A74E23}"/>
    <cellStyle name="Comma 2 3 3 4 2 5" xfId="9540" xr:uid="{7BD2F203-BF85-40BC-93D1-62E4331E863F}"/>
    <cellStyle name="Comma 2 3 3 4 2 5 2" xfId="26884" xr:uid="{F4490950-EB97-44BB-9195-E1A99C2609B1}"/>
    <cellStyle name="Comma 2 3 3 4 2 6" xfId="18212" xr:uid="{FE56E684-D652-429C-93AE-8217905C044C}"/>
    <cellStyle name="Comma 2 3 3 4 3" xfId="1411" xr:uid="{0A814E58-EDB2-4928-B50B-BD7D7F7E9AFB}"/>
    <cellStyle name="Comma 2 3 3 4 3 2" xfId="3579" xr:uid="{11FBAFC6-DF0B-481E-9BF5-9280F7BB4135}"/>
    <cellStyle name="Comma 2 3 3 4 3 2 2" xfId="7915" xr:uid="{546052C8-13E2-450A-A173-585A34F0B4C7}"/>
    <cellStyle name="Comma 2 3 3 4 3 2 2 2" xfId="16587" xr:uid="{199DAC06-E8A1-463E-8F3C-FA64B3904433}"/>
    <cellStyle name="Comma 2 3 3 4 3 2 2 2 2" xfId="33931" xr:uid="{E73771C9-C6BD-4507-8639-49297D345621}"/>
    <cellStyle name="Comma 2 3 3 4 3 2 2 3" xfId="25259" xr:uid="{0A3A83A3-70AC-4A7A-B36C-421CD79EF337}"/>
    <cellStyle name="Comma 2 3 3 4 3 2 3" xfId="12251" xr:uid="{BE39996D-6193-470A-A6AA-E2F0F1ADBFD6}"/>
    <cellStyle name="Comma 2 3 3 4 3 2 3 2" xfId="29595" xr:uid="{7640262F-34F8-4848-BB09-ADFFD7965279}"/>
    <cellStyle name="Comma 2 3 3 4 3 2 4" xfId="20923" xr:uid="{ECF92FBE-4BC6-472B-A186-FEF2C0656FCA}"/>
    <cellStyle name="Comma 2 3 3 4 3 3" xfId="5747" xr:uid="{16A67404-EEE5-4555-8C2F-54F2F2A5FF34}"/>
    <cellStyle name="Comma 2 3 3 4 3 3 2" xfId="14419" xr:uid="{CA4F8FAB-2BEB-4B23-A9B7-BEACF5324FA8}"/>
    <cellStyle name="Comma 2 3 3 4 3 3 2 2" xfId="31763" xr:uid="{DBCF54E6-58E4-47E6-8AD8-6D726D13B90E}"/>
    <cellStyle name="Comma 2 3 3 4 3 3 3" xfId="23091" xr:uid="{BF55394B-93EE-46E4-BE3F-0FE43F4C1707}"/>
    <cellStyle name="Comma 2 3 3 4 3 4" xfId="10083" xr:uid="{A6B20DE3-9EBC-49CC-B486-9127D82DCE6A}"/>
    <cellStyle name="Comma 2 3 3 4 3 4 2" xfId="27427" xr:uid="{D4F70306-AC67-450F-9719-61CE667135F1}"/>
    <cellStyle name="Comma 2 3 3 4 3 5" xfId="18755" xr:uid="{04D8ED93-2518-45AC-AD22-A997B6E0E6CD}"/>
    <cellStyle name="Comma 2 3 3 4 4" xfId="2495" xr:uid="{708A2059-66C9-4551-AA20-4A3A10116954}"/>
    <cellStyle name="Comma 2 3 3 4 4 2" xfId="6831" xr:uid="{AF78C983-02FC-415E-8F4E-39601DCD843A}"/>
    <cellStyle name="Comma 2 3 3 4 4 2 2" xfId="15503" xr:uid="{60773ED6-F06D-450E-975C-2EC452FE3F62}"/>
    <cellStyle name="Comma 2 3 3 4 4 2 2 2" xfId="32847" xr:uid="{B8527B69-C2C1-4EA4-A32D-DC6F51C2DCFF}"/>
    <cellStyle name="Comma 2 3 3 4 4 2 3" xfId="24175" xr:uid="{AFD46B61-29E4-499D-9473-4FB7FE475767}"/>
    <cellStyle name="Comma 2 3 3 4 4 3" xfId="11167" xr:uid="{EC36C380-32A6-432D-87C4-94B58BE9D14A}"/>
    <cellStyle name="Comma 2 3 3 4 4 3 2" xfId="28511" xr:uid="{27B58FC1-52F6-455D-BA1C-8F5151A533B0}"/>
    <cellStyle name="Comma 2 3 3 4 4 4" xfId="19839" xr:uid="{34D315E9-249D-44E7-A3B4-829054BAE08D}"/>
    <cellStyle name="Comma 2 3 3 4 5" xfId="4663" xr:uid="{387409E5-8205-452C-BA6E-1A3A38EBDB97}"/>
    <cellStyle name="Comma 2 3 3 4 5 2" xfId="13335" xr:uid="{75141C5C-2549-42C7-9E6E-3D3A7F86B67C}"/>
    <cellStyle name="Comma 2 3 3 4 5 2 2" xfId="30679" xr:uid="{7E95F6A9-09B8-4923-A7A9-D94364226D6A}"/>
    <cellStyle name="Comma 2 3 3 4 5 3" xfId="22007" xr:uid="{FEB241C2-C828-4774-BE90-3488D7E83235}"/>
    <cellStyle name="Comma 2 3 3 4 6" xfId="8999" xr:uid="{F10A54A5-E2B7-4196-A80D-B51C07759EA7}"/>
    <cellStyle name="Comma 2 3 3 4 6 2" xfId="26343" xr:uid="{25F494BD-A8B0-4FD1-A972-27212ADDE5F8}"/>
    <cellStyle name="Comma 2 3 3 4 7" xfId="17671" xr:uid="{5F7F37A2-3883-4811-B25D-D9EE1481C0FA}"/>
    <cellStyle name="Comma 2 3 3 5" xfId="598" xr:uid="{0C963FFA-5326-43BE-9C84-26643A6D4868}"/>
    <cellStyle name="Comma 2 3 3 5 2" xfId="1682" xr:uid="{1B17562E-BC5A-483E-9139-38E217CD4F54}"/>
    <cellStyle name="Comma 2 3 3 5 2 2" xfId="3850" xr:uid="{2F8E4390-932E-47FE-9781-A40CE493B362}"/>
    <cellStyle name="Comma 2 3 3 5 2 2 2" xfId="8186" xr:uid="{A5D075D4-401F-43F7-8850-3A6B31662905}"/>
    <cellStyle name="Comma 2 3 3 5 2 2 2 2" xfId="16858" xr:uid="{1F80652E-9D7C-4180-A122-F40E4297629F}"/>
    <cellStyle name="Comma 2 3 3 5 2 2 2 2 2" xfId="34202" xr:uid="{7D9B7CF5-B747-4DF9-B6E0-BDBAC79A2D99}"/>
    <cellStyle name="Comma 2 3 3 5 2 2 2 3" xfId="25530" xr:uid="{5AB500DC-96AA-4746-84ED-B6D6824C71D8}"/>
    <cellStyle name="Comma 2 3 3 5 2 2 3" xfId="12522" xr:uid="{41B68EBA-42D2-4801-971B-B1036EE185DC}"/>
    <cellStyle name="Comma 2 3 3 5 2 2 3 2" xfId="29866" xr:uid="{596EE2EB-320D-4C91-AD27-728E322F1C17}"/>
    <cellStyle name="Comma 2 3 3 5 2 2 4" xfId="21194" xr:uid="{A7EBAC24-38C5-4650-A888-2052E8001018}"/>
    <cellStyle name="Comma 2 3 3 5 2 3" xfId="6018" xr:uid="{10D7D9B5-48D1-484C-B3F4-A680C1B7D1B6}"/>
    <cellStyle name="Comma 2 3 3 5 2 3 2" xfId="14690" xr:uid="{3310911F-C74D-4CEF-8CEE-7E999966E598}"/>
    <cellStyle name="Comma 2 3 3 5 2 3 2 2" xfId="32034" xr:uid="{FEC2F914-B263-416C-834B-0AFCBC0B994D}"/>
    <cellStyle name="Comma 2 3 3 5 2 3 3" xfId="23362" xr:uid="{A523093E-7887-413D-AB2B-86E2FCA00E83}"/>
    <cellStyle name="Comma 2 3 3 5 2 4" xfId="10354" xr:uid="{19AD2F20-3447-474B-8127-E1BDFE4FCC26}"/>
    <cellStyle name="Comma 2 3 3 5 2 4 2" xfId="27698" xr:uid="{7D398D29-4EAC-405A-82FC-29C3BC5AA725}"/>
    <cellStyle name="Comma 2 3 3 5 2 5" xfId="19026" xr:uid="{62F11A5B-2C70-49AD-918C-3056D3BF67E0}"/>
    <cellStyle name="Comma 2 3 3 5 3" xfId="2766" xr:uid="{1636BF92-A798-4DE5-A3D5-EDD6277A1257}"/>
    <cellStyle name="Comma 2 3 3 5 3 2" xfId="7102" xr:uid="{6FE336CB-BA47-4985-B0C7-74C76D60302D}"/>
    <cellStyle name="Comma 2 3 3 5 3 2 2" xfId="15774" xr:uid="{F54EAC97-9BD2-4760-A80B-4F8DFDE567DD}"/>
    <cellStyle name="Comma 2 3 3 5 3 2 2 2" xfId="33118" xr:uid="{81160537-64BA-4943-82D6-F0A553BA2D67}"/>
    <cellStyle name="Comma 2 3 3 5 3 2 3" xfId="24446" xr:uid="{3A23FC93-C902-4153-962E-6E8C43B96903}"/>
    <cellStyle name="Comma 2 3 3 5 3 3" xfId="11438" xr:uid="{CF17457D-3B15-4513-BF8C-B2EAB2DC54A2}"/>
    <cellStyle name="Comma 2 3 3 5 3 3 2" xfId="28782" xr:uid="{71050262-D88C-4218-81B0-96FFE1A9165D}"/>
    <cellStyle name="Comma 2 3 3 5 3 4" xfId="20110" xr:uid="{5EEF348B-BB68-4F2A-8C30-9D59EE35CBC8}"/>
    <cellStyle name="Comma 2 3 3 5 4" xfId="4934" xr:uid="{25EA4FF7-479E-4EAC-A3DA-3FDA8452AFFE}"/>
    <cellStyle name="Comma 2 3 3 5 4 2" xfId="13606" xr:uid="{3ADF66C8-87A3-4A26-BA69-46D4DA1C4816}"/>
    <cellStyle name="Comma 2 3 3 5 4 2 2" xfId="30950" xr:uid="{F691AA60-695C-445C-BF02-B65F3903C225}"/>
    <cellStyle name="Comma 2 3 3 5 4 3" xfId="22278" xr:uid="{FF6563FD-54B1-4DF1-8320-925D7E5BB33F}"/>
    <cellStyle name="Comma 2 3 3 5 5" xfId="9270" xr:uid="{D04D5292-4870-484F-BBFA-5E62A1D33777}"/>
    <cellStyle name="Comma 2 3 3 5 5 2" xfId="26614" xr:uid="{9660F80A-8587-4D5D-B9A2-105791FDCB55}"/>
    <cellStyle name="Comma 2 3 3 5 6" xfId="17942" xr:uid="{E5BBDE8B-45F0-481E-981E-D41A8324CDC3}"/>
    <cellStyle name="Comma 2 3 3 6" xfId="1141" xr:uid="{3DE73E9D-F71A-4064-AA08-2DE38D224129}"/>
    <cellStyle name="Comma 2 3 3 6 2" xfId="3309" xr:uid="{61026996-7F1C-49FF-AD8C-6816A5123391}"/>
    <cellStyle name="Comma 2 3 3 6 2 2" xfId="7645" xr:uid="{2E752B52-9692-4E86-A030-B175E1BA6813}"/>
    <cellStyle name="Comma 2 3 3 6 2 2 2" xfId="16317" xr:uid="{1D575597-85C5-4925-B7DB-1D44DCFE487B}"/>
    <cellStyle name="Comma 2 3 3 6 2 2 2 2" xfId="33661" xr:uid="{14A27C79-EDF8-4F8E-A61D-282514DF372E}"/>
    <cellStyle name="Comma 2 3 3 6 2 2 3" xfId="24989" xr:uid="{608A5B01-E117-43A1-9C89-777B2EEC27FE}"/>
    <cellStyle name="Comma 2 3 3 6 2 3" xfId="11981" xr:uid="{9203A7B5-4F85-4C72-B319-7088B605F2E1}"/>
    <cellStyle name="Comma 2 3 3 6 2 3 2" xfId="29325" xr:uid="{1BCE7B57-1E25-4B8A-AC72-82A9AF7E15F3}"/>
    <cellStyle name="Comma 2 3 3 6 2 4" xfId="20653" xr:uid="{21F03251-1DCA-49C1-8110-5AA8986411D8}"/>
    <cellStyle name="Comma 2 3 3 6 3" xfId="5477" xr:uid="{94239C8C-7FEE-4F1A-9A34-929E93C88C24}"/>
    <cellStyle name="Comma 2 3 3 6 3 2" xfId="14149" xr:uid="{4323E9E9-33AA-4DF6-BD6E-7752E2E0DF24}"/>
    <cellStyle name="Comma 2 3 3 6 3 2 2" xfId="31493" xr:uid="{1C00B713-B4F9-4247-8F47-349BAEA153E6}"/>
    <cellStyle name="Comma 2 3 3 6 3 3" xfId="22821" xr:uid="{C4890D71-650A-41CC-8850-F2269F0AE989}"/>
    <cellStyle name="Comma 2 3 3 6 4" xfId="9813" xr:uid="{2954F725-44CB-4936-A200-F44E31B44A2D}"/>
    <cellStyle name="Comma 2 3 3 6 4 2" xfId="27157" xr:uid="{CCFB0411-40CB-4418-BB94-86DA1F4B6867}"/>
    <cellStyle name="Comma 2 3 3 6 5" xfId="18485" xr:uid="{9EBC9D97-327B-4005-8945-D56261E4F78A}"/>
    <cellStyle name="Comma 2 3 3 7" xfId="2225" xr:uid="{1C02F475-79B5-4ABD-8389-1E02B46C57F1}"/>
    <cellStyle name="Comma 2 3 3 7 2" xfId="6561" xr:uid="{F9190206-1AAF-4929-88DA-E12757B2C3DF}"/>
    <cellStyle name="Comma 2 3 3 7 2 2" xfId="15233" xr:uid="{15F79B0A-1719-4583-BEA9-C144FB061E24}"/>
    <cellStyle name="Comma 2 3 3 7 2 2 2" xfId="32577" xr:uid="{E113F2A0-F237-46EA-8ECA-CD732B9FB154}"/>
    <cellStyle name="Comma 2 3 3 7 2 3" xfId="23905" xr:uid="{E164F4D1-A402-40F6-B869-89FAB6F68A70}"/>
    <cellStyle name="Comma 2 3 3 7 3" xfId="10897" xr:uid="{D35EBD3F-9BC9-4CA7-9C5D-CA4F6F2F08FC}"/>
    <cellStyle name="Comma 2 3 3 7 3 2" xfId="28241" xr:uid="{B10F799A-8042-4621-9864-B1AB8BBE198E}"/>
    <cellStyle name="Comma 2 3 3 7 4" xfId="19569" xr:uid="{1D7AA5B4-0919-4D7E-9DCC-D210E2D1BAB4}"/>
    <cellStyle name="Comma 2 3 3 8" xfId="4393" xr:uid="{F9483FB5-9BBB-4BF9-8611-4866EAE635A7}"/>
    <cellStyle name="Comma 2 3 3 8 2" xfId="13065" xr:uid="{8B2BC77E-47EE-45FF-B976-19D53C17F3DC}"/>
    <cellStyle name="Comma 2 3 3 8 2 2" xfId="30409" xr:uid="{65B5E9FC-4868-4FC7-9C2C-A10F5538B9CF}"/>
    <cellStyle name="Comma 2 3 3 8 3" xfId="21737" xr:uid="{B47BABEF-9A76-43EB-ABC4-79ABD4BDEDB9}"/>
    <cellStyle name="Comma 2 3 3 9" xfId="8729" xr:uid="{F863560B-9FD1-4981-9183-FCC5EF724AFE}"/>
    <cellStyle name="Comma 2 3 3 9 2" xfId="26073" xr:uid="{E9AF2AF6-5EA9-4612-9F35-9C51CC5B4334}"/>
    <cellStyle name="Comma 2 3 4" xfId="70" xr:uid="{348C2E84-B054-4035-B670-EEE24D76CF96}"/>
    <cellStyle name="Comma 2 3 4 2" xfId="192" xr:uid="{597F657C-4826-4117-BF24-B408EA8589AD}"/>
    <cellStyle name="Comma 2 3 4 2 2" xfId="462" xr:uid="{1CEE39FA-ABDE-4445-A19A-D445C26D51FF}"/>
    <cellStyle name="Comma 2 3 4 2 2 2" xfId="1003" xr:uid="{3AD00783-E9BF-4A4B-A15B-4295A9AE9FF5}"/>
    <cellStyle name="Comma 2 3 4 2 2 2 2" xfId="2087" xr:uid="{A528F10E-7EC5-4A64-BB98-69C57319871D}"/>
    <cellStyle name="Comma 2 3 4 2 2 2 2 2" xfId="4255" xr:uid="{DB6A73CE-3B5A-45D6-ADDF-778F714E956D}"/>
    <cellStyle name="Comma 2 3 4 2 2 2 2 2 2" xfId="8591" xr:uid="{A3277759-299B-4D4E-9B9B-E8E6FE692CD5}"/>
    <cellStyle name="Comma 2 3 4 2 2 2 2 2 2 2" xfId="17263" xr:uid="{FB1A569F-F623-4F7E-AF77-4C97780F8F6E}"/>
    <cellStyle name="Comma 2 3 4 2 2 2 2 2 2 2 2" xfId="34607" xr:uid="{ACB7E78F-E5F4-45EE-8DF3-F89D1409B612}"/>
    <cellStyle name="Comma 2 3 4 2 2 2 2 2 2 3" xfId="25935" xr:uid="{B59F9AB3-0D3C-491F-94E3-8D07B7CDBAD7}"/>
    <cellStyle name="Comma 2 3 4 2 2 2 2 2 3" xfId="12927" xr:uid="{54962A78-0AC4-4B03-9AC5-2CEFE0C05DE3}"/>
    <cellStyle name="Comma 2 3 4 2 2 2 2 2 3 2" xfId="30271" xr:uid="{C845F2B9-3E49-4D40-9E9B-00FC91438512}"/>
    <cellStyle name="Comma 2 3 4 2 2 2 2 2 4" xfId="21599" xr:uid="{B7AF530F-1651-4773-92FB-6426438DDA75}"/>
    <cellStyle name="Comma 2 3 4 2 2 2 2 3" xfId="6423" xr:uid="{D621D5E4-4606-4B67-9576-81D372AA5C07}"/>
    <cellStyle name="Comma 2 3 4 2 2 2 2 3 2" xfId="15095" xr:uid="{EDE49F0A-217C-4675-96E7-55076E81FAC2}"/>
    <cellStyle name="Comma 2 3 4 2 2 2 2 3 2 2" xfId="32439" xr:uid="{17A9D698-34E9-4C98-834B-F2530DDD4C59}"/>
    <cellStyle name="Comma 2 3 4 2 2 2 2 3 3" xfId="23767" xr:uid="{F5D08875-84A2-4836-8F6A-5A549D89012C}"/>
    <cellStyle name="Comma 2 3 4 2 2 2 2 4" xfId="10759" xr:uid="{8EC67EF5-E1FC-4203-BA56-9CB490F640EA}"/>
    <cellStyle name="Comma 2 3 4 2 2 2 2 4 2" xfId="28103" xr:uid="{B9AA027C-2CC9-475E-A33D-75B95352635E}"/>
    <cellStyle name="Comma 2 3 4 2 2 2 2 5" xfId="19431" xr:uid="{9E3CE430-948A-4FD0-939C-1CD756872859}"/>
    <cellStyle name="Comma 2 3 4 2 2 2 3" xfId="3171" xr:uid="{A6F573B2-F537-4448-9E30-56B2DE641679}"/>
    <cellStyle name="Comma 2 3 4 2 2 2 3 2" xfId="7507" xr:uid="{95D3D346-A0CE-4358-940F-24A1BB8B800F}"/>
    <cellStyle name="Comma 2 3 4 2 2 2 3 2 2" xfId="16179" xr:uid="{C07C6DEC-DA90-44B4-9DB7-9082F40313B1}"/>
    <cellStyle name="Comma 2 3 4 2 2 2 3 2 2 2" xfId="33523" xr:uid="{0162A7E8-B2AD-482D-8C6C-69035AD72CDE}"/>
    <cellStyle name="Comma 2 3 4 2 2 2 3 2 3" xfId="24851" xr:uid="{1C7711E8-CD2B-49C4-AE85-F4E413AA2A26}"/>
    <cellStyle name="Comma 2 3 4 2 2 2 3 3" xfId="11843" xr:uid="{8B36F7DF-A589-4C7C-A831-6576363ECB06}"/>
    <cellStyle name="Comma 2 3 4 2 2 2 3 3 2" xfId="29187" xr:uid="{2BB32751-7CEE-4F9F-8786-5E9EBC4D45AB}"/>
    <cellStyle name="Comma 2 3 4 2 2 2 3 4" xfId="20515" xr:uid="{EE6D078B-2744-4201-8F9D-38F823909FB0}"/>
    <cellStyle name="Comma 2 3 4 2 2 2 4" xfId="5339" xr:uid="{D7E0C447-B75B-4B81-BE4F-5F24D49ABC2B}"/>
    <cellStyle name="Comma 2 3 4 2 2 2 4 2" xfId="14011" xr:uid="{A6882A36-CDB7-4698-9933-44E5055CEB10}"/>
    <cellStyle name="Comma 2 3 4 2 2 2 4 2 2" xfId="31355" xr:uid="{9C42C4C1-3FD1-4586-9F30-CD8A2317EB6A}"/>
    <cellStyle name="Comma 2 3 4 2 2 2 4 3" xfId="22683" xr:uid="{544FE3A8-C610-47CA-AC00-C7FE5107BD4C}"/>
    <cellStyle name="Comma 2 3 4 2 2 2 5" xfId="9675" xr:uid="{530848E0-70E4-438E-95BA-FEE51A0EB0E4}"/>
    <cellStyle name="Comma 2 3 4 2 2 2 5 2" xfId="27019" xr:uid="{DDEB37A7-782B-416E-A258-7360D6C2C723}"/>
    <cellStyle name="Comma 2 3 4 2 2 2 6" xfId="18347" xr:uid="{C94617F7-696D-4658-ABA2-0C25259E218E}"/>
    <cellStyle name="Comma 2 3 4 2 2 3" xfId="1546" xr:uid="{57C6862E-E2F1-42F4-9367-4140809F90C8}"/>
    <cellStyle name="Comma 2 3 4 2 2 3 2" xfId="3714" xr:uid="{DC5B31D6-5731-4906-8339-D9031FBE3022}"/>
    <cellStyle name="Comma 2 3 4 2 2 3 2 2" xfId="8050" xr:uid="{165EA897-762B-442F-9DB5-F024D5869008}"/>
    <cellStyle name="Comma 2 3 4 2 2 3 2 2 2" xfId="16722" xr:uid="{56C4CB17-8042-4CC9-A891-AFCC6DDE7D08}"/>
    <cellStyle name="Comma 2 3 4 2 2 3 2 2 2 2" xfId="34066" xr:uid="{192C4362-B63C-4BDE-9EF5-D62819213460}"/>
    <cellStyle name="Comma 2 3 4 2 2 3 2 2 3" xfId="25394" xr:uid="{754CA1AC-1861-4A9B-A7B2-1EF30550641C}"/>
    <cellStyle name="Comma 2 3 4 2 2 3 2 3" xfId="12386" xr:uid="{9CFD3E43-3266-411A-8B7C-BF12F0509A4F}"/>
    <cellStyle name="Comma 2 3 4 2 2 3 2 3 2" xfId="29730" xr:uid="{F5F9B4BE-E021-4EA5-A7A1-B6B6F340250F}"/>
    <cellStyle name="Comma 2 3 4 2 2 3 2 4" xfId="21058" xr:uid="{202DFE86-2222-4484-92A7-2D0067D05F98}"/>
    <cellStyle name="Comma 2 3 4 2 2 3 3" xfId="5882" xr:uid="{22D69DCD-F001-4C96-AAE4-B77F9476B8BB}"/>
    <cellStyle name="Comma 2 3 4 2 2 3 3 2" xfId="14554" xr:uid="{D016EBFF-D6D9-4347-AEBF-5AE6BEBA46E8}"/>
    <cellStyle name="Comma 2 3 4 2 2 3 3 2 2" xfId="31898" xr:uid="{94128E6D-41DD-46EE-A534-14085E07556C}"/>
    <cellStyle name="Comma 2 3 4 2 2 3 3 3" xfId="23226" xr:uid="{EF3B9920-ED29-48DC-B472-D13B46DD3E1F}"/>
    <cellStyle name="Comma 2 3 4 2 2 3 4" xfId="10218" xr:uid="{C693875D-5D64-4F2A-B371-8DCE71E33255}"/>
    <cellStyle name="Comma 2 3 4 2 2 3 4 2" xfId="27562" xr:uid="{EA8532D0-1169-435B-965B-B9E7DFC993BB}"/>
    <cellStyle name="Comma 2 3 4 2 2 3 5" xfId="18890" xr:uid="{BC6D02DF-3228-4B8F-B59A-B8AEA8C07A92}"/>
    <cellStyle name="Comma 2 3 4 2 2 4" xfId="2630" xr:uid="{88D38C70-C8B1-4796-8C43-2ACFE2B4BE38}"/>
    <cellStyle name="Comma 2 3 4 2 2 4 2" xfId="6966" xr:uid="{FAFEAD0F-E1BA-4ED1-8BD3-64589E677370}"/>
    <cellStyle name="Comma 2 3 4 2 2 4 2 2" xfId="15638" xr:uid="{E1924646-AF9B-4A6C-8A8B-D25B568DB43A}"/>
    <cellStyle name="Comma 2 3 4 2 2 4 2 2 2" xfId="32982" xr:uid="{FE681FAD-EBF3-4353-9FFB-69BD8D0057BE}"/>
    <cellStyle name="Comma 2 3 4 2 2 4 2 3" xfId="24310" xr:uid="{57C8EE79-01F1-483B-8B40-F79677F689EC}"/>
    <cellStyle name="Comma 2 3 4 2 2 4 3" xfId="11302" xr:uid="{68C0544F-F904-4F6A-B5AF-908709A24AEE}"/>
    <cellStyle name="Comma 2 3 4 2 2 4 3 2" xfId="28646" xr:uid="{F07CF40B-3492-4ED5-B21C-4E5540446CDE}"/>
    <cellStyle name="Comma 2 3 4 2 2 4 4" xfId="19974" xr:uid="{D80B978E-83B3-4DC7-A428-49223678177A}"/>
    <cellStyle name="Comma 2 3 4 2 2 5" xfId="4798" xr:uid="{AF6E2C08-2761-49BE-A5BA-27363F77E5A6}"/>
    <cellStyle name="Comma 2 3 4 2 2 5 2" xfId="13470" xr:uid="{6D7E6F4A-3A85-494B-94D2-49555D3A4BF0}"/>
    <cellStyle name="Comma 2 3 4 2 2 5 2 2" xfId="30814" xr:uid="{CC478421-6AE5-41A2-8AB5-3C5229AC5FA5}"/>
    <cellStyle name="Comma 2 3 4 2 2 5 3" xfId="22142" xr:uid="{311A2DC3-D294-44A6-B217-E61BD5184682}"/>
    <cellStyle name="Comma 2 3 4 2 2 6" xfId="9134" xr:uid="{8EF6B8BB-537A-4677-ABCB-40BCEAA7EFAF}"/>
    <cellStyle name="Comma 2 3 4 2 2 6 2" xfId="26478" xr:uid="{6EE9617B-7495-42B5-A140-A82A260908B5}"/>
    <cellStyle name="Comma 2 3 4 2 2 7" xfId="17806" xr:uid="{AC033778-28ED-40E9-AB97-1A1D6DCCA375}"/>
    <cellStyle name="Comma 2 3 4 2 3" xfId="733" xr:uid="{01C10628-7D23-464D-8161-78E8F6A06E1C}"/>
    <cellStyle name="Comma 2 3 4 2 3 2" xfId="1817" xr:uid="{FB176EF8-1CAC-406D-8AAE-5270EEE429D2}"/>
    <cellStyle name="Comma 2 3 4 2 3 2 2" xfId="3985" xr:uid="{605AF3BE-F962-4CB8-B71D-A5EDD2CD2E3F}"/>
    <cellStyle name="Comma 2 3 4 2 3 2 2 2" xfId="8321" xr:uid="{6F7606EA-BC0C-4588-BE29-6BA4B837B779}"/>
    <cellStyle name="Comma 2 3 4 2 3 2 2 2 2" xfId="16993" xr:uid="{0D8A1857-C34B-442B-BD27-D1B4995395E6}"/>
    <cellStyle name="Comma 2 3 4 2 3 2 2 2 2 2" xfId="34337" xr:uid="{18560361-948C-4077-8ACD-39DF481C966B}"/>
    <cellStyle name="Comma 2 3 4 2 3 2 2 2 3" xfId="25665" xr:uid="{C7A41B52-CFEA-4BCB-BAFB-D848687BD521}"/>
    <cellStyle name="Comma 2 3 4 2 3 2 2 3" xfId="12657" xr:uid="{BE454302-876B-4A93-94F7-74A03F1D75EF}"/>
    <cellStyle name="Comma 2 3 4 2 3 2 2 3 2" xfId="30001" xr:uid="{639038D9-AB9F-4419-AED1-EA7525F6F805}"/>
    <cellStyle name="Comma 2 3 4 2 3 2 2 4" xfId="21329" xr:uid="{50C15C65-75AF-417E-BED8-0E0696B49E86}"/>
    <cellStyle name="Comma 2 3 4 2 3 2 3" xfId="6153" xr:uid="{F7F2589D-74AB-4E06-9A86-C2BCE045806A}"/>
    <cellStyle name="Comma 2 3 4 2 3 2 3 2" xfId="14825" xr:uid="{05FE6A05-43CF-4E30-B3AC-9BFA00CE5FD4}"/>
    <cellStyle name="Comma 2 3 4 2 3 2 3 2 2" xfId="32169" xr:uid="{202CA70A-C58A-4451-9963-2DFC4F04DA24}"/>
    <cellStyle name="Comma 2 3 4 2 3 2 3 3" xfId="23497" xr:uid="{DF55CD38-7B81-40D9-80B0-7821DD795C9F}"/>
    <cellStyle name="Comma 2 3 4 2 3 2 4" xfId="10489" xr:uid="{55DC9A33-7878-4462-A2F4-46DE02AAE801}"/>
    <cellStyle name="Comma 2 3 4 2 3 2 4 2" xfId="27833" xr:uid="{FFB90C34-2ADF-4B80-8C1F-07D0D42FD192}"/>
    <cellStyle name="Comma 2 3 4 2 3 2 5" xfId="19161" xr:uid="{1FD922F7-1ECC-4215-B76F-FB4BA5945694}"/>
    <cellStyle name="Comma 2 3 4 2 3 3" xfId="2901" xr:uid="{5E84DDAC-0083-4026-A336-EA3540C749BC}"/>
    <cellStyle name="Comma 2 3 4 2 3 3 2" xfId="7237" xr:uid="{7033AD03-DAE0-45EF-85F4-255408336738}"/>
    <cellStyle name="Comma 2 3 4 2 3 3 2 2" xfId="15909" xr:uid="{4784CD9F-875B-48E8-86E7-1C4507129D47}"/>
    <cellStyle name="Comma 2 3 4 2 3 3 2 2 2" xfId="33253" xr:uid="{01058DB5-64C7-4F8E-B7A4-E6380AA4BF52}"/>
    <cellStyle name="Comma 2 3 4 2 3 3 2 3" xfId="24581" xr:uid="{9231D11E-6D2E-4F13-B2A2-3A63884E1EC1}"/>
    <cellStyle name="Comma 2 3 4 2 3 3 3" xfId="11573" xr:uid="{81753BA0-990E-4A0C-BFBE-17CFCA132703}"/>
    <cellStyle name="Comma 2 3 4 2 3 3 3 2" xfId="28917" xr:uid="{4FB12AE4-5FF1-49B5-B3D3-37398DFC0D2B}"/>
    <cellStyle name="Comma 2 3 4 2 3 3 4" xfId="20245" xr:uid="{FAE630C4-CCAF-4F3B-834A-9E0153C767EF}"/>
    <cellStyle name="Comma 2 3 4 2 3 4" xfId="5069" xr:uid="{F6BC954B-E9CC-4339-9C9B-828F526D9FC7}"/>
    <cellStyle name="Comma 2 3 4 2 3 4 2" xfId="13741" xr:uid="{E3C82A69-6349-43A8-88F4-4AD60E857FD0}"/>
    <cellStyle name="Comma 2 3 4 2 3 4 2 2" xfId="31085" xr:uid="{BED4A2B9-7610-4D09-915B-EDE0CA4B7752}"/>
    <cellStyle name="Comma 2 3 4 2 3 4 3" xfId="22413" xr:uid="{40EAE4E7-27AB-47C2-BA18-46AE7D8D7F2E}"/>
    <cellStyle name="Comma 2 3 4 2 3 5" xfId="9405" xr:uid="{E2AEA032-54AF-4361-8D75-67862C1035B0}"/>
    <cellStyle name="Comma 2 3 4 2 3 5 2" xfId="26749" xr:uid="{DF35594D-5115-470D-9A31-7D35B384F0DA}"/>
    <cellStyle name="Comma 2 3 4 2 3 6" xfId="18077" xr:uid="{E0E27041-046B-4FAF-B9EA-63416C4FF612}"/>
    <cellStyle name="Comma 2 3 4 2 4" xfId="1276" xr:uid="{7DD6FA5E-B15E-42D3-A793-8F85E4D57987}"/>
    <cellStyle name="Comma 2 3 4 2 4 2" xfId="3444" xr:uid="{790B525C-263B-44AB-A2DD-87B52F310C64}"/>
    <cellStyle name="Comma 2 3 4 2 4 2 2" xfId="7780" xr:uid="{036950D8-2FA5-4A19-9811-FA8BF98D162C}"/>
    <cellStyle name="Comma 2 3 4 2 4 2 2 2" xfId="16452" xr:uid="{056956F0-8905-49A0-81BA-3043B7BEF90C}"/>
    <cellStyle name="Comma 2 3 4 2 4 2 2 2 2" xfId="33796" xr:uid="{D2BD350A-3211-475F-98D7-4A0742C018F4}"/>
    <cellStyle name="Comma 2 3 4 2 4 2 2 3" xfId="25124" xr:uid="{F9F5858E-A194-4EAD-B0AF-A92416B8CF62}"/>
    <cellStyle name="Comma 2 3 4 2 4 2 3" xfId="12116" xr:uid="{83C260CC-46DC-4499-ABC8-009043EA2193}"/>
    <cellStyle name="Comma 2 3 4 2 4 2 3 2" xfId="29460" xr:uid="{E057878B-7DF1-4D47-8BB3-19F10638452A}"/>
    <cellStyle name="Comma 2 3 4 2 4 2 4" xfId="20788" xr:uid="{FA111DBE-037B-4C6C-9C4E-306D43DD8F88}"/>
    <cellStyle name="Comma 2 3 4 2 4 3" xfId="5612" xr:uid="{353C3F10-BBF3-4404-9EC0-2F46F9D790A5}"/>
    <cellStyle name="Comma 2 3 4 2 4 3 2" xfId="14284" xr:uid="{6E4FA20D-1189-4D10-AE53-681C0CEB012C}"/>
    <cellStyle name="Comma 2 3 4 2 4 3 2 2" xfId="31628" xr:uid="{6B776DF9-0830-47AA-A5E2-8D9AF402ABCA}"/>
    <cellStyle name="Comma 2 3 4 2 4 3 3" xfId="22956" xr:uid="{2C3B30D7-B07C-4ECF-ACD4-A9048C3BB3E6}"/>
    <cellStyle name="Comma 2 3 4 2 4 4" xfId="9948" xr:uid="{9008648D-85EA-4696-80DA-80081521A050}"/>
    <cellStyle name="Comma 2 3 4 2 4 4 2" xfId="27292" xr:uid="{3E3E88C5-10B5-4BE9-9E99-17F89FF16259}"/>
    <cellStyle name="Comma 2 3 4 2 4 5" xfId="18620" xr:uid="{392D7BFF-12B7-4B59-BD26-CDA4E38D8077}"/>
    <cellStyle name="Comma 2 3 4 2 5" xfId="2360" xr:uid="{55B244F6-88CE-495C-BC07-3079CBF9512F}"/>
    <cellStyle name="Comma 2 3 4 2 5 2" xfId="6696" xr:uid="{92CAFA8A-58BF-4772-A865-6D4D2D7E6137}"/>
    <cellStyle name="Comma 2 3 4 2 5 2 2" xfId="15368" xr:uid="{F2F343D9-D21C-4BC3-9D5F-E4C772932324}"/>
    <cellStyle name="Comma 2 3 4 2 5 2 2 2" xfId="32712" xr:uid="{8444F988-E527-4226-AF62-367C75B27C90}"/>
    <cellStyle name="Comma 2 3 4 2 5 2 3" xfId="24040" xr:uid="{34600C26-ABDE-4A7B-BA75-F7416078C794}"/>
    <cellStyle name="Comma 2 3 4 2 5 3" xfId="11032" xr:uid="{02EBAFBC-E781-4C2E-ACCD-44187AB29945}"/>
    <cellStyle name="Comma 2 3 4 2 5 3 2" xfId="28376" xr:uid="{517A2771-8B8F-45DB-B9B4-187D4DDF8E0E}"/>
    <cellStyle name="Comma 2 3 4 2 5 4" xfId="19704" xr:uid="{9713203D-3789-470C-9703-B6969DA0C5BB}"/>
    <cellStyle name="Comma 2 3 4 2 6" xfId="4528" xr:uid="{E4B21E00-8325-4F52-BF11-EF7B7F10F3DA}"/>
    <cellStyle name="Comma 2 3 4 2 6 2" xfId="13200" xr:uid="{B7B3D16D-CB23-4E11-AD15-D7C63694D140}"/>
    <cellStyle name="Comma 2 3 4 2 6 2 2" xfId="30544" xr:uid="{4A8F80F1-24A9-4B5E-A49D-D7E9421281ED}"/>
    <cellStyle name="Comma 2 3 4 2 6 3" xfId="21872" xr:uid="{7627BFF2-9AA1-4DEB-961B-FB3EEA22265B}"/>
    <cellStyle name="Comma 2 3 4 2 7" xfId="8864" xr:uid="{ED5DA6E0-DE69-4BFF-A732-3AE6AAD2B603}"/>
    <cellStyle name="Comma 2 3 4 2 7 2" xfId="26208" xr:uid="{9EBE13EE-B62E-48A4-97B9-5CE70551DFAD}"/>
    <cellStyle name="Comma 2 3 4 2 8" xfId="17536" xr:uid="{82A4C972-3CFD-45E9-B890-CE30D9F43D62}"/>
    <cellStyle name="Comma 2 3 4 3" xfId="340" xr:uid="{EEEC8781-7970-4465-9955-20175FC3FBEA}"/>
    <cellStyle name="Comma 2 3 4 3 2" xfId="881" xr:uid="{FB381595-6EB0-44A2-9D3D-BB9F5F59AEB7}"/>
    <cellStyle name="Comma 2 3 4 3 2 2" xfId="1965" xr:uid="{09BEE74F-4DE4-4CDB-AC21-5B2CF70100C1}"/>
    <cellStyle name="Comma 2 3 4 3 2 2 2" xfId="4133" xr:uid="{F9A9B051-C079-47F5-8296-9EAC8B324F87}"/>
    <cellStyle name="Comma 2 3 4 3 2 2 2 2" xfId="8469" xr:uid="{F1AD47FC-B370-4E9A-862B-1E24279F65CD}"/>
    <cellStyle name="Comma 2 3 4 3 2 2 2 2 2" xfId="17141" xr:uid="{262C7AA9-80B8-45EC-AC24-62C378830C61}"/>
    <cellStyle name="Comma 2 3 4 3 2 2 2 2 2 2" xfId="34485" xr:uid="{6C3A8A07-B4FB-4F01-8EA9-FA0B270B7247}"/>
    <cellStyle name="Comma 2 3 4 3 2 2 2 2 3" xfId="25813" xr:uid="{429FA01A-1470-43C5-B2A9-4D79753D1D05}"/>
    <cellStyle name="Comma 2 3 4 3 2 2 2 3" xfId="12805" xr:uid="{572A519B-1A07-4F6A-9279-5ED0C37CF53B}"/>
    <cellStyle name="Comma 2 3 4 3 2 2 2 3 2" xfId="30149" xr:uid="{3B662935-3F44-4FCB-8707-963E7403139A}"/>
    <cellStyle name="Comma 2 3 4 3 2 2 2 4" xfId="21477" xr:uid="{ACF1BE28-0094-4BE5-A055-765ED8596B51}"/>
    <cellStyle name="Comma 2 3 4 3 2 2 3" xfId="6301" xr:uid="{73FCBA84-8F07-4B3B-8262-F2C1EA0972EC}"/>
    <cellStyle name="Comma 2 3 4 3 2 2 3 2" xfId="14973" xr:uid="{7F23DCE8-38B2-4770-8A44-81224644295F}"/>
    <cellStyle name="Comma 2 3 4 3 2 2 3 2 2" xfId="32317" xr:uid="{304BC080-767B-4FAA-8AB0-828A5F4D234E}"/>
    <cellStyle name="Comma 2 3 4 3 2 2 3 3" xfId="23645" xr:uid="{D6450B03-3806-4045-929B-D3A078969227}"/>
    <cellStyle name="Comma 2 3 4 3 2 2 4" xfId="10637" xr:uid="{B6AD8005-2FEC-4A42-A571-56A13215ACA1}"/>
    <cellStyle name="Comma 2 3 4 3 2 2 4 2" xfId="27981" xr:uid="{FA9CA4CF-6E3C-4A23-8CE5-3556BCBA6F18}"/>
    <cellStyle name="Comma 2 3 4 3 2 2 5" xfId="19309" xr:uid="{4CAA8A9E-DB3B-48BE-85B9-DEAEED749D5F}"/>
    <cellStyle name="Comma 2 3 4 3 2 3" xfId="3049" xr:uid="{6C7420C9-8C66-4F7A-A272-07FF78358CD8}"/>
    <cellStyle name="Comma 2 3 4 3 2 3 2" xfId="7385" xr:uid="{0FC04229-8FD1-4890-9CEA-EDFC31066DE8}"/>
    <cellStyle name="Comma 2 3 4 3 2 3 2 2" xfId="16057" xr:uid="{9192C7D8-0D87-4C47-B0FE-A449644282CA}"/>
    <cellStyle name="Comma 2 3 4 3 2 3 2 2 2" xfId="33401" xr:uid="{910D506F-B682-40F9-8925-906A8FCB74B3}"/>
    <cellStyle name="Comma 2 3 4 3 2 3 2 3" xfId="24729" xr:uid="{1701EC93-ADE9-47AD-9A73-B4BD3CD7EEE7}"/>
    <cellStyle name="Comma 2 3 4 3 2 3 3" xfId="11721" xr:uid="{1C24CAEF-583C-4CDA-958A-D846B95D9F5A}"/>
    <cellStyle name="Comma 2 3 4 3 2 3 3 2" xfId="29065" xr:uid="{432AB411-66DC-4052-99D6-11B127BAAD96}"/>
    <cellStyle name="Comma 2 3 4 3 2 3 4" xfId="20393" xr:uid="{F2887A55-80D0-4E93-8CA3-83EF62332FDE}"/>
    <cellStyle name="Comma 2 3 4 3 2 4" xfId="5217" xr:uid="{DA084225-D689-4AD7-84FD-2396B7DD227F}"/>
    <cellStyle name="Comma 2 3 4 3 2 4 2" xfId="13889" xr:uid="{FF484D11-C818-47E7-BBCB-8A09A00AD93A}"/>
    <cellStyle name="Comma 2 3 4 3 2 4 2 2" xfId="31233" xr:uid="{B270992C-953F-4DD0-8EBA-0726346B07B9}"/>
    <cellStyle name="Comma 2 3 4 3 2 4 3" xfId="22561" xr:uid="{D15249D5-6FFC-40F2-8C47-85C894254724}"/>
    <cellStyle name="Comma 2 3 4 3 2 5" xfId="9553" xr:uid="{97ECBA55-25C9-42B3-9B48-8244B789A9C3}"/>
    <cellStyle name="Comma 2 3 4 3 2 5 2" xfId="26897" xr:uid="{1AB5F394-E68E-4488-8B4C-BDD618B86FD3}"/>
    <cellStyle name="Comma 2 3 4 3 2 6" xfId="18225" xr:uid="{A8DD794C-4B2D-47F8-A1C7-F9C7A76E3818}"/>
    <cellStyle name="Comma 2 3 4 3 3" xfId="1424" xr:uid="{AF6A94B0-8356-4246-9714-B4826702D6A6}"/>
    <cellStyle name="Comma 2 3 4 3 3 2" xfId="3592" xr:uid="{A624FEF5-B9F1-4A0C-B19B-EBDBB2A2EC89}"/>
    <cellStyle name="Comma 2 3 4 3 3 2 2" xfId="7928" xr:uid="{5D4B5865-A533-450B-A6ED-3C978D89DDDA}"/>
    <cellStyle name="Comma 2 3 4 3 3 2 2 2" xfId="16600" xr:uid="{2A0888BB-B1F6-4FCD-9FB2-344845354E39}"/>
    <cellStyle name="Comma 2 3 4 3 3 2 2 2 2" xfId="33944" xr:uid="{3D922DB5-4C71-4D30-9A83-9986623DFB49}"/>
    <cellStyle name="Comma 2 3 4 3 3 2 2 3" xfId="25272" xr:uid="{BE1E9896-DC8B-46B3-B0BA-EFEAE7565B21}"/>
    <cellStyle name="Comma 2 3 4 3 3 2 3" xfId="12264" xr:uid="{E890401B-666B-4EE8-B306-7049A50145A5}"/>
    <cellStyle name="Comma 2 3 4 3 3 2 3 2" xfId="29608" xr:uid="{D58A6753-C897-4D12-B5C9-6B5247B8D5FF}"/>
    <cellStyle name="Comma 2 3 4 3 3 2 4" xfId="20936" xr:uid="{740AE344-36EB-4D53-BFA8-780A35244530}"/>
    <cellStyle name="Comma 2 3 4 3 3 3" xfId="5760" xr:uid="{E8A79D05-E50A-410C-A12C-D101B7929535}"/>
    <cellStyle name="Comma 2 3 4 3 3 3 2" xfId="14432" xr:uid="{E536618F-C6BB-46A1-8627-5B01957DE69F}"/>
    <cellStyle name="Comma 2 3 4 3 3 3 2 2" xfId="31776" xr:uid="{7F763B8D-A737-4053-955C-070B3A8BF0C3}"/>
    <cellStyle name="Comma 2 3 4 3 3 3 3" xfId="23104" xr:uid="{B06F47F0-E13C-4E58-BEE8-5C4F0770117A}"/>
    <cellStyle name="Comma 2 3 4 3 3 4" xfId="10096" xr:uid="{BEE97052-4DF4-44A0-8254-05B0C92E0A07}"/>
    <cellStyle name="Comma 2 3 4 3 3 4 2" xfId="27440" xr:uid="{89554A82-03D8-4DE8-95C7-43F6C549B7F6}"/>
    <cellStyle name="Comma 2 3 4 3 3 5" xfId="18768" xr:uid="{C41D1BAB-1308-4D63-8ED9-378B3CDD1AFC}"/>
    <cellStyle name="Comma 2 3 4 3 4" xfId="2508" xr:uid="{AEB1C8F6-0B9C-46CD-8464-E58047B1AB67}"/>
    <cellStyle name="Comma 2 3 4 3 4 2" xfId="6844" xr:uid="{AF8F5729-C7F2-4D73-BB62-F11AAD799791}"/>
    <cellStyle name="Comma 2 3 4 3 4 2 2" xfId="15516" xr:uid="{C4FE0C0B-56F0-4CB2-9A91-87E6B75A02A7}"/>
    <cellStyle name="Comma 2 3 4 3 4 2 2 2" xfId="32860" xr:uid="{35E292B2-BC0F-4F1D-88CE-CB2E6C834A04}"/>
    <cellStyle name="Comma 2 3 4 3 4 2 3" xfId="24188" xr:uid="{00C9FE4F-3CFF-454F-BF87-09DBF88C4058}"/>
    <cellStyle name="Comma 2 3 4 3 4 3" xfId="11180" xr:uid="{2185B93A-655C-45EC-A2F1-19DBC545CC14}"/>
    <cellStyle name="Comma 2 3 4 3 4 3 2" xfId="28524" xr:uid="{4042EFAF-3776-43C7-89CE-BC2260FE6C60}"/>
    <cellStyle name="Comma 2 3 4 3 4 4" xfId="19852" xr:uid="{D60C7781-4E23-4E02-9049-2C00B7384D8D}"/>
    <cellStyle name="Comma 2 3 4 3 5" xfId="4676" xr:uid="{46BA4834-77B2-4A5F-9537-91ED91CCE941}"/>
    <cellStyle name="Comma 2 3 4 3 5 2" xfId="13348" xr:uid="{219A3A23-9DE0-4D2B-9A54-204F5ECB5255}"/>
    <cellStyle name="Comma 2 3 4 3 5 2 2" xfId="30692" xr:uid="{B8D24AFF-1DF5-4A19-A73B-32FF8FBC8D4A}"/>
    <cellStyle name="Comma 2 3 4 3 5 3" xfId="22020" xr:uid="{897B58B2-E2E2-44B9-A8FF-84D7893BF727}"/>
    <cellStyle name="Comma 2 3 4 3 6" xfId="9012" xr:uid="{3AD76C3D-0F2E-4F6E-84DC-CD917D1C0E4B}"/>
    <cellStyle name="Comma 2 3 4 3 6 2" xfId="26356" xr:uid="{9F7C7BA2-8ED7-4513-B5B8-38C7C345F5F7}"/>
    <cellStyle name="Comma 2 3 4 3 7" xfId="17684" xr:uid="{3F0381EA-A381-4A7D-8A6F-AFFCB41A2A7B}"/>
    <cellStyle name="Comma 2 3 4 4" xfId="611" xr:uid="{68D46703-178E-432A-9B35-E9159B60B180}"/>
    <cellStyle name="Comma 2 3 4 4 2" xfId="1695" xr:uid="{0CF3B44C-D4C6-4264-89BE-67F3BAFB5DFC}"/>
    <cellStyle name="Comma 2 3 4 4 2 2" xfId="3863" xr:uid="{6E636E2C-FBAA-47BB-A40C-CC08D4B94909}"/>
    <cellStyle name="Comma 2 3 4 4 2 2 2" xfId="8199" xr:uid="{F41CFD64-02B3-4F1B-8D53-DB06A03087E3}"/>
    <cellStyle name="Comma 2 3 4 4 2 2 2 2" xfId="16871" xr:uid="{D2E73C15-D73B-4862-A70E-8D3B251C8F93}"/>
    <cellStyle name="Comma 2 3 4 4 2 2 2 2 2" xfId="34215" xr:uid="{8B92F9CA-FBA9-40B4-9F17-060BE1FD319A}"/>
    <cellStyle name="Comma 2 3 4 4 2 2 2 3" xfId="25543" xr:uid="{9C98B14A-6E60-43B8-A070-5E8B29B88DB6}"/>
    <cellStyle name="Comma 2 3 4 4 2 2 3" xfId="12535" xr:uid="{5522FD7A-E05E-4390-A709-0A8E3A40F632}"/>
    <cellStyle name="Comma 2 3 4 4 2 2 3 2" xfId="29879" xr:uid="{D6D18D7D-89AC-431C-8225-FA07314284FA}"/>
    <cellStyle name="Comma 2 3 4 4 2 2 4" xfId="21207" xr:uid="{DC7E0057-C1D6-44C5-8A2C-F4688D9BE538}"/>
    <cellStyle name="Comma 2 3 4 4 2 3" xfId="6031" xr:uid="{7AA6E6A3-3703-4729-8CE6-622D474B6793}"/>
    <cellStyle name="Comma 2 3 4 4 2 3 2" xfId="14703" xr:uid="{6C86F9FB-17E4-48B6-81C7-EDE47263F396}"/>
    <cellStyle name="Comma 2 3 4 4 2 3 2 2" xfId="32047" xr:uid="{BE5DD0B7-C714-4945-9A34-93AF3064FF87}"/>
    <cellStyle name="Comma 2 3 4 4 2 3 3" xfId="23375" xr:uid="{3B2C9243-4C76-49E5-820B-A7A765417EE6}"/>
    <cellStyle name="Comma 2 3 4 4 2 4" xfId="10367" xr:uid="{09F9075F-FC95-4F8F-A619-EAE76AED3538}"/>
    <cellStyle name="Comma 2 3 4 4 2 4 2" xfId="27711" xr:uid="{0D416135-A578-44D7-AC58-E442F9D444E1}"/>
    <cellStyle name="Comma 2 3 4 4 2 5" xfId="19039" xr:uid="{D3BC3E7C-6D35-447C-A7CF-332D44AEBF6D}"/>
    <cellStyle name="Comma 2 3 4 4 3" xfId="2779" xr:uid="{EC0475EB-7C9C-4710-80BD-9F141CE864E6}"/>
    <cellStyle name="Comma 2 3 4 4 3 2" xfId="7115" xr:uid="{676D11D7-74B3-4A6F-B62E-0D0F7616C240}"/>
    <cellStyle name="Comma 2 3 4 4 3 2 2" xfId="15787" xr:uid="{F0641610-6FA4-41B9-B89B-78625D1A5D74}"/>
    <cellStyle name="Comma 2 3 4 4 3 2 2 2" xfId="33131" xr:uid="{65B6B6CC-376D-47D8-895D-B447C887894A}"/>
    <cellStyle name="Comma 2 3 4 4 3 2 3" xfId="24459" xr:uid="{A90761A0-E958-4B0C-B001-B43414158732}"/>
    <cellStyle name="Comma 2 3 4 4 3 3" xfId="11451" xr:uid="{E5AE4A2E-DDF3-494A-994A-95748C24D149}"/>
    <cellStyle name="Comma 2 3 4 4 3 3 2" xfId="28795" xr:uid="{22B708D7-037A-40B0-B525-C750171E77B9}"/>
    <cellStyle name="Comma 2 3 4 4 3 4" xfId="20123" xr:uid="{2EB307FE-3FBC-4EB3-BBCA-10A7DF56CD03}"/>
    <cellStyle name="Comma 2 3 4 4 4" xfId="4947" xr:uid="{047165CF-3E28-41BD-B5DA-5C2B3A1EFDC8}"/>
    <cellStyle name="Comma 2 3 4 4 4 2" xfId="13619" xr:uid="{F40A6C3C-E3DD-4E42-B8B0-C48A959CE03F}"/>
    <cellStyle name="Comma 2 3 4 4 4 2 2" xfId="30963" xr:uid="{F0816AE6-B103-4601-8400-945A04EFDE34}"/>
    <cellStyle name="Comma 2 3 4 4 4 3" xfId="22291" xr:uid="{AD73ED39-FBC8-4193-8E18-17736F7373EA}"/>
    <cellStyle name="Comma 2 3 4 4 5" xfId="9283" xr:uid="{83A40168-A882-4B94-B10A-A24B149DA3AA}"/>
    <cellStyle name="Comma 2 3 4 4 5 2" xfId="26627" xr:uid="{18A6521E-8A41-4743-92E3-250ADED2B708}"/>
    <cellStyle name="Comma 2 3 4 4 6" xfId="17955" xr:uid="{47520B56-C0EC-4E0E-B8D8-4701A80BF540}"/>
    <cellStyle name="Comma 2 3 4 5" xfId="1154" xr:uid="{D445CE3A-0985-4052-89D5-A84818AC125A}"/>
    <cellStyle name="Comma 2 3 4 5 2" xfId="3322" xr:uid="{5449316E-A536-42DF-8D33-5FE8CF867F8B}"/>
    <cellStyle name="Comma 2 3 4 5 2 2" xfId="7658" xr:uid="{3948DA1A-33A2-4160-97B4-752BE7FDA19C}"/>
    <cellStyle name="Comma 2 3 4 5 2 2 2" xfId="16330" xr:uid="{BD70549C-14A1-43C6-B528-2761D32A5980}"/>
    <cellStyle name="Comma 2 3 4 5 2 2 2 2" xfId="33674" xr:uid="{94999145-744F-4B8A-BA25-89AA5C8E3B68}"/>
    <cellStyle name="Comma 2 3 4 5 2 2 3" xfId="25002" xr:uid="{F6E5A399-3D5F-4652-A8AC-73E761FBC6AA}"/>
    <cellStyle name="Comma 2 3 4 5 2 3" xfId="11994" xr:uid="{F7C91D60-9C8D-4121-9897-CABBF43308BA}"/>
    <cellStyle name="Comma 2 3 4 5 2 3 2" xfId="29338" xr:uid="{AE550179-BC20-4A94-85C9-034505591C21}"/>
    <cellStyle name="Comma 2 3 4 5 2 4" xfId="20666" xr:uid="{D654D696-74F1-4187-8905-0D6E201ECFC3}"/>
    <cellStyle name="Comma 2 3 4 5 3" xfId="5490" xr:uid="{6017C703-141B-4791-8BC7-A2797CDF101D}"/>
    <cellStyle name="Comma 2 3 4 5 3 2" xfId="14162" xr:uid="{2337585E-6AB5-4301-BBBC-54CDE9673693}"/>
    <cellStyle name="Comma 2 3 4 5 3 2 2" xfId="31506" xr:uid="{2A618DFF-5D40-4507-8DCE-A687C5ABDFB9}"/>
    <cellStyle name="Comma 2 3 4 5 3 3" xfId="22834" xr:uid="{F35181C6-7256-46B7-A9AF-657D1BEC51D0}"/>
    <cellStyle name="Comma 2 3 4 5 4" xfId="9826" xr:uid="{CA2DCBCD-5CD7-4113-8544-D4BF992C143A}"/>
    <cellStyle name="Comma 2 3 4 5 4 2" xfId="27170" xr:uid="{1EDAC836-78EA-4992-893E-857BC11E2B7D}"/>
    <cellStyle name="Comma 2 3 4 5 5" xfId="18498" xr:uid="{B3089D7B-C0BD-49D3-97DC-E1C511F145C2}"/>
    <cellStyle name="Comma 2 3 4 6" xfId="2238" xr:uid="{C0108205-2F2D-48BA-B80A-9097D4482647}"/>
    <cellStyle name="Comma 2 3 4 6 2" xfId="6574" xr:uid="{3CF8DE0E-1C2A-4E37-A942-5E8AE1601A45}"/>
    <cellStyle name="Comma 2 3 4 6 2 2" xfId="15246" xr:uid="{A2A519AD-10A3-4DC3-BDEF-4DA51DDF6918}"/>
    <cellStyle name="Comma 2 3 4 6 2 2 2" xfId="32590" xr:uid="{DEC4C2FF-9D09-419D-BEF7-B2A8BEA1B9B4}"/>
    <cellStyle name="Comma 2 3 4 6 2 3" xfId="23918" xr:uid="{FECEFBEB-1BF5-4A12-AE73-32580C6C04E1}"/>
    <cellStyle name="Comma 2 3 4 6 3" xfId="10910" xr:uid="{81CDF709-F324-45B1-AE0A-C2CD253C907F}"/>
    <cellStyle name="Comma 2 3 4 6 3 2" xfId="28254" xr:uid="{FFB5AFC9-EF79-4110-A5AB-BE82DDF5DDDD}"/>
    <cellStyle name="Comma 2 3 4 6 4" xfId="19582" xr:uid="{EB5BAE97-834F-4A09-B2E8-A6C09B066507}"/>
    <cellStyle name="Comma 2 3 4 7" xfId="4406" xr:uid="{7E40F938-CFBC-405B-9D78-6F3AF25F49E9}"/>
    <cellStyle name="Comma 2 3 4 7 2" xfId="13078" xr:uid="{755147F5-B856-4CFC-A785-8D9C903AD266}"/>
    <cellStyle name="Comma 2 3 4 7 2 2" xfId="30422" xr:uid="{38F41E03-4039-4FD2-B60F-06752831F885}"/>
    <cellStyle name="Comma 2 3 4 7 3" xfId="21750" xr:uid="{DA2E337D-F359-4DAF-8EBB-4F4FD6369665}"/>
    <cellStyle name="Comma 2 3 4 8" xfId="8742" xr:uid="{FC0D376D-60F2-4176-928A-5DC00F15C6E6}"/>
    <cellStyle name="Comma 2 3 4 8 2" xfId="26086" xr:uid="{A64109EF-69D3-4C38-8C3E-6BF116ED1EDC}"/>
    <cellStyle name="Comma 2 3 4 9" xfId="17414" xr:uid="{FA860D8B-B9B0-4825-A2A5-80A3B7894DCE}"/>
    <cellStyle name="Comma 2 3 5" xfId="131" xr:uid="{37760B0B-91AE-4FCF-87C5-417E3B41275F}"/>
    <cellStyle name="Comma 2 3 5 2" xfId="401" xr:uid="{03ED752F-3B39-40B0-B7E4-06259A753389}"/>
    <cellStyle name="Comma 2 3 5 2 2" xfId="942" xr:uid="{A72FC520-74FE-437F-A4BE-5CEA7863F2BA}"/>
    <cellStyle name="Comma 2 3 5 2 2 2" xfId="2026" xr:uid="{7EAFFB1F-5AF5-4DBB-9F4A-FEA6FB748ADF}"/>
    <cellStyle name="Comma 2 3 5 2 2 2 2" xfId="4194" xr:uid="{124D8286-0C85-4E58-A3FB-F074FA6A3637}"/>
    <cellStyle name="Comma 2 3 5 2 2 2 2 2" xfId="8530" xr:uid="{DC596C03-FAD2-43DB-994E-544B225754BE}"/>
    <cellStyle name="Comma 2 3 5 2 2 2 2 2 2" xfId="17202" xr:uid="{22E8E29E-5995-41DB-90DB-FFA2E340CB5D}"/>
    <cellStyle name="Comma 2 3 5 2 2 2 2 2 2 2" xfId="34546" xr:uid="{1AB8EDDA-0582-45CA-8434-B4A5EF3BF4F2}"/>
    <cellStyle name="Comma 2 3 5 2 2 2 2 2 3" xfId="25874" xr:uid="{226F1C95-92B2-4D86-A86F-B4F776794DAD}"/>
    <cellStyle name="Comma 2 3 5 2 2 2 2 3" xfId="12866" xr:uid="{A25E837E-92C1-4D72-9D51-F38AD746EBC2}"/>
    <cellStyle name="Comma 2 3 5 2 2 2 2 3 2" xfId="30210" xr:uid="{2170A5BA-D457-4F59-980F-62FEFB3E6EFB}"/>
    <cellStyle name="Comma 2 3 5 2 2 2 2 4" xfId="21538" xr:uid="{9251CBDC-D026-4B75-8F66-57B429826290}"/>
    <cellStyle name="Comma 2 3 5 2 2 2 3" xfId="6362" xr:uid="{B5BE138C-611C-4500-8B09-FE94DC684189}"/>
    <cellStyle name="Comma 2 3 5 2 2 2 3 2" xfId="15034" xr:uid="{F88A40D9-894C-48AF-B74A-577FC84AAB2C}"/>
    <cellStyle name="Comma 2 3 5 2 2 2 3 2 2" xfId="32378" xr:uid="{D7A89E36-AF1D-4061-A1EB-4D48200AF54F}"/>
    <cellStyle name="Comma 2 3 5 2 2 2 3 3" xfId="23706" xr:uid="{B1D61B0B-9254-46DE-BF5C-203667F7D77A}"/>
    <cellStyle name="Comma 2 3 5 2 2 2 4" xfId="10698" xr:uid="{76360094-232A-461C-A236-2737AD4214D5}"/>
    <cellStyle name="Comma 2 3 5 2 2 2 4 2" xfId="28042" xr:uid="{7413FB9C-A7ED-402D-BCD7-831ED0D27019}"/>
    <cellStyle name="Comma 2 3 5 2 2 2 5" xfId="19370" xr:uid="{BF033CDE-C041-42F3-98C2-0A9F9614EB0A}"/>
    <cellStyle name="Comma 2 3 5 2 2 3" xfId="3110" xr:uid="{3502BFFD-2EFB-46D1-A9F8-04CBDAE723DC}"/>
    <cellStyle name="Comma 2 3 5 2 2 3 2" xfId="7446" xr:uid="{B871E09F-65F4-4AF8-B956-E1BF44AFA642}"/>
    <cellStyle name="Comma 2 3 5 2 2 3 2 2" xfId="16118" xr:uid="{53D71ABC-D1A0-4C83-AB46-146DE38A5E3E}"/>
    <cellStyle name="Comma 2 3 5 2 2 3 2 2 2" xfId="33462" xr:uid="{D5170043-41E3-49C6-AEBC-73A2D5292905}"/>
    <cellStyle name="Comma 2 3 5 2 2 3 2 3" xfId="24790" xr:uid="{F3AEFB81-4E8A-4BE5-89FD-C83A32D865AE}"/>
    <cellStyle name="Comma 2 3 5 2 2 3 3" xfId="11782" xr:uid="{B4AA4015-3814-4570-9CB3-A0595DFCA4EE}"/>
    <cellStyle name="Comma 2 3 5 2 2 3 3 2" xfId="29126" xr:uid="{16AFEF46-A571-45A5-A154-80CD173CEC1C}"/>
    <cellStyle name="Comma 2 3 5 2 2 3 4" xfId="20454" xr:uid="{70CFDBA0-F324-41FA-92E9-00646F8D29A8}"/>
    <cellStyle name="Comma 2 3 5 2 2 4" xfId="5278" xr:uid="{A462D9CC-3F8D-4847-9CCA-C9C83116DF5B}"/>
    <cellStyle name="Comma 2 3 5 2 2 4 2" xfId="13950" xr:uid="{FD31254C-71CF-44E4-B9B3-0E9DDBD50880}"/>
    <cellStyle name="Comma 2 3 5 2 2 4 2 2" xfId="31294" xr:uid="{FF15B372-803D-4B40-8BB8-ECAC4EAA8085}"/>
    <cellStyle name="Comma 2 3 5 2 2 4 3" xfId="22622" xr:uid="{394B8AAF-B466-46FF-853F-6F0D2FCB96F5}"/>
    <cellStyle name="Comma 2 3 5 2 2 5" xfId="9614" xr:uid="{FA0728AF-BB5B-4971-8ABE-681E4F9A203A}"/>
    <cellStyle name="Comma 2 3 5 2 2 5 2" xfId="26958" xr:uid="{52B76DE4-3E31-4F89-BBF6-197406A2FF6F}"/>
    <cellStyle name="Comma 2 3 5 2 2 6" xfId="18286" xr:uid="{8C8F0248-E269-4B79-8C63-F6A08E6E4F77}"/>
    <cellStyle name="Comma 2 3 5 2 3" xfId="1485" xr:uid="{07061AEA-E23C-492E-8F37-D08232B8384C}"/>
    <cellStyle name="Comma 2 3 5 2 3 2" xfId="3653" xr:uid="{85BBAB55-694F-4A50-9909-5DE64CCFDCCC}"/>
    <cellStyle name="Comma 2 3 5 2 3 2 2" xfId="7989" xr:uid="{BCECE07B-1212-4DAC-A2B4-00829DE5CF07}"/>
    <cellStyle name="Comma 2 3 5 2 3 2 2 2" xfId="16661" xr:uid="{807B3673-2F49-4554-B17E-0C1A2BE79C7B}"/>
    <cellStyle name="Comma 2 3 5 2 3 2 2 2 2" xfId="34005" xr:uid="{7A11A55A-DF1B-4048-A2E1-48C0A243EA63}"/>
    <cellStyle name="Comma 2 3 5 2 3 2 2 3" xfId="25333" xr:uid="{AC42AB7D-ACC4-493F-BA63-72466F0AE246}"/>
    <cellStyle name="Comma 2 3 5 2 3 2 3" xfId="12325" xr:uid="{561E6DF1-5BA1-4706-9F06-51A4BA21ECCE}"/>
    <cellStyle name="Comma 2 3 5 2 3 2 3 2" xfId="29669" xr:uid="{4D4ACD50-88CB-4975-8777-7D9F8CC8A0E1}"/>
    <cellStyle name="Comma 2 3 5 2 3 2 4" xfId="20997" xr:uid="{1C54EC99-DBD5-4236-B9F8-5BC55742D583}"/>
    <cellStyle name="Comma 2 3 5 2 3 3" xfId="5821" xr:uid="{4BAFE29D-6B49-44F4-8483-78EF269938C6}"/>
    <cellStyle name="Comma 2 3 5 2 3 3 2" xfId="14493" xr:uid="{2C6DFB55-BC21-436C-81F6-B2437AF91F1F}"/>
    <cellStyle name="Comma 2 3 5 2 3 3 2 2" xfId="31837" xr:uid="{8EE2A175-B5FC-4408-8DD5-4B85101DE9D3}"/>
    <cellStyle name="Comma 2 3 5 2 3 3 3" xfId="23165" xr:uid="{8D2941D2-64BF-4D2D-9A9B-A8E48EBE4DD0}"/>
    <cellStyle name="Comma 2 3 5 2 3 4" xfId="10157" xr:uid="{F969F41C-4FC7-4B28-99F8-5B0058D83EEE}"/>
    <cellStyle name="Comma 2 3 5 2 3 4 2" xfId="27501" xr:uid="{0949D493-61A0-4B9E-AC93-2D028CBB9717}"/>
    <cellStyle name="Comma 2 3 5 2 3 5" xfId="18829" xr:uid="{8CE7533D-5034-4A1A-ADB1-568671B3277E}"/>
    <cellStyle name="Comma 2 3 5 2 4" xfId="2569" xr:uid="{1DA22BF9-5BDC-4F62-BDAE-EE9AC31ACB36}"/>
    <cellStyle name="Comma 2 3 5 2 4 2" xfId="6905" xr:uid="{29D55A97-FF93-44F8-B02E-81478681478B}"/>
    <cellStyle name="Comma 2 3 5 2 4 2 2" xfId="15577" xr:uid="{CA23382B-2848-4212-AD84-7A71125621C5}"/>
    <cellStyle name="Comma 2 3 5 2 4 2 2 2" xfId="32921" xr:uid="{30A719F6-2B9D-4C90-91F8-3768875DB86C}"/>
    <cellStyle name="Comma 2 3 5 2 4 2 3" xfId="24249" xr:uid="{FA455BD7-4C48-48B6-846E-5583B56C5164}"/>
    <cellStyle name="Comma 2 3 5 2 4 3" xfId="11241" xr:uid="{E63900C9-1461-492D-AAAF-60B4653B3F69}"/>
    <cellStyle name="Comma 2 3 5 2 4 3 2" xfId="28585" xr:uid="{703102B0-BB7B-4A4B-9943-D9698A103E1E}"/>
    <cellStyle name="Comma 2 3 5 2 4 4" xfId="19913" xr:uid="{792EC342-E2FB-46AC-98AF-42F57B3F0C8C}"/>
    <cellStyle name="Comma 2 3 5 2 5" xfId="4737" xr:uid="{964BC4C7-27A1-4C24-984B-8FB8981D28A7}"/>
    <cellStyle name="Comma 2 3 5 2 5 2" xfId="13409" xr:uid="{F33528ED-EB10-4249-929E-E3DB54C54D25}"/>
    <cellStyle name="Comma 2 3 5 2 5 2 2" xfId="30753" xr:uid="{C091F047-12DF-4D96-90AF-DA55E32B801F}"/>
    <cellStyle name="Comma 2 3 5 2 5 3" xfId="22081" xr:uid="{E1A64EF0-A174-4F21-8CEC-972B211DFC4E}"/>
    <cellStyle name="Comma 2 3 5 2 6" xfId="9073" xr:uid="{CD9F6A01-91CC-4941-81F2-9D0B0C1BF6CF}"/>
    <cellStyle name="Comma 2 3 5 2 6 2" xfId="26417" xr:uid="{CF07030C-0329-40EC-9A17-4C75388DBFBE}"/>
    <cellStyle name="Comma 2 3 5 2 7" xfId="17745" xr:uid="{350A7E27-C31B-46D3-83D0-61A2F56390D8}"/>
    <cellStyle name="Comma 2 3 5 3" xfId="672" xr:uid="{41B72C71-EE0E-42C6-AB67-60971C4FAC42}"/>
    <cellStyle name="Comma 2 3 5 3 2" xfId="1756" xr:uid="{B9F7CF53-99BA-44FD-8514-758077455AA0}"/>
    <cellStyle name="Comma 2 3 5 3 2 2" xfId="3924" xr:uid="{64692A4F-4E12-4639-A0D0-277323CF092C}"/>
    <cellStyle name="Comma 2 3 5 3 2 2 2" xfId="8260" xr:uid="{88034178-5824-42A2-BFBB-E9D228459480}"/>
    <cellStyle name="Comma 2 3 5 3 2 2 2 2" xfId="16932" xr:uid="{74B68C33-913B-41BE-B6CB-6BA076465A97}"/>
    <cellStyle name="Comma 2 3 5 3 2 2 2 2 2" xfId="34276" xr:uid="{EA9BE6F0-490F-41FF-AEA1-546A6C963B1E}"/>
    <cellStyle name="Comma 2 3 5 3 2 2 2 3" xfId="25604" xr:uid="{28C74C69-FEA4-4CCC-8459-F07A4CE99BEA}"/>
    <cellStyle name="Comma 2 3 5 3 2 2 3" xfId="12596" xr:uid="{4210F46C-1E8B-46B8-A7C9-08A91E28ADB9}"/>
    <cellStyle name="Comma 2 3 5 3 2 2 3 2" xfId="29940" xr:uid="{6665E13A-71B1-477F-8640-E9342CC8A9E6}"/>
    <cellStyle name="Comma 2 3 5 3 2 2 4" xfId="21268" xr:uid="{77C2C6D5-C941-435A-A805-E60AD8473FCE}"/>
    <cellStyle name="Comma 2 3 5 3 2 3" xfId="6092" xr:uid="{4A9B311F-2806-4B9F-8047-2EBBE61733C7}"/>
    <cellStyle name="Comma 2 3 5 3 2 3 2" xfId="14764" xr:uid="{49F2DAAA-D641-4069-8174-0EA5954DE1EE}"/>
    <cellStyle name="Comma 2 3 5 3 2 3 2 2" xfId="32108" xr:uid="{A84279BB-5A09-4F3C-99A8-3845EA785704}"/>
    <cellStyle name="Comma 2 3 5 3 2 3 3" xfId="23436" xr:uid="{EBD67C3A-F653-415E-B4E2-52344331507E}"/>
    <cellStyle name="Comma 2 3 5 3 2 4" xfId="10428" xr:uid="{CA43411A-11EC-45FE-A16F-E6AA95332B5F}"/>
    <cellStyle name="Comma 2 3 5 3 2 4 2" xfId="27772" xr:uid="{AE86E561-A38F-4FF5-8348-11D5D347B15D}"/>
    <cellStyle name="Comma 2 3 5 3 2 5" xfId="19100" xr:uid="{3BD0D5FA-2102-4675-B520-3F67E30A31D9}"/>
    <cellStyle name="Comma 2 3 5 3 3" xfId="2840" xr:uid="{C76E4C6F-C22C-4314-AD8E-84FD444E9E31}"/>
    <cellStyle name="Comma 2 3 5 3 3 2" xfId="7176" xr:uid="{1FBA469E-4ED4-464E-AEEC-A50B9F6EB86A}"/>
    <cellStyle name="Comma 2 3 5 3 3 2 2" xfId="15848" xr:uid="{1A626793-C0C5-4D2A-8D73-0948CC35FCF1}"/>
    <cellStyle name="Comma 2 3 5 3 3 2 2 2" xfId="33192" xr:uid="{86E7C74F-16CF-4D15-9F6B-CC19EB721E42}"/>
    <cellStyle name="Comma 2 3 5 3 3 2 3" xfId="24520" xr:uid="{4CF39944-5CBC-450E-80D5-34CB043CB95E}"/>
    <cellStyle name="Comma 2 3 5 3 3 3" xfId="11512" xr:uid="{565BF4D7-75DE-4D23-BCB7-7505F8F5AB7F}"/>
    <cellStyle name="Comma 2 3 5 3 3 3 2" xfId="28856" xr:uid="{1E1278F1-2130-46EB-AFD9-11206E230E45}"/>
    <cellStyle name="Comma 2 3 5 3 3 4" xfId="20184" xr:uid="{23CA8D48-D32B-4711-8861-B6E4DB1DC335}"/>
    <cellStyle name="Comma 2 3 5 3 4" xfId="5008" xr:uid="{F17F5B97-40B4-4472-B1FE-4BDA06A63A71}"/>
    <cellStyle name="Comma 2 3 5 3 4 2" xfId="13680" xr:uid="{8A185471-5577-427B-BEC3-9913E3FC9CD0}"/>
    <cellStyle name="Comma 2 3 5 3 4 2 2" xfId="31024" xr:uid="{F3915EF2-FE68-46CB-A930-9E99187B6904}"/>
    <cellStyle name="Comma 2 3 5 3 4 3" xfId="22352" xr:uid="{F225163A-EAA4-4A1D-8C82-4E7695617E8C}"/>
    <cellStyle name="Comma 2 3 5 3 5" xfId="9344" xr:uid="{9E6993C6-DCC4-4B42-B4D0-29A49E9FCA93}"/>
    <cellStyle name="Comma 2 3 5 3 5 2" xfId="26688" xr:uid="{CEDBF47F-EEBD-46A1-B008-921951852ECD}"/>
    <cellStyle name="Comma 2 3 5 3 6" xfId="18016" xr:uid="{5925CC6D-CE4A-48B9-9003-F097FAE43C0F}"/>
    <cellStyle name="Comma 2 3 5 4" xfId="1215" xr:uid="{7EC817C1-39B1-48AD-978A-E43D278371CC}"/>
    <cellStyle name="Comma 2 3 5 4 2" xfId="3383" xr:uid="{CA65DDBC-BC55-4F59-AF37-AE7BD8B80EC8}"/>
    <cellStyle name="Comma 2 3 5 4 2 2" xfId="7719" xr:uid="{4C74C9EC-5967-43B9-A190-4AF7208FBB52}"/>
    <cellStyle name="Comma 2 3 5 4 2 2 2" xfId="16391" xr:uid="{BA368A40-1140-4FC9-B5FF-E265E1ED1344}"/>
    <cellStyle name="Comma 2 3 5 4 2 2 2 2" xfId="33735" xr:uid="{A1024CF2-1E6A-493B-A8B7-596AEEEA5312}"/>
    <cellStyle name="Comma 2 3 5 4 2 2 3" xfId="25063" xr:uid="{11AD316E-11EA-4B67-8697-8A43E659FB5B}"/>
    <cellStyle name="Comma 2 3 5 4 2 3" xfId="12055" xr:uid="{3E262283-5DED-47A3-9868-E43613CFDEB3}"/>
    <cellStyle name="Comma 2 3 5 4 2 3 2" xfId="29399" xr:uid="{8571D076-CD3A-4B5C-B074-FA0EB9F8BEF2}"/>
    <cellStyle name="Comma 2 3 5 4 2 4" xfId="20727" xr:uid="{3FD7A758-F13B-4063-870A-117BF871BB54}"/>
    <cellStyle name="Comma 2 3 5 4 3" xfId="5551" xr:uid="{D269E22F-FED1-478B-B25F-BBEB0294B845}"/>
    <cellStyle name="Comma 2 3 5 4 3 2" xfId="14223" xr:uid="{4975E4B1-A0E7-453D-9958-1580701C5AD5}"/>
    <cellStyle name="Comma 2 3 5 4 3 2 2" xfId="31567" xr:uid="{9BE9081F-FEC9-40ED-9624-80382C7C24E7}"/>
    <cellStyle name="Comma 2 3 5 4 3 3" xfId="22895" xr:uid="{4D68B0CF-36C8-44A3-B33D-9BFCF7CFBD4D}"/>
    <cellStyle name="Comma 2 3 5 4 4" xfId="9887" xr:uid="{31C7A17C-584D-4E6E-A9D0-3236B12453BD}"/>
    <cellStyle name="Comma 2 3 5 4 4 2" xfId="27231" xr:uid="{3FAD86D6-73EF-4E44-8F79-11297CF859F6}"/>
    <cellStyle name="Comma 2 3 5 4 5" xfId="18559" xr:uid="{0BD56095-F205-4B6C-B2A0-90C43C4BB37F}"/>
    <cellStyle name="Comma 2 3 5 5" xfId="2299" xr:uid="{F8DC754B-FCFC-4241-865A-B2B05DC4E5BA}"/>
    <cellStyle name="Comma 2 3 5 5 2" xfId="6635" xr:uid="{6834DBF1-C9C3-4963-AA79-CEC77D19589D}"/>
    <cellStyle name="Comma 2 3 5 5 2 2" xfId="15307" xr:uid="{92CA24E5-877C-40E2-B383-6EBB9DA42F5A}"/>
    <cellStyle name="Comma 2 3 5 5 2 2 2" xfId="32651" xr:uid="{ED3E303D-15A7-4B9E-A6EF-996CD727A24E}"/>
    <cellStyle name="Comma 2 3 5 5 2 3" xfId="23979" xr:uid="{9AA2DC84-F610-42AB-82AF-FBFD212C74EE}"/>
    <cellStyle name="Comma 2 3 5 5 3" xfId="10971" xr:uid="{16195063-7C1D-4040-902A-83BE15CBBF06}"/>
    <cellStyle name="Comma 2 3 5 5 3 2" xfId="28315" xr:uid="{1CB3EEDD-EA1F-474D-A3A3-3608F4FE16EC}"/>
    <cellStyle name="Comma 2 3 5 5 4" xfId="19643" xr:uid="{22653979-47C1-4F61-BB28-E7163DBEF570}"/>
    <cellStyle name="Comma 2 3 5 6" xfId="4467" xr:uid="{016788C7-8D11-420E-AAAD-4B34C94E7CDF}"/>
    <cellStyle name="Comma 2 3 5 6 2" xfId="13139" xr:uid="{949858A7-2C3C-4294-BD09-88BFDC905D79}"/>
    <cellStyle name="Comma 2 3 5 6 2 2" xfId="30483" xr:uid="{C4759F69-321D-4686-9996-4BD7EC244649}"/>
    <cellStyle name="Comma 2 3 5 6 3" xfId="21811" xr:uid="{C4C3B6AB-D3BD-4ACA-A2BC-6457D31E4C73}"/>
    <cellStyle name="Comma 2 3 5 7" xfId="8803" xr:uid="{6F4B0663-D2A5-4B79-81AF-266ED23B4E5B}"/>
    <cellStyle name="Comma 2 3 5 7 2" xfId="26147" xr:uid="{7081C7FF-91B9-493D-B553-80E154D01843}"/>
    <cellStyle name="Comma 2 3 5 8" xfId="17475" xr:uid="{B8B6EC46-895B-47D9-9EA5-0926649AA239}"/>
    <cellStyle name="Comma 2 3 6" xfId="250" xr:uid="{475E3203-12F9-4C49-8007-D685801D1213}"/>
    <cellStyle name="Comma 2 3 6 2" xfId="520" xr:uid="{9496AF1B-14AE-4EC4-83A1-AE452076D662}"/>
    <cellStyle name="Comma 2 3 6 2 2" xfId="1061" xr:uid="{6ED192CF-0165-465A-BF32-4DC1BFB64330}"/>
    <cellStyle name="Comma 2 3 6 2 2 2" xfId="2145" xr:uid="{5760E431-92DA-402C-809E-6A12CEBF34B8}"/>
    <cellStyle name="Comma 2 3 6 2 2 2 2" xfId="4313" xr:uid="{CAE2BE99-9F61-4C08-B246-2487463B9C08}"/>
    <cellStyle name="Comma 2 3 6 2 2 2 2 2" xfId="8649" xr:uid="{8263AC40-91DF-420B-A656-DE83555B8CB9}"/>
    <cellStyle name="Comma 2 3 6 2 2 2 2 2 2" xfId="17321" xr:uid="{7244805E-54DC-4B4A-94C0-7FB5691C8E9E}"/>
    <cellStyle name="Comma 2 3 6 2 2 2 2 2 2 2" xfId="34665" xr:uid="{37DDA9C2-19D5-47C7-BDCD-A2D1B9570ABC}"/>
    <cellStyle name="Comma 2 3 6 2 2 2 2 2 3" xfId="25993" xr:uid="{35148ABB-92D6-47A4-BEB7-4948DE957E53}"/>
    <cellStyle name="Comma 2 3 6 2 2 2 2 3" xfId="12985" xr:uid="{C110721C-AD34-472C-B2A4-5F22BDB23CEE}"/>
    <cellStyle name="Comma 2 3 6 2 2 2 2 3 2" xfId="30329" xr:uid="{F69B131F-B3FF-4D58-A497-5A198BFD50D0}"/>
    <cellStyle name="Comma 2 3 6 2 2 2 2 4" xfId="21657" xr:uid="{BF97CA0B-57F4-433E-BA9A-46D8D970B1BF}"/>
    <cellStyle name="Comma 2 3 6 2 2 2 3" xfId="6481" xr:uid="{65EDBC38-97F9-4373-950E-4A1E3E221903}"/>
    <cellStyle name="Comma 2 3 6 2 2 2 3 2" xfId="15153" xr:uid="{3159067E-21CF-45C6-BE0E-07934BA5765C}"/>
    <cellStyle name="Comma 2 3 6 2 2 2 3 2 2" xfId="32497" xr:uid="{1DD408E3-B09F-4765-AF31-D532850B574D}"/>
    <cellStyle name="Comma 2 3 6 2 2 2 3 3" xfId="23825" xr:uid="{D32EC471-E6C5-4D98-8FAA-34F051088679}"/>
    <cellStyle name="Comma 2 3 6 2 2 2 4" xfId="10817" xr:uid="{5F897F7D-0EC4-4A18-B847-8048033396B7}"/>
    <cellStyle name="Comma 2 3 6 2 2 2 4 2" xfId="28161" xr:uid="{C5FF439E-E67F-4C7E-B60D-89E067AA21DC}"/>
    <cellStyle name="Comma 2 3 6 2 2 2 5" xfId="19489" xr:uid="{5CCB71B9-220C-4BE9-8336-189E9CC535FA}"/>
    <cellStyle name="Comma 2 3 6 2 2 3" xfId="3229" xr:uid="{5BFF1DFB-ADFB-4522-BC04-D568E3FEE9B4}"/>
    <cellStyle name="Comma 2 3 6 2 2 3 2" xfId="7565" xr:uid="{141CA7FB-C52D-4458-8F60-2B9034546ACA}"/>
    <cellStyle name="Comma 2 3 6 2 2 3 2 2" xfId="16237" xr:uid="{4484E2A3-D0DA-4F6D-A66F-5C14CE95982F}"/>
    <cellStyle name="Comma 2 3 6 2 2 3 2 2 2" xfId="33581" xr:uid="{1DB39679-A3A0-43A5-ABF4-7DCEDF459DA8}"/>
    <cellStyle name="Comma 2 3 6 2 2 3 2 3" xfId="24909" xr:uid="{06DB1B10-AB62-42DD-BE7E-FBA7F51BA3A0}"/>
    <cellStyle name="Comma 2 3 6 2 2 3 3" xfId="11901" xr:uid="{1F281D60-BA13-46FF-A8C6-C1CD47A38DC5}"/>
    <cellStyle name="Comma 2 3 6 2 2 3 3 2" xfId="29245" xr:uid="{27D311B7-7BA4-4A26-BFC9-B6360CF3C9E1}"/>
    <cellStyle name="Comma 2 3 6 2 2 3 4" xfId="20573" xr:uid="{74F33F91-6D50-4258-BE59-9D44FB066A36}"/>
    <cellStyle name="Comma 2 3 6 2 2 4" xfId="5397" xr:uid="{7D1CAD64-AF35-49EA-8576-81D1F7EF87EB}"/>
    <cellStyle name="Comma 2 3 6 2 2 4 2" xfId="14069" xr:uid="{B0B4C9A8-C78E-49F2-9862-000426C2E879}"/>
    <cellStyle name="Comma 2 3 6 2 2 4 2 2" xfId="31413" xr:uid="{9F8B9869-7752-43F2-AB58-19D1BA1C633F}"/>
    <cellStyle name="Comma 2 3 6 2 2 4 3" xfId="22741" xr:uid="{637F6E4B-AC71-4F9F-AE09-9E5B722562C7}"/>
    <cellStyle name="Comma 2 3 6 2 2 5" xfId="9733" xr:uid="{1553898F-F2D8-4E2B-9F8C-F16C3C356F6F}"/>
    <cellStyle name="Comma 2 3 6 2 2 5 2" xfId="27077" xr:uid="{5F554516-446A-49A8-A362-9AD4675C2AF2}"/>
    <cellStyle name="Comma 2 3 6 2 2 6" xfId="18405" xr:uid="{8F696DFC-A5F2-4D39-BA0B-576B1628268B}"/>
    <cellStyle name="Comma 2 3 6 2 3" xfId="1604" xr:uid="{E9C221D8-0498-4C5C-8139-B830366F0B2F}"/>
    <cellStyle name="Comma 2 3 6 2 3 2" xfId="3772" xr:uid="{92A4FF34-AFC3-4E37-A1C6-1578E40FF6B6}"/>
    <cellStyle name="Comma 2 3 6 2 3 2 2" xfId="8108" xr:uid="{DB925413-57FE-4655-9C1F-D1B3DFD8F9A8}"/>
    <cellStyle name="Comma 2 3 6 2 3 2 2 2" xfId="16780" xr:uid="{87057716-C2F9-405E-B6A9-C2005BF3C8C0}"/>
    <cellStyle name="Comma 2 3 6 2 3 2 2 2 2" xfId="34124" xr:uid="{1A7F1F99-3C24-45C8-9FD8-530F22CF5AB8}"/>
    <cellStyle name="Comma 2 3 6 2 3 2 2 3" xfId="25452" xr:uid="{BF62A858-9290-4AA0-A18F-170693726141}"/>
    <cellStyle name="Comma 2 3 6 2 3 2 3" xfId="12444" xr:uid="{6A1244C7-07A2-414D-AC3D-8FA2B3270276}"/>
    <cellStyle name="Comma 2 3 6 2 3 2 3 2" xfId="29788" xr:uid="{F8D81EC0-0D2E-4414-8BD4-EE6C91E9EF76}"/>
    <cellStyle name="Comma 2 3 6 2 3 2 4" xfId="21116" xr:uid="{8D6EEE00-FD4C-4F73-ACAF-4B1E582317D2}"/>
    <cellStyle name="Comma 2 3 6 2 3 3" xfId="5940" xr:uid="{763A19FE-FF10-4C48-B8CB-A095B68C65B1}"/>
    <cellStyle name="Comma 2 3 6 2 3 3 2" xfId="14612" xr:uid="{0C065FC7-9C96-400F-9BD5-6823EBE75163}"/>
    <cellStyle name="Comma 2 3 6 2 3 3 2 2" xfId="31956" xr:uid="{EF4D8E9D-359D-4D05-8E2C-338C29CA2649}"/>
    <cellStyle name="Comma 2 3 6 2 3 3 3" xfId="23284" xr:uid="{17FB1BF5-C1CD-4B29-8A98-B02EEE65AB2A}"/>
    <cellStyle name="Comma 2 3 6 2 3 4" xfId="10276" xr:uid="{455D9857-B24A-4F51-B790-D75359D34449}"/>
    <cellStyle name="Comma 2 3 6 2 3 4 2" xfId="27620" xr:uid="{FEDCB935-ACF4-4A8C-8010-5A654520B075}"/>
    <cellStyle name="Comma 2 3 6 2 3 5" xfId="18948" xr:uid="{BB498835-21DE-42E9-B90A-324880A261F7}"/>
    <cellStyle name="Comma 2 3 6 2 4" xfId="2688" xr:uid="{659A04E9-44A8-41A5-AA59-3530F62E89E0}"/>
    <cellStyle name="Comma 2 3 6 2 4 2" xfId="7024" xr:uid="{6C03B482-7F79-428A-BEAD-327B44B1E2E4}"/>
    <cellStyle name="Comma 2 3 6 2 4 2 2" xfId="15696" xr:uid="{2ECDCC95-A5B4-428B-AA64-25BC8BE008C0}"/>
    <cellStyle name="Comma 2 3 6 2 4 2 2 2" xfId="33040" xr:uid="{D60DE213-BF28-4B4D-AA16-09DD76DF045D}"/>
    <cellStyle name="Comma 2 3 6 2 4 2 3" xfId="24368" xr:uid="{F99EA319-8F48-4134-96E9-AD4892B7ED72}"/>
    <cellStyle name="Comma 2 3 6 2 4 3" xfId="11360" xr:uid="{DE86D364-4BFD-41AB-B816-364C1EC59431}"/>
    <cellStyle name="Comma 2 3 6 2 4 3 2" xfId="28704" xr:uid="{AC797538-63A2-4758-B556-30CF3507247F}"/>
    <cellStyle name="Comma 2 3 6 2 4 4" xfId="20032" xr:uid="{C04FBB38-11F5-492A-B83D-300B643D9058}"/>
    <cellStyle name="Comma 2 3 6 2 5" xfId="4856" xr:uid="{66368D2A-8013-4047-AB71-125CF1E9843C}"/>
    <cellStyle name="Comma 2 3 6 2 5 2" xfId="13528" xr:uid="{01C8EF6C-B65B-45D6-8F99-FA236F8F4CA5}"/>
    <cellStyle name="Comma 2 3 6 2 5 2 2" xfId="30872" xr:uid="{9B683997-CDE1-45BF-B775-A7F766017B6D}"/>
    <cellStyle name="Comma 2 3 6 2 5 3" xfId="22200" xr:uid="{CD147E7B-D67B-48FD-9BC4-A4F05749DBCA}"/>
    <cellStyle name="Comma 2 3 6 2 6" xfId="9192" xr:uid="{DB869986-86F7-45C2-887A-95A35090C918}"/>
    <cellStyle name="Comma 2 3 6 2 6 2" xfId="26536" xr:uid="{D6B90CA3-5422-4F90-B78F-5B283CB33FEA}"/>
    <cellStyle name="Comma 2 3 6 2 7" xfId="17864" xr:uid="{78455469-2331-475A-94A0-256DF2012EAA}"/>
    <cellStyle name="Comma 2 3 6 3" xfId="791" xr:uid="{48D3B62A-8AD5-45F8-B119-4BFFF4E64D6E}"/>
    <cellStyle name="Comma 2 3 6 3 2" xfId="1875" xr:uid="{C89FFF42-D341-497A-A0F4-84B3B1F58116}"/>
    <cellStyle name="Comma 2 3 6 3 2 2" xfId="4043" xr:uid="{E9798A48-E6D7-4D78-94CF-5A9BA71A0950}"/>
    <cellStyle name="Comma 2 3 6 3 2 2 2" xfId="8379" xr:uid="{37532298-F70C-4B5D-B0C1-CB972A367B0D}"/>
    <cellStyle name="Comma 2 3 6 3 2 2 2 2" xfId="17051" xr:uid="{8D4D8D63-BA49-496C-B8F6-946A5349A958}"/>
    <cellStyle name="Comma 2 3 6 3 2 2 2 2 2" xfId="34395" xr:uid="{B350B5B9-63DD-46F7-8D21-18E8D581B731}"/>
    <cellStyle name="Comma 2 3 6 3 2 2 2 3" xfId="25723" xr:uid="{945E731C-804F-464C-9D1A-E6F5CC7C3BD1}"/>
    <cellStyle name="Comma 2 3 6 3 2 2 3" xfId="12715" xr:uid="{7FFEC787-BFF7-4C1E-9169-CC8C1C6A49ED}"/>
    <cellStyle name="Comma 2 3 6 3 2 2 3 2" xfId="30059" xr:uid="{01334C3E-ED86-4393-845D-6C657B09CD2D}"/>
    <cellStyle name="Comma 2 3 6 3 2 2 4" xfId="21387" xr:uid="{8534098F-F49A-4686-8D6C-DCDA4F4E69E6}"/>
    <cellStyle name="Comma 2 3 6 3 2 3" xfId="6211" xr:uid="{C5942AB9-9FA2-46BB-9B4C-A3ED96BC44FE}"/>
    <cellStyle name="Comma 2 3 6 3 2 3 2" xfId="14883" xr:uid="{1AD987AC-3BB9-4A0B-BAEC-30CFC81B1B6C}"/>
    <cellStyle name="Comma 2 3 6 3 2 3 2 2" xfId="32227" xr:uid="{06003ECC-9561-4199-8AC7-865442F60186}"/>
    <cellStyle name="Comma 2 3 6 3 2 3 3" xfId="23555" xr:uid="{4FDB512A-8FC2-4A84-9D41-A7670E884EB5}"/>
    <cellStyle name="Comma 2 3 6 3 2 4" xfId="10547" xr:uid="{45DA6298-415D-4813-AEED-70B0AD953AF3}"/>
    <cellStyle name="Comma 2 3 6 3 2 4 2" xfId="27891" xr:uid="{A32748C0-2D63-4ABB-A72B-1A4CE7AE44F1}"/>
    <cellStyle name="Comma 2 3 6 3 2 5" xfId="19219" xr:uid="{F9058F6C-B0E3-4841-A942-816A8F6AE0A4}"/>
    <cellStyle name="Comma 2 3 6 3 3" xfId="2959" xr:uid="{9E4A1BEA-81C9-47DE-87B4-EDC3DBB8FDC8}"/>
    <cellStyle name="Comma 2 3 6 3 3 2" xfId="7295" xr:uid="{EA076A12-9AC0-416F-B9A0-55D3A3942F8A}"/>
    <cellStyle name="Comma 2 3 6 3 3 2 2" xfId="15967" xr:uid="{DD7F74A4-4683-41A6-890B-AF61386B7B26}"/>
    <cellStyle name="Comma 2 3 6 3 3 2 2 2" xfId="33311" xr:uid="{E1ABEFCE-B2F9-42A7-BB86-D8987CEEB366}"/>
    <cellStyle name="Comma 2 3 6 3 3 2 3" xfId="24639" xr:uid="{144ABB36-D3A2-400F-B799-FA5E13E2E322}"/>
    <cellStyle name="Comma 2 3 6 3 3 3" xfId="11631" xr:uid="{BB0678A7-73FF-441E-B4C5-62FF1FA226F2}"/>
    <cellStyle name="Comma 2 3 6 3 3 3 2" xfId="28975" xr:uid="{4F184A5B-286D-476A-94C8-739B4800DC02}"/>
    <cellStyle name="Comma 2 3 6 3 3 4" xfId="20303" xr:uid="{18992819-F65C-4753-850C-516D767F0275}"/>
    <cellStyle name="Comma 2 3 6 3 4" xfId="5127" xr:uid="{23F2EB37-2775-40E9-A4FE-AC8B806830C3}"/>
    <cellStyle name="Comma 2 3 6 3 4 2" xfId="13799" xr:uid="{AF0EAE53-723C-4907-B9F5-DE93B4101459}"/>
    <cellStyle name="Comma 2 3 6 3 4 2 2" xfId="31143" xr:uid="{E0292E70-F8E0-4480-97E0-067F98B220A8}"/>
    <cellStyle name="Comma 2 3 6 3 4 3" xfId="22471" xr:uid="{0D03C1D8-D67D-4F2D-BF71-2B5813A044DC}"/>
    <cellStyle name="Comma 2 3 6 3 5" xfId="9463" xr:uid="{DB1F8C08-E158-42BC-B2F8-F655CED16492}"/>
    <cellStyle name="Comma 2 3 6 3 5 2" xfId="26807" xr:uid="{2C3A35C6-4751-4714-A99F-4C36B4B3DE42}"/>
    <cellStyle name="Comma 2 3 6 3 6" xfId="18135" xr:uid="{0264B093-AAB7-4A78-9782-7FC11D51021F}"/>
    <cellStyle name="Comma 2 3 6 4" xfId="1334" xr:uid="{FE54A499-4689-4F76-8BD7-612947E48B5E}"/>
    <cellStyle name="Comma 2 3 6 4 2" xfId="3502" xr:uid="{438F020E-91BD-4B80-B110-C4A5FABB529D}"/>
    <cellStyle name="Comma 2 3 6 4 2 2" xfId="7838" xr:uid="{D2F820C2-1499-43C0-A7DE-984FE278907B}"/>
    <cellStyle name="Comma 2 3 6 4 2 2 2" xfId="16510" xr:uid="{7AA74569-8A72-4D98-911B-E58C94ACFC30}"/>
    <cellStyle name="Comma 2 3 6 4 2 2 2 2" xfId="33854" xr:uid="{25783138-0033-4E8F-AA94-675C5F8797FE}"/>
    <cellStyle name="Comma 2 3 6 4 2 2 3" xfId="25182" xr:uid="{0BDC71B0-E986-4707-851D-A943FBFF3BB1}"/>
    <cellStyle name="Comma 2 3 6 4 2 3" xfId="12174" xr:uid="{8F296EB6-3B46-4955-BEBF-B3E68B7A757D}"/>
    <cellStyle name="Comma 2 3 6 4 2 3 2" xfId="29518" xr:uid="{C7C6EDB5-A2F6-4777-A86B-9DFF447994AB}"/>
    <cellStyle name="Comma 2 3 6 4 2 4" xfId="20846" xr:uid="{0CAD5B77-EC52-4780-8539-1795958B8324}"/>
    <cellStyle name="Comma 2 3 6 4 3" xfId="5670" xr:uid="{BC92FBA4-3D7F-473E-839F-8B3420992A4D}"/>
    <cellStyle name="Comma 2 3 6 4 3 2" xfId="14342" xr:uid="{29953691-7D71-444A-A037-CEA6DC1B1E95}"/>
    <cellStyle name="Comma 2 3 6 4 3 2 2" xfId="31686" xr:uid="{3C5B1352-9196-4796-A87C-2A38FF4B824B}"/>
    <cellStyle name="Comma 2 3 6 4 3 3" xfId="23014" xr:uid="{43649E24-BA5F-4A1B-A2D2-87150C79F045}"/>
    <cellStyle name="Comma 2 3 6 4 4" xfId="10006" xr:uid="{244DB7AF-8DE4-4EE1-B6CB-837F80567A14}"/>
    <cellStyle name="Comma 2 3 6 4 4 2" xfId="27350" xr:uid="{FFB6414D-FF6D-406A-8CC7-FC2F5267DE7D}"/>
    <cellStyle name="Comma 2 3 6 4 5" xfId="18678" xr:uid="{B92733D3-F657-4207-85CA-EF9441A42595}"/>
    <cellStyle name="Comma 2 3 6 5" xfId="2418" xr:uid="{04F9C2BD-2995-4E16-9B88-C069D949CDAA}"/>
    <cellStyle name="Comma 2 3 6 5 2" xfId="6754" xr:uid="{F22419D1-AEFB-4840-AAB0-90078CF23190}"/>
    <cellStyle name="Comma 2 3 6 5 2 2" xfId="15426" xr:uid="{54DA14CC-6E04-4CEC-8353-45A0FB95A49B}"/>
    <cellStyle name="Comma 2 3 6 5 2 2 2" xfId="32770" xr:uid="{29A87FF2-06D5-43C4-90B2-D890DB7BE375}"/>
    <cellStyle name="Comma 2 3 6 5 2 3" xfId="24098" xr:uid="{E22740C2-F223-4CAB-A2C8-7C02A5F31439}"/>
    <cellStyle name="Comma 2 3 6 5 3" xfId="11090" xr:uid="{E86CB570-97C5-4382-84C3-A1C2F523957D}"/>
    <cellStyle name="Comma 2 3 6 5 3 2" xfId="28434" xr:uid="{5E0E2729-885D-46F8-BF03-0CC70780C629}"/>
    <cellStyle name="Comma 2 3 6 5 4" xfId="19762" xr:uid="{D65DCD19-1B92-4F47-95FE-D4FD3821D248}"/>
    <cellStyle name="Comma 2 3 6 6" xfId="4586" xr:uid="{1657A5C1-22BB-455C-BD53-C459C7EEB84B}"/>
    <cellStyle name="Comma 2 3 6 6 2" xfId="13258" xr:uid="{FED0C9A3-D2D4-4835-AF15-FEF17CF70799}"/>
    <cellStyle name="Comma 2 3 6 6 2 2" xfId="30602" xr:uid="{6243FBA9-FF40-4CD7-95E7-0D38DB06F885}"/>
    <cellStyle name="Comma 2 3 6 6 3" xfId="21930" xr:uid="{FD8ED53E-8384-4C7C-AFA0-CB8EA5D4ADF0}"/>
    <cellStyle name="Comma 2 3 6 7" xfId="8922" xr:uid="{CAE862F0-37EF-46A1-8717-7362EABF7A07}"/>
    <cellStyle name="Comma 2 3 6 7 2" xfId="26266" xr:uid="{08AB036C-1B3B-4C2A-AB17-59F63A359591}"/>
    <cellStyle name="Comma 2 3 6 8" xfId="17594" xr:uid="{EF5F084A-26A2-4F18-BBEF-FA5DDD9DB55E}"/>
    <cellStyle name="Comma 2 3 7" xfId="279" xr:uid="{D042793F-880A-4560-8B54-DB89CDC5ADFE}"/>
    <cellStyle name="Comma 2 3 7 2" xfId="820" xr:uid="{27B293FC-E82D-40EE-8277-9F38FAEB6B0D}"/>
    <cellStyle name="Comma 2 3 7 2 2" xfId="1904" xr:uid="{3988747B-54A8-4119-8D33-914C24733F71}"/>
    <cellStyle name="Comma 2 3 7 2 2 2" xfId="4072" xr:uid="{C495E6F4-309C-4148-A2ED-65B5B1CB69C3}"/>
    <cellStyle name="Comma 2 3 7 2 2 2 2" xfId="8408" xr:uid="{6659FAC8-1209-416E-81E8-FF17530CB7AD}"/>
    <cellStyle name="Comma 2 3 7 2 2 2 2 2" xfId="17080" xr:uid="{9A24CEF4-C2C9-4B2F-B048-93AE18391F43}"/>
    <cellStyle name="Comma 2 3 7 2 2 2 2 2 2" xfId="34424" xr:uid="{311B64E6-6548-4BAD-B6AE-3CD6EAA3BE31}"/>
    <cellStyle name="Comma 2 3 7 2 2 2 2 3" xfId="25752" xr:uid="{62664B38-5129-496F-BEC7-1BD0902FB3ED}"/>
    <cellStyle name="Comma 2 3 7 2 2 2 3" xfId="12744" xr:uid="{09BA1679-7ADB-46C8-8FAB-FEA77642D0E8}"/>
    <cellStyle name="Comma 2 3 7 2 2 2 3 2" xfId="30088" xr:uid="{9347A975-7876-464C-9F80-6C161B0E63A2}"/>
    <cellStyle name="Comma 2 3 7 2 2 2 4" xfId="21416" xr:uid="{808FFD49-4317-4276-BCCE-CD3DFC0A0F4D}"/>
    <cellStyle name="Comma 2 3 7 2 2 3" xfId="6240" xr:uid="{6046F3D1-806D-4CDF-B8D6-1A9E4F1C9EA6}"/>
    <cellStyle name="Comma 2 3 7 2 2 3 2" xfId="14912" xr:uid="{161060A7-DF83-4B77-8F2A-E94061B510B2}"/>
    <cellStyle name="Comma 2 3 7 2 2 3 2 2" xfId="32256" xr:uid="{75429541-92E0-4D37-B62E-756F6401F327}"/>
    <cellStyle name="Comma 2 3 7 2 2 3 3" xfId="23584" xr:uid="{83BCBFF7-096D-4A30-A1BE-A97C6ADBA45F}"/>
    <cellStyle name="Comma 2 3 7 2 2 4" xfId="10576" xr:uid="{B9E6FEE0-12F5-4D5C-BC4D-92C3B2D74C1F}"/>
    <cellStyle name="Comma 2 3 7 2 2 4 2" xfId="27920" xr:uid="{6736C11A-F6F3-4F29-8EDB-647D9B36166E}"/>
    <cellStyle name="Comma 2 3 7 2 2 5" xfId="19248" xr:uid="{8F6A469F-F959-4C32-AFC2-9487A768D639}"/>
    <cellStyle name="Comma 2 3 7 2 3" xfId="2988" xr:uid="{32990F54-6044-4438-A21A-D130D98F9305}"/>
    <cellStyle name="Comma 2 3 7 2 3 2" xfId="7324" xr:uid="{9219297C-2E41-4D02-9B0F-7E5AAE45BB6F}"/>
    <cellStyle name="Comma 2 3 7 2 3 2 2" xfId="15996" xr:uid="{E8EC4DDD-9DFB-4C89-83DE-75C69264D225}"/>
    <cellStyle name="Comma 2 3 7 2 3 2 2 2" xfId="33340" xr:uid="{87ABAEE4-6750-46E7-A369-E0EE8294AD1B}"/>
    <cellStyle name="Comma 2 3 7 2 3 2 3" xfId="24668" xr:uid="{AC19C6C5-BFE6-4114-8F8F-B91D25BC5B21}"/>
    <cellStyle name="Comma 2 3 7 2 3 3" xfId="11660" xr:uid="{8DB90206-FDF9-4734-AD2C-EC7B2F8711FB}"/>
    <cellStyle name="Comma 2 3 7 2 3 3 2" xfId="29004" xr:uid="{7CA2A912-6B83-49EF-9EF6-A29A62A94858}"/>
    <cellStyle name="Comma 2 3 7 2 3 4" xfId="20332" xr:uid="{679FE39A-E66E-4ECE-9557-969D46C2773A}"/>
    <cellStyle name="Comma 2 3 7 2 4" xfId="5156" xr:uid="{32A29C9F-A928-467E-A279-6695514503D9}"/>
    <cellStyle name="Comma 2 3 7 2 4 2" xfId="13828" xr:uid="{DB42F012-DF20-4677-BE0B-401C2E002F1E}"/>
    <cellStyle name="Comma 2 3 7 2 4 2 2" xfId="31172" xr:uid="{5CABEE46-CFEA-4CAA-B86D-1A3604B91E4B}"/>
    <cellStyle name="Comma 2 3 7 2 4 3" xfId="22500" xr:uid="{25E65633-F08F-448B-97E0-ED57760B5150}"/>
    <cellStyle name="Comma 2 3 7 2 5" xfId="9492" xr:uid="{0ECD03D7-FF02-42F1-95E5-8510A6794831}"/>
    <cellStyle name="Comma 2 3 7 2 5 2" xfId="26836" xr:uid="{B872E77C-6686-4E2A-B3AF-9CF437A142F2}"/>
    <cellStyle name="Comma 2 3 7 2 6" xfId="18164" xr:uid="{3B2CE3A9-48A3-48D4-BAEA-32E3C1B3321A}"/>
    <cellStyle name="Comma 2 3 7 3" xfId="1363" xr:uid="{35FCB530-2D43-45E9-BBDF-AB4D52701F7A}"/>
    <cellStyle name="Comma 2 3 7 3 2" xfId="3531" xr:uid="{7511F943-CD41-4D8E-83A5-3837A87D0D75}"/>
    <cellStyle name="Comma 2 3 7 3 2 2" xfId="7867" xr:uid="{917F38C0-AC7A-469E-8F4F-17BA281F1940}"/>
    <cellStyle name="Comma 2 3 7 3 2 2 2" xfId="16539" xr:uid="{AADBB83F-23C7-4ECB-8017-57C30100F18D}"/>
    <cellStyle name="Comma 2 3 7 3 2 2 2 2" xfId="33883" xr:uid="{D8FED37D-D8DE-42AE-BDB5-8F256CFF0219}"/>
    <cellStyle name="Comma 2 3 7 3 2 2 3" xfId="25211" xr:uid="{7DDB188A-4E9D-41FD-ABA7-EAD3F5199E20}"/>
    <cellStyle name="Comma 2 3 7 3 2 3" xfId="12203" xr:uid="{18FA8E50-15DB-4A68-BC66-41A67B178602}"/>
    <cellStyle name="Comma 2 3 7 3 2 3 2" xfId="29547" xr:uid="{6BF3CD17-CC8C-4B25-9ABE-459A60F5202E}"/>
    <cellStyle name="Comma 2 3 7 3 2 4" xfId="20875" xr:uid="{12C832AA-32D2-471F-A578-A237DA1EBDD9}"/>
    <cellStyle name="Comma 2 3 7 3 3" xfId="5699" xr:uid="{9180A2BB-DB7F-4E20-8808-BA88D1C3B750}"/>
    <cellStyle name="Comma 2 3 7 3 3 2" xfId="14371" xr:uid="{51341D7C-3885-4A12-B07D-5C27E0349335}"/>
    <cellStyle name="Comma 2 3 7 3 3 2 2" xfId="31715" xr:uid="{308FDA38-7A20-457A-BCFF-7D748CAED5D7}"/>
    <cellStyle name="Comma 2 3 7 3 3 3" xfId="23043" xr:uid="{76C5F629-4D67-4375-8532-751694889CB3}"/>
    <cellStyle name="Comma 2 3 7 3 4" xfId="10035" xr:uid="{831D1506-05D1-4BD1-B535-7E79D43E6382}"/>
    <cellStyle name="Comma 2 3 7 3 4 2" xfId="27379" xr:uid="{5B811276-99EF-47F8-BE4B-DE3EC1A78A62}"/>
    <cellStyle name="Comma 2 3 7 3 5" xfId="18707" xr:uid="{CC6BC2AF-273F-439E-9070-98FEE96775A6}"/>
    <cellStyle name="Comma 2 3 7 4" xfId="2447" xr:uid="{A650269F-BD1E-4AA1-A25A-E41FA4254065}"/>
    <cellStyle name="Comma 2 3 7 4 2" xfId="6783" xr:uid="{3F79695B-3E22-4C07-84BE-79138647DB24}"/>
    <cellStyle name="Comma 2 3 7 4 2 2" xfId="15455" xr:uid="{316B9DC2-5AB1-45B2-88B1-DB5E9B235154}"/>
    <cellStyle name="Comma 2 3 7 4 2 2 2" xfId="32799" xr:uid="{6DF4A2F5-2B62-446E-A3BE-3F325EB41624}"/>
    <cellStyle name="Comma 2 3 7 4 2 3" xfId="24127" xr:uid="{3968E219-E217-4389-AE29-65294CA264C8}"/>
    <cellStyle name="Comma 2 3 7 4 3" xfId="11119" xr:uid="{42F24CBC-40E9-44D2-B588-8724F6D790F1}"/>
    <cellStyle name="Comma 2 3 7 4 3 2" xfId="28463" xr:uid="{FF7AA877-324F-43DB-9A79-AB64D1160ACB}"/>
    <cellStyle name="Comma 2 3 7 4 4" xfId="19791" xr:uid="{BFDCC20D-B400-4CDC-8561-0C8873983F2E}"/>
    <cellStyle name="Comma 2 3 7 5" xfId="4615" xr:uid="{DA5177DC-7E3E-4D8F-BEE8-B48897CCA713}"/>
    <cellStyle name="Comma 2 3 7 5 2" xfId="13287" xr:uid="{1D3DEC26-658B-44B9-8AF2-83621A1C1661}"/>
    <cellStyle name="Comma 2 3 7 5 2 2" xfId="30631" xr:uid="{6AFB1F5A-9622-44BD-84E3-68E9DDE39957}"/>
    <cellStyle name="Comma 2 3 7 5 3" xfId="21959" xr:uid="{A1712ADA-0395-486C-BFB2-CEAEF7D0D436}"/>
    <cellStyle name="Comma 2 3 7 6" xfId="8951" xr:uid="{D0B32994-AD6F-43E4-8A6C-5C2FA13E7D56}"/>
    <cellStyle name="Comma 2 3 7 6 2" xfId="26295" xr:uid="{7B3D90F6-0C1E-4706-ACDB-D4E9AC5F8576}"/>
    <cellStyle name="Comma 2 3 7 7" xfId="17623" xr:uid="{DE38228D-0E8D-46EA-A696-0F0CD33F3706}"/>
    <cellStyle name="Comma 2 3 8" xfId="550" xr:uid="{B18ACD53-4E71-40EC-8386-771B4CEE15B5}"/>
    <cellStyle name="Comma 2 3 8 2" xfId="1634" xr:uid="{608F8C38-37AC-42EA-BD85-018E06C2F8FE}"/>
    <cellStyle name="Comma 2 3 8 2 2" xfId="3802" xr:uid="{F7439DB5-B4B9-4A79-81B9-092833666820}"/>
    <cellStyle name="Comma 2 3 8 2 2 2" xfId="8138" xr:uid="{207540BA-E4CE-4384-9797-4D4004E30287}"/>
    <cellStyle name="Comma 2 3 8 2 2 2 2" xfId="16810" xr:uid="{A81D99AF-A131-4B65-9AA6-5549B18A8BA8}"/>
    <cellStyle name="Comma 2 3 8 2 2 2 2 2" xfId="34154" xr:uid="{686D1838-67DE-468A-B613-EB1DD08A897B}"/>
    <cellStyle name="Comma 2 3 8 2 2 2 3" xfId="25482" xr:uid="{51D6DF86-02CC-429D-A90E-08B1181BDC4C}"/>
    <cellStyle name="Comma 2 3 8 2 2 3" xfId="12474" xr:uid="{87ED9136-D199-49DE-ACE1-E7F29507AD40}"/>
    <cellStyle name="Comma 2 3 8 2 2 3 2" xfId="29818" xr:uid="{ED9BA600-4B4F-4353-8228-4451315A6635}"/>
    <cellStyle name="Comma 2 3 8 2 2 4" xfId="21146" xr:uid="{0D6B42F7-1CBE-4C1C-815C-7323320C1B6C}"/>
    <cellStyle name="Comma 2 3 8 2 3" xfId="5970" xr:uid="{E4CBE668-3604-499F-9B3D-93B37280DB98}"/>
    <cellStyle name="Comma 2 3 8 2 3 2" xfId="14642" xr:uid="{BC859C8A-AB89-4C96-8388-A2A43A28F02D}"/>
    <cellStyle name="Comma 2 3 8 2 3 2 2" xfId="31986" xr:uid="{F498AD78-FA6D-4837-9167-F189338E2BD7}"/>
    <cellStyle name="Comma 2 3 8 2 3 3" xfId="23314" xr:uid="{28D574E6-34E5-4821-9980-223AE040BE84}"/>
    <cellStyle name="Comma 2 3 8 2 4" xfId="10306" xr:uid="{EF85204F-47C1-4080-882A-6F2BDC8AA9AE}"/>
    <cellStyle name="Comma 2 3 8 2 4 2" xfId="27650" xr:uid="{76DCB0FA-C4F3-46A9-95FE-791FE507529D}"/>
    <cellStyle name="Comma 2 3 8 2 5" xfId="18978" xr:uid="{CE933A6E-69C0-4EBA-B104-691DF2B9F8CC}"/>
    <cellStyle name="Comma 2 3 8 3" xfId="2718" xr:uid="{216BFE4C-E7AC-498B-BA85-25646930173E}"/>
    <cellStyle name="Comma 2 3 8 3 2" xfId="7054" xr:uid="{60887FC9-0F6F-4BB4-B637-795091B722AE}"/>
    <cellStyle name="Comma 2 3 8 3 2 2" xfId="15726" xr:uid="{D03C34DA-251D-4DD9-B6C9-05F682C10736}"/>
    <cellStyle name="Comma 2 3 8 3 2 2 2" xfId="33070" xr:uid="{B50DA3FE-7035-4AD6-8B32-CB0547043752}"/>
    <cellStyle name="Comma 2 3 8 3 2 3" xfId="24398" xr:uid="{9F28AC44-5FC7-4E6D-9B81-599505E2C258}"/>
    <cellStyle name="Comma 2 3 8 3 3" xfId="11390" xr:uid="{28F1BB29-D7D7-47CF-AA25-CE447410C6C4}"/>
    <cellStyle name="Comma 2 3 8 3 3 2" xfId="28734" xr:uid="{B9BC4FCC-91E6-45FD-BDCD-191770EE4E10}"/>
    <cellStyle name="Comma 2 3 8 3 4" xfId="20062" xr:uid="{3AF4C10B-5F10-4DBE-961C-9151BF79682D}"/>
    <cellStyle name="Comma 2 3 8 4" xfId="4886" xr:uid="{A43663DE-8398-4B0A-992C-A3EC7E75D5E1}"/>
    <cellStyle name="Comma 2 3 8 4 2" xfId="13558" xr:uid="{9AEE21E7-49D7-4E4E-A3B7-8B44408326AB}"/>
    <cellStyle name="Comma 2 3 8 4 2 2" xfId="30902" xr:uid="{A3246F94-87B1-4259-A2A3-46D8FB5BCA2E}"/>
    <cellStyle name="Comma 2 3 8 4 3" xfId="22230" xr:uid="{70197CE2-F204-4A03-BA70-5442B939006B}"/>
    <cellStyle name="Comma 2 3 8 5" xfId="9222" xr:uid="{7AA72A9D-CE23-4047-9D6F-7D0B1188A65D}"/>
    <cellStyle name="Comma 2 3 8 5 2" xfId="26566" xr:uid="{D67E7E8B-43D4-4E08-BE14-76E15E13EF2A}"/>
    <cellStyle name="Comma 2 3 8 6" xfId="17894" xr:uid="{2B541087-6CF7-4D44-94D8-E672BD362956}"/>
    <cellStyle name="Comma 2 3 9" xfId="1093" xr:uid="{509D4A7A-FAEA-4B8D-A446-FA6CA5C33950}"/>
    <cellStyle name="Comma 2 3 9 2" xfId="3261" xr:uid="{E5DA7221-BEBC-4567-B473-0F89CEDCA8BE}"/>
    <cellStyle name="Comma 2 3 9 2 2" xfId="7597" xr:uid="{A756619C-1FA1-45E1-B26D-395E8E7498A3}"/>
    <cellStyle name="Comma 2 3 9 2 2 2" xfId="16269" xr:uid="{9AA0B885-9C4A-43DC-8B49-3C433EF4191D}"/>
    <cellStyle name="Comma 2 3 9 2 2 2 2" xfId="33613" xr:uid="{31C364FF-8B3B-4421-93EC-932CC57E6C62}"/>
    <cellStyle name="Comma 2 3 9 2 2 3" xfId="24941" xr:uid="{60FAFF81-860D-44D5-A862-0F6B9853CEE9}"/>
    <cellStyle name="Comma 2 3 9 2 3" xfId="11933" xr:uid="{64F14268-B5FE-4672-9EED-CF34DF056122}"/>
    <cellStyle name="Comma 2 3 9 2 3 2" xfId="29277" xr:uid="{9D4F0ECF-5789-43B3-8D39-3FA08550B0E9}"/>
    <cellStyle name="Comma 2 3 9 2 4" xfId="20605" xr:uid="{0F614FB4-9EEA-40D8-AE87-05CF0F691498}"/>
    <cellStyle name="Comma 2 3 9 3" xfId="5429" xr:uid="{3205746D-D318-4EE6-A423-1253FA289B37}"/>
    <cellStyle name="Comma 2 3 9 3 2" xfId="14101" xr:uid="{B53EB327-1ADD-4227-B37D-79E43C990E72}"/>
    <cellStyle name="Comma 2 3 9 3 2 2" xfId="31445" xr:uid="{60C5134E-1924-416C-BCCE-74D96F9D9744}"/>
    <cellStyle name="Comma 2 3 9 3 3" xfId="22773" xr:uid="{85DFAD05-96FF-4D51-A6FF-718C05850480}"/>
    <cellStyle name="Comma 2 3 9 4" xfId="9765" xr:uid="{F5535AB1-9211-442F-904C-20EB5C2E3CE5}"/>
    <cellStyle name="Comma 2 3 9 4 2" xfId="27109" xr:uid="{FF49A3D8-FBE4-45AA-8DD3-07BE16EB4CC1}"/>
    <cellStyle name="Comma 2 3 9 5" xfId="18437" xr:uid="{B71BE841-FD1D-42CE-8FA3-8A0B6FB315FC}"/>
    <cellStyle name="Comma 2 4" xfId="16" xr:uid="{48A42DE3-2813-4111-8A0C-6D4ABF80BA88}"/>
    <cellStyle name="Comma 2 4 10" xfId="4352" xr:uid="{A4B128BE-77AC-453C-B957-0709DBBE6F31}"/>
    <cellStyle name="Comma 2 4 10 2" xfId="13024" xr:uid="{2D9102E6-1061-4980-98DA-AE6B339B10C5}"/>
    <cellStyle name="Comma 2 4 10 2 2" xfId="30368" xr:uid="{C338B733-BB21-4E81-9C71-EC7FDA2A8DE0}"/>
    <cellStyle name="Comma 2 4 10 3" xfId="21696" xr:uid="{9B11C575-B2D7-42F5-BB6A-50522AB6D662}"/>
    <cellStyle name="Comma 2 4 11" xfId="8688" xr:uid="{39C9F4C0-3A7E-4E51-9D4A-402E92C91E9A}"/>
    <cellStyle name="Comma 2 4 11 2" xfId="26032" xr:uid="{91DC65C5-1915-454D-B2D2-49F4A9919232}"/>
    <cellStyle name="Comma 2 4 12" xfId="17360" xr:uid="{5BDE42D0-30C8-428E-94A6-4A810CD0675F}"/>
    <cellStyle name="Comma 2 4 2" xfId="32" xr:uid="{4B6AF7C2-C12A-4E5C-997F-F36B796BB4DB}"/>
    <cellStyle name="Comma 2 4 2 10" xfId="17376" xr:uid="{067831EF-E74A-45E2-A232-71606DEBEA4E}"/>
    <cellStyle name="Comma 2 4 2 2" xfId="93" xr:uid="{F145E23D-01FC-4D2F-9844-201DC479D24D}"/>
    <cellStyle name="Comma 2 4 2 2 2" xfId="215" xr:uid="{46664BDF-77C3-471D-8E7A-F340CE3C2272}"/>
    <cellStyle name="Comma 2 4 2 2 2 2" xfId="485" xr:uid="{5E3CE40E-D81F-489B-8A91-B0D858EFE1B0}"/>
    <cellStyle name="Comma 2 4 2 2 2 2 2" xfId="1026" xr:uid="{00713029-35E2-4A3C-98F4-B1DFE3C03982}"/>
    <cellStyle name="Comma 2 4 2 2 2 2 2 2" xfId="2110" xr:uid="{EB365016-0427-40FE-ACCE-AE1740B360F9}"/>
    <cellStyle name="Comma 2 4 2 2 2 2 2 2 2" xfId="4278" xr:uid="{4B23C689-09DC-45F1-A7EF-3CAB62E8F3B6}"/>
    <cellStyle name="Comma 2 4 2 2 2 2 2 2 2 2" xfId="8614" xr:uid="{747CFCCF-61DE-4A08-9A95-2B07ECC7FC61}"/>
    <cellStyle name="Comma 2 4 2 2 2 2 2 2 2 2 2" xfId="17286" xr:uid="{2B375E02-283A-4009-8952-0A9FD628AE7D}"/>
    <cellStyle name="Comma 2 4 2 2 2 2 2 2 2 2 2 2" xfId="34630" xr:uid="{1A07DCBC-898E-433C-8B2F-F934D13623AC}"/>
    <cellStyle name="Comma 2 4 2 2 2 2 2 2 2 2 3" xfId="25958" xr:uid="{F7D039D2-13C3-411E-A320-2799AA0B6571}"/>
    <cellStyle name="Comma 2 4 2 2 2 2 2 2 2 3" xfId="12950" xr:uid="{206344D7-E4BF-4A15-9C5D-D4CC14AA9E43}"/>
    <cellStyle name="Comma 2 4 2 2 2 2 2 2 2 3 2" xfId="30294" xr:uid="{5885014C-714E-417F-9600-8572B0FECF32}"/>
    <cellStyle name="Comma 2 4 2 2 2 2 2 2 2 4" xfId="21622" xr:uid="{F68128F6-A03E-4378-B82D-CE1222B659D9}"/>
    <cellStyle name="Comma 2 4 2 2 2 2 2 2 3" xfId="6446" xr:uid="{B64ADDA7-04FB-44A6-893F-01E00029415A}"/>
    <cellStyle name="Comma 2 4 2 2 2 2 2 2 3 2" xfId="15118" xr:uid="{AE030FD0-7982-4895-BDE6-57608C306883}"/>
    <cellStyle name="Comma 2 4 2 2 2 2 2 2 3 2 2" xfId="32462" xr:uid="{F22E3EC4-5D4F-418E-99DF-D046BCB18ACC}"/>
    <cellStyle name="Comma 2 4 2 2 2 2 2 2 3 3" xfId="23790" xr:uid="{7697C096-6C1D-4426-B8C9-2BB98A0D3DBD}"/>
    <cellStyle name="Comma 2 4 2 2 2 2 2 2 4" xfId="10782" xr:uid="{C2BFDB22-1DB7-4356-9F1F-4B5686BB4F4F}"/>
    <cellStyle name="Comma 2 4 2 2 2 2 2 2 4 2" xfId="28126" xr:uid="{29520C35-1CB4-4A79-A154-68FCB9680E33}"/>
    <cellStyle name="Comma 2 4 2 2 2 2 2 2 5" xfId="19454" xr:uid="{BECEBBA4-E192-4983-BFC2-E90A20B8EA67}"/>
    <cellStyle name="Comma 2 4 2 2 2 2 2 3" xfId="3194" xr:uid="{78D6F9CB-F4F4-4CA6-B806-B0BB56745F69}"/>
    <cellStyle name="Comma 2 4 2 2 2 2 2 3 2" xfId="7530" xr:uid="{0277B0BE-A69C-4A2E-BD2B-8921CF04845E}"/>
    <cellStyle name="Comma 2 4 2 2 2 2 2 3 2 2" xfId="16202" xr:uid="{4029D31A-66E3-4C38-BFF1-F29191C32DD8}"/>
    <cellStyle name="Comma 2 4 2 2 2 2 2 3 2 2 2" xfId="33546" xr:uid="{C8DB2685-F4EC-4988-8AA9-C93EA4964B71}"/>
    <cellStyle name="Comma 2 4 2 2 2 2 2 3 2 3" xfId="24874" xr:uid="{7F0A026C-D921-41B0-9531-7A2AEA156E3C}"/>
    <cellStyle name="Comma 2 4 2 2 2 2 2 3 3" xfId="11866" xr:uid="{1FAA727B-DCAC-4336-89B0-B04BE1670862}"/>
    <cellStyle name="Comma 2 4 2 2 2 2 2 3 3 2" xfId="29210" xr:uid="{A8200901-E2AE-47F2-AA84-FE5BFC3DEC0F}"/>
    <cellStyle name="Comma 2 4 2 2 2 2 2 3 4" xfId="20538" xr:uid="{AABE2529-9E11-48ED-B551-20311FCDC545}"/>
    <cellStyle name="Comma 2 4 2 2 2 2 2 4" xfId="5362" xr:uid="{93CE0AF7-4A4D-475A-A921-F7A5DFDC407C}"/>
    <cellStyle name="Comma 2 4 2 2 2 2 2 4 2" xfId="14034" xr:uid="{B9907AED-B94C-48C9-8215-3ACE670E935E}"/>
    <cellStyle name="Comma 2 4 2 2 2 2 2 4 2 2" xfId="31378" xr:uid="{11DDE09C-0957-4D51-8D54-6979FE87194E}"/>
    <cellStyle name="Comma 2 4 2 2 2 2 2 4 3" xfId="22706" xr:uid="{D197E4DB-E71C-400C-A22E-7F2D63DB17BC}"/>
    <cellStyle name="Comma 2 4 2 2 2 2 2 5" xfId="9698" xr:uid="{0E436D2F-4494-4605-9CD3-568F98470F76}"/>
    <cellStyle name="Comma 2 4 2 2 2 2 2 5 2" xfId="27042" xr:uid="{FBC27773-1D72-4E50-8946-B109D16BE9B1}"/>
    <cellStyle name="Comma 2 4 2 2 2 2 2 6" xfId="18370" xr:uid="{B18FDA58-3E86-49E6-9EAE-A5DBDA939EBE}"/>
    <cellStyle name="Comma 2 4 2 2 2 2 3" xfId="1569" xr:uid="{BDC9E113-4880-4515-87DD-DAC84308BD79}"/>
    <cellStyle name="Comma 2 4 2 2 2 2 3 2" xfId="3737" xr:uid="{B1958935-1179-4F1A-8F2E-8271C2B8166F}"/>
    <cellStyle name="Comma 2 4 2 2 2 2 3 2 2" xfId="8073" xr:uid="{B3DF51D5-F43C-4D9A-A9F3-96A9156B5494}"/>
    <cellStyle name="Comma 2 4 2 2 2 2 3 2 2 2" xfId="16745" xr:uid="{2ADB93A4-835A-4F88-ACB7-6150061AD236}"/>
    <cellStyle name="Comma 2 4 2 2 2 2 3 2 2 2 2" xfId="34089" xr:uid="{561A3FFC-A7EC-4032-8E13-6B84AF8F53EB}"/>
    <cellStyle name="Comma 2 4 2 2 2 2 3 2 2 3" xfId="25417" xr:uid="{E121FF4F-D340-4E55-BC30-F041368A7D04}"/>
    <cellStyle name="Comma 2 4 2 2 2 2 3 2 3" xfId="12409" xr:uid="{A554BD5F-0F7F-4C08-B4E5-5A076128FF41}"/>
    <cellStyle name="Comma 2 4 2 2 2 2 3 2 3 2" xfId="29753" xr:uid="{9424D0CE-B5FB-44C6-B477-09F3C5843094}"/>
    <cellStyle name="Comma 2 4 2 2 2 2 3 2 4" xfId="21081" xr:uid="{642FB2A4-F8A4-4762-80D8-181628A31786}"/>
    <cellStyle name="Comma 2 4 2 2 2 2 3 3" xfId="5905" xr:uid="{8539FD81-B095-4ED1-A0FA-C72AD82FF45F}"/>
    <cellStyle name="Comma 2 4 2 2 2 2 3 3 2" xfId="14577" xr:uid="{E651DD9D-D733-412A-B56B-8F35A94CC81F}"/>
    <cellStyle name="Comma 2 4 2 2 2 2 3 3 2 2" xfId="31921" xr:uid="{EB903DA5-7E18-490E-8D1B-C2E5E4B422F1}"/>
    <cellStyle name="Comma 2 4 2 2 2 2 3 3 3" xfId="23249" xr:uid="{2C9D2A0D-523F-4814-8286-01F8A26EA89F}"/>
    <cellStyle name="Comma 2 4 2 2 2 2 3 4" xfId="10241" xr:uid="{C07BFB22-1D7B-420D-BADE-109313641C08}"/>
    <cellStyle name="Comma 2 4 2 2 2 2 3 4 2" xfId="27585" xr:uid="{425DA4C9-33CC-4FA7-B1D0-B05EB9949B2A}"/>
    <cellStyle name="Comma 2 4 2 2 2 2 3 5" xfId="18913" xr:uid="{F3C3342F-1770-4467-B649-2F5F5CC3BE74}"/>
    <cellStyle name="Comma 2 4 2 2 2 2 4" xfId="2653" xr:uid="{B2EFA599-D811-4997-BBA4-FE4CF2F409EB}"/>
    <cellStyle name="Comma 2 4 2 2 2 2 4 2" xfId="6989" xr:uid="{8C8E509B-8C5F-48BF-9E55-EA1746EBB9D2}"/>
    <cellStyle name="Comma 2 4 2 2 2 2 4 2 2" xfId="15661" xr:uid="{8BB9B8A1-5AA7-4C03-A1DB-442929F72A69}"/>
    <cellStyle name="Comma 2 4 2 2 2 2 4 2 2 2" xfId="33005" xr:uid="{B9357994-B781-4A37-B728-C229912D6413}"/>
    <cellStyle name="Comma 2 4 2 2 2 2 4 2 3" xfId="24333" xr:uid="{CAD4F391-5903-49EB-9945-9A39437F1E44}"/>
    <cellStyle name="Comma 2 4 2 2 2 2 4 3" xfId="11325" xr:uid="{863924ED-7B2F-4011-BCA9-48E5732B83C5}"/>
    <cellStyle name="Comma 2 4 2 2 2 2 4 3 2" xfId="28669" xr:uid="{F048D084-5183-4A46-85AD-82BA503C0285}"/>
    <cellStyle name="Comma 2 4 2 2 2 2 4 4" xfId="19997" xr:uid="{802DCAB5-12A1-4606-A23D-E33640E19F22}"/>
    <cellStyle name="Comma 2 4 2 2 2 2 5" xfId="4821" xr:uid="{69F35057-5F49-4CA4-AF09-F991A8C21CCF}"/>
    <cellStyle name="Comma 2 4 2 2 2 2 5 2" xfId="13493" xr:uid="{E5C68942-3D36-4946-A66B-FEB3707B5979}"/>
    <cellStyle name="Comma 2 4 2 2 2 2 5 2 2" xfId="30837" xr:uid="{9F811095-CD03-49F8-9434-FA427CADA44E}"/>
    <cellStyle name="Comma 2 4 2 2 2 2 5 3" xfId="22165" xr:uid="{482A404A-1F6A-40A5-91A0-1255A00F02BC}"/>
    <cellStyle name="Comma 2 4 2 2 2 2 6" xfId="9157" xr:uid="{0948DC68-6C37-43A7-9733-E27E70F2A708}"/>
    <cellStyle name="Comma 2 4 2 2 2 2 6 2" xfId="26501" xr:uid="{65327367-4D4C-441B-ACD3-AE2DE67ACC5F}"/>
    <cellStyle name="Comma 2 4 2 2 2 2 7" xfId="17829" xr:uid="{2B0BF6F5-F439-41D5-A29A-F5B4DCDD495B}"/>
    <cellStyle name="Comma 2 4 2 2 2 3" xfId="756" xr:uid="{283016AA-FFE1-4301-B2EE-9211EE4C45C5}"/>
    <cellStyle name="Comma 2 4 2 2 2 3 2" xfId="1840" xr:uid="{46FD0EEF-0AC9-4A2D-8C61-5E69EF8EC101}"/>
    <cellStyle name="Comma 2 4 2 2 2 3 2 2" xfId="4008" xr:uid="{2A9EC996-2BA3-4D31-B58E-24B632C8558F}"/>
    <cellStyle name="Comma 2 4 2 2 2 3 2 2 2" xfId="8344" xr:uid="{D1401194-3429-46B9-AE29-308D6B02E5D9}"/>
    <cellStyle name="Comma 2 4 2 2 2 3 2 2 2 2" xfId="17016" xr:uid="{6BFF73E6-673B-4087-8804-8DADB0A379CE}"/>
    <cellStyle name="Comma 2 4 2 2 2 3 2 2 2 2 2" xfId="34360" xr:uid="{73DE45AE-B5C9-478A-AE7C-9B4F59F4C362}"/>
    <cellStyle name="Comma 2 4 2 2 2 3 2 2 2 3" xfId="25688" xr:uid="{66822531-30B2-425E-B0B9-B9A0588396DC}"/>
    <cellStyle name="Comma 2 4 2 2 2 3 2 2 3" xfId="12680" xr:uid="{51E4B219-5F17-4FDB-A774-F47BA9E41758}"/>
    <cellStyle name="Comma 2 4 2 2 2 3 2 2 3 2" xfId="30024" xr:uid="{51E571DE-0AD8-4104-B8C2-77B2CC431B9E}"/>
    <cellStyle name="Comma 2 4 2 2 2 3 2 2 4" xfId="21352" xr:uid="{09D60ED8-E6D4-416B-B369-63B1A25B0BDA}"/>
    <cellStyle name="Comma 2 4 2 2 2 3 2 3" xfId="6176" xr:uid="{DA766ACC-E2B9-414A-B185-0760D3524F6B}"/>
    <cellStyle name="Comma 2 4 2 2 2 3 2 3 2" xfId="14848" xr:uid="{09F97EAD-8EB0-4753-9920-F05E4B857643}"/>
    <cellStyle name="Comma 2 4 2 2 2 3 2 3 2 2" xfId="32192" xr:uid="{E003A62F-6571-41FF-8D80-F6B03450E195}"/>
    <cellStyle name="Comma 2 4 2 2 2 3 2 3 3" xfId="23520" xr:uid="{58D8CACA-B1B4-4DBB-B926-1AF581906148}"/>
    <cellStyle name="Comma 2 4 2 2 2 3 2 4" xfId="10512" xr:uid="{4E89C00A-8E9C-4845-90A2-1F055F702595}"/>
    <cellStyle name="Comma 2 4 2 2 2 3 2 4 2" xfId="27856" xr:uid="{0C089AAD-74EF-479E-A37A-FDF7E332F1FA}"/>
    <cellStyle name="Comma 2 4 2 2 2 3 2 5" xfId="19184" xr:uid="{AB0D7354-FC01-474A-BF67-736A5478CACE}"/>
    <cellStyle name="Comma 2 4 2 2 2 3 3" xfId="2924" xr:uid="{11E50D6F-3833-4DA6-A86A-C51BE043CD8D}"/>
    <cellStyle name="Comma 2 4 2 2 2 3 3 2" xfId="7260" xr:uid="{AB5EDF0D-9C4D-4EB7-8BAF-883C21B3CE3D}"/>
    <cellStyle name="Comma 2 4 2 2 2 3 3 2 2" xfId="15932" xr:uid="{0B1E445F-03AF-4ADF-AD99-2A71582E9F41}"/>
    <cellStyle name="Comma 2 4 2 2 2 3 3 2 2 2" xfId="33276" xr:uid="{B43153F4-C561-4F51-A188-D69448FD7737}"/>
    <cellStyle name="Comma 2 4 2 2 2 3 3 2 3" xfId="24604" xr:uid="{355C61F3-C389-4550-8B1B-14D44B1F26E4}"/>
    <cellStyle name="Comma 2 4 2 2 2 3 3 3" xfId="11596" xr:uid="{E299C8A2-5156-41C3-B8FD-076022DF2F6C}"/>
    <cellStyle name="Comma 2 4 2 2 2 3 3 3 2" xfId="28940" xr:uid="{DCF6A2E2-D885-4BB4-B4C2-5845E873DBE2}"/>
    <cellStyle name="Comma 2 4 2 2 2 3 3 4" xfId="20268" xr:uid="{C91F520E-89A7-4D1B-8BF5-32CF6D1151FD}"/>
    <cellStyle name="Comma 2 4 2 2 2 3 4" xfId="5092" xr:uid="{6D3BC4F4-2D93-48BC-AE99-65A63A91EC57}"/>
    <cellStyle name="Comma 2 4 2 2 2 3 4 2" xfId="13764" xr:uid="{641820C9-7C09-4D46-BB50-B9C17021AE2E}"/>
    <cellStyle name="Comma 2 4 2 2 2 3 4 2 2" xfId="31108" xr:uid="{134F0B78-5605-4C48-B9C9-2F7F78DA620C}"/>
    <cellStyle name="Comma 2 4 2 2 2 3 4 3" xfId="22436" xr:uid="{1DE6E72F-5047-4C55-ACFF-B2AFE7DA1DE9}"/>
    <cellStyle name="Comma 2 4 2 2 2 3 5" xfId="9428" xr:uid="{32AA7985-40FC-4CAE-98FE-6F05B42846FA}"/>
    <cellStyle name="Comma 2 4 2 2 2 3 5 2" xfId="26772" xr:uid="{7391EE0F-ACD0-4363-9294-2BA3074AF36B}"/>
    <cellStyle name="Comma 2 4 2 2 2 3 6" xfId="18100" xr:uid="{18F1A657-CFAB-4777-ACF8-526D9FA342F5}"/>
    <cellStyle name="Comma 2 4 2 2 2 4" xfId="1299" xr:uid="{ADC98D04-7927-473C-BF60-B1D0888C44AB}"/>
    <cellStyle name="Comma 2 4 2 2 2 4 2" xfId="3467" xr:uid="{D0F3D1B7-2A4A-4009-8DF8-518F806B23E7}"/>
    <cellStyle name="Comma 2 4 2 2 2 4 2 2" xfId="7803" xr:uid="{EE59AC5B-5AC4-4822-8128-A312B0595909}"/>
    <cellStyle name="Comma 2 4 2 2 2 4 2 2 2" xfId="16475" xr:uid="{C23C7EB5-7DFE-4DBD-9E4D-3727E8419159}"/>
    <cellStyle name="Comma 2 4 2 2 2 4 2 2 2 2" xfId="33819" xr:uid="{EE8C1D3D-9EEA-42B1-9CE5-64D54A28C8DA}"/>
    <cellStyle name="Comma 2 4 2 2 2 4 2 2 3" xfId="25147" xr:uid="{FF833DD5-5A96-4871-A255-C4D5EBB18848}"/>
    <cellStyle name="Comma 2 4 2 2 2 4 2 3" xfId="12139" xr:uid="{39C55943-32D7-4990-97DE-9AFBB259553A}"/>
    <cellStyle name="Comma 2 4 2 2 2 4 2 3 2" xfId="29483" xr:uid="{2F24D1E3-CA97-4415-8E5B-B927EBF6CF41}"/>
    <cellStyle name="Comma 2 4 2 2 2 4 2 4" xfId="20811" xr:uid="{D7C592E3-2F9F-4E82-AEBF-708BEE824A2B}"/>
    <cellStyle name="Comma 2 4 2 2 2 4 3" xfId="5635" xr:uid="{89AB1FB1-99C2-4ADF-B878-39C4B8A5969D}"/>
    <cellStyle name="Comma 2 4 2 2 2 4 3 2" xfId="14307" xr:uid="{F8F2EC84-0DC8-46BA-889F-CCB5B5611D22}"/>
    <cellStyle name="Comma 2 4 2 2 2 4 3 2 2" xfId="31651" xr:uid="{34CA1FF1-ED63-40F1-86AD-EA24111AD819}"/>
    <cellStyle name="Comma 2 4 2 2 2 4 3 3" xfId="22979" xr:uid="{0E40A130-2948-473E-8BA9-3D0995C3F481}"/>
    <cellStyle name="Comma 2 4 2 2 2 4 4" xfId="9971" xr:uid="{E10E62F1-BFF9-4C7E-9F12-D0A0464D9CBA}"/>
    <cellStyle name="Comma 2 4 2 2 2 4 4 2" xfId="27315" xr:uid="{93845487-058D-48F3-AAC9-591E1AF092A8}"/>
    <cellStyle name="Comma 2 4 2 2 2 4 5" xfId="18643" xr:uid="{695FCB8A-DC77-416A-95BB-F007957C50EE}"/>
    <cellStyle name="Comma 2 4 2 2 2 5" xfId="2383" xr:uid="{2CD8EC88-9500-4072-9B91-B964CE54361A}"/>
    <cellStyle name="Comma 2 4 2 2 2 5 2" xfId="6719" xr:uid="{917EB8FD-683F-4519-B9B4-C93D6CB6643F}"/>
    <cellStyle name="Comma 2 4 2 2 2 5 2 2" xfId="15391" xr:uid="{B94195B7-63BC-467D-9B70-1F10BA0EA42F}"/>
    <cellStyle name="Comma 2 4 2 2 2 5 2 2 2" xfId="32735" xr:uid="{FF222F6E-6BA7-4995-9149-882926D1043A}"/>
    <cellStyle name="Comma 2 4 2 2 2 5 2 3" xfId="24063" xr:uid="{BA21A75D-9538-4AB9-B374-2414C829BA60}"/>
    <cellStyle name="Comma 2 4 2 2 2 5 3" xfId="11055" xr:uid="{07578E40-D1C1-419F-9A21-502E829D38AC}"/>
    <cellStyle name="Comma 2 4 2 2 2 5 3 2" xfId="28399" xr:uid="{E9FA653E-867A-4FD7-9EDB-28230301E402}"/>
    <cellStyle name="Comma 2 4 2 2 2 5 4" xfId="19727" xr:uid="{0AEA9031-4C10-4211-A7C0-AC84B851DD99}"/>
    <cellStyle name="Comma 2 4 2 2 2 6" xfId="4551" xr:uid="{FBCC6A03-4531-49CB-A35B-9B0C9EF0BC2D}"/>
    <cellStyle name="Comma 2 4 2 2 2 6 2" xfId="13223" xr:uid="{2B99EAA8-34D5-4EC7-94AA-B0639A0EFE38}"/>
    <cellStyle name="Comma 2 4 2 2 2 6 2 2" xfId="30567" xr:uid="{D358B4BA-E8D5-4E8B-94ED-E5C91BD790F7}"/>
    <cellStyle name="Comma 2 4 2 2 2 6 3" xfId="21895" xr:uid="{1E3BD3C3-F484-41A6-A75F-E23AF622A713}"/>
    <cellStyle name="Comma 2 4 2 2 2 7" xfId="8887" xr:uid="{78AF2068-CA6C-4DE5-8F9B-A0F774AF583A}"/>
    <cellStyle name="Comma 2 4 2 2 2 7 2" xfId="26231" xr:uid="{9558B29B-862F-414E-ABF0-6B0755004719}"/>
    <cellStyle name="Comma 2 4 2 2 2 8" xfId="17559" xr:uid="{30E79CBB-F367-41D2-BEE3-9C57C4B8FD59}"/>
    <cellStyle name="Comma 2 4 2 2 3" xfId="363" xr:uid="{47AA9B72-353A-436E-8EBA-168EA97E9DCD}"/>
    <cellStyle name="Comma 2 4 2 2 3 2" xfId="904" xr:uid="{80370495-7DF7-4680-BC30-0877652BAEEB}"/>
    <cellStyle name="Comma 2 4 2 2 3 2 2" xfId="1988" xr:uid="{BB237EF5-283E-4713-8676-31AE8BF3DDBF}"/>
    <cellStyle name="Comma 2 4 2 2 3 2 2 2" xfId="4156" xr:uid="{A6D64AE4-2AF3-4263-B987-FDD72C0FC2E2}"/>
    <cellStyle name="Comma 2 4 2 2 3 2 2 2 2" xfId="8492" xr:uid="{6437DDAC-3B2F-4F3A-AC17-F3A7D2BAD1EC}"/>
    <cellStyle name="Comma 2 4 2 2 3 2 2 2 2 2" xfId="17164" xr:uid="{FC076368-59EC-4BA9-84AF-572DE347AF2B}"/>
    <cellStyle name="Comma 2 4 2 2 3 2 2 2 2 2 2" xfId="34508" xr:uid="{9EABEA73-340D-4288-8FA4-06785073C54E}"/>
    <cellStyle name="Comma 2 4 2 2 3 2 2 2 2 3" xfId="25836" xr:uid="{B45ED06D-72DC-4736-8123-A7EEE51F2644}"/>
    <cellStyle name="Comma 2 4 2 2 3 2 2 2 3" xfId="12828" xr:uid="{C0C03EE1-9D13-4A2D-AE7D-93DB1CF5973D}"/>
    <cellStyle name="Comma 2 4 2 2 3 2 2 2 3 2" xfId="30172" xr:uid="{22B9BE5A-5F12-4D5D-8C09-06EB5E6E42D4}"/>
    <cellStyle name="Comma 2 4 2 2 3 2 2 2 4" xfId="21500" xr:uid="{4575EBD2-F713-4601-90A4-D83DD5D6C2EC}"/>
    <cellStyle name="Comma 2 4 2 2 3 2 2 3" xfId="6324" xr:uid="{59334BCD-6A68-4CE8-A264-A4E4A10F8A7E}"/>
    <cellStyle name="Comma 2 4 2 2 3 2 2 3 2" xfId="14996" xr:uid="{BD72A8B3-04AB-4241-B67F-532718A953AF}"/>
    <cellStyle name="Comma 2 4 2 2 3 2 2 3 2 2" xfId="32340" xr:uid="{DBF3CDD3-B335-41B1-8487-23E8F3ED1A97}"/>
    <cellStyle name="Comma 2 4 2 2 3 2 2 3 3" xfId="23668" xr:uid="{17511869-572D-41ED-95C6-73E47D48325C}"/>
    <cellStyle name="Comma 2 4 2 2 3 2 2 4" xfId="10660" xr:uid="{E5FA670B-65A8-4A3F-B41E-68071679BE1D}"/>
    <cellStyle name="Comma 2 4 2 2 3 2 2 4 2" xfId="28004" xr:uid="{FD536901-7D73-4ADB-8874-4B981085D661}"/>
    <cellStyle name="Comma 2 4 2 2 3 2 2 5" xfId="19332" xr:uid="{87936870-F66A-4C8C-9811-BE4E9842DEFF}"/>
    <cellStyle name="Comma 2 4 2 2 3 2 3" xfId="3072" xr:uid="{D5D726F9-CD56-47A8-9958-CA7A4642BF13}"/>
    <cellStyle name="Comma 2 4 2 2 3 2 3 2" xfId="7408" xr:uid="{EAFB7D93-70B3-4720-852B-BC7CAB4B7A47}"/>
    <cellStyle name="Comma 2 4 2 2 3 2 3 2 2" xfId="16080" xr:uid="{44E65B1D-B29F-4EAE-A438-87BD318907D8}"/>
    <cellStyle name="Comma 2 4 2 2 3 2 3 2 2 2" xfId="33424" xr:uid="{0E8E4F63-F4F1-48C1-A6E4-3D67DA994002}"/>
    <cellStyle name="Comma 2 4 2 2 3 2 3 2 3" xfId="24752" xr:uid="{C879B0C3-EC13-42D2-A95E-D08298F29B35}"/>
    <cellStyle name="Comma 2 4 2 2 3 2 3 3" xfId="11744" xr:uid="{BF475A12-BF33-4A3A-843B-EB5943D47B2D}"/>
    <cellStyle name="Comma 2 4 2 2 3 2 3 3 2" xfId="29088" xr:uid="{B2D469FA-1602-4ABC-87DF-8E2AD5F425E7}"/>
    <cellStyle name="Comma 2 4 2 2 3 2 3 4" xfId="20416" xr:uid="{EED3628A-B111-43CB-8087-ADB1B9FBFE88}"/>
    <cellStyle name="Comma 2 4 2 2 3 2 4" xfId="5240" xr:uid="{EB83485C-62B4-47FC-92B8-5C4FDAEB4906}"/>
    <cellStyle name="Comma 2 4 2 2 3 2 4 2" xfId="13912" xr:uid="{DBE5D7E8-D842-442A-918F-63CEA493D383}"/>
    <cellStyle name="Comma 2 4 2 2 3 2 4 2 2" xfId="31256" xr:uid="{29A52A40-72E4-4790-864C-15796431C4D0}"/>
    <cellStyle name="Comma 2 4 2 2 3 2 4 3" xfId="22584" xr:uid="{4DE90575-65E4-4801-B556-7EB3BACAFACA}"/>
    <cellStyle name="Comma 2 4 2 2 3 2 5" xfId="9576" xr:uid="{D34ED39B-EC98-4D92-9765-011D474F5A59}"/>
    <cellStyle name="Comma 2 4 2 2 3 2 5 2" xfId="26920" xr:uid="{AC89C872-6D41-427D-99BE-3EBE016604FB}"/>
    <cellStyle name="Comma 2 4 2 2 3 2 6" xfId="18248" xr:uid="{79F317E9-2006-47FA-AD4A-23539EA5B667}"/>
    <cellStyle name="Comma 2 4 2 2 3 3" xfId="1447" xr:uid="{3C362AB9-686F-44D9-84A7-54F813B4E38F}"/>
    <cellStyle name="Comma 2 4 2 2 3 3 2" xfId="3615" xr:uid="{056BC908-C642-49D2-AB9B-F8429CD2BC3E}"/>
    <cellStyle name="Comma 2 4 2 2 3 3 2 2" xfId="7951" xr:uid="{EFCD83A9-DE76-4936-A4B2-6BD7EA1C368C}"/>
    <cellStyle name="Comma 2 4 2 2 3 3 2 2 2" xfId="16623" xr:uid="{1712A839-D8D5-4C28-A1A1-F39977F9E638}"/>
    <cellStyle name="Comma 2 4 2 2 3 3 2 2 2 2" xfId="33967" xr:uid="{F38EB43E-7C37-4480-B11C-EBB35251674F}"/>
    <cellStyle name="Comma 2 4 2 2 3 3 2 2 3" xfId="25295" xr:uid="{86B1B482-63C7-4443-A2BE-CF6FF97DEDFF}"/>
    <cellStyle name="Comma 2 4 2 2 3 3 2 3" xfId="12287" xr:uid="{C047C39D-0DA3-4630-95DB-8207C8F77A70}"/>
    <cellStyle name="Comma 2 4 2 2 3 3 2 3 2" xfId="29631" xr:uid="{0331F05C-8D81-47A4-BA78-D4A884667498}"/>
    <cellStyle name="Comma 2 4 2 2 3 3 2 4" xfId="20959" xr:uid="{BF8A1CB8-E6E0-484D-82A1-89CB708AB169}"/>
    <cellStyle name="Comma 2 4 2 2 3 3 3" xfId="5783" xr:uid="{AF69F89F-4254-4787-8888-BE2A5C5A40AA}"/>
    <cellStyle name="Comma 2 4 2 2 3 3 3 2" xfId="14455" xr:uid="{A88F38A9-42B4-4A60-B8F6-D1C37C3B4983}"/>
    <cellStyle name="Comma 2 4 2 2 3 3 3 2 2" xfId="31799" xr:uid="{F79497BF-C70F-4CB5-8828-35BF71B068D3}"/>
    <cellStyle name="Comma 2 4 2 2 3 3 3 3" xfId="23127" xr:uid="{9B82A262-6BF8-42FE-ABE6-47DFF46A21DE}"/>
    <cellStyle name="Comma 2 4 2 2 3 3 4" xfId="10119" xr:uid="{1C890B44-A185-409A-A031-E60E8DFA1C21}"/>
    <cellStyle name="Comma 2 4 2 2 3 3 4 2" xfId="27463" xr:uid="{3F97E23D-EE70-4942-BBA4-5A7CEF92D5A8}"/>
    <cellStyle name="Comma 2 4 2 2 3 3 5" xfId="18791" xr:uid="{C96F2428-E21F-4267-AEFE-89EC0CCF4133}"/>
    <cellStyle name="Comma 2 4 2 2 3 4" xfId="2531" xr:uid="{C965F44C-52A7-4789-B027-0024B9C63F0A}"/>
    <cellStyle name="Comma 2 4 2 2 3 4 2" xfId="6867" xr:uid="{0BFAD062-67D2-4FBD-8619-35371B6B4617}"/>
    <cellStyle name="Comma 2 4 2 2 3 4 2 2" xfId="15539" xr:uid="{E4C2BFAA-7E25-4F7B-8860-11978C696241}"/>
    <cellStyle name="Comma 2 4 2 2 3 4 2 2 2" xfId="32883" xr:uid="{12245C6A-95DD-45CA-8D11-AF205F844537}"/>
    <cellStyle name="Comma 2 4 2 2 3 4 2 3" xfId="24211" xr:uid="{ABD85910-C79C-4C97-B917-2F89EE0FE3AF}"/>
    <cellStyle name="Comma 2 4 2 2 3 4 3" xfId="11203" xr:uid="{E69164D6-A184-4C39-B789-E6235C54D585}"/>
    <cellStyle name="Comma 2 4 2 2 3 4 3 2" xfId="28547" xr:uid="{60F60772-352F-4B92-A764-F6DAAEDE12B6}"/>
    <cellStyle name="Comma 2 4 2 2 3 4 4" xfId="19875" xr:uid="{E23F425F-FF12-4794-92A3-3C8034DF6353}"/>
    <cellStyle name="Comma 2 4 2 2 3 5" xfId="4699" xr:uid="{4C76EEE9-3C74-47CF-BC7C-B233FE137DEC}"/>
    <cellStyle name="Comma 2 4 2 2 3 5 2" xfId="13371" xr:uid="{3D6D2E66-F281-469F-9004-2FCFE3D2BB09}"/>
    <cellStyle name="Comma 2 4 2 2 3 5 2 2" xfId="30715" xr:uid="{61164B49-54C2-417A-BF51-FD2464FF0368}"/>
    <cellStyle name="Comma 2 4 2 2 3 5 3" xfId="22043" xr:uid="{5DAF1431-B3BE-450D-90BC-5A04F68844DE}"/>
    <cellStyle name="Comma 2 4 2 2 3 6" xfId="9035" xr:uid="{841234FA-8B12-48EE-BFCF-CBD444C735D1}"/>
    <cellStyle name="Comma 2 4 2 2 3 6 2" xfId="26379" xr:uid="{F1FD39FF-CED5-469D-A01A-BF8A295794D1}"/>
    <cellStyle name="Comma 2 4 2 2 3 7" xfId="17707" xr:uid="{6A47E469-1185-4227-8187-9A3CD6055864}"/>
    <cellStyle name="Comma 2 4 2 2 4" xfId="634" xr:uid="{494B0FE8-5C38-4417-9B6C-AC75F4D4417F}"/>
    <cellStyle name="Comma 2 4 2 2 4 2" xfId="1718" xr:uid="{E359034A-188B-431B-9A78-0A02413EF149}"/>
    <cellStyle name="Comma 2 4 2 2 4 2 2" xfId="3886" xr:uid="{E3CE5A8A-9EFB-47B5-A7EA-76962ACCE10B}"/>
    <cellStyle name="Comma 2 4 2 2 4 2 2 2" xfId="8222" xr:uid="{87CBC8BC-232B-4863-9828-62C0127C437C}"/>
    <cellStyle name="Comma 2 4 2 2 4 2 2 2 2" xfId="16894" xr:uid="{E6FC9C0C-F006-43FF-B0BE-6D3681FA8657}"/>
    <cellStyle name="Comma 2 4 2 2 4 2 2 2 2 2" xfId="34238" xr:uid="{2827B129-4086-4D9A-A975-20B58F4F3A83}"/>
    <cellStyle name="Comma 2 4 2 2 4 2 2 2 3" xfId="25566" xr:uid="{F9622AA9-2FD2-4358-A200-DF12A5FB938B}"/>
    <cellStyle name="Comma 2 4 2 2 4 2 2 3" xfId="12558" xr:uid="{1470AE85-57D0-4513-8E0D-410FD38B6DC1}"/>
    <cellStyle name="Comma 2 4 2 2 4 2 2 3 2" xfId="29902" xr:uid="{0CCECF82-C891-485E-A83F-47EC1B55730B}"/>
    <cellStyle name="Comma 2 4 2 2 4 2 2 4" xfId="21230" xr:uid="{1071C0F3-5270-40DF-9985-E497BE249DFF}"/>
    <cellStyle name="Comma 2 4 2 2 4 2 3" xfId="6054" xr:uid="{20919A31-715A-4D30-8A06-BA0002F4F11C}"/>
    <cellStyle name="Comma 2 4 2 2 4 2 3 2" xfId="14726" xr:uid="{01A6705E-DC2D-4F30-986B-0DEA7275880E}"/>
    <cellStyle name="Comma 2 4 2 2 4 2 3 2 2" xfId="32070" xr:uid="{6A42C5AA-D51C-421E-94D9-EC862DF66E7D}"/>
    <cellStyle name="Comma 2 4 2 2 4 2 3 3" xfId="23398" xr:uid="{6E28F94C-1AEC-4405-83E4-F3033D15C18E}"/>
    <cellStyle name="Comma 2 4 2 2 4 2 4" xfId="10390" xr:uid="{5AD54952-0E1A-42A6-8DE5-FE64B52C09CD}"/>
    <cellStyle name="Comma 2 4 2 2 4 2 4 2" xfId="27734" xr:uid="{E11AE499-0C9B-4EA0-B80D-5E3A9DA1C5D5}"/>
    <cellStyle name="Comma 2 4 2 2 4 2 5" xfId="19062" xr:uid="{F2313778-B95F-4E59-9ECA-817D15B9CCE7}"/>
    <cellStyle name="Comma 2 4 2 2 4 3" xfId="2802" xr:uid="{B8A11DFA-4997-4B34-9A06-5481BD0AADD2}"/>
    <cellStyle name="Comma 2 4 2 2 4 3 2" xfId="7138" xr:uid="{EBD57001-63B3-46E3-AE49-15140688363C}"/>
    <cellStyle name="Comma 2 4 2 2 4 3 2 2" xfId="15810" xr:uid="{2A5447CA-ED4D-4391-B0FA-901DDAF39315}"/>
    <cellStyle name="Comma 2 4 2 2 4 3 2 2 2" xfId="33154" xr:uid="{587819FB-E389-4BEA-9DF3-591D682933C3}"/>
    <cellStyle name="Comma 2 4 2 2 4 3 2 3" xfId="24482" xr:uid="{34AFD65A-2C39-4DA8-ADD7-6B897E74F6D5}"/>
    <cellStyle name="Comma 2 4 2 2 4 3 3" xfId="11474" xr:uid="{ACD52BD8-03E3-4DD0-ADA5-00AC53508D1C}"/>
    <cellStyle name="Comma 2 4 2 2 4 3 3 2" xfId="28818" xr:uid="{611888F3-DF2F-48EA-8662-1405D6E04D80}"/>
    <cellStyle name="Comma 2 4 2 2 4 3 4" xfId="20146" xr:uid="{875E4D8B-C27C-4A37-873C-82648DC4D1E5}"/>
    <cellStyle name="Comma 2 4 2 2 4 4" xfId="4970" xr:uid="{9918149D-C7E0-4742-87A0-7451D4F8139D}"/>
    <cellStyle name="Comma 2 4 2 2 4 4 2" xfId="13642" xr:uid="{005CFE0C-368A-4A80-B42F-4F102E752921}"/>
    <cellStyle name="Comma 2 4 2 2 4 4 2 2" xfId="30986" xr:uid="{C52764A3-523C-4FC3-8FEB-1F28A6A2563D}"/>
    <cellStyle name="Comma 2 4 2 2 4 4 3" xfId="22314" xr:uid="{03643770-C738-4632-BB83-592C0A857DC2}"/>
    <cellStyle name="Comma 2 4 2 2 4 5" xfId="9306" xr:uid="{7CBDA4A4-4C13-438A-AB4E-02F76BA30591}"/>
    <cellStyle name="Comma 2 4 2 2 4 5 2" xfId="26650" xr:uid="{173C5961-6A2E-490A-A512-2183041B225A}"/>
    <cellStyle name="Comma 2 4 2 2 4 6" xfId="17978" xr:uid="{6EEF0708-9CB8-4FAD-8CBD-15E963BA06BD}"/>
    <cellStyle name="Comma 2 4 2 2 5" xfId="1177" xr:uid="{5ACC0A98-5326-47B3-9157-A33015E2BFE4}"/>
    <cellStyle name="Comma 2 4 2 2 5 2" xfId="3345" xr:uid="{575ABBD4-B93B-4C84-AEA7-CC3288DA1C47}"/>
    <cellStyle name="Comma 2 4 2 2 5 2 2" xfId="7681" xr:uid="{A8EFD24F-6763-4669-B3FB-3E7C0A4928AB}"/>
    <cellStyle name="Comma 2 4 2 2 5 2 2 2" xfId="16353" xr:uid="{AF4E266C-AB8E-4050-A21E-5BFFB43BC71B}"/>
    <cellStyle name="Comma 2 4 2 2 5 2 2 2 2" xfId="33697" xr:uid="{50871116-27A1-4865-B861-6FF678F46EF6}"/>
    <cellStyle name="Comma 2 4 2 2 5 2 2 3" xfId="25025" xr:uid="{5ACE90FD-0C8D-45FC-9045-E97AF5D62BCE}"/>
    <cellStyle name="Comma 2 4 2 2 5 2 3" xfId="12017" xr:uid="{BC101DAB-CD77-4755-A61E-D37492ABA93E}"/>
    <cellStyle name="Comma 2 4 2 2 5 2 3 2" xfId="29361" xr:uid="{987088FE-8A31-485A-99F2-E06CE0C1AE2E}"/>
    <cellStyle name="Comma 2 4 2 2 5 2 4" xfId="20689" xr:uid="{F68E7F70-A9EE-4DE6-AF2F-FF68593CFFE7}"/>
    <cellStyle name="Comma 2 4 2 2 5 3" xfId="5513" xr:uid="{15291334-8E30-4C93-B827-B2713EF70912}"/>
    <cellStyle name="Comma 2 4 2 2 5 3 2" xfId="14185" xr:uid="{3831D540-842D-424A-A6C7-249161CC7AF3}"/>
    <cellStyle name="Comma 2 4 2 2 5 3 2 2" xfId="31529" xr:uid="{5F380EAB-F449-42DF-9F68-B966496B87EF}"/>
    <cellStyle name="Comma 2 4 2 2 5 3 3" xfId="22857" xr:uid="{141DD6F5-47AB-44D8-B289-A2212DA4D04F}"/>
    <cellStyle name="Comma 2 4 2 2 5 4" xfId="9849" xr:uid="{8DFEA90A-208E-4CD1-860C-003C59DCD153}"/>
    <cellStyle name="Comma 2 4 2 2 5 4 2" xfId="27193" xr:uid="{AA80970D-C062-4964-BF18-1AF630AA2149}"/>
    <cellStyle name="Comma 2 4 2 2 5 5" xfId="18521" xr:uid="{CDAF5A6A-5041-4523-8C40-5B580D82921A}"/>
    <cellStyle name="Comma 2 4 2 2 6" xfId="2261" xr:uid="{935DE2FA-95BA-47C5-BA31-EE4008906447}"/>
    <cellStyle name="Comma 2 4 2 2 6 2" xfId="6597" xr:uid="{D02BE0DE-AF80-4D6E-A2F9-9A3A2348D156}"/>
    <cellStyle name="Comma 2 4 2 2 6 2 2" xfId="15269" xr:uid="{BE385169-7CA1-472B-A9D2-B457C1FBD65C}"/>
    <cellStyle name="Comma 2 4 2 2 6 2 2 2" xfId="32613" xr:uid="{BE4D0976-358B-448C-BC52-81A024B30CDD}"/>
    <cellStyle name="Comma 2 4 2 2 6 2 3" xfId="23941" xr:uid="{3BA0472D-5FCA-46D4-AD7B-073907C8B1F5}"/>
    <cellStyle name="Comma 2 4 2 2 6 3" xfId="10933" xr:uid="{A94B993B-808B-45C5-8589-B6A3F648F370}"/>
    <cellStyle name="Comma 2 4 2 2 6 3 2" xfId="28277" xr:uid="{513DDD55-9C3A-4ADA-BD3C-BCE5810FADBF}"/>
    <cellStyle name="Comma 2 4 2 2 6 4" xfId="19605" xr:uid="{21EAE6C1-7616-4A29-BA86-30766C5FE0AB}"/>
    <cellStyle name="Comma 2 4 2 2 7" xfId="4429" xr:uid="{D396B72A-145C-419A-AC41-6EBDE8C3414C}"/>
    <cellStyle name="Comma 2 4 2 2 7 2" xfId="13101" xr:uid="{D71F4BD8-DDE0-4759-B53C-93C86B0C9E7C}"/>
    <cellStyle name="Comma 2 4 2 2 7 2 2" xfId="30445" xr:uid="{F7C5DA09-DC93-47C5-802B-DF1779DC8D74}"/>
    <cellStyle name="Comma 2 4 2 2 7 3" xfId="21773" xr:uid="{1BB044BF-59F9-4855-A2FA-C31353B4080D}"/>
    <cellStyle name="Comma 2 4 2 2 8" xfId="8765" xr:uid="{2CAE8CDB-E29B-42E7-B7F9-29AE5C38AF99}"/>
    <cellStyle name="Comma 2 4 2 2 8 2" xfId="26109" xr:uid="{FC5C3070-A3D3-4AA2-B9D9-4D7286907E3D}"/>
    <cellStyle name="Comma 2 4 2 2 9" xfId="17437" xr:uid="{37E39AC6-2B9C-42A5-AFDF-C9956474C182}"/>
    <cellStyle name="Comma 2 4 2 3" xfId="154" xr:uid="{356BE4DA-38FF-4A26-B455-333208BC643B}"/>
    <cellStyle name="Comma 2 4 2 3 2" xfId="424" xr:uid="{980C06E1-A481-46FD-9C73-14ADDFAB345D}"/>
    <cellStyle name="Comma 2 4 2 3 2 2" xfId="965" xr:uid="{B0A30784-1CF9-4711-81C3-8A8128588FA4}"/>
    <cellStyle name="Comma 2 4 2 3 2 2 2" xfId="2049" xr:uid="{EF39DA3C-8FE4-4676-98F7-557F59D9F3F0}"/>
    <cellStyle name="Comma 2 4 2 3 2 2 2 2" xfId="4217" xr:uid="{08339882-64EC-4D28-A2ED-FD3A288DC19A}"/>
    <cellStyle name="Comma 2 4 2 3 2 2 2 2 2" xfId="8553" xr:uid="{6E4E68B0-1D88-4824-9D33-0E3A5E763281}"/>
    <cellStyle name="Comma 2 4 2 3 2 2 2 2 2 2" xfId="17225" xr:uid="{FCFD59AE-3C88-4797-935E-9B3D8DE2083B}"/>
    <cellStyle name="Comma 2 4 2 3 2 2 2 2 2 2 2" xfId="34569" xr:uid="{CAC14ED7-BD88-4BE6-A89D-1E9EF1608473}"/>
    <cellStyle name="Comma 2 4 2 3 2 2 2 2 2 3" xfId="25897" xr:uid="{EE554F60-5BA0-41C7-BA2D-5C299C076EFB}"/>
    <cellStyle name="Comma 2 4 2 3 2 2 2 2 3" xfId="12889" xr:uid="{5E59C274-ECFF-4E93-A9DC-60D6F4C1B2D1}"/>
    <cellStyle name="Comma 2 4 2 3 2 2 2 2 3 2" xfId="30233" xr:uid="{B0B9F437-6AC9-4BB8-80DE-661DD52B8C29}"/>
    <cellStyle name="Comma 2 4 2 3 2 2 2 2 4" xfId="21561" xr:uid="{F3A29482-B039-49EE-A78C-E4F59CC9AE85}"/>
    <cellStyle name="Comma 2 4 2 3 2 2 2 3" xfId="6385" xr:uid="{01D094F5-7370-4BBE-AF7B-FA6FA1932A24}"/>
    <cellStyle name="Comma 2 4 2 3 2 2 2 3 2" xfId="15057" xr:uid="{28AD2ABB-E9AA-413B-AF2F-60F09D0D4CE2}"/>
    <cellStyle name="Comma 2 4 2 3 2 2 2 3 2 2" xfId="32401" xr:uid="{9E71272D-366E-43BC-805C-650689B7126D}"/>
    <cellStyle name="Comma 2 4 2 3 2 2 2 3 3" xfId="23729" xr:uid="{43E6C613-A567-40EA-A052-E7571E96FBA4}"/>
    <cellStyle name="Comma 2 4 2 3 2 2 2 4" xfId="10721" xr:uid="{925C1663-A35F-41C2-88D3-F955852BC31C}"/>
    <cellStyle name="Comma 2 4 2 3 2 2 2 4 2" xfId="28065" xr:uid="{EF325CED-2221-49A2-981A-C2D31D0DCA72}"/>
    <cellStyle name="Comma 2 4 2 3 2 2 2 5" xfId="19393" xr:uid="{DBFB7372-89FE-48B1-9B76-67FDE1CBE0BD}"/>
    <cellStyle name="Comma 2 4 2 3 2 2 3" xfId="3133" xr:uid="{BF6A0CF1-E35D-4A93-988A-C7635F288E7D}"/>
    <cellStyle name="Comma 2 4 2 3 2 2 3 2" xfId="7469" xr:uid="{F45753E7-450B-476D-BC3E-2804C1A04104}"/>
    <cellStyle name="Comma 2 4 2 3 2 2 3 2 2" xfId="16141" xr:uid="{8879C138-EF46-4CA0-849C-29EEFB18E67C}"/>
    <cellStyle name="Comma 2 4 2 3 2 2 3 2 2 2" xfId="33485" xr:uid="{D1879743-CCE3-4375-BE7A-9B91C80BBB64}"/>
    <cellStyle name="Comma 2 4 2 3 2 2 3 2 3" xfId="24813" xr:uid="{C486D238-F690-4C27-A78D-466D468C7EA8}"/>
    <cellStyle name="Comma 2 4 2 3 2 2 3 3" xfId="11805" xr:uid="{7AE5E0F9-2737-4A1A-AC21-5536096CF992}"/>
    <cellStyle name="Comma 2 4 2 3 2 2 3 3 2" xfId="29149" xr:uid="{A8F6B8C5-F2D2-41B9-B50A-863FB1B8A842}"/>
    <cellStyle name="Comma 2 4 2 3 2 2 3 4" xfId="20477" xr:uid="{5385E8AF-B10C-403F-8399-9268BAA1414A}"/>
    <cellStyle name="Comma 2 4 2 3 2 2 4" xfId="5301" xr:uid="{89F7C20E-E0FA-4AC0-8F7A-BCEE68EDFA5B}"/>
    <cellStyle name="Comma 2 4 2 3 2 2 4 2" xfId="13973" xr:uid="{12CC7813-F06C-4DB9-BF53-5E9AF327EDE8}"/>
    <cellStyle name="Comma 2 4 2 3 2 2 4 2 2" xfId="31317" xr:uid="{74D5A7B3-051C-40C6-A84F-9883CCCB551C}"/>
    <cellStyle name="Comma 2 4 2 3 2 2 4 3" xfId="22645" xr:uid="{227E6DAA-0CD7-41D9-9685-1F7B63506FE3}"/>
    <cellStyle name="Comma 2 4 2 3 2 2 5" xfId="9637" xr:uid="{18CEBACF-0614-44FF-9699-6311E2FB4E69}"/>
    <cellStyle name="Comma 2 4 2 3 2 2 5 2" xfId="26981" xr:uid="{F8D7BE93-8F81-4092-B376-06217AF9541B}"/>
    <cellStyle name="Comma 2 4 2 3 2 2 6" xfId="18309" xr:uid="{58D77C45-0954-4864-9E7C-FF3065F102A7}"/>
    <cellStyle name="Comma 2 4 2 3 2 3" xfId="1508" xr:uid="{6DAF8E2D-B4CD-4E11-93A4-D07A12CD14EC}"/>
    <cellStyle name="Comma 2 4 2 3 2 3 2" xfId="3676" xr:uid="{925EED61-A276-42A3-A1CF-214A8BDB21F7}"/>
    <cellStyle name="Comma 2 4 2 3 2 3 2 2" xfId="8012" xr:uid="{71F3B284-1805-413F-8451-B3D0F2BAD330}"/>
    <cellStyle name="Comma 2 4 2 3 2 3 2 2 2" xfId="16684" xr:uid="{EE85476E-1AE6-4858-9BD5-810E4B3ED9B9}"/>
    <cellStyle name="Comma 2 4 2 3 2 3 2 2 2 2" xfId="34028" xr:uid="{1B1D3319-59E7-4C82-9D9E-D789385F7E9F}"/>
    <cellStyle name="Comma 2 4 2 3 2 3 2 2 3" xfId="25356" xr:uid="{6CC25D17-5224-498F-9FE7-E59F1CC58791}"/>
    <cellStyle name="Comma 2 4 2 3 2 3 2 3" xfId="12348" xr:uid="{647B47C0-E96C-4C08-A560-7DCBD3F657A3}"/>
    <cellStyle name="Comma 2 4 2 3 2 3 2 3 2" xfId="29692" xr:uid="{ED72474B-909F-4F11-9BC3-7448EF3FB992}"/>
    <cellStyle name="Comma 2 4 2 3 2 3 2 4" xfId="21020" xr:uid="{AAFFDF02-2559-46BE-AF58-DEAAD4F9A973}"/>
    <cellStyle name="Comma 2 4 2 3 2 3 3" xfId="5844" xr:uid="{1B1827B3-1E83-4C8D-9FCB-BA641599F4D4}"/>
    <cellStyle name="Comma 2 4 2 3 2 3 3 2" xfId="14516" xr:uid="{348F1BA4-B0C0-4030-BB23-964A383EB336}"/>
    <cellStyle name="Comma 2 4 2 3 2 3 3 2 2" xfId="31860" xr:uid="{CAF19EC3-7717-45DD-90F1-7BFBB22B1BEB}"/>
    <cellStyle name="Comma 2 4 2 3 2 3 3 3" xfId="23188" xr:uid="{902CA54A-FE82-4A95-82DD-71E280E4CB01}"/>
    <cellStyle name="Comma 2 4 2 3 2 3 4" xfId="10180" xr:uid="{4850EF16-C010-4615-8126-EBEB729298CD}"/>
    <cellStyle name="Comma 2 4 2 3 2 3 4 2" xfId="27524" xr:uid="{75212B8B-47C3-4EA4-A768-0C8E46910F93}"/>
    <cellStyle name="Comma 2 4 2 3 2 3 5" xfId="18852" xr:uid="{025C5FD8-6E2E-475A-A02A-A13DDB2F3F6D}"/>
    <cellStyle name="Comma 2 4 2 3 2 4" xfId="2592" xr:uid="{BDE9AB5E-FC32-4543-BB1F-9A8E3E5E91AA}"/>
    <cellStyle name="Comma 2 4 2 3 2 4 2" xfId="6928" xr:uid="{06C25B93-7890-46F3-A3DD-B27BCD359D5E}"/>
    <cellStyle name="Comma 2 4 2 3 2 4 2 2" xfId="15600" xr:uid="{13B084C2-AD62-419F-89B6-3F0341619473}"/>
    <cellStyle name="Comma 2 4 2 3 2 4 2 2 2" xfId="32944" xr:uid="{F7839789-0B47-4533-A688-3981FD3E96B5}"/>
    <cellStyle name="Comma 2 4 2 3 2 4 2 3" xfId="24272" xr:uid="{00F4A1D1-B70F-4BCD-9941-95B15CF8C5FA}"/>
    <cellStyle name="Comma 2 4 2 3 2 4 3" xfId="11264" xr:uid="{39A4C6A6-574C-403F-B25F-B7D1A6C6D03A}"/>
    <cellStyle name="Comma 2 4 2 3 2 4 3 2" xfId="28608" xr:uid="{F9BC96BF-5DF7-4F76-BFCE-75F28E06C4BF}"/>
    <cellStyle name="Comma 2 4 2 3 2 4 4" xfId="19936" xr:uid="{321932AB-56A4-4665-A6B0-E13FE32B4066}"/>
    <cellStyle name="Comma 2 4 2 3 2 5" xfId="4760" xr:uid="{16D81BF0-98BB-4614-8B6B-6578CF128401}"/>
    <cellStyle name="Comma 2 4 2 3 2 5 2" xfId="13432" xr:uid="{5EA6A81F-1DD0-4ABD-BBD9-35BCE6ED793D}"/>
    <cellStyle name="Comma 2 4 2 3 2 5 2 2" xfId="30776" xr:uid="{1958D720-25F0-40AB-9914-34B2890C3F75}"/>
    <cellStyle name="Comma 2 4 2 3 2 5 3" xfId="22104" xr:uid="{D4E1B916-C855-45AD-9312-C4310A6BF49A}"/>
    <cellStyle name="Comma 2 4 2 3 2 6" xfId="9096" xr:uid="{399A68D4-63BB-494F-8FD4-E9B2EAE42043}"/>
    <cellStyle name="Comma 2 4 2 3 2 6 2" xfId="26440" xr:uid="{F70DCEB3-84A0-4F89-A4B9-EE0D1F891086}"/>
    <cellStyle name="Comma 2 4 2 3 2 7" xfId="17768" xr:uid="{CA20EC83-B5F2-4C48-A556-9D2D92C1516F}"/>
    <cellStyle name="Comma 2 4 2 3 3" xfId="695" xr:uid="{02670B97-EB95-48C5-B85C-641CDF200D6E}"/>
    <cellStyle name="Comma 2 4 2 3 3 2" xfId="1779" xr:uid="{4C03612F-4FA4-48F4-A711-EB65452C0457}"/>
    <cellStyle name="Comma 2 4 2 3 3 2 2" xfId="3947" xr:uid="{65995846-7108-4B28-859A-5EF63F9C5C6D}"/>
    <cellStyle name="Comma 2 4 2 3 3 2 2 2" xfId="8283" xr:uid="{7051BDFA-33EB-4EF8-83AA-8B3B34113AFB}"/>
    <cellStyle name="Comma 2 4 2 3 3 2 2 2 2" xfId="16955" xr:uid="{14C8E8A6-0F38-4622-B956-D480F1E0FE4D}"/>
    <cellStyle name="Comma 2 4 2 3 3 2 2 2 2 2" xfId="34299" xr:uid="{C598C2A9-EB24-438F-BAC4-CD87243ABEF4}"/>
    <cellStyle name="Comma 2 4 2 3 3 2 2 2 3" xfId="25627" xr:uid="{B9CC4C88-2533-4ABB-BE21-CCF4429EEF9D}"/>
    <cellStyle name="Comma 2 4 2 3 3 2 2 3" xfId="12619" xr:uid="{CE9BCF52-0E08-4AE1-B340-A99C9FC545F4}"/>
    <cellStyle name="Comma 2 4 2 3 3 2 2 3 2" xfId="29963" xr:uid="{AAF7DC55-6573-4238-AA8E-B265913A1CA0}"/>
    <cellStyle name="Comma 2 4 2 3 3 2 2 4" xfId="21291" xr:uid="{B497565A-49A6-4AE8-A77E-811D728C34C5}"/>
    <cellStyle name="Comma 2 4 2 3 3 2 3" xfId="6115" xr:uid="{0AB0191A-5A57-448C-AF55-1199C41602BC}"/>
    <cellStyle name="Comma 2 4 2 3 3 2 3 2" xfId="14787" xr:uid="{4B85EFEF-28E5-4C81-9F5E-C77F1199BC0A}"/>
    <cellStyle name="Comma 2 4 2 3 3 2 3 2 2" xfId="32131" xr:uid="{85044BA7-B2BA-47E8-981C-D0096EE306D2}"/>
    <cellStyle name="Comma 2 4 2 3 3 2 3 3" xfId="23459" xr:uid="{4698F949-C995-4171-80C8-6DA9CE15EA74}"/>
    <cellStyle name="Comma 2 4 2 3 3 2 4" xfId="10451" xr:uid="{DD4C8C6E-1DF9-44EC-8E5A-52E932DB2113}"/>
    <cellStyle name="Comma 2 4 2 3 3 2 4 2" xfId="27795" xr:uid="{E21F28CC-D531-4AB4-8CDC-B2864D896443}"/>
    <cellStyle name="Comma 2 4 2 3 3 2 5" xfId="19123" xr:uid="{936EEBFF-EC03-4AC6-89F7-8DAD7E9AA59A}"/>
    <cellStyle name="Comma 2 4 2 3 3 3" xfId="2863" xr:uid="{BE405B13-6D81-417D-850C-8A68AEB9755E}"/>
    <cellStyle name="Comma 2 4 2 3 3 3 2" xfId="7199" xr:uid="{100A81F4-894E-4D2C-B787-6961244E092C}"/>
    <cellStyle name="Comma 2 4 2 3 3 3 2 2" xfId="15871" xr:uid="{FC546CED-2669-4E10-9352-6E91E7CBEBAA}"/>
    <cellStyle name="Comma 2 4 2 3 3 3 2 2 2" xfId="33215" xr:uid="{B621DB24-5024-4F24-993B-6569E78EDB3B}"/>
    <cellStyle name="Comma 2 4 2 3 3 3 2 3" xfId="24543" xr:uid="{87F4C501-F182-4EFD-9984-8F93AB0808C0}"/>
    <cellStyle name="Comma 2 4 2 3 3 3 3" xfId="11535" xr:uid="{6FC819CD-D003-45E7-809C-1D80A2CD6816}"/>
    <cellStyle name="Comma 2 4 2 3 3 3 3 2" xfId="28879" xr:uid="{2DFBB216-EE1E-43A3-B087-553E342F0713}"/>
    <cellStyle name="Comma 2 4 2 3 3 3 4" xfId="20207" xr:uid="{44478DB1-4FDE-4832-8810-01C8488A96F9}"/>
    <cellStyle name="Comma 2 4 2 3 3 4" xfId="5031" xr:uid="{823B7F0D-44A1-4FA9-99DD-A59B38847030}"/>
    <cellStyle name="Comma 2 4 2 3 3 4 2" xfId="13703" xr:uid="{B92D0338-2B95-410A-9F87-4F236C4061A0}"/>
    <cellStyle name="Comma 2 4 2 3 3 4 2 2" xfId="31047" xr:uid="{C35F471F-EE4A-4DF3-B86D-71D59E01338C}"/>
    <cellStyle name="Comma 2 4 2 3 3 4 3" xfId="22375" xr:uid="{793B6602-37D9-40E9-9EDB-13AA7D46C473}"/>
    <cellStyle name="Comma 2 4 2 3 3 5" xfId="9367" xr:uid="{A92C3CC1-FF4E-4824-9D60-F050F6BEAA3B}"/>
    <cellStyle name="Comma 2 4 2 3 3 5 2" xfId="26711" xr:uid="{FE5BB4DE-4537-4977-A4F5-C90CFE04FF5D}"/>
    <cellStyle name="Comma 2 4 2 3 3 6" xfId="18039" xr:uid="{2D95A42E-FBAD-4DDC-8356-EF2792EEDDF4}"/>
    <cellStyle name="Comma 2 4 2 3 4" xfId="1238" xr:uid="{5C4BAED1-E764-4AA6-9EA9-6CB5E6FD76EA}"/>
    <cellStyle name="Comma 2 4 2 3 4 2" xfId="3406" xr:uid="{9FD3ADC5-2A6C-4C9A-B7ED-D28BEB3E4757}"/>
    <cellStyle name="Comma 2 4 2 3 4 2 2" xfId="7742" xr:uid="{558E653C-6CF5-44D1-8A4E-92D77B79F657}"/>
    <cellStyle name="Comma 2 4 2 3 4 2 2 2" xfId="16414" xr:uid="{87E2BDB0-09E7-43F3-A225-95F1B2AC555E}"/>
    <cellStyle name="Comma 2 4 2 3 4 2 2 2 2" xfId="33758" xr:uid="{900EADD5-8FD9-4CDF-87AE-CD8602A5FF86}"/>
    <cellStyle name="Comma 2 4 2 3 4 2 2 3" xfId="25086" xr:uid="{9ACFA99B-4D83-40D2-AB3D-CEF0C9CCD312}"/>
    <cellStyle name="Comma 2 4 2 3 4 2 3" xfId="12078" xr:uid="{95D068EA-6368-4662-9F5E-EF81D4097504}"/>
    <cellStyle name="Comma 2 4 2 3 4 2 3 2" xfId="29422" xr:uid="{D2D889C4-042F-470A-80AC-5F360043B409}"/>
    <cellStyle name="Comma 2 4 2 3 4 2 4" xfId="20750" xr:uid="{4B848851-F37F-49FF-B3C8-B419D1FCB578}"/>
    <cellStyle name="Comma 2 4 2 3 4 3" xfId="5574" xr:uid="{19490B87-5CD3-41D8-A5D3-A53A818E4251}"/>
    <cellStyle name="Comma 2 4 2 3 4 3 2" xfId="14246" xr:uid="{739D330F-748B-411E-A4FE-03D568FC227B}"/>
    <cellStyle name="Comma 2 4 2 3 4 3 2 2" xfId="31590" xr:uid="{DA3C87FA-36B7-41C6-A055-2D166EAC80E9}"/>
    <cellStyle name="Comma 2 4 2 3 4 3 3" xfId="22918" xr:uid="{4EB1BAB9-CAAB-4773-BAEA-A5BF18A671D4}"/>
    <cellStyle name="Comma 2 4 2 3 4 4" xfId="9910" xr:uid="{28861D76-60F9-4E81-BA12-0AD8848FCCFA}"/>
    <cellStyle name="Comma 2 4 2 3 4 4 2" xfId="27254" xr:uid="{EAA3FA6E-E046-49EB-8BBB-0D39A593B240}"/>
    <cellStyle name="Comma 2 4 2 3 4 5" xfId="18582" xr:uid="{7922B796-D074-47D9-A037-EDB856062A7E}"/>
    <cellStyle name="Comma 2 4 2 3 5" xfId="2322" xr:uid="{3F47469B-79EF-421E-A0E6-642B33CD4EE0}"/>
    <cellStyle name="Comma 2 4 2 3 5 2" xfId="6658" xr:uid="{D78A7EC4-0A91-4B89-A65A-E8B46DA5511E}"/>
    <cellStyle name="Comma 2 4 2 3 5 2 2" xfId="15330" xr:uid="{95664DE3-2B24-42A1-9D95-3FA4DCEEEBE8}"/>
    <cellStyle name="Comma 2 4 2 3 5 2 2 2" xfId="32674" xr:uid="{6BDA47F9-8EA7-4E86-94B1-30BC44EB14DF}"/>
    <cellStyle name="Comma 2 4 2 3 5 2 3" xfId="24002" xr:uid="{84EBEAD9-65A5-49B4-A6EB-694A44456DFC}"/>
    <cellStyle name="Comma 2 4 2 3 5 3" xfId="10994" xr:uid="{58C87006-46E6-4693-8DF5-BE128E41D014}"/>
    <cellStyle name="Comma 2 4 2 3 5 3 2" xfId="28338" xr:uid="{B1520E32-E1D0-4D6E-AC1A-BF141F279540}"/>
    <cellStyle name="Comma 2 4 2 3 5 4" xfId="19666" xr:uid="{D1976F35-5A4D-4DE3-8F0E-2FB25F5FE781}"/>
    <cellStyle name="Comma 2 4 2 3 6" xfId="4490" xr:uid="{020CC97E-3D79-4856-9412-752EA4A694EA}"/>
    <cellStyle name="Comma 2 4 2 3 6 2" xfId="13162" xr:uid="{5363EE42-D088-40E5-8E4F-2647E42AD3B5}"/>
    <cellStyle name="Comma 2 4 2 3 6 2 2" xfId="30506" xr:uid="{AB70E323-9B21-4309-90CE-2753BB53CFA9}"/>
    <cellStyle name="Comma 2 4 2 3 6 3" xfId="21834" xr:uid="{67BB72AE-77CF-4C73-AB8C-FF58CBE47CE9}"/>
    <cellStyle name="Comma 2 4 2 3 7" xfId="8826" xr:uid="{3B991B08-A626-429C-AEF3-5D5D7764EC5E}"/>
    <cellStyle name="Comma 2 4 2 3 7 2" xfId="26170" xr:uid="{26992B57-6599-41F0-8D4E-6682F2B51485}"/>
    <cellStyle name="Comma 2 4 2 3 8" xfId="17498" xr:uid="{790AD7EA-A596-42CD-BA48-D458998F11DE}"/>
    <cellStyle name="Comma 2 4 2 4" xfId="302" xr:uid="{481DBCA3-5724-42F9-8B42-7583275BA891}"/>
    <cellStyle name="Comma 2 4 2 4 2" xfId="843" xr:uid="{32B95427-1FB0-4030-B9DB-9D06877DD4E7}"/>
    <cellStyle name="Comma 2 4 2 4 2 2" xfId="1927" xr:uid="{1E9B70E3-090A-4066-9207-D2A9AFC93386}"/>
    <cellStyle name="Comma 2 4 2 4 2 2 2" xfId="4095" xr:uid="{006F688D-D69A-44E4-B14A-CA82927BA936}"/>
    <cellStyle name="Comma 2 4 2 4 2 2 2 2" xfId="8431" xr:uid="{537A64DF-D9AB-430F-B92B-BF755B456CF6}"/>
    <cellStyle name="Comma 2 4 2 4 2 2 2 2 2" xfId="17103" xr:uid="{C15A2CCD-7051-48C3-942E-AB37D929417A}"/>
    <cellStyle name="Comma 2 4 2 4 2 2 2 2 2 2" xfId="34447" xr:uid="{5F0DC6A9-9C17-4421-939D-D8D669D16DAA}"/>
    <cellStyle name="Comma 2 4 2 4 2 2 2 2 3" xfId="25775" xr:uid="{F075C7E6-6BAD-47FA-96B4-7959084916BD}"/>
    <cellStyle name="Comma 2 4 2 4 2 2 2 3" xfId="12767" xr:uid="{5C83C285-F1BC-4616-A3ED-E70E316AC9E3}"/>
    <cellStyle name="Comma 2 4 2 4 2 2 2 3 2" xfId="30111" xr:uid="{393519D5-4ECF-4506-9F95-77F97C648E4C}"/>
    <cellStyle name="Comma 2 4 2 4 2 2 2 4" xfId="21439" xr:uid="{554F7563-DC03-4973-A8F9-C63885FD4BC9}"/>
    <cellStyle name="Comma 2 4 2 4 2 2 3" xfId="6263" xr:uid="{B7AFC01F-D233-4BA6-9DC5-BE295122EAA6}"/>
    <cellStyle name="Comma 2 4 2 4 2 2 3 2" xfId="14935" xr:uid="{BBC1A942-3672-41EC-8A69-0101CBD868A1}"/>
    <cellStyle name="Comma 2 4 2 4 2 2 3 2 2" xfId="32279" xr:uid="{D19ABAB9-E5A0-48DA-9288-8F51A16654DA}"/>
    <cellStyle name="Comma 2 4 2 4 2 2 3 3" xfId="23607" xr:uid="{A0C85492-6F78-41CA-A177-2C59B779D9F4}"/>
    <cellStyle name="Comma 2 4 2 4 2 2 4" xfId="10599" xr:uid="{3988F20E-A862-4E6D-ABA1-18D7B8EF81EB}"/>
    <cellStyle name="Comma 2 4 2 4 2 2 4 2" xfId="27943" xr:uid="{B6B0A736-4987-46EB-890C-45A08FD5D851}"/>
    <cellStyle name="Comma 2 4 2 4 2 2 5" xfId="19271" xr:uid="{F5D90D9C-2B37-4FD3-B063-98C126E1D62D}"/>
    <cellStyle name="Comma 2 4 2 4 2 3" xfId="3011" xr:uid="{FFD271A5-8F5A-488E-AEE6-A8C75444483E}"/>
    <cellStyle name="Comma 2 4 2 4 2 3 2" xfId="7347" xr:uid="{4C527875-BD39-415B-9AB7-C7CD1E7D9DA0}"/>
    <cellStyle name="Comma 2 4 2 4 2 3 2 2" xfId="16019" xr:uid="{D486AE69-DB4C-4D99-9761-370F5B776269}"/>
    <cellStyle name="Comma 2 4 2 4 2 3 2 2 2" xfId="33363" xr:uid="{0CA6BAAA-5BFE-43AD-A013-9FE3CF613AF5}"/>
    <cellStyle name="Comma 2 4 2 4 2 3 2 3" xfId="24691" xr:uid="{C0C897FD-8C3D-40FA-B775-A360F8179CD6}"/>
    <cellStyle name="Comma 2 4 2 4 2 3 3" xfId="11683" xr:uid="{082969EF-2EA7-44D3-B7F7-BB9D00F968DB}"/>
    <cellStyle name="Comma 2 4 2 4 2 3 3 2" xfId="29027" xr:uid="{9ACB354A-265B-4B4F-A2C0-27856C3A4812}"/>
    <cellStyle name="Comma 2 4 2 4 2 3 4" xfId="20355" xr:uid="{5724596F-3412-4969-9539-C979672DA6ED}"/>
    <cellStyle name="Comma 2 4 2 4 2 4" xfId="5179" xr:uid="{16F51677-F199-4EAA-82DC-4586A3657A04}"/>
    <cellStyle name="Comma 2 4 2 4 2 4 2" xfId="13851" xr:uid="{B4EFE3E1-A05A-46AE-896D-61396C5EE485}"/>
    <cellStyle name="Comma 2 4 2 4 2 4 2 2" xfId="31195" xr:uid="{9E2944D7-246C-4A69-B63E-B25F113B0C69}"/>
    <cellStyle name="Comma 2 4 2 4 2 4 3" xfId="22523" xr:uid="{EFBA9BB4-4075-44F5-8F0A-916989D163EE}"/>
    <cellStyle name="Comma 2 4 2 4 2 5" xfId="9515" xr:uid="{64249988-63F6-4044-9562-B5149EF5F27B}"/>
    <cellStyle name="Comma 2 4 2 4 2 5 2" xfId="26859" xr:uid="{68C64BAA-6C7B-4E97-8B16-C4BF355D341B}"/>
    <cellStyle name="Comma 2 4 2 4 2 6" xfId="18187" xr:uid="{52F97C3B-333C-4E15-ABB0-D328DCA72A01}"/>
    <cellStyle name="Comma 2 4 2 4 3" xfId="1386" xr:uid="{81F439E9-3D03-412A-99F2-84EEDF927B43}"/>
    <cellStyle name="Comma 2 4 2 4 3 2" xfId="3554" xr:uid="{6FBC2FAF-7B9D-4F9C-AE5D-E0FE14F29429}"/>
    <cellStyle name="Comma 2 4 2 4 3 2 2" xfId="7890" xr:uid="{EFF9B9C6-DDD8-4292-8C3D-61060B6BD109}"/>
    <cellStyle name="Comma 2 4 2 4 3 2 2 2" xfId="16562" xr:uid="{56E621C8-7223-4AC1-8FE0-59D9A4AE72B6}"/>
    <cellStyle name="Comma 2 4 2 4 3 2 2 2 2" xfId="33906" xr:uid="{61E61742-8833-4D77-8F4D-B8E01AB1C5AC}"/>
    <cellStyle name="Comma 2 4 2 4 3 2 2 3" xfId="25234" xr:uid="{B92969A0-381C-4BC8-B927-F5A7021BDC00}"/>
    <cellStyle name="Comma 2 4 2 4 3 2 3" xfId="12226" xr:uid="{FA699CA2-FEE1-41BE-8056-CCF8148662DD}"/>
    <cellStyle name="Comma 2 4 2 4 3 2 3 2" xfId="29570" xr:uid="{32DE19DC-766D-4269-9650-D9C5012A37CA}"/>
    <cellStyle name="Comma 2 4 2 4 3 2 4" xfId="20898" xr:uid="{5D166E1A-AB84-4097-B75E-0970C5D4F028}"/>
    <cellStyle name="Comma 2 4 2 4 3 3" xfId="5722" xr:uid="{4EA513AC-AB61-4F0F-9134-5253D578AD20}"/>
    <cellStyle name="Comma 2 4 2 4 3 3 2" xfId="14394" xr:uid="{D2693C32-F28B-4B8E-8A14-B35ECA85CCAE}"/>
    <cellStyle name="Comma 2 4 2 4 3 3 2 2" xfId="31738" xr:uid="{607F48B2-0C74-4278-B391-E0883514787A}"/>
    <cellStyle name="Comma 2 4 2 4 3 3 3" xfId="23066" xr:uid="{5EC28015-5318-433E-A0FA-E55B694C9088}"/>
    <cellStyle name="Comma 2 4 2 4 3 4" xfId="10058" xr:uid="{8D8963BB-A187-4346-9597-1D47D5A0BCAB}"/>
    <cellStyle name="Comma 2 4 2 4 3 4 2" xfId="27402" xr:uid="{CA8424CE-B791-4D4E-A4F5-C25A2CC93FAE}"/>
    <cellStyle name="Comma 2 4 2 4 3 5" xfId="18730" xr:uid="{B2078076-F8F1-4866-AAE7-567CEAE268C3}"/>
    <cellStyle name="Comma 2 4 2 4 4" xfId="2470" xr:uid="{7E77A6FC-D81D-49CD-B7A5-152C4B3D3D74}"/>
    <cellStyle name="Comma 2 4 2 4 4 2" xfId="6806" xr:uid="{6B11216F-5DCF-4F95-BBC4-E1CA21BD7870}"/>
    <cellStyle name="Comma 2 4 2 4 4 2 2" xfId="15478" xr:uid="{3FFCBF9A-97F3-4D59-95DB-0B3C23481A6F}"/>
    <cellStyle name="Comma 2 4 2 4 4 2 2 2" xfId="32822" xr:uid="{868EA777-062A-470A-8970-11B56993D14F}"/>
    <cellStyle name="Comma 2 4 2 4 4 2 3" xfId="24150" xr:uid="{C82948C0-82A0-4209-8212-07C1EB26E65A}"/>
    <cellStyle name="Comma 2 4 2 4 4 3" xfId="11142" xr:uid="{69A5A466-095E-45C2-AD1D-ABAA9BA17F74}"/>
    <cellStyle name="Comma 2 4 2 4 4 3 2" xfId="28486" xr:uid="{A55BBD19-E45D-4036-9B5C-726311F86A15}"/>
    <cellStyle name="Comma 2 4 2 4 4 4" xfId="19814" xr:uid="{55A140A1-D9D6-4BC0-BC00-2C0BEC438075}"/>
    <cellStyle name="Comma 2 4 2 4 5" xfId="4638" xr:uid="{C2663A0C-719D-4AB1-A5B7-CF80C19E4BB1}"/>
    <cellStyle name="Comma 2 4 2 4 5 2" xfId="13310" xr:uid="{93311827-A867-4D0D-8127-3F972B4296D1}"/>
    <cellStyle name="Comma 2 4 2 4 5 2 2" xfId="30654" xr:uid="{D152EA20-53D1-4A75-9024-16AE36F225EA}"/>
    <cellStyle name="Comma 2 4 2 4 5 3" xfId="21982" xr:uid="{282E9711-5624-4D13-8C54-CFD3FD8E9887}"/>
    <cellStyle name="Comma 2 4 2 4 6" xfId="8974" xr:uid="{CF20572B-7557-43BE-AE6E-CE3C0134C71A}"/>
    <cellStyle name="Comma 2 4 2 4 6 2" xfId="26318" xr:uid="{603066C0-BD41-45A8-93EC-761A93C0EA58}"/>
    <cellStyle name="Comma 2 4 2 4 7" xfId="17646" xr:uid="{50840FCD-2748-4DEF-B92D-8EAC9D3599CE}"/>
    <cellStyle name="Comma 2 4 2 5" xfId="573" xr:uid="{95CC8AEE-88DE-4C2F-A84D-650E92884CA9}"/>
    <cellStyle name="Comma 2 4 2 5 2" xfId="1657" xr:uid="{654E88D1-5E8B-4ACB-A546-90E9D423C3A3}"/>
    <cellStyle name="Comma 2 4 2 5 2 2" xfId="3825" xr:uid="{3F44A66A-4EE1-48A1-90D7-6F08CF70D8E4}"/>
    <cellStyle name="Comma 2 4 2 5 2 2 2" xfId="8161" xr:uid="{FD68A998-8669-449C-8104-A50736E23B74}"/>
    <cellStyle name="Comma 2 4 2 5 2 2 2 2" xfId="16833" xr:uid="{51C2AC19-87EF-4F37-9633-199F9653DA29}"/>
    <cellStyle name="Comma 2 4 2 5 2 2 2 2 2" xfId="34177" xr:uid="{328EE8F2-D87E-41BA-9C25-E6EE5A6D22C9}"/>
    <cellStyle name="Comma 2 4 2 5 2 2 2 3" xfId="25505" xr:uid="{C990F9F8-1BA8-4E58-A6A4-BED4158FDC4D}"/>
    <cellStyle name="Comma 2 4 2 5 2 2 3" xfId="12497" xr:uid="{5D3DC6E5-B373-4FA3-98B6-36604D749385}"/>
    <cellStyle name="Comma 2 4 2 5 2 2 3 2" xfId="29841" xr:uid="{8F102044-31E5-41E5-A460-5410831EE507}"/>
    <cellStyle name="Comma 2 4 2 5 2 2 4" xfId="21169" xr:uid="{92289ED7-72E8-49B7-9E8C-C44A17DA48F1}"/>
    <cellStyle name="Comma 2 4 2 5 2 3" xfId="5993" xr:uid="{25CEA8A8-668E-4300-A7F9-A4D9EA799B09}"/>
    <cellStyle name="Comma 2 4 2 5 2 3 2" xfId="14665" xr:uid="{97B855CF-D302-45C0-88A4-9F3A7C92DC82}"/>
    <cellStyle name="Comma 2 4 2 5 2 3 2 2" xfId="32009" xr:uid="{FABD84B2-37B6-4BAB-B3AB-79F33AA1336D}"/>
    <cellStyle name="Comma 2 4 2 5 2 3 3" xfId="23337" xr:uid="{DAD8EFF8-E311-48E6-9A10-E2853B8776C9}"/>
    <cellStyle name="Comma 2 4 2 5 2 4" xfId="10329" xr:uid="{3DF952DF-332B-4CBE-B2E4-05F9FAC84FA0}"/>
    <cellStyle name="Comma 2 4 2 5 2 4 2" xfId="27673" xr:uid="{35C11213-698C-414F-8EBD-819C9C990FAC}"/>
    <cellStyle name="Comma 2 4 2 5 2 5" xfId="19001" xr:uid="{4CA8D9F1-26DA-4655-B134-A42FE35C4C6F}"/>
    <cellStyle name="Comma 2 4 2 5 3" xfId="2741" xr:uid="{15C53776-B919-4424-8EDE-4C2CFE68F0AF}"/>
    <cellStyle name="Comma 2 4 2 5 3 2" xfId="7077" xr:uid="{F1C18ACB-3CDB-44EA-A247-1C7C51B2E76D}"/>
    <cellStyle name="Comma 2 4 2 5 3 2 2" xfId="15749" xr:uid="{C0875B13-16F0-4A45-A365-8B9145D5290F}"/>
    <cellStyle name="Comma 2 4 2 5 3 2 2 2" xfId="33093" xr:uid="{CB544E01-969A-4FAF-A057-E4CE57A05077}"/>
    <cellStyle name="Comma 2 4 2 5 3 2 3" xfId="24421" xr:uid="{1D93D8F9-66A9-48AE-8C55-816D050E5608}"/>
    <cellStyle name="Comma 2 4 2 5 3 3" xfId="11413" xr:uid="{1F99A4C8-7A23-4126-B212-23BB16D92739}"/>
    <cellStyle name="Comma 2 4 2 5 3 3 2" xfId="28757" xr:uid="{CA9174F4-C18E-4FE0-AB59-E4FE5F84BBC1}"/>
    <cellStyle name="Comma 2 4 2 5 3 4" xfId="20085" xr:uid="{5F06EAB4-14B6-4E5E-AADE-703F4979F8F1}"/>
    <cellStyle name="Comma 2 4 2 5 4" xfId="4909" xr:uid="{A0178ABC-8166-43B3-8F6A-7B9417F490EF}"/>
    <cellStyle name="Comma 2 4 2 5 4 2" xfId="13581" xr:uid="{E83C8EDF-E123-4629-9F60-E6B317D2D7A0}"/>
    <cellStyle name="Comma 2 4 2 5 4 2 2" xfId="30925" xr:uid="{CD3387AA-2F31-4869-9EEF-E28751C69233}"/>
    <cellStyle name="Comma 2 4 2 5 4 3" xfId="22253" xr:uid="{CF8674BA-E9C0-4514-B78C-B459361FE4B9}"/>
    <cellStyle name="Comma 2 4 2 5 5" xfId="9245" xr:uid="{E313B006-146C-4609-84BE-AC25530C331F}"/>
    <cellStyle name="Comma 2 4 2 5 5 2" xfId="26589" xr:uid="{D6CE4BC7-CF45-464E-AA2C-58EF925F5144}"/>
    <cellStyle name="Comma 2 4 2 5 6" xfId="17917" xr:uid="{1101832A-6955-459A-889C-82DBED926D81}"/>
    <cellStyle name="Comma 2 4 2 6" xfId="1116" xr:uid="{AD6456F7-4904-4102-965E-941D17226355}"/>
    <cellStyle name="Comma 2 4 2 6 2" xfId="3284" xr:uid="{BBA2F42C-2D2D-4FBD-95F8-57E012CD8DC4}"/>
    <cellStyle name="Comma 2 4 2 6 2 2" xfId="7620" xr:uid="{94F13104-0387-48ED-9115-0B02EFE25F45}"/>
    <cellStyle name="Comma 2 4 2 6 2 2 2" xfId="16292" xr:uid="{3CDE59B2-68FB-4E53-A96A-8B2B542CD956}"/>
    <cellStyle name="Comma 2 4 2 6 2 2 2 2" xfId="33636" xr:uid="{A177B25F-A6F8-4416-A983-D30DAB764FFF}"/>
    <cellStyle name="Comma 2 4 2 6 2 2 3" xfId="24964" xr:uid="{CBA726F6-6B88-45B2-929A-D2B18458D871}"/>
    <cellStyle name="Comma 2 4 2 6 2 3" xfId="11956" xr:uid="{B0FD6035-E8B2-4990-8346-3049905690C1}"/>
    <cellStyle name="Comma 2 4 2 6 2 3 2" xfId="29300" xr:uid="{789320B0-B8FF-46F3-A518-16099EB633B0}"/>
    <cellStyle name="Comma 2 4 2 6 2 4" xfId="20628" xr:uid="{BAC83174-6D2E-4659-BD43-9113BFFE0608}"/>
    <cellStyle name="Comma 2 4 2 6 3" xfId="5452" xr:uid="{805BC04A-A05C-481F-A21D-5BD20E2C7E4A}"/>
    <cellStyle name="Comma 2 4 2 6 3 2" xfId="14124" xr:uid="{C76E8146-7E69-4A6F-A8B7-031B345C9839}"/>
    <cellStyle name="Comma 2 4 2 6 3 2 2" xfId="31468" xr:uid="{5BE2AAEF-5F74-42DE-B6A2-04A8923AE6A0}"/>
    <cellStyle name="Comma 2 4 2 6 3 3" xfId="22796" xr:uid="{543936F5-5D86-4903-9514-4E4B52DB90D6}"/>
    <cellStyle name="Comma 2 4 2 6 4" xfId="9788" xr:uid="{BD5C61F2-635A-4955-A203-B0B564401CD8}"/>
    <cellStyle name="Comma 2 4 2 6 4 2" xfId="27132" xr:uid="{429C733D-C563-4580-ACCA-CA64F0C16BBF}"/>
    <cellStyle name="Comma 2 4 2 6 5" xfId="18460" xr:uid="{AE198717-BA6B-4ED0-A6FF-2C7586F5B49C}"/>
    <cellStyle name="Comma 2 4 2 7" xfId="2200" xr:uid="{23F8CCC5-E8BF-434E-850E-559D61DD04C5}"/>
    <cellStyle name="Comma 2 4 2 7 2" xfId="6536" xr:uid="{BFA03776-F4F2-427B-AD8F-EFE6913285D1}"/>
    <cellStyle name="Comma 2 4 2 7 2 2" xfId="15208" xr:uid="{9C182192-B329-47F1-972D-1C3E5F6760D8}"/>
    <cellStyle name="Comma 2 4 2 7 2 2 2" xfId="32552" xr:uid="{94ACD3A9-778D-484D-9105-3D8B6BB47008}"/>
    <cellStyle name="Comma 2 4 2 7 2 3" xfId="23880" xr:uid="{439FAC79-010B-4666-91F5-C1701DDF44FB}"/>
    <cellStyle name="Comma 2 4 2 7 3" xfId="10872" xr:uid="{D544ADFB-1BC2-4A51-ABCF-12AFD60DDA12}"/>
    <cellStyle name="Comma 2 4 2 7 3 2" xfId="28216" xr:uid="{927B86CA-5CF4-475C-BDAB-187B1BDC2E34}"/>
    <cellStyle name="Comma 2 4 2 7 4" xfId="19544" xr:uid="{AE9EA622-C6F5-44F9-946B-AF20A3A2D2F9}"/>
    <cellStyle name="Comma 2 4 2 8" xfId="4368" xr:uid="{FCAB1F7C-2B1F-459E-A4B5-EC4CB492E9F7}"/>
    <cellStyle name="Comma 2 4 2 8 2" xfId="13040" xr:uid="{A37B45C6-7898-4B71-8C65-37B404355125}"/>
    <cellStyle name="Comma 2 4 2 8 2 2" xfId="30384" xr:uid="{81E8871D-9084-4E4A-A153-517E2A76F1BD}"/>
    <cellStyle name="Comma 2 4 2 8 3" xfId="21712" xr:uid="{DFBDEE60-64FC-4835-9053-C1A85ABCA658}"/>
    <cellStyle name="Comma 2 4 2 9" xfId="8704" xr:uid="{3F3DEC6D-E647-41A9-A427-D12B9D64C46B}"/>
    <cellStyle name="Comma 2 4 2 9 2" xfId="26048" xr:uid="{13A75BAB-8FF9-4EC5-BF41-15638884875D}"/>
    <cellStyle name="Comma 2 4 3" xfId="77" xr:uid="{B8943F22-654E-4103-A248-766F0DC9DF2A}"/>
    <cellStyle name="Comma 2 4 3 2" xfId="199" xr:uid="{F4654323-A62B-477B-844C-67B856D102D4}"/>
    <cellStyle name="Comma 2 4 3 2 2" xfId="469" xr:uid="{52AA9439-A530-4F26-A884-D3F5DF2705AC}"/>
    <cellStyle name="Comma 2 4 3 2 2 2" xfId="1010" xr:uid="{5D286DA1-6CB5-46C2-858F-C33066D83285}"/>
    <cellStyle name="Comma 2 4 3 2 2 2 2" xfId="2094" xr:uid="{6E90CD6E-B042-4D6D-BF67-A1552A322424}"/>
    <cellStyle name="Comma 2 4 3 2 2 2 2 2" xfId="4262" xr:uid="{D4714D27-A956-4E11-9179-8945F0272D9D}"/>
    <cellStyle name="Comma 2 4 3 2 2 2 2 2 2" xfId="8598" xr:uid="{1B31A534-26C1-4E43-A574-29BCEF1B629A}"/>
    <cellStyle name="Comma 2 4 3 2 2 2 2 2 2 2" xfId="17270" xr:uid="{471B7095-DEEC-4949-826A-A368A6102739}"/>
    <cellStyle name="Comma 2 4 3 2 2 2 2 2 2 2 2" xfId="34614" xr:uid="{2367C6F3-120C-43EA-B779-2BA9E82D5EB3}"/>
    <cellStyle name="Comma 2 4 3 2 2 2 2 2 2 3" xfId="25942" xr:uid="{689CF909-BA0D-438E-A3E7-056778FC3BEC}"/>
    <cellStyle name="Comma 2 4 3 2 2 2 2 2 3" xfId="12934" xr:uid="{F5380ADF-08F3-4981-A0A0-90C74B6EECAB}"/>
    <cellStyle name="Comma 2 4 3 2 2 2 2 2 3 2" xfId="30278" xr:uid="{72595BAC-4FB3-408A-BACE-F17FDECCDE65}"/>
    <cellStyle name="Comma 2 4 3 2 2 2 2 2 4" xfId="21606" xr:uid="{0E33C505-C1C0-4BE1-91D2-FB83197BFE0C}"/>
    <cellStyle name="Comma 2 4 3 2 2 2 2 3" xfId="6430" xr:uid="{AA1BCF29-DB90-40F1-8E00-20FE707B7439}"/>
    <cellStyle name="Comma 2 4 3 2 2 2 2 3 2" xfId="15102" xr:uid="{D6D95EA2-648C-4193-8B2B-B6C9B6A8327D}"/>
    <cellStyle name="Comma 2 4 3 2 2 2 2 3 2 2" xfId="32446" xr:uid="{2B9DD6C3-449B-454B-914B-15711129E021}"/>
    <cellStyle name="Comma 2 4 3 2 2 2 2 3 3" xfId="23774" xr:uid="{F58A6B0D-9BD8-40EA-9896-EBA1C9A567F0}"/>
    <cellStyle name="Comma 2 4 3 2 2 2 2 4" xfId="10766" xr:uid="{13204726-7000-4CB4-9A3B-CCE65EE09F3B}"/>
    <cellStyle name="Comma 2 4 3 2 2 2 2 4 2" xfId="28110" xr:uid="{1056A388-7E6B-464C-9407-BCB8435335C5}"/>
    <cellStyle name="Comma 2 4 3 2 2 2 2 5" xfId="19438" xr:uid="{43401F83-46F7-4C11-AE47-0A93611A1FBC}"/>
    <cellStyle name="Comma 2 4 3 2 2 2 3" xfId="3178" xr:uid="{01A44474-01D8-4E45-BF92-CA5D809584F4}"/>
    <cellStyle name="Comma 2 4 3 2 2 2 3 2" xfId="7514" xr:uid="{40080716-9E1A-4D4F-8DF6-2BB12BBCEC71}"/>
    <cellStyle name="Comma 2 4 3 2 2 2 3 2 2" xfId="16186" xr:uid="{2DBD8AFB-46C5-4120-BF9C-176247C26091}"/>
    <cellStyle name="Comma 2 4 3 2 2 2 3 2 2 2" xfId="33530" xr:uid="{47B474AB-47F0-4643-8203-85957FE10E4F}"/>
    <cellStyle name="Comma 2 4 3 2 2 2 3 2 3" xfId="24858" xr:uid="{72F72CCA-E92A-4196-B628-E8C6869B436B}"/>
    <cellStyle name="Comma 2 4 3 2 2 2 3 3" xfId="11850" xr:uid="{0912D40F-B30D-4C28-8D42-FE1DCD23980A}"/>
    <cellStyle name="Comma 2 4 3 2 2 2 3 3 2" xfId="29194" xr:uid="{1AAA900F-B435-467E-9475-95E9EE72B4B1}"/>
    <cellStyle name="Comma 2 4 3 2 2 2 3 4" xfId="20522" xr:uid="{C9024281-59D6-4D50-989C-115B6E41080D}"/>
    <cellStyle name="Comma 2 4 3 2 2 2 4" xfId="5346" xr:uid="{B28087FB-A62E-417F-9410-0CA5CD6B42D6}"/>
    <cellStyle name="Comma 2 4 3 2 2 2 4 2" xfId="14018" xr:uid="{CD0F4812-2F3F-4821-B81F-BDE7391072EF}"/>
    <cellStyle name="Comma 2 4 3 2 2 2 4 2 2" xfId="31362" xr:uid="{EC16B555-2F22-4532-BE82-D3BA4CC09E8C}"/>
    <cellStyle name="Comma 2 4 3 2 2 2 4 3" xfId="22690" xr:uid="{1E0FB458-0FEC-4A67-BEC2-35D361647D79}"/>
    <cellStyle name="Comma 2 4 3 2 2 2 5" xfId="9682" xr:uid="{2E6A6001-1966-4C7B-AD11-B2F9D1ECCC61}"/>
    <cellStyle name="Comma 2 4 3 2 2 2 5 2" xfId="27026" xr:uid="{CBAA7127-601A-402E-B59A-76AAF6005CDC}"/>
    <cellStyle name="Comma 2 4 3 2 2 2 6" xfId="18354" xr:uid="{A76DD50F-120A-41F4-B690-42B7F1A4617D}"/>
    <cellStyle name="Comma 2 4 3 2 2 3" xfId="1553" xr:uid="{1E44D46E-7303-4657-A789-26AAD9646C19}"/>
    <cellStyle name="Comma 2 4 3 2 2 3 2" xfId="3721" xr:uid="{CA4BAEB6-A873-4CAA-A14E-456774C6C645}"/>
    <cellStyle name="Comma 2 4 3 2 2 3 2 2" xfId="8057" xr:uid="{234A04B9-71C1-4E61-94D6-B7C4ACA98C10}"/>
    <cellStyle name="Comma 2 4 3 2 2 3 2 2 2" xfId="16729" xr:uid="{301D2296-431F-4C02-AF00-309AD9FBA855}"/>
    <cellStyle name="Comma 2 4 3 2 2 3 2 2 2 2" xfId="34073" xr:uid="{61E3A7A8-F90D-490B-BDEF-B59EA9106A5B}"/>
    <cellStyle name="Comma 2 4 3 2 2 3 2 2 3" xfId="25401" xr:uid="{4CBAE7EB-BA8A-47CA-AE2D-F6243B5351B9}"/>
    <cellStyle name="Comma 2 4 3 2 2 3 2 3" xfId="12393" xr:uid="{ED81F922-0C0F-49BD-8EEC-0CB53B1A8EE4}"/>
    <cellStyle name="Comma 2 4 3 2 2 3 2 3 2" xfId="29737" xr:uid="{CC4ADED9-9546-4982-8ED2-F985D8C24FD8}"/>
    <cellStyle name="Comma 2 4 3 2 2 3 2 4" xfId="21065" xr:uid="{A100FEBE-1A73-4E64-A93B-1DF292F5FA01}"/>
    <cellStyle name="Comma 2 4 3 2 2 3 3" xfId="5889" xr:uid="{FA3F780D-60A5-46AF-9441-4CA4097D8AC1}"/>
    <cellStyle name="Comma 2 4 3 2 2 3 3 2" xfId="14561" xr:uid="{9757DE58-B0E6-450C-83E7-08C1C3C1ABD8}"/>
    <cellStyle name="Comma 2 4 3 2 2 3 3 2 2" xfId="31905" xr:uid="{637F9E45-6189-441F-B5AB-0F0A96983768}"/>
    <cellStyle name="Comma 2 4 3 2 2 3 3 3" xfId="23233" xr:uid="{A3BEC2D7-F677-456E-807F-4A9A19E14498}"/>
    <cellStyle name="Comma 2 4 3 2 2 3 4" xfId="10225" xr:uid="{D20993C4-22A8-4DA0-86B4-A07469D13993}"/>
    <cellStyle name="Comma 2 4 3 2 2 3 4 2" xfId="27569" xr:uid="{F202B9AA-A28C-4B08-B415-56EDAEA3DC7D}"/>
    <cellStyle name="Comma 2 4 3 2 2 3 5" xfId="18897" xr:uid="{FD89FABD-6B25-471F-AEB4-ED0F093895CD}"/>
    <cellStyle name="Comma 2 4 3 2 2 4" xfId="2637" xr:uid="{B0816337-095B-4C9F-8423-1A66F0E378E2}"/>
    <cellStyle name="Comma 2 4 3 2 2 4 2" xfId="6973" xr:uid="{3EAB112E-E496-43D6-AFC0-C046FA10339A}"/>
    <cellStyle name="Comma 2 4 3 2 2 4 2 2" xfId="15645" xr:uid="{A8815E39-4AE4-4DBD-AD3A-AA876E01CB62}"/>
    <cellStyle name="Comma 2 4 3 2 2 4 2 2 2" xfId="32989" xr:uid="{B1712962-F5AD-4231-922A-D1211C17EF4E}"/>
    <cellStyle name="Comma 2 4 3 2 2 4 2 3" xfId="24317" xr:uid="{4D54B3C5-AA98-4BD4-ADDC-FA019EA427F5}"/>
    <cellStyle name="Comma 2 4 3 2 2 4 3" xfId="11309" xr:uid="{D4023027-D972-4627-85C9-FB09E31C21EE}"/>
    <cellStyle name="Comma 2 4 3 2 2 4 3 2" xfId="28653" xr:uid="{6DAA1BD0-0791-4207-90D1-0894EBC3A67A}"/>
    <cellStyle name="Comma 2 4 3 2 2 4 4" xfId="19981" xr:uid="{5E6F6C0D-7F56-47FF-BCE1-C4DF47DCFBE0}"/>
    <cellStyle name="Comma 2 4 3 2 2 5" xfId="4805" xr:uid="{8537BD26-0B8D-4F2A-A882-E07A4650AAE9}"/>
    <cellStyle name="Comma 2 4 3 2 2 5 2" xfId="13477" xr:uid="{2F97423E-A2CB-4B88-95CB-2A3AFE88E43C}"/>
    <cellStyle name="Comma 2 4 3 2 2 5 2 2" xfId="30821" xr:uid="{F77B4986-3FC3-4204-8ABD-877761291DEA}"/>
    <cellStyle name="Comma 2 4 3 2 2 5 3" xfId="22149" xr:uid="{4DD70C98-C6D6-41E3-8393-57940BFA5F40}"/>
    <cellStyle name="Comma 2 4 3 2 2 6" xfId="9141" xr:uid="{38383CC1-C7CA-4470-AE0A-471B147537BE}"/>
    <cellStyle name="Comma 2 4 3 2 2 6 2" xfId="26485" xr:uid="{A4E673D4-B3C1-4E86-8D93-9DF7DFEA023D}"/>
    <cellStyle name="Comma 2 4 3 2 2 7" xfId="17813" xr:uid="{C754E14E-F303-4D35-8A88-E6C50D113F70}"/>
    <cellStyle name="Comma 2 4 3 2 3" xfId="740" xr:uid="{0678203F-0205-4FDA-93E8-4F7F19B9D570}"/>
    <cellStyle name="Comma 2 4 3 2 3 2" xfId="1824" xr:uid="{F064605A-7E75-4D5E-B42D-BFF6608B1C3B}"/>
    <cellStyle name="Comma 2 4 3 2 3 2 2" xfId="3992" xr:uid="{96D2A246-3666-4157-8DB9-D3E8D36DAA73}"/>
    <cellStyle name="Comma 2 4 3 2 3 2 2 2" xfId="8328" xr:uid="{5A652E3D-CD66-4DDB-83B2-FE36FF95F919}"/>
    <cellStyle name="Comma 2 4 3 2 3 2 2 2 2" xfId="17000" xr:uid="{B4ACD2D0-2006-4FC3-82D0-94AB193F71C8}"/>
    <cellStyle name="Comma 2 4 3 2 3 2 2 2 2 2" xfId="34344" xr:uid="{C1856B2D-2AEB-473C-A2CB-75E76D448112}"/>
    <cellStyle name="Comma 2 4 3 2 3 2 2 2 3" xfId="25672" xr:uid="{BC8D17AD-52BD-4523-A937-488EF4001C5E}"/>
    <cellStyle name="Comma 2 4 3 2 3 2 2 3" xfId="12664" xr:uid="{4CD3FA48-731D-4CAA-B263-E74550702425}"/>
    <cellStyle name="Comma 2 4 3 2 3 2 2 3 2" xfId="30008" xr:uid="{F0ACC453-7E23-4B1A-8DFD-27FD41D6A1E7}"/>
    <cellStyle name="Comma 2 4 3 2 3 2 2 4" xfId="21336" xr:uid="{87D996FA-421A-4C4B-8585-DBC64E4A8D90}"/>
    <cellStyle name="Comma 2 4 3 2 3 2 3" xfId="6160" xr:uid="{739A9A08-D651-454B-9AB6-8A56C4F5B5AE}"/>
    <cellStyle name="Comma 2 4 3 2 3 2 3 2" xfId="14832" xr:uid="{70A0B5F9-0F46-40B6-B314-DD7672653422}"/>
    <cellStyle name="Comma 2 4 3 2 3 2 3 2 2" xfId="32176" xr:uid="{5C2CDC51-FD2A-4EA0-8BAA-10F33AFE75C7}"/>
    <cellStyle name="Comma 2 4 3 2 3 2 3 3" xfId="23504" xr:uid="{FA536C84-4610-4397-9323-317C285E2DDE}"/>
    <cellStyle name="Comma 2 4 3 2 3 2 4" xfId="10496" xr:uid="{3774CC2C-F8CD-4454-AD60-CC5BC6079F36}"/>
    <cellStyle name="Comma 2 4 3 2 3 2 4 2" xfId="27840" xr:uid="{7F223403-F03F-4EEF-BD7F-F77194277B99}"/>
    <cellStyle name="Comma 2 4 3 2 3 2 5" xfId="19168" xr:uid="{695F0195-648E-47C6-95BE-F36C91084F31}"/>
    <cellStyle name="Comma 2 4 3 2 3 3" xfId="2908" xr:uid="{BA786BBD-04EB-44C3-B00E-0C1B61A67C48}"/>
    <cellStyle name="Comma 2 4 3 2 3 3 2" xfId="7244" xr:uid="{F6E83701-21BC-4B35-81FD-E275774A87E7}"/>
    <cellStyle name="Comma 2 4 3 2 3 3 2 2" xfId="15916" xr:uid="{E36BE2D8-A1D4-4D3E-ADA7-547FB9E77EC2}"/>
    <cellStyle name="Comma 2 4 3 2 3 3 2 2 2" xfId="33260" xr:uid="{9F8A0CF8-9BE8-4320-92B9-6A3274A66925}"/>
    <cellStyle name="Comma 2 4 3 2 3 3 2 3" xfId="24588" xr:uid="{978274EB-0871-49C2-AF1E-75137B1EDDF1}"/>
    <cellStyle name="Comma 2 4 3 2 3 3 3" xfId="11580" xr:uid="{3C888466-3EAC-4588-9C1A-3ED75D0C03AC}"/>
    <cellStyle name="Comma 2 4 3 2 3 3 3 2" xfId="28924" xr:uid="{4EC92E19-8C4F-428E-923B-D635DAB20587}"/>
    <cellStyle name="Comma 2 4 3 2 3 3 4" xfId="20252" xr:uid="{585CCADE-7BBC-401E-9717-D56CE0D54C85}"/>
    <cellStyle name="Comma 2 4 3 2 3 4" xfId="5076" xr:uid="{1897757F-CA36-4D3E-B183-8F484A31556D}"/>
    <cellStyle name="Comma 2 4 3 2 3 4 2" xfId="13748" xr:uid="{C171917D-FE97-4C78-9D32-115C62E8BFB6}"/>
    <cellStyle name="Comma 2 4 3 2 3 4 2 2" xfId="31092" xr:uid="{53505CA3-E88F-482C-82F5-A106354C8DCB}"/>
    <cellStyle name="Comma 2 4 3 2 3 4 3" xfId="22420" xr:uid="{601520B1-F772-4013-B37C-70CA26817A2A}"/>
    <cellStyle name="Comma 2 4 3 2 3 5" xfId="9412" xr:uid="{EF4BCAAE-E8F8-4E7F-8CE4-CB1CB558BA6A}"/>
    <cellStyle name="Comma 2 4 3 2 3 5 2" xfId="26756" xr:uid="{71D23E7D-9FF8-4D4B-9C11-E03F71754F65}"/>
    <cellStyle name="Comma 2 4 3 2 3 6" xfId="18084" xr:uid="{A9654CFC-82AB-4975-9676-B6EC6B4993E5}"/>
    <cellStyle name="Comma 2 4 3 2 4" xfId="1283" xr:uid="{56B7295F-EA8D-4655-87E0-549A8EA49A24}"/>
    <cellStyle name="Comma 2 4 3 2 4 2" xfId="3451" xr:uid="{5F2BF0CD-8273-4C3E-9F6D-4AE849527CE0}"/>
    <cellStyle name="Comma 2 4 3 2 4 2 2" xfId="7787" xr:uid="{8A2BB0D0-0A02-4AD7-B0C5-6D7F726F8182}"/>
    <cellStyle name="Comma 2 4 3 2 4 2 2 2" xfId="16459" xr:uid="{26095674-47E9-46E2-857C-78BBEF58DAEC}"/>
    <cellStyle name="Comma 2 4 3 2 4 2 2 2 2" xfId="33803" xr:uid="{FBA2D9EF-FDB7-4FDF-9804-06F48C84CF43}"/>
    <cellStyle name="Comma 2 4 3 2 4 2 2 3" xfId="25131" xr:uid="{CBE29AF7-0A4D-4CF9-874B-AEFB35FB9181}"/>
    <cellStyle name="Comma 2 4 3 2 4 2 3" xfId="12123" xr:uid="{4C7B4A61-17A2-4FDF-A6B7-A1B42FC864B1}"/>
    <cellStyle name="Comma 2 4 3 2 4 2 3 2" xfId="29467" xr:uid="{D0F98F0D-8B1C-4E1D-AAC7-2333BA6FD37E}"/>
    <cellStyle name="Comma 2 4 3 2 4 2 4" xfId="20795" xr:uid="{8BD44BEC-A638-4B0A-ABA4-95F041B2EAE0}"/>
    <cellStyle name="Comma 2 4 3 2 4 3" xfId="5619" xr:uid="{7871EDA1-EAA0-408A-AC04-51DC04A2777B}"/>
    <cellStyle name="Comma 2 4 3 2 4 3 2" xfId="14291" xr:uid="{5370DA9F-0AB5-4E47-8EFA-826313FFB306}"/>
    <cellStyle name="Comma 2 4 3 2 4 3 2 2" xfId="31635" xr:uid="{377E80F0-1828-4FE6-A376-C1AF9ABB0AE9}"/>
    <cellStyle name="Comma 2 4 3 2 4 3 3" xfId="22963" xr:uid="{A09D81DD-AB79-4E6C-AFD5-766A2CA6B8A5}"/>
    <cellStyle name="Comma 2 4 3 2 4 4" xfId="9955" xr:uid="{44F2BCF1-A54F-4CD2-9723-163FAE742853}"/>
    <cellStyle name="Comma 2 4 3 2 4 4 2" xfId="27299" xr:uid="{9A6DECCC-2071-4A6F-A3EF-B41523EE9911}"/>
    <cellStyle name="Comma 2 4 3 2 4 5" xfId="18627" xr:uid="{9FD88CE3-7EDD-4D4B-9E1C-1454773B962F}"/>
    <cellStyle name="Comma 2 4 3 2 5" xfId="2367" xr:uid="{321B95B2-E4AB-471B-88A5-ED3192CC972B}"/>
    <cellStyle name="Comma 2 4 3 2 5 2" xfId="6703" xr:uid="{A17FD9AE-CF0B-4DEB-8012-6EA2E2790D1A}"/>
    <cellStyle name="Comma 2 4 3 2 5 2 2" xfId="15375" xr:uid="{8CB18B8D-EA64-4503-9DAF-19CC59DAF100}"/>
    <cellStyle name="Comma 2 4 3 2 5 2 2 2" xfId="32719" xr:uid="{26D4ECBC-E3B4-4A65-A8F2-123DDE9C6B19}"/>
    <cellStyle name="Comma 2 4 3 2 5 2 3" xfId="24047" xr:uid="{7C00EE28-A9D8-4E45-B7B5-4B7700A8DA10}"/>
    <cellStyle name="Comma 2 4 3 2 5 3" xfId="11039" xr:uid="{E8B1647F-895D-4621-808A-66413DE40A3D}"/>
    <cellStyle name="Comma 2 4 3 2 5 3 2" xfId="28383" xr:uid="{8ED4B968-8437-47E8-88C7-3A4F1E12545C}"/>
    <cellStyle name="Comma 2 4 3 2 5 4" xfId="19711" xr:uid="{918D9A38-767C-4C67-915D-DE72C1C108EB}"/>
    <cellStyle name="Comma 2 4 3 2 6" xfId="4535" xr:uid="{236D81A7-C6C1-4A3F-9B6D-C8E7E2523312}"/>
    <cellStyle name="Comma 2 4 3 2 6 2" xfId="13207" xr:uid="{DD437AE4-414A-4AFC-847C-1A13DC55C360}"/>
    <cellStyle name="Comma 2 4 3 2 6 2 2" xfId="30551" xr:uid="{C2C0A2B5-40A8-4C36-834B-F72F0B40D42F}"/>
    <cellStyle name="Comma 2 4 3 2 6 3" xfId="21879" xr:uid="{D6D633BE-9929-460D-A2B8-D03EFE05F907}"/>
    <cellStyle name="Comma 2 4 3 2 7" xfId="8871" xr:uid="{94521DDC-504A-41A2-A7EF-603878D247E9}"/>
    <cellStyle name="Comma 2 4 3 2 7 2" xfId="26215" xr:uid="{5AC5A0A8-95A6-4940-8801-87FE924D76B3}"/>
    <cellStyle name="Comma 2 4 3 2 8" xfId="17543" xr:uid="{C38971F0-D6C3-4743-937E-D078F62E6C7A}"/>
    <cellStyle name="Comma 2 4 3 3" xfId="347" xr:uid="{C4E6AB81-C0FC-4769-97FD-391D840A0FCD}"/>
    <cellStyle name="Comma 2 4 3 3 2" xfId="888" xr:uid="{03ED2711-8746-4F36-B9FA-41BEB7366961}"/>
    <cellStyle name="Comma 2 4 3 3 2 2" xfId="1972" xr:uid="{F1314B61-983F-44C7-B4E5-CFED01E4FBAB}"/>
    <cellStyle name="Comma 2 4 3 3 2 2 2" xfId="4140" xr:uid="{FCE567A0-A65A-4E51-B261-BAAD1AC9ADA1}"/>
    <cellStyle name="Comma 2 4 3 3 2 2 2 2" xfId="8476" xr:uid="{457B589A-0EB6-4519-8E3F-A77446133DFB}"/>
    <cellStyle name="Comma 2 4 3 3 2 2 2 2 2" xfId="17148" xr:uid="{4ECC8DC6-15F6-4875-AA8D-96B2D53F928E}"/>
    <cellStyle name="Comma 2 4 3 3 2 2 2 2 2 2" xfId="34492" xr:uid="{00FFB51A-A851-4746-83AC-96509A8B3E5E}"/>
    <cellStyle name="Comma 2 4 3 3 2 2 2 2 3" xfId="25820" xr:uid="{54E54AFE-2EB0-4DB6-A9F3-636D9CD2BF2D}"/>
    <cellStyle name="Comma 2 4 3 3 2 2 2 3" xfId="12812" xr:uid="{608C3003-6E0B-46C3-9F7C-518DE85FD7F6}"/>
    <cellStyle name="Comma 2 4 3 3 2 2 2 3 2" xfId="30156" xr:uid="{B71152F8-F838-4D4B-A86B-14677066AAA7}"/>
    <cellStyle name="Comma 2 4 3 3 2 2 2 4" xfId="21484" xr:uid="{43D2A51C-D025-4BCC-BDFE-44F972DB523F}"/>
    <cellStyle name="Comma 2 4 3 3 2 2 3" xfId="6308" xr:uid="{4C8CB90C-87B5-41D3-BFF3-384515F9B846}"/>
    <cellStyle name="Comma 2 4 3 3 2 2 3 2" xfId="14980" xr:uid="{E8500B8C-BAE3-4142-9F49-291CE0573721}"/>
    <cellStyle name="Comma 2 4 3 3 2 2 3 2 2" xfId="32324" xr:uid="{81ED9868-1B05-46EA-8F17-E3A87037E6C8}"/>
    <cellStyle name="Comma 2 4 3 3 2 2 3 3" xfId="23652" xr:uid="{F60CF144-A8D1-4D50-8743-59A332323C14}"/>
    <cellStyle name="Comma 2 4 3 3 2 2 4" xfId="10644" xr:uid="{A1F5DB89-5A77-451C-A364-5E2C74B1E4E7}"/>
    <cellStyle name="Comma 2 4 3 3 2 2 4 2" xfId="27988" xr:uid="{C979939A-07C8-4EF5-9519-4BE483136E5A}"/>
    <cellStyle name="Comma 2 4 3 3 2 2 5" xfId="19316" xr:uid="{D37F80E4-5886-41FF-8054-DF9019F6668D}"/>
    <cellStyle name="Comma 2 4 3 3 2 3" xfId="3056" xr:uid="{AEAC0190-42B0-43CF-8EDC-49FFC6802C76}"/>
    <cellStyle name="Comma 2 4 3 3 2 3 2" xfId="7392" xr:uid="{BC23F710-EE5A-4D8E-9CA9-69C65819C174}"/>
    <cellStyle name="Comma 2 4 3 3 2 3 2 2" xfId="16064" xr:uid="{280A5943-16C2-458C-9674-B408C8E646BC}"/>
    <cellStyle name="Comma 2 4 3 3 2 3 2 2 2" xfId="33408" xr:uid="{24E5B3D2-2470-408F-96EC-3550C7B7F193}"/>
    <cellStyle name="Comma 2 4 3 3 2 3 2 3" xfId="24736" xr:uid="{150BE98F-27A8-4E4D-9CAF-0A885ABA8D0F}"/>
    <cellStyle name="Comma 2 4 3 3 2 3 3" xfId="11728" xr:uid="{1BD4E380-9657-4FF0-8EBC-BD136B737E24}"/>
    <cellStyle name="Comma 2 4 3 3 2 3 3 2" xfId="29072" xr:uid="{7CD8FFA7-532C-4FA9-8F06-3328119C5830}"/>
    <cellStyle name="Comma 2 4 3 3 2 3 4" xfId="20400" xr:uid="{D3B630FE-4803-4058-9EAD-313DA5026FC3}"/>
    <cellStyle name="Comma 2 4 3 3 2 4" xfId="5224" xr:uid="{7F902FB1-4842-4E85-A7AA-C96194BD145F}"/>
    <cellStyle name="Comma 2 4 3 3 2 4 2" xfId="13896" xr:uid="{B821DD33-7BF8-4DA7-BFE4-3BCB7BA50645}"/>
    <cellStyle name="Comma 2 4 3 3 2 4 2 2" xfId="31240" xr:uid="{DFD8A29A-6AC6-46D5-A892-624A4E3B54BD}"/>
    <cellStyle name="Comma 2 4 3 3 2 4 3" xfId="22568" xr:uid="{534F0B76-E9A3-4765-996F-2A8028538113}"/>
    <cellStyle name="Comma 2 4 3 3 2 5" xfId="9560" xr:uid="{C397C4F2-7BD1-471E-9A22-DA6ACD3619A6}"/>
    <cellStyle name="Comma 2 4 3 3 2 5 2" xfId="26904" xr:uid="{845C7D42-0E72-4FA0-AABB-7AF4C7B43AE8}"/>
    <cellStyle name="Comma 2 4 3 3 2 6" xfId="18232" xr:uid="{0D2DDD34-ED4C-464A-B03D-36B169D5F3FC}"/>
    <cellStyle name="Comma 2 4 3 3 3" xfId="1431" xr:uid="{D80E340D-6EA7-4EF0-A054-A90B77F7AFD2}"/>
    <cellStyle name="Comma 2 4 3 3 3 2" xfId="3599" xr:uid="{3C61E163-8DB1-493B-AA7D-1DAA2FE4851C}"/>
    <cellStyle name="Comma 2 4 3 3 3 2 2" xfId="7935" xr:uid="{4D6FF362-836F-4127-A18D-CEAE14D48073}"/>
    <cellStyle name="Comma 2 4 3 3 3 2 2 2" xfId="16607" xr:uid="{30E77959-B06B-4392-94F4-EC883DE5D740}"/>
    <cellStyle name="Comma 2 4 3 3 3 2 2 2 2" xfId="33951" xr:uid="{2D478D18-3217-4AB0-9C5C-622C722A6BE0}"/>
    <cellStyle name="Comma 2 4 3 3 3 2 2 3" xfId="25279" xr:uid="{B6E96807-C354-43D5-83FE-C37072DEA263}"/>
    <cellStyle name="Comma 2 4 3 3 3 2 3" xfId="12271" xr:uid="{99ED5056-ABED-41CD-B0BA-7B8D7CC650C4}"/>
    <cellStyle name="Comma 2 4 3 3 3 2 3 2" xfId="29615" xr:uid="{22A5CE2B-F21E-4BA0-A91F-82518BC2375E}"/>
    <cellStyle name="Comma 2 4 3 3 3 2 4" xfId="20943" xr:uid="{A8A09E50-CEA0-401F-9B67-ED633658C2F3}"/>
    <cellStyle name="Comma 2 4 3 3 3 3" xfId="5767" xr:uid="{4CD23400-9E49-496B-955F-3EB8C6CAB7F7}"/>
    <cellStyle name="Comma 2 4 3 3 3 3 2" xfId="14439" xr:uid="{644E6A57-695C-421B-A189-26A1D601DC25}"/>
    <cellStyle name="Comma 2 4 3 3 3 3 2 2" xfId="31783" xr:uid="{799368DE-844F-4252-A905-ADDA0CFC2D90}"/>
    <cellStyle name="Comma 2 4 3 3 3 3 3" xfId="23111" xr:uid="{6ED1D462-1B2B-4B44-875B-22F0D396A363}"/>
    <cellStyle name="Comma 2 4 3 3 3 4" xfId="10103" xr:uid="{635D3A22-628C-4C8B-8E4C-14EC80E0A607}"/>
    <cellStyle name="Comma 2 4 3 3 3 4 2" xfId="27447" xr:uid="{FE3E8BD0-DA00-42AF-BE7D-96022FC35F01}"/>
    <cellStyle name="Comma 2 4 3 3 3 5" xfId="18775" xr:uid="{772C75E4-B6C6-4DBB-9F23-8BBA3883576C}"/>
    <cellStyle name="Comma 2 4 3 3 4" xfId="2515" xr:uid="{50FCD62F-C2D2-4A59-A5EE-ACEA0F3FD89C}"/>
    <cellStyle name="Comma 2 4 3 3 4 2" xfId="6851" xr:uid="{0277FA32-234C-4867-B25A-12BB862D340E}"/>
    <cellStyle name="Comma 2 4 3 3 4 2 2" xfId="15523" xr:uid="{D71FCE20-F52A-4A1D-9B66-8780F2B0D821}"/>
    <cellStyle name="Comma 2 4 3 3 4 2 2 2" xfId="32867" xr:uid="{CBCE3999-DE82-4B8C-A797-CEF312F6DFFB}"/>
    <cellStyle name="Comma 2 4 3 3 4 2 3" xfId="24195" xr:uid="{3F24E6F3-DD12-4F75-B4FB-540E6B0197B0}"/>
    <cellStyle name="Comma 2 4 3 3 4 3" xfId="11187" xr:uid="{F659E37B-4041-4037-91A0-0A3615716418}"/>
    <cellStyle name="Comma 2 4 3 3 4 3 2" xfId="28531" xr:uid="{16F950E0-21D6-46D8-9656-8F152C1DE4BD}"/>
    <cellStyle name="Comma 2 4 3 3 4 4" xfId="19859" xr:uid="{A0CC816D-583E-44BC-A2A1-B25625F0C23E}"/>
    <cellStyle name="Comma 2 4 3 3 5" xfId="4683" xr:uid="{34C762F0-D14F-4404-AFEE-95BAABF18263}"/>
    <cellStyle name="Comma 2 4 3 3 5 2" xfId="13355" xr:uid="{001B213D-D147-44D7-B72A-211563A761AB}"/>
    <cellStyle name="Comma 2 4 3 3 5 2 2" xfId="30699" xr:uid="{F020C840-CF3C-4DB0-8DC4-444828F806E3}"/>
    <cellStyle name="Comma 2 4 3 3 5 3" xfId="22027" xr:uid="{DE092E34-AFD5-413E-B72A-E4D5CA9C7279}"/>
    <cellStyle name="Comma 2 4 3 3 6" xfId="9019" xr:uid="{8D30BCF2-F165-46D4-8AB0-720C56BCA34B}"/>
    <cellStyle name="Comma 2 4 3 3 6 2" xfId="26363" xr:uid="{B5E5D60D-7E51-4C71-80C2-0B915C6252A7}"/>
    <cellStyle name="Comma 2 4 3 3 7" xfId="17691" xr:uid="{60A768DF-FD6B-4F21-B164-195C9626F16D}"/>
    <cellStyle name="Comma 2 4 3 4" xfId="618" xr:uid="{F07E6C74-AC42-45AC-918D-5BFC3E08047B}"/>
    <cellStyle name="Comma 2 4 3 4 2" xfId="1702" xr:uid="{32FD1B7B-27CC-4D00-B4DE-859F230CDE18}"/>
    <cellStyle name="Comma 2 4 3 4 2 2" xfId="3870" xr:uid="{3DC0110B-86A4-49B5-8EE9-E90ED3E18CC3}"/>
    <cellStyle name="Comma 2 4 3 4 2 2 2" xfId="8206" xr:uid="{FD2E6A4A-17E9-4483-BE20-7A3677BAF653}"/>
    <cellStyle name="Comma 2 4 3 4 2 2 2 2" xfId="16878" xr:uid="{ECAC3690-02C3-4006-AD31-ECDBB58E5A31}"/>
    <cellStyle name="Comma 2 4 3 4 2 2 2 2 2" xfId="34222" xr:uid="{D07F5FDF-EE65-4288-9929-050447A9E139}"/>
    <cellStyle name="Comma 2 4 3 4 2 2 2 3" xfId="25550" xr:uid="{15C71450-5818-47DF-98F8-50AE6DB6E970}"/>
    <cellStyle name="Comma 2 4 3 4 2 2 3" xfId="12542" xr:uid="{E02B438C-DC66-491C-8185-F910AA856CCB}"/>
    <cellStyle name="Comma 2 4 3 4 2 2 3 2" xfId="29886" xr:uid="{BC696D8A-E4EE-49C9-8DD8-4A3783E3DDB9}"/>
    <cellStyle name="Comma 2 4 3 4 2 2 4" xfId="21214" xr:uid="{1160BB89-D04E-41B9-B2D6-D2FE4EA6A9BB}"/>
    <cellStyle name="Comma 2 4 3 4 2 3" xfId="6038" xr:uid="{9996ED82-0001-4BD8-9396-B28629C775F9}"/>
    <cellStyle name="Comma 2 4 3 4 2 3 2" xfId="14710" xr:uid="{781DB25E-970E-4D66-89CF-BA8BC94AF97C}"/>
    <cellStyle name="Comma 2 4 3 4 2 3 2 2" xfId="32054" xr:uid="{424F4AFA-5988-4D72-8BC1-1F4A6DC098C0}"/>
    <cellStyle name="Comma 2 4 3 4 2 3 3" xfId="23382" xr:uid="{4AB35388-9E86-498D-9EDE-548A3878E1BF}"/>
    <cellStyle name="Comma 2 4 3 4 2 4" xfId="10374" xr:uid="{742C3D26-D349-4EFC-881D-55FBE6BF0C93}"/>
    <cellStyle name="Comma 2 4 3 4 2 4 2" xfId="27718" xr:uid="{0EE00A60-F416-4D8A-96F2-C719ADC6E03A}"/>
    <cellStyle name="Comma 2 4 3 4 2 5" xfId="19046" xr:uid="{0D4D8708-8A87-4FCD-9102-2E3B7DE5914F}"/>
    <cellStyle name="Comma 2 4 3 4 3" xfId="2786" xr:uid="{0013EEF4-91DA-4ACA-BE04-D4C9EC380EB2}"/>
    <cellStyle name="Comma 2 4 3 4 3 2" xfId="7122" xr:uid="{010D70F3-EA7D-48EF-AA8E-CD050E89DB8B}"/>
    <cellStyle name="Comma 2 4 3 4 3 2 2" xfId="15794" xr:uid="{108A84B4-AA89-4010-96DA-5E211B9A5859}"/>
    <cellStyle name="Comma 2 4 3 4 3 2 2 2" xfId="33138" xr:uid="{C02E6C0F-6514-4C3B-86BC-C06836B8A726}"/>
    <cellStyle name="Comma 2 4 3 4 3 2 3" xfId="24466" xr:uid="{DF53FC44-E474-48B3-B554-C9632A87588C}"/>
    <cellStyle name="Comma 2 4 3 4 3 3" xfId="11458" xr:uid="{F3C95A08-32C7-482E-AB1F-65D13B561BBE}"/>
    <cellStyle name="Comma 2 4 3 4 3 3 2" xfId="28802" xr:uid="{B9936572-4D07-43BD-B88B-4F2F874DB53C}"/>
    <cellStyle name="Comma 2 4 3 4 3 4" xfId="20130" xr:uid="{C2C00C44-85BC-429E-B6FB-247A86F972C0}"/>
    <cellStyle name="Comma 2 4 3 4 4" xfId="4954" xr:uid="{ACCB8DB0-A4AA-489C-BC5D-3B23D21E9853}"/>
    <cellStyle name="Comma 2 4 3 4 4 2" xfId="13626" xr:uid="{2B98D079-9BC0-4123-B1DB-38D1D14AEE4C}"/>
    <cellStyle name="Comma 2 4 3 4 4 2 2" xfId="30970" xr:uid="{02470176-6EA6-4CAA-A5E8-70521FDC54DB}"/>
    <cellStyle name="Comma 2 4 3 4 4 3" xfId="22298" xr:uid="{3B6AA2A5-C777-4CAA-A613-CC50A669B891}"/>
    <cellStyle name="Comma 2 4 3 4 5" xfId="9290" xr:uid="{E517BD07-626D-46D1-9900-7DE310A3EC30}"/>
    <cellStyle name="Comma 2 4 3 4 5 2" xfId="26634" xr:uid="{CFD4985C-3DB0-4EAD-AE96-6086FE139822}"/>
    <cellStyle name="Comma 2 4 3 4 6" xfId="17962" xr:uid="{D373E6BB-63C9-4FB3-83E5-C10A96CF78F8}"/>
    <cellStyle name="Comma 2 4 3 5" xfId="1161" xr:uid="{B2F0BCCC-0A3E-4B02-BC41-02AC0FBDD7F9}"/>
    <cellStyle name="Comma 2 4 3 5 2" xfId="3329" xr:uid="{1D07527E-F3EA-4198-99B3-8E544D7AD28C}"/>
    <cellStyle name="Comma 2 4 3 5 2 2" xfId="7665" xr:uid="{BF733FDD-CBAF-4B16-8960-1DCAD7CC2F43}"/>
    <cellStyle name="Comma 2 4 3 5 2 2 2" xfId="16337" xr:uid="{FC9A51F1-F3AB-4673-A8E3-6A71BC29EB49}"/>
    <cellStyle name="Comma 2 4 3 5 2 2 2 2" xfId="33681" xr:uid="{13EF34B3-BE24-466A-AA62-99C2C1C492A1}"/>
    <cellStyle name="Comma 2 4 3 5 2 2 3" xfId="25009" xr:uid="{5E6404EE-F992-4F80-ACDC-27A198CDED30}"/>
    <cellStyle name="Comma 2 4 3 5 2 3" xfId="12001" xr:uid="{F0AAA62B-9CAA-4A79-B87D-013F209D03BD}"/>
    <cellStyle name="Comma 2 4 3 5 2 3 2" xfId="29345" xr:uid="{4C470423-DD07-46C9-8CE9-F26843CB2D2B}"/>
    <cellStyle name="Comma 2 4 3 5 2 4" xfId="20673" xr:uid="{BBE462D2-4955-4612-AC32-4C0F10489A13}"/>
    <cellStyle name="Comma 2 4 3 5 3" xfId="5497" xr:uid="{18E3F6C3-4A4E-4844-95BF-E4449E9B7F6E}"/>
    <cellStyle name="Comma 2 4 3 5 3 2" xfId="14169" xr:uid="{D9485248-C155-4E8A-918C-FD7F62A6A60B}"/>
    <cellStyle name="Comma 2 4 3 5 3 2 2" xfId="31513" xr:uid="{F1CAADD4-ED4F-487F-9AD6-4C41F288C132}"/>
    <cellStyle name="Comma 2 4 3 5 3 3" xfId="22841" xr:uid="{351122EA-8530-4651-B653-C455B0CBE58F}"/>
    <cellStyle name="Comma 2 4 3 5 4" xfId="9833" xr:uid="{B37A05A2-02CA-4555-999A-9229BF1DE6C5}"/>
    <cellStyle name="Comma 2 4 3 5 4 2" xfId="27177" xr:uid="{8126309A-A345-49B3-871E-5CF1B6A94168}"/>
    <cellStyle name="Comma 2 4 3 5 5" xfId="18505" xr:uid="{19F2D110-07D1-4678-BA1B-7A2F861E02C1}"/>
    <cellStyle name="Comma 2 4 3 6" xfId="2245" xr:uid="{273CEB75-2819-4DEE-B094-EABED130F21D}"/>
    <cellStyle name="Comma 2 4 3 6 2" xfId="6581" xr:uid="{0769E249-F323-42DA-A25A-D6F633726996}"/>
    <cellStyle name="Comma 2 4 3 6 2 2" xfId="15253" xr:uid="{E9F0BB0D-DE79-49E2-A49A-DDC613D4AF3A}"/>
    <cellStyle name="Comma 2 4 3 6 2 2 2" xfId="32597" xr:uid="{36C83ACC-47ED-4F69-9A41-1EB2AF3CFA8E}"/>
    <cellStyle name="Comma 2 4 3 6 2 3" xfId="23925" xr:uid="{A3469B13-D26C-454A-A6F9-C03697652202}"/>
    <cellStyle name="Comma 2 4 3 6 3" xfId="10917" xr:uid="{B06FD770-E73A-410A-9137-2717B50E85E0}"/>
    <cellStyle name="Comma 2 4 3 6 3 2" xfId="28261" xr:uid="{80A5F6DC-D075-4AF2-96C5-1C7748F216CE}"/>
    <cellStyle name="Comma 2 4 3 6 4" xfId="19589" xr:uid="{E3684B8D-E2EC-4EDE-AEEC-ADB30CE6D0EE}"/>
    <cellStyle name="Comma 2 4 3 7" xfId="4413" xr:uid="{4A5C10A6-23B9-4C4C-BE45-A8076C37909D}"/>
    <cellStyle name="Comma 2 4 3 7 2" xfId="13085" xr:uid="{7A7DA3B4-1971-4C83-A35A-79740043BE57}"/>
    <cellStyle name="Comma 2 4 3 7 2 2" xfId="30429" xr:uid="{50CDBBF0-403F-4DCF-B2E0-C519F125D346}"/>
    <cellStyle name="Comma 2 4 3 7 3" xfId="21757" xr:uid="{BD84750E-B202-41FD-882A-DDEDADA0AAC0}"/>
    <cellStyle name="Comma 2 4 3 8" xfId="8749" xr:uid="{35F835ED-3CAB-4604-8478-0ADF27CD18AB}"/>
    <cellStyle name="Comma 2 4 3 8 2" xfId="26093" xr:uid="{DEC26249-457F-4661-AA1D-97116FA5C07D}"/>
    <cellStyle name="Comma 2 4 3 9" xfId="17421" xr:uid="{EF5D9E8D-5DA0-40CC-9D94-41E8F89D8AC1}"/>
    <cellStyle name="Comma 2 4 4" xfId="138" xr:uid="{5B621EF0-0CDE-44FA-9D97-6B1B31709F42}"/>
    <cellStyle name="Comma 2 4 4 2" xfId="408" xr:uid="{9F46E1A5-5073-4797-8DAA-C8A573E022ED}"/>
    <cellStyle name="Comma 2 4 4 2 2" xfId="949" xr:uid="{22758DAB-8F71-442A-B964-0FB454B8DC80}"/>
    <cellStyle name="Comma 2 4 4 2 2 2" xfId="2033" xr:uid="{09FD613D-8445-49A2-8EFB-D174E6C511B9}"/>
    <cellStyle name="Comma 2 4 4 2 2 2 2" xfId="4201" xr:uid="{55E31378-490B-488B-9ED0-A0F80675AF4A}"/>
    <cellStyle name="Comma 2 4 4 2 2 2 2 2" xfId="8537" xr:uid="{D43192DF-0A52-49B5-8C63-1C58545E31F0}"/>
    <cellStyle name="Comma 2 4 4 2 2 2 2 2 2" xfId="17209" xr:uid="{AA26AE0E-F1ED-419B-A5EB-6F661A819DF8}"/>
    <cellStyle name="Comma 2 4 4 2 2 2 2 2 2 2" xfId="34553" xr:uid="{C03B8F13-F071-47F3-B6B2-17956FC93E13}"/>
    <cellStyle name="Comma 2 4 4 2 2 2 2 2 3" xfId="25881" xr:uid="{57623B95-44EC-49D3-99E1-2695BC18C6DB}"/>
    <cellStyle name="Comma 2 4 4 2 2 2 2 3" xfId="12873" xr:uid="{394DDF18-DBE3-4ABF-BF14-CFE4EE5F2120}"/>
    <cellStyle name="Comma 2 4 4 2 2 2 2 3 2" xfId="30217" xr:uid="{A3447246-FCEF-4970-9A77-6574F8B18DA4}"/>
    <cellStyle name="Comma 2 4 4 2 2 2 2 4" xfId="21545" xr:uid="{C6B6018F-33DF-4E3D-ADC8-661E5DBDF814}"/>
    <cellStyle name="Comma 2 4 4 2 2 2 3" xfId="6369" xr:uid="{0D0E1753-0966-4A89-90D5-2F331A8B1AE8}"/>
    <cellStyle name="Comma 2 4 4 2 2 2 3 2" xfId="15041" xr:uid="{C36935B3-BBE6-40AF-8F4E-FF1CDEBB4BAA}"/>
    <cellStyle name="Comma 2 4 4 2 2 2 3 2 2" xfId="32385" xr:uid="{9E2C730A-C254-40B4-872D-7FBD12D984A1}"/>
    <cellStyle name="Comma 2 4 4 2 2 2 3 3" xfId="23713" xr:uid="{D9D12E10-E520-4074-88B8-4491A5B3D4A3}"/>
    <cellStyle name="Comma 2 4 4 2 2 2 4" xfId="10705" xr:uid="{B00EBEDA-8554-42B1-8F30-48586F1A8FD5}"/>
    <cellStyle name="Comma 2 4 4 2 2 2 4 2" xfId="28049" xr:uid="{46DE45E3-5DD7-4DBE-B398-435768046165}"/>
    <cellStyle name="Comma 2 4 4 2 2 2 5" xfId="19377" xr:uid="{61F48342-0DA7-4504-B281-85CFA150B250}"/>
    <cellStyle name="Comma 2 4 4 2 2 3" xfId="3117" xr:uid="{3E6640E5-C664-4BC4-A356-05206AB8EBA4}"/>
    <cellStyle name="Comma 2 4 4 2 2 3 2" xfId="7453" xr:uid="{06BB901E-6830-473E-BEE6-B62005C2B586}"/>
    <cellStyle name="Comma 2 4 4 2 2 3 2 2" xfId="16125" xr:uid="{110FD300-6ED8-4B6D-A4C1-A87291841818}"/>
    <cellStyle name="Comma 2 4 4 2 2 3 2 2 2" xfId="33469" xr:uid="{B222DA79-0C50-4FBB-9FB6-AF231C64AAD8}"/>
    <cellStyle name="Comma 2 4 4 2 2 3 2 3" xfId="24797" xr:uid="{638B713A-60D6-48EA-A287-1C4E066406EE}"/>
    <cellStyle name="Comma 2 4 4 2 2 3 3" xfId="11789" xr:uid="{A716A0E3-105D-4E12-98ED-D78340B0A53D}"/>
    <cellStyle name="Comma 2 4 4 2 2 3 3 2" xfId="29133" xr:uid="{3746A4B9-CDF0-4D8A-BD78-DB9E530EB88C}"/>
    <cellStyle name="Comma 2 4 4 2 2 3 4" xfId="20461" xr:uid="{4723B197-5BE2-48AA-8A29-DD4298274669}"/>
    <cellStyle name="Comma 2 4 4 2 2 4" xfId="5285" xr:uid="{0193A67D-6991-49B8-B7A9-2AF597703552}"/>
    <cellStyle name="Comma 2 4 4 2 2 4 2" xfId="13957" xr:uid="{58399ECF-90AD-4483-98F8-258B1494206C}"/>
    <cellStyle name="Comma 2 4 4 2 2 4 2 2" xfId="31301" xr:uid="{B330C2E0-C32D-4425-B1D2-7F2A87BF24BB}"/>
    <cellStyle name="Comma 2 4 4 2 2 4 3" xfId="22629" xr:uid="{FA9252C0-F537-4391-8C61-B989CD6BB0D0}"/>
    <cellStyle name="Comma 2 4 4 2 2 5" xfId="9621" xr:uid="{D5D3E842-24BD-4BED-8870-7F2C78EBED17}"/>
    <cellStyle name="Comma 2 4 4 2 2 5 2" xfId="26965" xr:uid="{2BB1DE49-BD47-4647-B4D5-CD7CCBCD0570}"/>
    <cellStyle name="Comma 2 4 4 2 2 6" xfId="18293" xr:uid="{36D0E92A-60E8-431D-A0CE-30A85B4E4474}"/>
    <cellStyle name="Comma 2 4 4 2 3" xfId="1492" xr:uid="{E3E86760-4CFA-4272-A422-987DBAD76D10}"/>
    <cellStyle name="Comma 2 4 4 2 3 2" xfId="3660" xr:uid="{D77413A6-23A3-4CD5-B520-F6595204DD90}"/>
    <cellStyle name="Comma 2 4 4 2 3 2 2" xfId="7996" xr:uid="{2BBAFB78-71A1-45B1-905C-9F27EE746A76}"/>
    <cellStyle name="Comma 2 4 4 2 3 2 2 2" xfId="16668" xr:uid="{DEEEDA0A-05BC-4E51-A4F1-1B56F65B1234}"/>
    <cellStyle name="Comma 2 4 4 2 3 2 2 2 2" xfId="34012" xr:uid="{79637415-CC29-443F-8D24-B289B4BA74D6}"/>
    <cellStyle name="Comma 2 4 4 2 3 2 2 3" xfId="25340" xr:uid="{F8FC3E3C-D192-40E7-8019-3EC929C95BB3}"/>
    <cellStyle name="Comma 2 4 4 2 3 2 3" xfId="12332" xr:uid="{6F3EF0DF-CE10-4D2D-80DA-70A453C0B409}"/>
    <cellStyle name="Comma 2 4 4 2 3 2 3 2" xfId="29676" xr:uid="{486B4AFC-629F-4EEC-8CFF-CBC606967705}"/>
    <cellStyle name="Comma 2 4 4 2 3 2 4" xfId="21004" xr:uid="{CC9A5A8E-D376-4668-B6FF-37F5DD5A932C}"/>
    <cellStyle name="Comma 2 4 4 2 3 3" xfId="5828" xr:uid="{469B1841-B555-4DC7-AF9A-23E044D8B458}"/>
    <cellStyle name="Comma 2 4 4 2 3 3 2" xfId="14500" xr:uid="{2B492F32-77AD-4181-8C85-9B96ACEFC020}"/>
    <cellStyle name="Comma 2 4 4 2 3 3 2 2" xfId="31844" xr:uid="{2F6FF91B-78D2-4031-8B27-9D0EB0A76B8E}"/>
    <cellStyle name="Comma 2 4 4 2 3 3 3" xfId="23172" xr:uid="{7B808682-5158-44A6-A0C4-76F4D0DAC1D9}"/>
    <cellStyle name="Comma 2 4 4 2 3 4" xfId="10164" xr:uid="{5FB4E114-8412-4383-95FE-C638D8087301}"/>
    <cellStyle name="Comma 2 4 4 2 3 4 2" xfId="27508" xr:uid="{394021F5-DA99-41BC-8839-B2E6442C0253}"/>
    <cellStyle name="Comma 2 4 4 2 3 5" xfId="18836" xr:uid="{8ADA2BE1-E913-47E3-A60A-CB00479E9B0F}"/>
    <cellStyle name="Comma 2 4 4 2 4" xfId="2576" xr:uid="{999F7808-AF54-454C-8632-61FC67A87FFC}"/>
    <cellStyle name="Comma 2 4 4 2 4 2" xfId="6912" xr:uid="{4AB8F41C-F142-459B-82CF-C4AFE2F373A3}"/>
    <cellStyle name="Comma 2 4 4 2 4 2 2" xfId="15584" xr:uid="{10CE2336-179C-4859-A87F-EDE971272D1A}"/>
    <cellStyle name="Comma 2 4 4 2 4 2 2 2" xfId="32928" xr:uid="{15432033-A9AB-4613-8BC6-60573775C423}"/>
    <cellStyle name="Comma 2 4 4 2 4 2 3" xfId="24256" xr:uid="{FCFF5A14-D059-40EE-9E48-A5827E2A4C95}"/>
    <cellStyle name="Comma 2 4 4 2 4 3" xfId="11248" xr:uid="{382B63BB-1F3D-477D-A823-93497D123DB2}"/>
    <cellStyle name="Comma 2 4 4 2 4 3 2" xfId="28592" xr:uid="{7C6DA44D-8D8C-427D-84D3-1232BE2E8D5B}"/>
    <cellStyle name="Comma 2 4 4 2 4 4" xfId="19920" xr:uid="{514A4E93-4B01-4502-A571-A0DF730BF684}"/>
    <cellStyle name="Comma 2 4 4 2 5" xfId="4744" xr:uid="{1FD46035-90EF-4A37-B022-BB9D73DCE66A}"/>
    <cellStyle name="Comma 2 4 4 2 5 2" xfId="13416" xr:uid="{C6A50C32-B492-4459-A444-281E33277AA8}"/>
    <cellStyle name="Comma 2 4 4 2 5 2 2" xfId="30760" xr:uid="{EF881980-FAD5-47C2-BF80-30C4C417D162}"/>
    <cellStyle name="Comma 2 4 4 2 5 3" xfId="22088" xr:uid="{5D3EC25F-747B-4403-BFC0-1E306B5C5F6C}"/>
    <cellStyle name="Comma 2 4 4 2 6" xfId="9080" xr:uid="{CED2EC7E-B3F9-435B-8C34-44377B2546F0}"/>
    <cellStyle name="Comma 2 4 4 2 6 2" xfId="26424" xr:uid="{77B6E5FC-03D6-4A76-8412-30B992A8A360}"/>
    <cellStyle name="Comma 2 4 4 2 7" xfId="17752" xr:uid="{04157772-2D32-4B97-813D-865F3519C136}"/>
    <cellStyle name="Comma 2 4 4 3" xfId="679" xr:uid="{896443E3-7D8B-4652-8C67-E4D4291B6B65}"/>
    <cellStyle name="Comma 2 4 4 3 2" xfId="1763" xr:uid="{22661362-4444-4873-8FE9-FEDEB9A4D1F1}"/>
    <cellStyle name="Comma 2 4 4 3 2 2" xfId="3931" xr:uid="{DA7FA216-DA7D-46AF-9486-2EB97DF1AAB3}"/>
    <cellStyle name="Comma 2 4 4 3 2 2 2" xfId="8267" xr:uid="{92E271B4-7AFD-4AD2-8C65-74FD779144A5}"/>
    <cellStyle name="Comma 2 4 4 3 2 2 2 2" xfId="16939" xr:uid="{D132EB6B-F4A4-44EF-A5E1-B73C6A165C03}"/>
    <cellStyle name="Comma 2 4 4 3 2 2 2 2 2" xfId="34283" xr:uid="{9DB5B360-C525-43BE-B43F-A6B5D3A99109}"/>
    <cellStyle name="Comma 2 4 4 3 2 2 2 3" xfId="25611" xr:uid="{5CF4E4C4-926F-4FF3-B0BA-0E0E449E2194}"/>
    <cellStyle name="Comma 2 4 4 3 2 2 3" xfId="12603" xr:uid="{773449A2-6FB5-4470-BB7B-B247683001D7}"/>
    <cellStyle name="Comma 2 4 4 3 2 2 3 2" xfId="29947" xr:uid="{56B3181B-2D8C-4E89-8E66-1DE0826E1017}"/>
    <cellStyle name="Comma 2 4 4 3 2 2 4" xfId="21275" xr:uid="{9CA5069B-E64A-44E7-B1E4-1CB2677A696A}"/>
    <cellStyle name="Comma 2 4 4 3 2 3" xfId="6099" xr:uid="{7CCD909D-98D2-48AE-8FBE-35095D16D5E7}"/>
    <cellStyle name="Comma 2 4 4 3 2 3 2" xfId="14771" xr:uid="{BE61FF0E-4DFA-449B-9983-8E16790B9F6A}"/>
    <cellStyle name="Comma 2 4 4 3 2 3 2 2" xfId="32115" xr:uid="{65A5A1CB-BF16-4770-9C5F-C65AED9E9710}"/>
    <cellStyle name="Comma 2 4 4 3 2 3 3" xfId="23443" xr:uid="{DD8E453C-C75D-46AA-A3A4-E73A5D541FA5}"/>
    <cellStyle name="Comma 2 4 4 3 2 4" xfId="10435" xr:uid="{90B24BFD-BA55-4DA2-8D5E-5BF3866A000B}"/>
    <cellStyle name="Comma 2 4 4 3 2 4 2" xfId="27779" xr:uid="{7EFEF49C-7197-4AD8-8B7E-DA595F580AD7}"/>
    <cellStyle name="Comma 2 4 4 3 2 5" xfId="19107" xr:uid="{F3E96C35-794D-48AE-83EB-EDFD7A8510E7}"/>
    <cellStyle name="Comma 2 4 4 3 3" xfId="2847" xr:uid="{85E4A9BE-6C7A-4450-B495-5B22B456FD3E}"/>
    <cellStyle name="Comma 2 4 4 3 3 2" xfId="7183" xr:uid="{102E86A5-2F65-4A88-B66D-0B5E9237D04E}"/>
    <cellStyle name="Comma 2 4 4 3 3 2 2" xfId="15855" xr:uid="{5A7D120F-F2D2-4EF5-94B8-0A5F655C810D}"/>
    <cellStyle name="Comma 2 4 4 3 3 2 2 2" xfId="33199" xr:uid="{C3AE00A7-36D4-4C2F-BF9D-28FBDD441F83}"/>
    <cellStyle name="Comma 2 4 4 3 3 2 3" xfId="24527" xr:uid="{E9D3BD95-C55D-47DD-8778-6F42A199EB99}"/>
    <cellStyle name="Comma 2 4 4 3 3 3" xfId="11519" xr:uid="{A4E780CC-24A4-456C-A9B3-C115DA62F673}"/>
    <cellStyle name="Comma 2 4 4 3 3 3 2" xfId="28863" xr:uid="{3494A0C2-6B7D-44F4-A192-E32DFB18FD07}"/>
    <cellStyle name="Comma 2 4 4 3 3 4" xfId="20191" xr:uid="{F5C56603-8A1D-44C7-81CF-F89E2093D7E0}"/>
    <cellStyle name="Comma 2 4 4 3 4" xfId="5015" xr:uid="{7CE2D7EB-7604-4B2B-AB1C-82414A62A81B}"/>
    <cellStyle name="Comma 2 4 4 3 4 2" xfId="13687" xr:uid="{87B29C3C-5BF5-4CCD-923E-035D531AF596}"/>
    <cellStyle name="Comma 2 4 4 3 4 2 2" xfId="31031" xr:uid="{A6D49C0A-396F-4A51-AB0C-91E41192D4B6}"/>
    <cellStyle name="Comma 2 4 4 3 4 3" xfId="22359" xr:uid="{35500C0D-8721-4FD7-B794-F53075DF44FE}"/>
    <cellStyle name="Comma 2 4 4 3 5" xfId="9351" xr:uid="{E4E4061A-6036-494E-A87C-B88605D3A175}"/>
    <cellStyle name="Comma 2 4 4 3 5 2" xfId="26695" xr:uid="{4DEE5CF0-84CD-4C78-B002-EBA78F1CA5EA}"/>
    <cellStyle name="Comma 2 4 4 3 6" xfId="18023" xr:uid="{45D21377-E8ED-4B7E-BB7E-2D74FCFCFA32}"/>
    <cellStyle name="Comma 2 4 4 4" xfId="1222" xr:uid="{9A111E38-1C5D-4367-902C-5BA85049D053}"/>
    <cellStyle name="Comma 2 4 4 4 2" xfId="3390" xr:uid="{59B9C5E9-F5D0-4155-BA73-5F7658D158B8}"/>
    <cellStyle name="Comma 2 4 4 4 2 2" xfId="7726" xr:uid="{B457A4F0-D430-40CE-B481-A5571409FA1A}"/>
    <cellStyle name="Comma 2 4 4 4 2 2 2" xfId="16398" xr:uid="{8D6C11BC-E606-4118-A356-C9EDECCE865A}"/>
    <cellStyle name="Comma 2 4 4 4 2 2 2 2" xfId="33742" xr:uid="{CA75DB4B-3377-4E80-B644-AA6B0ABE163A}"/>
    <cellStyle name="Comma 2 4 4 4 2 2 3" xfId="25070" xr:uid="{14617590-8ABB-4903-8CB8-854B8EF74F07}"/>
    <cellStyle name="Comma 2 4 4 4 2 3" xfId="12062" xr:uid="{C6745C95-505F-4C1B-B3BB-A50BC2D264B7}"/>
    <cellStyle name="Comma 2 4 4 4 2 3 2" xfId="29406" xr:uid="{A0A94E04-36D2-4CDA-ACF7-1FEC5863E3B4}"/>
    <cellStyle name="Comma 2 4 4 4 2 4" xfId="20734" xr:uid="{C50C7210-1E6B-43E3-AEBB-E4D0C5A4DCDC}"/>
    <cellStyle name="Comma 2 4 4 4 3" xfId="5558" xr:uid="{FBC0C349-7563-43C3-8882-D6BFD7575A21}"/>
    <cellStyle name="Comma 2 4 4 4 3 2" xfId="14230" xr:uid="{23AD86FF-0AD4-44D4-9F8D-6AFFAA1A4CC3}"/>
    <cellStyle name="Comma 2 4 4 4 3 2 2" xfId="31574" xr:uid="{C0A9EEFD-63C3-4321-90C3-E9468D2EAC9D}"/>
    <cellStyle name="Comma 2 4 4 4 3 3" xfId="22902" xr:uid="{7A41BAE3-2EB6-4D38-8D35-F3066D04520D}"/>
    <cellStyle name="Comma 2 4 4 4 4" xfId="9894" xr:uid="{17B9E426-72F0-40F7-B3C3-EBAADAADA24C}"/>
    <cellStyle name="Comma 2 4 4 4 4 2" xfId="27238" xr:uid="{26433065-310D-495E-994C-BC2BE736AD9C}"/>
    <cellStyle name="Comma 2 4 4 4 5" xfId="18566" xr:uid="{EF6E6AC5-4222-4B34-94C3-77DDF1193881}"/>
    <cellStyle name="Comma 2 4 4 5" xfId="2306" xr:uid="{FCA5937F-807A-4E04-BD2A-181ABBE6B6B8}"/>
    <cellStyle name="Comma 2 4 4 5 2" xfId="6642" xr:uid="{9C6E4E0B-F50A-4153-93D8-3AE8876430E0}"/>
    <cellStyle name="Comma 2 4 4 5 2 2" xfId="15314" xr:uid="{0EA68C1B-27BB-4DFC-AAC6-6CE61B86F523}"/>
    <cellStyle name="Comma 2 4 4 5 2 2 2" xfId="32658" xr:uid="{22195196-DB0C-4DD8-98A5-AE2F257A3178}"/>
    <cellStyle name="Comma 2 4 4 5 2 3" xfId="23986" xr:uid="{94E7EB04-0C88-40FC-8975-4E1B7A3E6E33}"/>
    <cellStyle name="Comma 2 4 4 5 3" xfId="10978" xr:uid="{C7F8CE3C-7217-4B65-9B93-8E1331757001}"/>
    <cellStyle name="Comma 2 4 4 5 3 2" xfId="28322" xr:uid="{A7E169CF-9D9F-4267-A97A-AF0D5083AAFD}"/>
    <cellStyle name="Comma 2 4 4 5 4" xfId="19650" xr:uid="{46956511-3D84-461F-8D0F-6C98A36075F0}"/>
    <cellStyle name="Comma 2 4 4 6" xfId="4474" xr:uid="{1687DABB-378F-44E1-949B-2469B56B984A}"/>
    <cellStyle name="Comma 2 4 4 6 2" xfId="13146" xr:uid="{6B66EBB4-6557-4AD9-8C50-867067AF7DF7}"/>
    <cellStyle name="Comma 2 4 4 6 2 2" xfId="30490" xr:uid="{A1D02862-0321-4A0F-8608-CDC1B40C83B4}"/>
    <cellStyle name="Comma 2 4 4 6 3" xfId="21818" xr:uid="{DFF00B02-8EF6-484B-9AB4-6F43B5F28E6F}"/>
    <cellStyle name="Comma 2 4 4 7" xfId="8810" xr:uid="{4E6AA0B2-889B-4964-B994-F061AE3C0ABD}"/>
    <cellStyle name="Comma 2 4 4 7 2" xfId="26154" xr:uid="{0DD67C63-3F6A-445F-95FC-ED015A0C82EE}"/>
    <cellStyle name="Comma 2 4 4 8" xfId="17482" xr:uid="{C1FFD4A8-CC3C-46DD-9CA2-31B46BDAD98D}"/>
    <cellStyle name="Comma 2 4 5" xfId="257" xr:uid="{5CDCDE5B-E6B8-4F2B-8156-19869B7A0D33}"/>
    <cellStyle name="Comma 2 4 5 2" xfId="527" xr:uid="{A3C5BD0E-55C7-4C82-967F-C09BC1B38169}"/>
    <cellStyle name="Comma 2 4 5 2 2" xfId="1068" xr:uid="{E01C9923-7E69-40C7-BEAE-175469865E11}"/>
    <cellStyle name="Comma 2 4 5 2 2 2" xfId="2152" xr:uid="{22C6BC96-1B04-4CD2-8219-B3DB50B32160}"/>
    <cellStyle name="Comma 2 4 5 2 2 2 2" xfId="4320" xr:uid="{7F148009-5CC7-4910-83A3-A38738FDD44C}"/>
    <cellStyle name="Comma 2 4 5 2 2 2 2 2" xfId="8656" xr:uid="{AC64276E-57A3-48CB-870B-2C1DFE728186}"/>
    <cellStyle name="Comma 2 4 5 2 2 2 2 2 2" xfId="17328" xr:uid="{A9E2F575-76AB-4230-BB5D-D610A50EE6D2}"/>
    <cellStyle name="Comma 2 4 5 2 2 2 2 2 2 2" xfId="34672" xr:uid="{D0771AE2-1A99-44D8-B212-A2EC5B883AAA}"/>
    <cellStyle name="Comma 2 4 5 2 2 2 2 2 3" xfId="26000" xr:uid="{E2FB8C61-F011-44A1-B6B9-55023C7D8861}"/>
    <cellStyle name="Comma 2 4 5 2 2 2 2 3" xfId="12992" xr:uid="{B2B6CEC4-6642-4C39-A901-7AF60E475740}"/>
    <cellStyle name="Comma 2 4 5 2 2 2 2 3 2" xfId="30336" xr:uid="{6DC41A3F-7469-4A14-880C-32F63720680D}"/>
    <cellStyle name="Comma 2 4 5 2 2 2 2 4" xfId="21664" xr:uid="{463091FD-ADEB-42CD-9CFE-65C04C7C6191}"/>
    <cellStyle name="Comma 2 4 5 2 2 2 3" xfId="6488" xr:uid="{3A4FE734-3F52-4BC6-A6C5-2315B1953D96}"/>
    <cellStyle name="Comma 2 4 5 2 2 2 3 2" xfId="15160" xr:uid="{EA0F5142-6CE0-4E8D-8A43-0BEB8651E503}"/>
    <cellStyle name="Comma 2 4 5 2 2 2 3 2 2" xfId="32504" xr:uid="{0409F5FB-00B6-4244-86CE-C489412BF0EB}"/>
    <cellStyle name="Comma 2 4 5 2 2 2 3 3" xfId="23832" xr:uid="{06A084D6-855A-4A50-868B-E708E7A7E46C}"/>
    <cellStyle name="Comma 2 4 5 2 2 2 4" xfId="10824" xr:uid="{43CE99EA-DCFA-4530-8DBB-F2DAACBF0681}"/>
    <cellStyle name="Comma 2 4 5 2 2 2 4 2" xfId="28168" xr:uid="{C04FDEE2-8739-476A-B921-AE7BD03A9450}"/>
    <cellStyle name="Comma 2 4 5 2 2 2 5" xfId="19496" xr:uid="{F1584ADD-1396-4E3E-A8F9-37CDC980AF7F}"/>
    <cellStyle name="Comma 2 4 5 2 2 3" xfId="3236" xr:uid="{8FD3422D-E5F5-4EE8-9C99-126A799EC640}"/>
    <cellStyle name="Comma 2 4 5 2 2 3 2" xfId="7572" xr:uid="{7822494D-AA09-4533-8A36-B287221742F7}"/>
    <cellStyle name="Comma 2 4 5 2 2 3 2 2" xfId="16244" xr:uid="{5B92683C-51B3-40D4-A269-3BE670459617}"/>
    <cellStyle name="Comma 2 4 5 2 2 3 2 2 2" xfId="33588" xr:uid="{D41C57F9-1E43-4105-AAA6-C098F143738D}"/>
    <cellStyle name="Comma 2 4 5 2 2 3 2 3" xfId="24916" xr:uid="{4FC984F7-DFB3-4620-906A-AACE00BF02FD}"/>
    <cellStyle name="Comma 2 4 5 2 2 3 3" xfId="11908" xr:uid="{C22C007A-9032-4C46-96F7-3437F13A002C}"/>
    <cellStyle name="Comma 2 4 5 2 2 3 3 2" xfId="29252" xr:uid="{7F62E560-D094-4BB9-92A7-FF1BAB86A206}"/>
    <cellStyle name="Comma 2 4 5 2 2 3 4" xfId="20580" xr:uid="{5BD02F83-48E1-4777-A222-F25463B5085D}"/>
    <cellStyle name="Comma 2 4 5 2 2 4" xfId="5404" xr:uid="{A20E545C-3087-44C5-AB33-811C00791163}"/>
    <cellStyle name="Comma 2 4 5 2 2 4 2" xfId="14076" xr:uid="{97FB4CFD-E4E5-4355-97DF-77A69E20D47D}"/>
    <cellStyle name="Comma 2 4 5 2 2 4 2 2" xfId="31420" xr:uid="{F047DE1F-D52B-413F-B925-E591490CA4D8}"/>
    <cellStyle name="Comma 2 4 5 2 2 4 3" xfId="22748" xr:uid="{B72169C6-C937-4DEF-9EF8-0FA824315CF2}"/>
    <cellStyle name="Comma 2 4 5 2 2 5" xfId="9740" xr:uid="{2C20A6A9-24CE-4793-8CCA-E408FADE61C9}"/>
    <cellStyle name="Comma 2 4 5 2 2 5 2" xfId="27084" xr:uid="{B1BD737F-6799-4390-837B-1DF499B11DD6}"/>
    <cellStyle name="Comma 2 4 5 2 2 6" xfId="18412" xr:uid="{03F404A1-E863-453E-9379-938B0AD9EA06}"/>
    <cellStyle name="Comma 2 4 5 2 3" xfId="1611" xr:uid="{948DC20D-EEFF-478F-B86F-C3E06E086201}"/>
    <cellStyle name="Comma 2 4 5 2 3 2" xfId="3779" xr:uid="{8D3E3ACE-C1E0-402A-AECE-59D1EC159F1A}"/>
    <cellStyle name="Comma 2 4 5 2 3 2 2" xfId="8115" xr:uid="{81447AC7-EEE2-4D8B-8EB6-26D8659B9C8D}"/>
    <cellStyle name="Comma 2 4 5 2 3 2 2 2" xfId="16787" xr:uid="{B29E371E-F0FC-43BF-8323-AC41778948FF}"/>
    <cellStyle name="Comma 2 4 5 2 3 2 2 2 2" xfId="34131" xr:uid="{46A890EE-8EA6-459E-B39D-E4A3DB1E2407}"/>
    <cellStyle name="Comma 2 4 5 2 3 2 2 3" xfId="25459" xr:uid="{4C82998F-0844-411B-97D7-1515C67E8600}"/>
    <cellStyle name="Comma 2 4 5 2 3 2 3" xfId="12451" xr:uid="{56FB8B8D-51DE-4133-AB47-D2D8E7144210}"/>
    <cellStyle name="Comma 2 4 5 2 3 2 3 2" xfId="29795" xr:uid="{A7A82D1E-DBC9-4612-B809-1D92D3A81090}"/>
    <cellStyle name="Comma 2 4 5 2 3 2 4" xfId="21123" xr:uid="{248F155C-2E23-44E1-B60F-8DB8CE9F90E6}"/>
    <cellStyle name="Comma 2 4 5 2 3 3" xfId="5947" xr:uid="{5876BC3B-6C77-49ED-97B6-01BD9E764103}"/>
    <cellStyle name="Comma 2 4 5 2 3 3 2" xfId="14619" xr:uid="{6E1AAF00-1F48-4767-91DA-9A938B9538B3}"/>
    <cellStyle name="Comma 2 4 5 2 3 3 2 2" xfId="31963" xr:uid="{0DC74DE4-3A91-49DD-8CA9-D8F1F7D3392D}"/>
    <cellStyle name="Comma 2 4 5 2 3 3 3" xfId="23291" xr:uid="{45F29285-948D-4240-AECE-F791F5A80CCD}"/>
    <cellStyle name="Comma 2 4 5 2 3 4" xfId="10283" xr:uid="{104FE766-CEF2-4B78-9872-11C93A583586}"/>
    <cellStyle name="Comma 2 4 5 2 3 4 2" xfId="27627" xr:uid="{BD703B89-F327-4C74-8A97-87DF7B967EB2}"/>
    <cellStyle name="Comma 2 4 5 2 3 5" xfId="18955" xr:uid="{046FE4B1-F353-43A8-817C-563E6FECD9A2}"/>
    <cellStyle name="Comma 2 4 5 2 4" xfId="2695" xr:uid="{583D4878-CF1F-4A4F-A3BD-542F6E6CC572}"/>
    <cellStyle name="Comma 2 4 5 2 4 2" xfId="7031" xr:uid="{8EB18D1A-A090-45B4-803F-E9D49A651333}"/>
    <cellStyle name="Comma 2 4 5 2 4 2 2" xfId="15703" xr:uid="{F63E7A0E-D9FA-47BD-A9E2-4EBF9CA25D83}"/>
    <cellStyle name="Comma 2 4 5 2 4 2 2 2" xfId="33047" xr:uid="{83939F0A-64E9-49F8-B6DA-015E2D6EA9CD}"/>
    <cellStyle name="Comma 2 4 5 2 4 2 3" xfId="24375" xr:uid="{06BC1CC0-C078-4C8D-A310-E66C964C5768}"/>
    <cellStyle name="Comma 2 4 5 2 4 3" xfId="11367" xr:uid="{0BC496B9-5623-498C-94CC-315575845979}"/>
    <cellStyle name="Comma 2 4 5 2 4 3 2" xfId="28711" xr:uid="{7DC71734-3350-498E-A783-79B65A3AADE5}"/>
    <cellStyle name="Comma 2 4 5 2 4 4" xfId="20039" xr:uid="{3D353FD4-C587-493A-BC02-27764D4E3113}"/>
    <cellStyle name="Comma 2 4 5 2 5" xfId="4863" xr:uid="{1754DD0F-7DD1-4A62-BAFC-35E70D442625}"/>
    <cellStyle name="Comma 2 4 5 2 5 2" xfId="13535" xr:uid="{A5999549-EBE6-4B4A-BB17-A211F5744111}"/>
    <cellStyle name="Comma 2 4 5 2 5 2 2" xfId="30879" xr:uid="{F253130C-F6FE-49E2-9B4E-8A355084BF25}"/>
    <cellStyle name="Comma 2 4 5 2 5 3" xfId="22207" xr:uid="{E7590046-3C48-4919-B299-759918894BB2}"/>
    <cellStyle name="Comma 2 4 5 2 6" xfId="9199" xr:uid="{2E658858-9103-42D2-8BC6-F668EAAB0DAD}"/>
    <cellStyle name="Comma 2 4 5 2 6 2" xfId="26543" xr:uid="{668EBC94-99DF-460E-8855-1FED3F6B5EAF}"/>
    <cellStyle name="Comma 2 4 5 2 7" xfId="17871" xr:uid="{C463EFDE-6159-4883-BEA0-CDD931C04F50}"/>
    <cellStyle name="Comma 2 4 5 3" xfId="798" xr:uid="{526C51F0-0068-4275-BDEF-9E83E4E2F444}"/>
    <cellStyle name="Comma 2 4 5 3 2" xfId="1882" xr:uid="{87FC9245-E38F-4524-8085-EA9F994A4B88}"/>
    <cellStyle name="Comma 2 4 5 3 2 2" xfId="4050" xr:uid="{83B5FBF3-6AAA-4266-BEC8-1E742CC4E45C}"/>
    <cellStyle name="Comma 2 4 5 3 2 2 2" xfId="8386" xr:uid="{9EDDBEC3-3273-4D07-9555-7B68080CF850}"/>
    <cellStyle name="Comma 2 4 5 3 2 2 2 2" xfId="17058" xr:uid="{9EE7AA2F-15DA-4867-BDD5-12EA82A15500}"/>
    <cellStyle name="Comma 2 4 5 3 2 2 2 2 2" xfId="34402" xr:uid="{B7EC6B6E-314A-48D4-90C3-B612FFAC323C}"/>
    <cellStyle name="Comma 2 4 5 3 2 2 2 3" xfId="25730" xr:uid="{A1E794D3-7C7D-4540-B10F-ED708D4975CD}"/>
    <cellStyle name="Comma 2 4 5 3 2 2 3" xfId="12722" xr:uid="{4B712F81-EE03-452E-8210-3824E0D9F253}"/>
    <cellStyle name="Comma 2 4 5 3 2 2 3 2" xfId="30066" xr:uid="{8B2C5198-FB6F-47D6-AF96-E0B04F9C40B4}"/>
    <cellStyle name="Comma 2 4 5 3 2 2 4" xfId="21394" xr:uid="{650FEDD3-E15B-4C40-90FC-FF3EA1A0F2BD}"/>
    <cellStyle name="Comma 2 4 5 3 2 3" xfId="6218" xr:uid="{F83E5B6F-579E-45EF-B87C-AE69F04C42F2}"/>
    <cellStyle name="Comma 2 4 5 3 2 3 2" xfId="14890" xr:uid="{1A413FC3-FFC4-436C-A25A-05BAEF680CE1}"/>
    <cellStyle name="Comma 2 4 5 3 2 3 2 2" xfId="32234" xr:uid="{7AAAE703-C7ED-4E6E-AA06-87E58E97C2BC}"/>
    <cellStyle name="Comma 2 4 5 3 2 3 3" xfId="23562" xr:uid="{F38ED3F6-0420-45A4-A206-D98B9DB57440}"/>
    <cellStyle name="Comma 2 4 5 3 2 4" xfId="10554" xr:uid="{6B93AADD-27A2-4D23-8F7D-BCE60EFA7F7D}"/>
    <cellStyle name="Comma 2 4 5 3 2 4 2" xfId="27898" xr:uid="{54125A7C-11BA-4AF1-9AAA-C35C792BC244}"/>
    <cellStyle name="Comma 2 4 5 3 2 5" xfId="19226" xr:uid="{318BC108-4880-4E67-A170-77CA76AD1C1D}"/>
    <cellStyle name="Comma 2 4 5 3 3" xfId="2966" xr:uid="{48403A59-EF42-46B1-B6AD-9F35853B152B}"/>
    <cellStyle name="Comma 2 4 5 3 3 2" xfId="7302" xr:uid="{F7156961-3FDD-40BE-A1CC-BF277BC47404}"/>
    <cellStyle name="Comma 2 4 5 3 3 2 2" xfId="15974" xr:uid="{7AC5C719-7570-4498-9C7F-6C5A875F01AA}"/>
    <cellStyle name="Comma 2 4 5 3 3 2 2 2" xfId="33318" xr:uid="{96E7CC6A-070E-4690-ACC4-DC2E777895EE}"/>
    <cellStyle name="Comma 2 4 5 3 3 2 3" xfId="24646" xr:uid="{787EC163-ED9F-496B-A34D-DC7E3EB9B41C}"/>
    <cellStyle name="Comma 2 4 5 3 3 3" xfId="11638" xr:uid="{918A15EA-1377-4234-90B1-92D235846931}"/>
    <cellStyle name="Comma 2 4 5 3 3 3 2" xfId="28982" xr:uid="{0C844A0C-FC14-4182-96B6-070A4E369502}"/>
    <cellStyle name="Comma 2 4 5 3 3 4" xfId="20310" xr:uid="{BD9ADB45-CCC5-4B8F-AF82-ED39D41F7564}"/>
    <cellStyle name="Comma 2 4 5 3 4" xfId="5134" xr:uid="{23A336D6-7689-4626-A2A1-9AFD0D20AF2E}"/>
    <cellStyle name="Comma 2 4 5 3 4 2" xfId="13806" xr:uid="{D6597483-C58D-4588-8033-B213A9D86C29}"/>
    <cellStyle name="Comma 2 4 5 3 4 2 2" xfId="31150" xr:uid="{8D7FA5DC-9F34-45AE-AED0-B0B102EC0F02}"/>
    <cellStyle name="Comma 2 4 5 3 4 3" xfId="22478" xr:uid="{96C0977E-3198-48D3-9272-AD07140660DC}"/>
    <cellStyle name="Comma 2 4 5 3 5" xfId="9470" xr:uid="{E55649CB-90AF-4B96-85B6-BEA223ADAA61}"/>
    <cellStyle name="Comma 2 4 5 3 5 2" xfId="26814" xr:uid="{C7B5263E-8D7B-4B2D-808F-F8064C6EA593}"/>
    <cellStyle name="Comma 2 4 5 3 6" xfId="18142" xr:uid="{0564B496-6B53-420B-8A2A-AB9CF140A26E}"/>
    <cellStyle name="Comma 2 4 5 4" xfId="1341" xr:uid="{103318BC-803B-4F68-9BE1-BB094076C1E3}"/>
    <cellStyle name="Comma 2 4 5 4 2" xfId="3509" xr:uid="{341F6FBB-953A-44C8-8D11-127ADFEE1A23}"/>
    <cellStyle name="Comma 2 4 5 4 2 2" xfId="7845" xr:uid="{9734249C-77A2-45AA-8CBB-82AD73B8FD34}"/>
    <cellStyle name="Comma 2 4 5 4 2 2 2" xfId="16517" xr:uid="{E5DBA626-0753-41D3-BB56-8F0B792AA865}"/>
    <cellStyle name="Comma 2 4 5 4 2 2 2 2" xfId="33861" xr:uid="{2F11E089-6F5A-437B-ACAE-DF1A2BF9FC0F}"/>
    <cellStyle name="Comma 2 4 5 4 2 2 3" xfId="25189" xr:uid="{9B592BD0-D033-4366-B294-76AD5FD0B739}"/>
    <cellStyle name="Comma 2 4 5 4 2 3" xfId="12181" xr:uid="{8B2EDB78-A3D7-4CE2-AF85-B0267A1A2804}"/>
    <cellStyle name="Comma 2 4 5 4 2 3 2" xfId="29525" xr:uid="{208CDBEC-11C5-464E-9592-0295B386CDDD}"/>
    <cellStyle name="Comma 2 4 5 4 2 4" xfId="20853" xr:uid="{2790FB66-BC5C-43BA-8853-336CA22F0640}"/>
    <cellStyle name="Comma 2 4 5 4 3" xfId="5677" xr:uid="{6EF415BF-8122-4742-ACCD-E7D22A86964F}"/>
    <cellStyle name="Comma 2 4 5 4 3 2" xfId="14349" xr:uid="{A4E6E638-CF9E-4228-BA89-579505842823}"/>
    <cellStyle name="Comma 2 4 5 4 3 2 2" xfId="31693" xr:uid="{D94580A7-B577-4252-916F-C88AA6C44A95}"/>
    <cellStyle name="Comma 2 4 5 4 3 3" xfId="23021" xr:uid="{AD39A7E0-1335-4CF1-BF71-E1D61B9C598C}"/>
    <cellStyle name="Comma 2 4 5 4 4" xfId="10013" xr:uid="{CFD91227-25A1-4F45-AF06-B175AF56FD75}"/>
    <cellStyle name="Comma 2 4 5 4 4 2" xfId="27357" xr:uid="{EC1EF9F0-E459-49A6-9F7B-14C361AC6FDB}"/>
    <cellStyle name="Comma 2 4 5 4 5" xfId="18685" xr:uid="{D48F8642-5C4C-485C-95B8-248EF0C6E57B}"/>
    <cellStyle name="Comma 2 4 5 5" xfId="2425" xr:uid="{A5885F5B-F4E8-45C0-89C4-30B610538BF5}"/>
    <cellStyle name="Comma 2 4 5 5 2" xfId="6761" xr:uid="{4B90F34A-716E-46EB-A17D-EC862A254DFE}"/>
    <cellStyle name="Comma 2 4 5 5 2 2" xfId="15433" xr:uid="{85108E45-C8D9-4A0A-9A4C-9B05E0251381}"/>
    <cellStyle name="Comma 2 4 5 5 2 2 2" xfId="32777" xr:uid="{78FD227F-2A42-4547-8C12-7E60543C68C7}"/>
    <cellStyle name="Comma 2 4 5 5 2 3" xfId="24105" xr:uid="{ED64EC38-4C7E-4A08-A27A-56CE0CF2640A}"/>
    <cellStyle name="Comma 2 4 5 5 3" xfId="11097" xr:uid="{92AAAD7A-FCE8-4988-B75B-057336276B92}"/>
    <cellStyle name="Comma 2 4 5 5 3 2" xfId="28441" xr:uid="{894BA257-907D-4543-B695-3AD8564F8935}"/>
    <cellStyle name="Comma 2 4 5 5 4" xfId="19769" xr:uid="{A5BC9696-AF82-4793-8E9F-1227CA9E6935}"/>
    <cellStyle name="Comma 2 4 5 6" xfId="4593" xr:uid="{88D32295-9F74-43F2-8D80-04C23C4EC259}"/>
    <cellStyle name="Comma 2 4 5 6 2" xfId="13265" xr:uid="{20DE9A51-91E4-4D1F-BD5A-0B40C61E5EAF}"/>
    <cellStyle name="Comma 2 4 5 6 2 2" xfId="30609" xr:uid="{BA61C2EE-CC27-4EA7-A674-BA116D4E66FB}"/>
    <cellStyle name="Comma 2 4 5 6 3" xfId="21937" xr:uid="{4B4A5EE6-FFA7-48AF-AE04-889B5697FB27}"/>
    <cellStyle name="Comma 2 4 5 7" xfId="8929" xr:uid="{51A1A5F5-9182-43F9-84C1-EC3C2DBBAFD6}"/>
    <cellStyle name="Comma 2 4 5 7 2" xfId="26273" xr:uid="{FB121FA9-ADC3-490C-B264-A01B91301303}"/>
    <cellStyle name="Comma 2 4 5 8" xfId="17601" xr:uid="{C0F1639F-9F31-4B99-A387-C3A4C609D10F}"/>
    <cellStyle name="Comma 2 4 6" xfId="286" xr:uid="{AFD3214D-3BB9-46DF-9388-D1C95B43C8E6}"/>
    <cellStyle name="Comma 2 4 6 2" xfId="827" xr:uid="{68C8DDF2-0EE3-495F-9C6D-029E432B4517}"/>
    <cellStyle name="Comma 2 4 6 2 2" xfId="1911" xr:uid="{61D8C632-EAB6-416E-97C5-574DDE1B5270}"/>
    <cellStyle name="Comma 2 4 6 2 2 2" xfId="4079" xr:uid="{6E282261-C2BF-4868-9C34-D10EFC4B34AC}"/>
    <cellStyle name="Comma 2 4 6 2 2 2 2" xfId="8415" xr:uid="{4D4EDBE5-66D3-402C-B117-54985805583D}"/>
    <cellStyle name="Comma 2 4 6 2 2 2 2 2" xfId="17087" xr:uid="{0CAE002B-CC15-4C24-A51C-BB0C39395955}"/>
    <cellStyle name="Comma 2 4 6 2 2 2 2 2 2" xfId="34431" xr:uid="{D46545B2-84B8-4F56-A013-DF0BEEA9E2BB}"/>
    <cellStyle name="Comma 2 4 6 2 2 2 2 3" xfId="25759" xr:uid="{C3C0B09E-7EED-4B56-B3F3-0423F062B7F7}"/>
    <cellStyle name="Comma 2 4 6 2 2 2 3" xfId="12751" xr:uid="{9C2D6DE7-76D3-41CE-B044-5AB8D179D257}"/>
    <cellStyle name="Comma 2 4 6 2 2 2 3 2" xfId="30095" xr:uid="{5F1FA019-B832-4655-8600-3986C61771BA}"/>
    <cellStyle name="Comma 2 4 6 2 2 2 4" xfId="21423" xr:uid="{62C0E348-2EF2-42F7-8871-63635EA6C4DA}"/>
    <cellStyle name="Comma 2 4 6 2 2 3" xfId="6247" xr:uid="{2B37F366-A8DF-4976-832B-B77DEB6E0F63}"/>
    <cellStyle name="Comma 2 4 6 2 2 3 2" xfId="14919" xr:uid="{7C9EEB97-21FE-425E-B871-F97AA4FC907E}"/>
    <cellStyle name="Comma 2 4 6 2 2 3 2 2" xfId="32263" xr:uid="{AAA9EAC0-EA6D-4497-86D0-CC7EE18E28B1}"/>
    <cellStyle name="Comma 2 4 6 2 2 3 3" xfId="23591" xr:uid="{BC48D4CF-CF30-4C01-8AFC-37ADB9D909A2}"/>
    <cellStyle name="Comma 2 4 6 2 2 4" xfId="10583" xr:uid="{3B9F3C9D-3A0F-4983-855A-E17CDB85B87B}"/>
    <cellStyle name="Comma 2 4 6 2 2 4 2" xfId="27927" xr:uid="{1CEAF11A-80DB-4BF7-A72E-4E246EB6121E}"/>
    <cellStyle name="Comma 2 4 6 2 2 5" xfId="19255" xr:uid="{D175B9DC-9454-42CC-8904-163F677C36A5}"/>
    <cellStyle name="Comma 2 4 6 2 3" xfId="2995" xr:uid="{FF7A289E-3997-4CC5-8295-0ECC73D6A2AE}"/>
    <cellStyle name="Comma 2 4 6 2 3 2" xfId="7331" xr:uid="{7B6C10F5-120D-4F71-BB40-79168FB2E204}"/>
    <cellStyle name="Comma 2 4 6 2 3 2 2" xfId="16003" xr:uid="{38B6E28B-67DD-49F5-B268-71ADCE1AED1B}"/>
    <cellStyle name="Comma 2 4 6 2 3 2 2 2" xfId="33347" xr:uid="{0C914AE8-2A80-44B5-AE39-85958E69F36C}"/>
    <cellStyle name="Comma 2 4 6 2 3 2 3" xfId="24675" xr:uid="{72F8F154-5DF5-4A08-8BD8-44466C13D7D5}"/>
    <cellStyle name="Comma 2 4 6 2 3 3" xfId="11667" xr:uid="{2F8CCBD1-9B90-4138-8415-D234C309C37F}"/>
    <cellStyle name="Comma 2 4 6 2 3 3 2" xfId="29011" xr:uid="{D90FA12F-7C62-4E71-BC94-6CEFA2650E60}"/>
    <cellStyle name="Comma 2 4 6 2 3 4" xfId="20339" xr:uid="{B4485DAE-47EF-4C81-A4CE-67F0EE23E6E5}"/>
    <cellStyle name="Comma 2 4 6 2 4" xfId="5163" xr:uid="{A408404A-CB86-4D06-9E75-7B4DAD869F48}"/>
    <cellStyle name="Comma 2 4 6 2 4 2" xfId="13835" xr:uid="{6E05423D-7796-4D63-8437-3DB24FB5331C}"/>
    <cellStyle name="Comma 2 4 6 2 4 2 2" xfId="31179" xr:uid="{DDB9E254-72F4-41B3-8570-C6EE88A7E7ED}"/>
    <cellStyle name="Comma 2 4 6 2 4 3" xfId="22507" xr:uid="{B10DB8DC-2E9A-431F-B26C-4C8B2B0EBBCE}"/>
    <cellStyle name="Comma 2 4 6 2 5" xfId="9499" xr:uid="{A7ACA6DB-B1F9-4F37-B8C2-924EF2D0AC44}"/>
    <cellStyle name="Comma 2 4 6 2 5 2" xfId="26843" xr:uid="{886D9EE1-D4E7-4290-AE5D-B4BA15147E61}"/>
    <cellStyle name="Comma 2 4 6 2 6" xfId="18171" xr:uid="{5104133E-4818-408F-9B89-D479026233FA}"/>
    <cellStyle name="Comma 2 4 6 3" xfId="1370" xr:uid="{BB751CC9-AF27-4347-8336-80BC8B3C0194}"/>
    <cellStyle name="Comma 2 4 6 3 2" xfId="3538" xr:uid="{11BD2150-7442-40C8-9C87-77AC4E42479B}"/>
    <cellStyle name="Comma 2 4 6 3 2 2" xfId="7874" xr:uid="{80E11248-6F73-44B8-9313-A0872FBC756A}"/>
    <cellStyle name="Comma 2 4 6 3 2 2 2" xfId="16546" xr:uid="{4380DC23-03C1-47E0-9419-24D3889C9D50}"/>
    <cellStyle name="Comma 2 4 6 3 2 2 2 2" xfId="33890" xr:uid="{03EB70D4-FB30-42BA-9BCD-69FDD6AD6294}"/>
    <cellStyle name="Comma 2 4 6 3 2 2 3" xfId="25218" xr:uid="{E4B50378-D7F0-4660-A777-5109F6283211}"/>
    <cellStyle name="Comma 2 4 6 3 2 3" xfId="12210" xr:uid="{EBF97857-6494-43D2-961F-612747210F52}"/>
    <cellStyle name="Comma 2 4 6 3 2 3 2" xfId="29554" xr:uid="{FEA95201-80B3-4A55-89C6-92F757078434}"/>
    <cellStyle name="Comma 2 4 6 3 2 4" xfId="20882" xr:uid="{A8C3EC6E-B213-4BC1-BCD9-AD4A01081803}"/>
    <cellStyle name="Comma 2 4 6 3 3" xfId="5706" xr:uid="{09AB4605-876D-4B4E-9E2B-B2D2093EA38B}"/>
    <cellStyle name="Comma 2 4 6 3 3 2" xfId="14378" xr:uid="{7C3E7BBB-2B39-41A9-A16E-A9C0704017C6}"/>
    <cellStyle name="Comma 2 4 6 3 3 2 2" xfId="31722" xr:uid="{5B6E3580-3759-4120-9335-2C6512366438}"/>
    <cellStyle name="Comma 2 4 6 3 3 3" xfId="23050" xr:uid="{11AAD23D-D88E-4A9A-9440-9B9F8043866E}"/>
    <cellStyle name="Comma 2 4 6 3 4" xfId="10042" xr:uid="{FB9954E5-0AF3-4862-A7C9-0317F0C820DD}"/>
    <cellStyle name="Comma 2 4 6 3 4 2" xfId="27386" xr:uid="{35567CF0-9C1C-4CF0-9015-BA62E3235FBA}"/>
    <cellStyle name="Comma 2 4 6 3 5" xfId="18714" xr:uid="{C024032E-EF19-49C1-852E-C610D0F9209A}"/>
    <cellStyle name="Comma 2 4 6 4" xfId="2454" xr:uid="{A22681A7-4BAC-45F2-98A2-81451CDEBDAB}"/>
    <cellStyle name="Comma 2 4 6 4 2" xfId="6790" xr:uid="{E8B78DAC-990D-4344-92A1-33E0CB3F6A76}"/>
    <cellStyle name="Comma 2 4 6 4 2 2" xfId="15462" xr:uid="{AA340CCD-5181-4975-9D82-CD495A3EA2C0}"/>
    <cellStyle name="Comma 2 4 6 4 2 2 2" xfId="32806" xr:uid="{24ADAE81-33F7-4ED8-98A3-F619E48DA798}"/>
    <cellStyle name="Comma 2 4 6 4 2 3" xfId="24134" xr:uid="{6677742F-764E-4D63-8D8E-DF2CC1CD39DF}"/>
    <cellStyle name="Comma 2 4 6 4 3" xfId="11126" xr:uid="{1B9A4F2C-3F09-45F6-9A7E-11F4823BA80E}"/>
    <cellStyle name="Comma 2 4 6 4 3 2" xfId="28470" xr:uid="{A0F3F989-94AE-4EA6-8DED-90A5E5EB1805}"/>
    <cellStyle name="Comma 2 4 6 4 4" xfId="19798" xr:uid="{0E0DA88C-2222-4C8D-8D1A-98A5F6A2484D}"/>
    <cellStyle name="Comma 2 4 6 5" xfId="4622" xr:uid="{56016212-F87E-490E-809E-5A951425A422}"/>
    <cellStyle name="Comma 2 4 6 5 2" xfId="13294" xr:uid="{F3C21142-1A38-4CA0-8DDE-18975C9B32C9}"/>
    <cellStyle name="Comma 2 4 6 5 2 2" xfId="30638" xr:uid="{AEA75220-E954-46C5-8DC9-17C5F849CC68}"/>
    <cellStyle name="Comma 2 4 6 5 3" xfId="21966" xr:uid="{E109AED5-3D0F-4CE6-A1D8-E4D70DD15E5B}"/>
    <cellStyle name="Comma 2 4 6 6" xfId="8958" xr:uid="{EE288E56-371A-4E2C-96AB-4F0754FEC254}"/>
    <cellStyle name="Comma 2 4 6 6 2" xfId="26302" xr:uid="{C879AE28-A55B-47A6-862A-C0E7B38F4121}"/>
    <cellStyle name="Comma 2 4 6 7" xfId="17630" xr:uid="{A9FB8006-ED13-4893-BE84-BC60C3EFF5D5}"/>
    <cellStyle name="Comma 2 4 7" xfId="557" xr:uid="{17250885-1243-4569-9F02-9EF4716E192A}"/>
    <cellStyle name="Comma 2 4 7 2" xfId="1641" xr:uid="{BF437213-4328-4654-BB23-5D22DADFEFCF}"/>
    <cellStyle name="Comma 2 4 7 2 2" xfId="3809" xr:uid="{ADDFFA4E-14FD-4DCF-B097-5088E177282F}"/>
    <cellStyle name="Comma 2 4 7 2 2 2" xfId="8145" xr:uid="{7EE9DDA6-9BEB-4ECD-AFEA-5656429E7DBA}"/>
    <cellStyle name="Comma 2 4 7 2 2 2 2" xfId="16817" xr:uid="{F45B96C2-7FDD-47D8-93AF-4D3623C3DFAE}"/>
    <cellStyle name="Comma 2 4 7 2 2 2 2 2" xfId="34161" xr:uid="{6853D86A-8736-4D16-A293-E1607264BF69}"/>
    <cellStyle name="Comma 2 4 7 2 2 2 3" xfId="25489" xr:uid="{254D733D-0233-4F1E-AC2B-2AFA5BA635AB}"/>
    <cellStyle name="Comma 2 4 7 2 2 3" xfId="12481" xr:uid="{1890BF6D-8B99-4107-90D3-7CB45A5D630A}"/>
    <cellStyle name="Comma 2 4 7 2 2 3 2" xfId="29825" xr:uid="{2910E7BE-61ED-4A0E-930D-1FD06C947952}"/>
    <cellStyle name="Comma 2 4 7 2 2 4" xfId="21153" xr:uid="{A30DA6EB-2770-4262-B79D-7236D2050020}"/>
    <cellStyle name="Comma 2 4 7 2 3" xfId="5977" xr:uid="{C79877DD-FEE1-45D2-9FD4-6337804E941E}"/>
    <cellStyle name="Comma 2 4 7 2 3 2" xfId="14649" xr:uid="{B9266320-9A0E-4441-91C2-8EA6D68EF9AC}"/>
    <cellStyle name="Comma 2 4 7 2 3 2 2" xfId="31993" xr:uid="{AAC68214-BF8B-4DAD-9279-50918338C26F}"/>
    <cellStyle name="Comma 2 4 7 2 3 3" xfId="23321" xr:uid="{F56C1771-1A14-4306-ACE5-B87A4F8EC00F}"/>
    <cellStyle name="Comma 2 4 7 2 4" xfId="10313" xr:uid="{6DF63584-F524-4A97-A9EC-B96D541435DB}"/>
    <cellStyle name="Comma 2 4 7 2 4 2" xfId="27657" xr:uid="{8533C657-CD7F-437C-B6E7-5D8693E5BC6D}"/>
    <cellStyle name="Comma 2 4 7 2 5" xfId="18985" xr:uid="{F5DF0629-68D7-4D99-8C4F-AE069EA25497}"/>
    <cellStyle name="Comma 2 4 7 3" xfId="2725" xr:uid="{FFCE63CD-EF50-4612-AC29-2DB27E0E74AD}"/>
    <cellStyle name="Comma 2 4 7 3 2" xfId="7061" xr:uid="{4DD3A945-D5DF-45EF-92EB-80CE088C2E2C}"/>
    <cellStyle name="Comma 2 4 7 3 2 2" xfId="15733" xr:uid="{24CF68AA-68CF-48E4-836F-AF56F62FCC33}"/>
    <cellStyle name="Comma 2 4 7 3 2 2 2" xfId="33077" xr:uid="{7EC8E2FB-91F4-438A-B4D7-8251C7363C58}"/>
    <cellStyle name="Comma 2 4 7 3 2 3" xfId="24405" xr:uid="{F2AA2247-AEE9-4DB5-9BCE-9157C0894E0A}"/>
    <cellStyle name="Comma 2 4 7 3 3" xfId="11397" xr:uid="{1AF9A47B-7D9F-4064-AA58-A3CA9293CF6E}"/>
    <cellStyle name="Comma 2 4 7 3 3 2" xfId="28741" xr:uid="{9F458427-C9D9-4F3B-AB06-D2CBFAAA8BD4}"/>
    <cellStyle name="Comma 2 4 7 3 4" xfId="20069" xr:uid="{DEE339F7-DDE7-4ECE-9AAE-66FC323AD8C7}"/>
    <cellStyle name="Comma 2 4 7 4" xfId="4893" xr:uid="{C02E7F7A-9627-45D9-BF1E-BB66B4006054}"/>
    <cellStyle name="Comma 2 4 7 4 2" xfId="13565" xr:uid="{3DC383DD-A68C-4754-895D-F333A8507FDE}"/>
    <cellStyle name="Comma 2 4 7 4 2 2" xfId="30909" xr:uid="{6B769153-1F9B-4234-B712-37BEEFED203C}"/>
    <cellStyle name="Comma 2 4 7 4 3" xfId="22237" xr:uid="{B450305D-4B48-417E-83B7-2C3C95403A37}"/>
    <cellStyle name="Comma 2 4 7 5" xfId="9229" xr:uid="{87D4A824-9322-483A-BB09-803F26B63DC3}"/>
    <cellStyle name="Comma 2 4 7 5 2" xfId="26573" xr:uid="{FDFC03C3-BBD2-4F31-8333-1E1D60332735}"/>
    <cellStyle name="Comma 2 4 7 6" xfId="17901" xr:uid="{0F6E62F7-F5DF-4FF7-A905-44D82F33F8C7}"/>
    <cellStyle name="Comma 2 4 8" xfId="1100" xr:uid="{43F081B4-EE65-42A1-91CB-9755AA0467CE}"/>
    <cellStyle name="Comma 2 4 8 2" xfId="3268" xr:uid="{F932438C-8E5F-4B3D-A82B-AFB76C3D269B}"/>
    <cellStyle name="Comma 2 4 8 2 2" xfId="7604" xr:uid="{7303C84E-20EA-48F4-AB4B-F0DFA733AE1B}"/>
    <cellStyle name="Comma 2 4 8 2 2 2" xfId="16276" xr:uid="{285B03CE-BDFC-49BE-A50D-884225DD962B}"/>
    <cellStyle name="Comma 2 4 8 2 2 2 2" xfId="33620" xr:uid="{8BE77343-3E6A-4C4D-B754-910E4734BD85}"/>
    <cellStyle name="Comma 2 4 8 2 2 3" xfId="24948" xr:uid="{15EAA1A5-762C-498C-BCC6-71913C288B71}"/>
    <cellStyle name="Comma 2 4 8 2 3" xfId="11940" xr:uid="{91BE95B5-7AA2-4A22-A2EE-A94BB5329CB3}"/>
    <cellStyle name="Comma 2 4 8 2 3 2" xfId="29284" xr:uid="{03800034-6177-430D-AAD2-462667116E9F}"/>
    <cellStyle name="Comma 2 4 8 2 4" xfId="20612" xr:uid="{94AAF6CC-06D9-42DC-A494-7BAC97FFCA31}"/>
    <cellStyle name="Comma 2 4 8 3" xfId="5436" xr:uid="{551AC963-6823-40B2-A307-76C3957F9E06}"/>
    <cellStyle name="Comma 2 4 8 3 2" xfId="14108" xr:uid="{0B319EC8-F30A-4289-858D-D309FA289D61}"/>
    <cellStyle name="Comma 2 4 8 3 2 2" xfId="31452" xr:uid="{B20729EE-D20C-4E6B-80B8-BF044624FB5D}"/>
    <cellStyle name="Comma 2 4 8 3 3" xfId="22780" xr:uid="{F08EE78F-2873-49C0-8461-894573E6ED03}"/>
    <cellStyle name="Comma 2 4 8 4" xfId="9772" xr:uid="{C1E0920D-E862-45D7-86D5-694244B20D55}"/>
    <cellStyle name="Comma 2 4 8 4 2" xfId="27116" xr:uid="{246A2181-4D45-4DAD-B445-CC31182EEDD8}"/>
    <cellStyle name="Comma 2 4 8 5" xfId="18444" xr:uid="{9344E6A1-99E0-4330-B3CE-5594ADE56411}"/>
    <cellStyle name="Comma 2 4 9" xfId="2184" xr:uid="{BB79AA4F-9915-4BE4-B42D-08114BEFE34B}"/>
    <cellStyle name="Comma 2 4 9 2" xfId="6520" xr:uid="{77FD4EAD-314F-4715-844A-5D23C8B63E0E}"/>
    <cellStyle name="Comma 2 4 9 2 2" xfId="15192" xr:uid="{E0AE0F51-D3F6-412B-99BF-5A8507B45D97}"/>
    <cellStyle name="Comma 2 4 9 2 2 2" xfId="32536" xr:uid="{6C689EFD-14B2-4C41-9E49-6AD188197359}"/>
    <cellStyle name="Comma 2 4 9 2 3" xfId="23864" xr:uid="{DDAB6BC3-341D-480F-9AC1-6E2C1C7EE14C}"/>
    <cellStyle name="Comma 2 4 9 3" xfId="10856" xr:uid="{6E3BD76E-7F59-4FD7-8D06-C22CB8E9FB55}"/>
    <cellStyle name="Comma 2 4 9 3 2" xfId="28200" xr:uid="{11CB68AA-96EA-4518-855D-B94DC0A72630}"/>
    <cellStyle name="Comma 2 4 9 4" xfId="19528" xr:uid="{8E8A7C76-7F56-4CEF-A154-09F067B00D47}"/>
    <cellStyle name="Comma 2 5" xfId="19" xr:uid="{93ED48AA-0423-4113-B2B5-32C99F3ABC31}"/>
    <cellStyle name="Comma 2 5 10" xfId="8691" xr:uid="{170043B5-187A-438E-83B6-6FAF9BC0BABF}"/>
    <cellStyle name="Comma 2 5 10 2" xfId="26035" xr:uid="{BE370B78-463B-40AD-8F67-80FF4E82D45C}"/>
    <cellStyle name="Comma 2 5 11" xfId="17363" xr:uid="{BDA90D08-C444-42E8-84F2-0FB094687F8F}"/>
    <cellStyle name="Comma 2 5 2" xfId="80" xr:uid="{39DAD9C0-02DD-4A50-BDC4-7CE4732B4E2D}"/>
    <cellStyle name="Comma 2 5 2 2" xfId="202" xr:uid="{5CE5FE5D-FAB5-4B5D-B062-084904E5CDD4}"/>
    <cellStyle name="Comma 2 5 2 2 2" xfId="472" xr:uid="{0B6FBAAC-9E85-47B5-A42E-B8CE29D96E54}"/>
    <cellStyle name="Comma 2 5 2 2 2 2" xfId="1013" xr:uid="{5B08B310-9F1A-4ECD-A39A-389AC2AB82B7}"/>
    <cellStyle name="Comma 2 5 2 2 2 2 2" xfId="2097" xr:uid="{29715138-F942-4CFD-B77F-CDD6A6ED3D41}"/>
    <cellStyle name="Comma 2 5 2 2 2 2 2 2" xfId="4265" xr:uid="{1A757DD2-3A09-4923-A95B-E5CBE196C13D}"/>
    <cellStyle name="Comma 2 5 2 2 2 2 2 2 2" xfId="8601" xr:uid="{19830148-C5F6-4C69-A535-893732DCE6DF}"/>
    <cellStyle name="Comma 2 5 2 2 2 2 2 2 2 2" xfId="17273" xr:uid="{4C1DEC7D-A1E9-490C-A391-CF6E2FEE7D42}"/>
    <cellStyle name="Comma 2 5 2 2 2 2 2 2 2 2 2" xfId="34617" xr:uid="{D8783612-E559-49CC-9127-A6E7884A8811}"/>
    <cellStyle name="Comma 2 5 2 2 2 2 2 2 2 3" xfId="25945" xr:uid="{2B3DDED2-3254-4500-B993-2DF67945D3C2}"/>
    <cellStyle name="Comma 2 5 2 2 2 2 2 2 3" xfId="12937" xr:uid="{8381F72A-007F-472C-9314-840434B3B73C}"/>
    <cellStyle name="Comma 2 5 2 2 2 2 2 2 3 2" xfId="30281" xr:uid="{8A6CB04A-8559-4AFF-BE27-F4E96CC52C9F}"/>
    <cellStyle name="Comma 2 5 2 2 2 2 2 2 4" xfId="21609" xr:uid="{03E532FD-7D74-4216-BE09-1B4F37FB0635}"/>
    <cellStyle name="Comma 2 5 2 2 2 2 2 3" xfId="6433" xr:uid="{91BFDA0F-8AB7-46D9-96D4-50D4A44231EB}"/>
    <cellStyle name="Comma 2 5 2 2 2 2 2 3 2" xfId="15105" xr:uid="{A0DFA499-E82B-460B-9B7E-BEF995F17011}"/>
    <cellStyle name="Comma 2 5 2 2 2 2 2 3 2 2" xfId="32449" xr:uid="{F2BB8DD0-9655-4FCA-8BB3-3AE4548119F5}"/>
    <cellStyle name="Comma 2 5 2 2 2 2 2 3 3" xfId="23777" xr:uid="{A0FE2573-37FC-406C-A06E-C2806111188B}"/>
    <cellStyle name="Comma 2 5 2 2 2 2 2 4" xfId="10769" xr:uid="{EEFE3B7F-6BC7-444C-AF64-060E5C0ACF16}"/>
    <cellStyle name="Comma 2 5 2 2 2 2 2 4 2" xfId="28113" xr:uid="{ACAD7EA4-702C-49D7-B39F-BD4C85B6B55C}"/>
    <cellStyle name="Comma 2 5 2 2 2 2 2 5" xfId="19441" xr:uid="{30D93955-E2C5-47E9-BD1C-DCBF96EE00CA}"/>
    <cellStyle name="Comma 2 5 2 2 2 2 3" xfId="3181" xr:uid="{0A19CD34-A55F-49A8-A6CF-9E885FCD2A91}"/>
    <cellStyle name="Comma 2 5 2 2 2 2 3 2" xfId="7517" xr:uid="{2188EEB3-515E-46D5-B6B3-F7E13B13F9D8}"/>
    <cellStyle name="Comma 2 5 2 2 2 2 3 2 2" xfId="16189" xr:uid="{FCEB23E1-AD1F-4113-B354-8F4B70CCD6EB}"/>
    <cellStyle name="Comma 2 5 2 2 2 2 3 2 2 2" xfId="33533" xr:uid="{FFAF6FA0-1D53-4834-A53C-E035F9845EF3}"/>
    <cellStyle name="Comma 2 5 2 2 2 2 3 2 3" xfId="24861" xr:uid="{6B41F409-4C6E-421F-A8E2-C39B99955BDA}"/>
    <cellStyle name="Comma 2 5 2 2 2 2 3 3" xfId="11853" xr:uid="{770973B7-2A11-46AA-9D0F-542C8DDBF009}"/>
    <cellStyle name="Comma 2 5 2 2 2 2 3 3 2" xfId="29197" xr:uid="{D7D2EBF2-CD3D-45AF-B970-4C3D8123DEEE}"/>
    <cellStyle name="Comma 2 5 2 2 2 2 3 4" xfId="20525" xr:uid="{7BF4A2DE-4ED8-45E3-86A5-B58F261FA198}"/>
    <cellStyle name="Comma 2 5 2 2 2 2 4" xfId="5349" xr:uid="{749156EB-F2D4-4020-929F-18653BB03FF3}"/>
    <cellStyle name="Comma 2 5 2 2 2 2 4 2" xfId="14021" xr:uid="{BCD1F83A-4B86-4FCC-8EDF-C86E11A2D945}"/>
    <cellStyle name="Comma 2 5 2 2 2 2 4 2 2" xfId="31365" xr:uid="{3BCE5CF5-185A-4848-8D42-7DD1AF0E5B99}"/>
    <cellStyle name="Comma 2 5 2 2 2 2 4 3" xfId="22693" xr:uid="{4ADECB98-E7D3-4E57-9AE7-9D49DC11E2F6}"/>
    <cellStyle name="Comma 2 5 2 2 2 2 5" xfId="9685" xr:uid="{4F37C0E1-D319-4DBE-8402-E7C7F4658047}"/>
    <cellStyle name="Comma 2 5 2 2 2 2 5 2" xfId="27029" xr:uid="{48E0C78C-7D3C-4D4D-9692-B49CECC3036E}"/>
    <cellStyle name="Comma 2 5 2 2 2 2 6" xfId="18357" xr:uid="{A230B95D-2657-4786-96C1-4453802F6B45}"/>
    <cellStyle name="Comma 2 5 2 2 2 3" xfId="1556" xr:uid="{28E1D069-94F4-4AF3-9DD1-C2565F9A7A60}"/>
    <cellStyle name="Comma 2 5 2 2 2 3 2" xfId="3724" xr:uid="{6D373A59-187D-4A1B-B7D8-C1EA21B70965}"/>
    <cellStyle name="Comma 2 5 2 2 2 3 2 2" xfId="8060" xr:uid="{F0FD4FA3-89FD-4C92-A704-93CA2EBC698D}"/>
    <cellStyle name="Comma 2 5 2 2 2 3 2 2 2" xfId="16732" xr:uid="{0A72D0EA-7BB4-4D19-B0B8-D83B66741725}"/>
    <cellStyle name="Comma 2 5 2 2 2 3 2 2 2 2" xfId="34076" xr:uid="{4FCE0242-B245-44AF-A0A2-16B338522F19}"/>
    <cellStyle name="Comma 2 5 2 2 2 3 2 2 3" xfId="25404" xr:uid="{CE811CAC-4379-45CE-8D5D-FE410BCC530C}"/>
    <cellStyle name="Comma 2 5 2 2 2 3 2 3" xfId="12396" xr:uid="{4D816BC8-8FE2-478E-81A4-08F130958A14}"/>
    <cellStyle name="Comma 2 5 2 2 2 3 2 3 2" xfId="29740" xr:uid="{AD8D309B-3FF2-4868-806D-8C941D2D225A}"/>
    <cellStyle name="Comma 2 5 2 2 2 3 2 4" xfId="21068" xr:uid="{58EB1B38-5C0C-473E-B097-DBD28E67D360}"/>
    <cellStyle name="Comma 2 5 2 2 2 3 3" xfId="5892" xr:uid="{E8DEF983-4B47-4977-B7FF-AC08095911F9}"/>
    <cellStyle name="Comma 2 5 2 2 2 3 3 2" xfId="14564" xr:uid="{8C2A5BAB-984E-4CEA-B416-4AB522E4C136}"/>
    <cellStyle name="Comma 2 5 2 2 2 3 3 2 2" xfId="31908" xr:uid="{2B00C3FD-90A5-491B-9C6D-33A4B46802C9}"/>
    <cellStyle name="Comma 2 5 2 2 2 3 3 3" xfId="23236" xr:uid="{792531CE-F727-48EB-8F69-D91D387EAAFC}"/>
    <cellStyle name="Comma 2 5 2 2 2 3 4" xfId="10228" xr:uid="{84347749-F537-49C0-A5AC-D6396C04FD56}"/>
    <cellStyle name="Comma 2 5 2 2 2 3 4 2" xfId="27572" xr:uid="{157001A3-5389-4C3E-8375-22B4D96F1202}"/>
    <cellStyle name="Comma 2 5 2 2 2 3 5" xfId="18900" xr:uid="{DFAD9430-E233-4609-A0C2-B67D64F7CAAE}"/>
    <cellStyle name="Comma 2 5 2 2 2 4" xfId="2640" xr:uid="{2B20FDF1-C76E-4064-8131-A25F836AD17C}"/>
    <cellStyle name="Comma 2 5 2 2 2 4 2" xfId="6976" xr:uid="{5DF50479-703B-4F34-91A8-7A0DF6E26F81}"/>
    <cellStyle name="Comma 2 5 2 2 2 4 2 2" xfId="15648" xr:uid="{056A4760-DC4A-419A-96FA-787B2F283C1A}"/>
    <cellStyle name="Comma 2 5 2 2 2 4 2 2 2" xfId="32992" xr:uid="{DDD60D65-AE3F-4EFE-8959-BE48C31FFF31}"/>
    <cellStyle name="Comma 2 5 2 2 2 4 2 3" xfId="24320" xr:uid="{D55DAB30-5BF9-4366-9D03-AE063095A6DF}"/>
    <cellStyle name="Comma 2 5 2 2 2 4 3" xfId="11312" xr:uid="{E6929D64-485C-4C4A-BA3B-2A88B32D9E57}"/>
    <cellStyle name="Comma 2 5 2 2 2 4 3 2" xfId="28656" xr:uid="{42959BD4-BF40-4475-88AA-A5583B07DBD3}"/>
    <cellStyle name="Comma 2 5 2 2 2 4 4" xfId="19984" xr:uid="{D9EA3ED4-5690-412B-835B-885C4EECA873}"/>
    <cellStyle name="Comma 2 5 2 2 2 5" xfId="4808" xr:uid="{E8486F5D-7A96-494C-BB7B-66B086BA8575}"/>
    <cellStyle name="Comma 2 5 2 2 2 5 2" xfId="13480" xr:uid="{CC07EDC4-E560-4A8A-84A7-3E23CDC377AF}"/>
    <cellStyle name="Comma 2 5 2 2 2 5 2 2" xfId="30824" xr:uid="{54CEF4C3-B3B6-4B3E-BA12-D4B7AEC620D6}"/>
    <cellStyle name="Comma 2 5 2 2 2 5 3" xfId="22152" xr:uid="{C46A05B3-76C6-4EFB-8354-3401FC7F042A}"/>
    <cellStyle name="Comma 2 5 2 2 2 6" xfId="9144" xr:uid="{B608E056-ED19-4E93-B6F4-3DD97B03C244}"/>
    <cellStyle name="Comma 2 5 2 2 2 6 2" xfId="26488" xr:uid="{6A0C611D-19A7-423F-AFB5-339D6FA32AC9}"/>
    <cellStyle name="Comma 2 5 2 2 2 7" xfId="17816" xr:uid="{E538BD57-3728-420C-AE4F-12EE5CE1CD61}"/>
    <cellStyle name="Comma 2 5 2 2 3" xfId="743" xr:uid="{A0AD9AB0-2112-42B5-9AF6-8FE6505121A6}"/>
    <cellStyle name="Comma 2 5 2 2 3 2" xfId="1827" xr:uid="{7CBB1E31-265B-44C6-B44D-5F738200ADAB}"/>
    <cellStyle name="Comma 2 5 2 2 3 2 2" xfId="3995" xr:uid="{7CCFAFC8-4BBF-415D-A904-FE1D950BE270}"/>
    <cellStyle name="Comma 2 5 2 2 3 2 2 2" xfId="8331" xr:uid="{E5461539-C499-4BB3-8224-930B25780FD8}"/>
    <cellStyle name="Comma 2 5 2 2 3 2 2 2 2" xfId="17003" xr:uid="{03BB37AC-2A75-41A2-B1DF-C6377A99992D}"/>
    <cellStyle name="Comma 2 5 2 2 3 2 2 2 2 2" xfId="34347" xr:uid="{E9709FFA-A8D0-4918-9E5D-23CB41EC1AF7}"/>
    <cellStyle name="Comma 2 5 2 2 3 2 2 2 3" xfId="25675" xr:uid="{9F00B303-5FD1-4E54-9445-0F019E7C2818}"/>
    <cellStyle name="Comma 2 5 2 2 3 2 2 3" xfId="12667" xr:uid="{DD8F3CF1-A5B7-46F1-933E-5C5881F05209}"/>
    <cellStyle name="Comma 2 5 2 2 3 2 2 3 2" xfId="30011" xr:uid="{BBA73B4D-DE17-47BB-85FE-B8E350113EF8}"/>
    <cellStyle name="Comma 2 5 2 2 3 2 2 4" xfId="21339" xr:uid="{B8EB5888-78FE-4FA5-AB1D-9E9D28145BFF}"/>
    <cellStyle name="Comma 2 5 2 2 3 2 3" xfId="6163" xr:uid="{16555407-4B15-45FB-93DF-178000DD7969}"/>
    <cellStyle name="Comma 2 5 2 2 3 2 3 2" xfId="14835" xr:uid="{EF3E1748-B07C-46A9-A761-F427AD48B932}"/>
    <cellStyle name="Comma 2 5 2 2 3 2 3 2 2" xfId="32179" xr:uid="{C4DDCFD4-90CA-44EC-B69C-E1DCC3C42B2F}"/>
    <cellStyle name="Comma 2 5 2 2 3 2 3 3" xfId="23507" xr:uid="{29C573EF-F425-420C-8DC7-6EFC10FBD280}"/>
    <cellStyle name="Comma 2 5 2 2 3 2 4" xfId="10499" xr:uid="{69D856DE-9799-4C3F-86DC-18C224D8A997}"/>
    <cellStyle name="Comma 2 5 2 2 3 2 4 2" xfId="27843" xr:uid="{6C29CFB8-FFFF-4494-9033-720FC2F6BC41}"/>
    <cellStyle name="Comma 2 5 2 2 3 2 5" xfId="19171" xr:uid="{7E7FFC8C-75D0-4A93-AACC-219D9422D3E8}"/>
    <cellStyle name="Comma 2 5 2 2 3 3" xfId="2911" xr:uid="{BD69E147-C846-469C-8720-5F471AC49E12}"/>
    <cellStyle name="Comma 2 5 2 2 3 3 2" xfId="7247" xr:uid="{760CC231-1C19-4BC8-91C7-4EFD2D22C064}"/>
    <cellStyle name="Comma 2 5 2 2 3 3 2 2" xfId="15919" xr:uid="{00096153-7994-4D80-8297-B3B910A58A03}"/>
    <cellStyle name="Comma 2 5 2 2 3 3 2 2 2" xfId="33263" xr:uid="{E5D2C1A2-E85E-4BC8-A525-74D4E42BCC44}"/>
    <cellStyle name="Comma 2 5 2 2 3 3 2 3" xfId="24591" xr:uid="{7B94E7B8-7197-4C9E-BB02-93D987741850}"/>
    <cellStyle name="Comma 2 5 2 2 3 3 3" xfId="11583" xr:uid="{5837275D-19D4-4909-8AB7-896D1D659D7C}"/>
    <cellStyle name="Comma 2 5 2 2 3 3 3 2" xfId="28927" xr:uid="{BAC120DF-AC00-4177-B806-141AD9F4F208}"/>
    <cellStyle name="Comma 2 5 2 2 3 3 4" xfId="20255" xr:uid="{280CD697-1076-47CD-A720-AFBC1CD270F5}"/>
    <cellStyle name="Comma 2 5 2 2 3 4" xfId="5079" xr:uid="{E78EDC33-57CD-4EB9-A1FB-5C969F830A48}"/>
    <cellStyle name="Comma 2 5 2 2 3 4 2" xfId="13751" xr:uid="{72FA2CA3-C5D4-42D9-A37D-C2AD0A280A77}"/>
    <cellStyle name="Comma 2 5 2 2 3 4 2 2" xfId="31095" xr:uid="{D99C5A60-AF5F-4C22-8EF1-EC85993ABDA4}"/>
    <cellStyle name="Comma 2 5 2 2 3 4 3" xfId="22423" xr:uid="{D729F857-662D-4435-B657-60B739AE92F2}"/>
    <cellStyle name="Comma 2 5 2 2 3 5" xfId="9415" xr:uid="{CF2B4A4D-D406-46CC-8729-E6E517AC39E5}"/>
    <cellStyle name="Comma 2 5 2 2 3 5 2" xfId="26759" xr:uid="{7B3BA0DC-D126-4491-8045-7BD8ED435675}"/>
    <cellStyle name="Comma 2 5 2 2 3 6" xfId="18087" xr:uid="{C356F699-9F42-47EF-A6E7-F3883C42D21F}"/>
    <cellStyle name="Comma 2 5 2 2 4" xfId="1286" xr:uid="{23021459-0D4E-4063-9F2E-D35D5FDB9B9F}"/>
    <cellStyle name="Comma 2 5 2 2 4 2" xfId="3454" xr:uid="{F3B1AB23-5937-4CE1-AB38-2D261FBDE8D8}"/>
    <cellStyle name="Comma 2 5 2 2 4 2 2" xfId="7790" xr:uid="{4226F836-9AE1-49B0-99FB-92FEB08BD663}"/>
    <cellStyle name="Comma 2 5 2 2 4 2 2 2" xfId="16462" xr:uid="{3F386483-F3F2-47F7-9B69-3648C8F2E501}"/>
    <cellStyle name="Comma 2 5 2 2 4 2 2 2 2" xfId="33806" xr:uid="{BD6995BF-DF66-4E76-8FF2-F15CB1861C6E}"/>
    <cellStyle name="Comma 2 5 2 2 4 2 2 3" xfId="25134" xr:uid="{6F1CE98D-410D-4D47-9A3C-8AC109C4121C}"/>
    <cellStyle name="Comma 2 5 2 2 4 2 3" xfId="12126" xr:uid="{9AA89181-DADA-46B0-A415-0058A5A209C2}"/>
    <cellStyle name="Comma 2 5 2 2 4 2 3 2" xfId="29470" xr:uid="{7565E5F5-0577-4F43-AE59-8B95CE012A13}"/>
    <cellStyle name="Comma 2 5 2 2 4 2 4" xfId="20798" xr:uid="{88ACCF8D-0375-4337-B710-80DBF28B5ACD}"/>
    <cellStyle name="Comma 2 5 2 2 4 3" xfId="5622" xr:uid="{7B2A0494-7B5D-4C87-BC13-15B0D61C60B0}"/>
    <cellStyle name="Comma 2 5 2 2 4 3 2" xfId="14294" xr:uid="{463ED6C9-C3E1-4DAC-8154-5AD916A65A0E}"/>
    <cellStyle name="Comma 2 5 2 2 4 3 2 2" xfId="31638" xr:uid="{0C1BFCDA-47CA-421C-A0F4-96E8EF9ADF3C}"/>
    <cellStyle name="Comma 2 5 2 2 4 3 3" xfId="22966" xr:uid="{96CCF49C-91BA-4547-BCBD-477128F9E834}"/>
    <cellStyle name="Comma 2 5 2 2 4 4" xfId="9958" xr:uid="{1E39D587-15B9-4BE2-B505-6D2455E91F9F}"/>
    <cellStyle name="Comma 2 5 2 2 4 4 2" xfId="27302" xr:uid="{B3EB6AFF-146F-44B7-ABB3-B35C713D2ED8}"/>
    <cellStyle name="Comma 2 5 2 2 4 5" xfId="18630" xr:uid="{C84A4EC6-ABC2-41CA-A15F-A03639FDD308}"/>
    <cellStyle name="Comma 2 5 2 2 5" xfId="2370" xr:uid="{9A5C790E-E5B3-4DBB-B437-CC905B2480C6}"/>
    <cellStyle name="Comma 2 5 2 2 5 2" xfId="6706" xr:uid="{B5258C27-7666-4ACB-AB27-F645A2B2985C}"/>
    <cellStyle name="Comma 2 5 2 2 5 2 2" xfId="15378" xr:uid="{6099BD7E-36D6-4590-B4B5-D096F15A38C5}"/>
    <cellStyle name="Comma 2 5 2 2 5 2 2 2" xfId="32722" xr:uid="{A02F774D-B365-428C-948A-BC4EB075D2D1}"/>
    <cellStyle name="Comma 2 5 2 2 5 2 3" xfId="24050" xr:uid="{6715D754-11A8-42BB-A089-1213637902AA}"/>
    <cellStyle name="Comma 2 5 2 2 5 3" xfId="11042" xr:uid="{84C70C45-83CC-40FD-8A2A-23734D0D839A}"/>
    <cellStyle name="Comma 2 5 2 2 5 3 2" xfId="28386" xr:uid="{C9020E8F-0868-468C-8D7E-00F1248C458C}"/>
    <cellStyle name="Comma 2 5 2 2 5 4" xfId="19714" xr:uid="{77869B64-8FAA-4779-B41A-01D23DC43B43}"/>
    <cellStyle name="Comma 2 5 2 2 6" xfId="4538" xr:uid="{6B35DAC5-151C-4186-ADA3-606EE00C05E0}"/>
    <cellStyle name="Comma 2 5 2 2 6 2" xfId="13210" xr:uid="{72BC9CAF-E0BB-47AB-B0EE-CBAF0DF02731}"/>
    <cellStyle name="Comma 2 5 2 2 6 2 2" xfId="30554" xr:uid="{7E27F27D-E2F8-4B8D-8397-164CF16DFCF9}"/>
    <cellStyle name="Comma 2 5 2 2 6 3" xfId="21882" xr:uid="{44BE3677-4B59-45FC-8FE2-B4488EAB366C}"/>
    <cellStyle name="Comma 2 5 2 2 7" xfId="8874" xr:uid="{806BB7AD-AA4E-48AA-8A27-1BEC058A09AD}"/>
    <cellStyle name="Comma 2 5 2 2 7 2" xfId="26218" xr:uid="{06F49315-E17E-43CF-B266-BC3A4C0485ED}"/>
    <cellStyle name="Comma 2 5 2 2 8" xfId="17546" xr:uid="{3F3CD144-3639-4A68-BDF8-2ECCCA4D9341}"/>
    <cellStyle name="Comma 2 5 2 3" xfId="350" xr:uid="{4B9EC3F0-4A36-4CEE-B4A9-E9205FAADD95}"/>
    <cellStyle name="Comma 2 5 2 3 2" xfId="891" xr:uid="{A78672E4-2790-401F-9523-34C22AC419C4}"/>
    <cellStyle name="Comma 2 5 2 3 2 2" xfId="1975" xr:uid="{8DE806C7-7C72-413F-95D7-7F331A95946E}"/>
    <cellStyle name="Comma 2 5 2 3 2 2 2" xfId="4143" xr:uid="{77761C75-3243-4839-BCA7-E515BE1AC6E2}"/>
    <cellStyle name="Comma 2 5 2 3 2 2 2 2" xfId="8479" xr:uid="{CD38FCA8-5270-48B1-9370-63E09A4FBF2F}"/>
    <cellStyle name="Comma 2 5 2 3 2 2 2 2 2" xfId="17151" xr:uid="{3BF64034-7F9E-4A69-862A-045F5A44FE14}"/>
    <cellStyle name="Comma 2 5 2 3 2 2 2 2 2 2" xfId="34495" xr:uid="{2DE421B3-6AD1-44A4-A7A6-E72056147DF1}"/>
    <cellStyle name="Comma 2 5 2 3 2 2 2 2 3" xfId="25823" xr:uid="{760ADB79-EC78-4F86-844F-A14BE6DEF9F5}"/>
    <cellStyle name="Comma 2 5 2 3 2 2 2 3" xfId="12815" xr:uid="{4708D6A5-BC7C-4A31-9186-801DFC2068BD}"/>
    <cellStyle name="Comma 2 5 2 3 2 2 2 3 2" xfId="30159" xr:uid="{6D8185AE-C740-4568-A2F8-B9AC84E6D8B5}"/>
    <cellStyle name="Comma 2 5 2 3 2 2 2 4" xfId="21487" xr:uid="{2AFD9993-B311-46CC-83B5-0E391C201E19}"/>
    <cellStyle name="Comma 2 5 2 3 2 2 3" xfId="6311" xr:uid="{13D73BBF-0B29-48AB-AE0E-6FC9E4684D57}"/>
    <cellStyle name="Comma 2 5 2 3 2 2 3 2" xfId="14983" xr:uid="{113D26B8-CB0A-40BB-8C01-9B28DA5D5930}"/>
    <cellStyle name="Comma 2 5 2 3 2 2 3 2 2" xfId="32327" xr:uid="{7846A5D9-E3C9-4C91-8FE7-AFC280D93D0A}"/>
    <cellStyle name="Comma 2 5 2 3 2 2 3 3" xfId="23655" xr:uid="{549CFF47-08C1-4616-8D1F-BD0E47E78120}"/>
    <cellStyle name="Comma 2 5 2 3 2 2 4" xfId="10647" xr:uid="{997AE1B7-6E09-47F2-8394-AD2C427188B7}"/>
    <cellStyle name="Comma 2 5 2 3 2 2 4 2" xfId="27991" xr:uid="{3C183088-87F2-46E0-AB8C-8E186169F086}"/>
    <cellStyle name="Comma 2 5 2 3 2 2 5" xfId="19319" xr:uid="{751E447D-DBE6-434A-819C-F81CF1B538D8}"/>
    <cellStyle name="Comma 2 5 2 3 2 3" xfId="3059" xr:uid="{5FEC4190-47EC-42AE-BA2E-7A9E6A02CFD4}"/>
    <cellStyle name="Comma 2 5 2 3 2 3 2" xfId="7395" xr:uid="{BC29F99C-9697-417E-8ECE-3844B5A8B9A0}"/>
    <cellStyle name="Comma 2 5 2 3 2 3 2 2" xfId="16067" xr:uid="{184C5082-A321-4CA3-962A-2D4361A2C5ED}"/>
    <cellStyle name="Comma 2 5 2 3 2 3 2 2 2" xfId="33411" xr:uid="{471F3846-789B-4C67-986A-BA104C7AD5D0}"/>
    <cellStyle name="Comma 2 5 2 3 2 3 2 3" xfId="24739" xr:uid="{FFECF769-79E8-4FDE-94A9-030B6DEE35FC}"/>
    <cellStyle name="Comma 2 5 2 3 2 3 3" xfId="11731" xr:uid="{0AB57F2C-513E-4E1E-B1FC-2979C7E11F32}"/>
    <cellStyle name="Comma 2 5 2 3 2 3 3 2" xfId="29075" xr:uid="{A6913B08-1E2F-42FD-A1A5-845E460006BC}"/>
    <cellStyle name="Comma 2 5 2 3 2 3 4" xfId="20403" xr:uid="{9EBFB54F-1937-40F4-ABE9-0833E59F7B34}"/>
    <cellStyle name="Comma 2 5 2 3 2 4" xfId="5227" xr:uid="{DBE7AD1A-901A-416E-840C-B12796F1BD99}"/>
    <cellStyle name="Comma 2 5 2 3 2 4 2" xfId="13899" xr:uid="{C9E0FD74-6E77-44DE-9253-09C1576D7BE7}"/>
    <cellStyle name="Comma 2 5 2 3 2 4 2 2" xfId="31243" xr:uid="{FE0AA8FE-9D6B-44C6-A946-975041B41207}"/>
    <cellStyle name="Comma 2 5 2 3 2 4 3" xfId="22571" xr:uid="{9042BE35-18A9-4BAC-A0BE-51F7050B2833}"/>
    <cellStyle name="Comma 2 5 2 3 2 5" xfId="9563" xr:uid="{F22CA652-B3EE-49EF-8743-B987F20C886A}"/>
    <cellStyle name="Comma 2 5 2 3 2 5 2" xfId="26907" xr:uid="{FD096455-1E78-4168-9511-1B9C2945C02F}"/>
    <cellStyle name="Comma 2 5 2 3 2 6" xfId="18235" xr:uid="{A995724E-5465-4303-BBC9-5DFAA02492F2}"/>
    <cellStyle name="Comma 2 5 2 3 3" xfId="1434" xr:uid="{8FF43900-FCE7-49EF-AFE0-E9F794076946}"/>
    <cellStyle name="Comma 2 5 2 3 3 2" xfId="3602" xr:uid="{B1EF5D6E-1252-451F-B8BF-2A173768583E}"/>
    <cellStyle name="Comma 2 5 2 3 3 2 2" xfId="7938" xr:uid="{0C69E120-02E4-4534-A137-05C884E5AE47}"/>
    <cellStyle name="Comma 2 5 2 3 3 2 2 2" xfId="16610" xr:uid="{A92C9BAF-EEB8-4B02-A0CD-B117AE9481A6}"/>
    <cellStyle name="Comma 2 5 2 3 3 2 2 2 2" xfId="33954" xr:uid="{B43456A0-087E-4BA7-A26A-F95274CEE51E}"/>
    <cellStyle name="Comma 2 5 2 3 3 2 2 3" xfId="25282" xr:uid="{D7F4FF41-75F0-4AA7-904C-E41083839E10}"/>
    <cellStyle name="Comma 2 5 2 3 3 2 3" xfId="12274" xr:uid="{DD9FD43A-CC9E-4B71-B56D-02DAFC23D433}"/>
    <cellStyle name="Comma 2 5 2 3 3 2 3 2" xfId="29618" xr:uid="{2CFF2B26-1F55-4E34-A368-A47F7AF38FA5}"/>
    <cellStyle name="Comma 2 5 2 3 3 2 4" xfId="20946" xr:uid="{E290BD33-93D4-453B-869C-17ABCCEFECAE}"/>
    <cellStyle name="Comma 2 5 2 3 3 3" xfId="5770" xr:uid="{33200544-F91E-4231-BB02-8C3FDF86F6A6}"/>
    <cellStyle name="Comma 2 5 2 3 3 3 2" xfId="14442" xr:uid="{4F152816-995F-4EEC-A624-699674CB16B7}"/>
    <cellStyle name="Comma 2 5 2 3 3 3 2 2" xfId="31786" xr:uid="{2540A198-8F3E-4F03-A65F-E185FAA2BCB0}"/>
    <cellStyle name="Comma 2 5 2 3 3 3 3" xfId="23114" xr:uid="{251969FC-D905-4837-8898-89720EF76ABA}"/>
    <cellStyle name="Comma 2 5 2 3 3 4" xfId="10106" xr:uid="{6737BCE3-951D-446A-A926-66E14E45C862}"/>
    <cellStyle name="Comma 2 5 2 3 3 4 2" xfId="27450" xr:uid="{455BAD70-1624-4164-ACA1-4A8AD467147C}"/>
    <cellStyle name="Comma 2 5 2 3 3 5" xfId="18778" xr:uid="{4547433D-D058-42F7-A18D-7D528521AB3B}"/>
    <cellStyle name="Comma 2 5 2 3 4" xfId="2518" xr:uid="{88E33438-668F-41C2-B62F-AE83AB34B96E}"/>
    <cellStyle name="Comma 2 5 2 3 4 2" xfId="6854" xr:uid="{B5EC2F42-4D5B-4D1A-8CF3-B98579A30C77}"/>
    <cellStyle name="Comma 2 5 2 3 4 2 2" xfId="15526" xr:uid="{435EF9A0-98A0-460C-8CF9-C6DAB67DE6CD}"/>
    <cellStyle name="Comma 2 5 2 3 4 2 2 2" xfId="32870" xr:uid="{23BC8E7A-0580-4330-A25D-4D98E0E1D866}"/>
    <cellStyle name="Comma 2 5 2 3 4 2 3" xfId="24198" xr:uid="{A1BE5EB2-71C8-4368-B68C-FBCB6CB8B95D}"/>
    <cellStyle name="Comma 2 5 2 3 4 3" xfId="11190" xr:uid="{C07FDEEB-D078-451B-8AE9-689DBAA81D1D}"/>
    <cellStyle name="Comma 2 5 2 3 4 3 2" xfId="28534" xr:uid="{507955F1-F046-4615-B0DD-F1B5819BFA66}"/>
    <cellStyle name="Comma 2 5 2 3 4 4" xfId="19862" xr:uid="{D8D7FDD1-C8F8-4A80-8720-1DA749B1B0F8}"/>
    <cellStyle name="Comma 2 5 2 3 5" xfId="4686" xr:uid="{4341068B-BC0C-46A6-AC16-5966D0798A08}"/>
    <cellStyle name="Comma 2 5 2 3 5 2" xfId="13358" xr:uid="{D0CE63D5-6710-471D-8A45-0769C9F20E3C}"/>
    <cellStyle name="Comma 2 5 2 3 5 2 2" xfId="30702" xr:uid="{ACA94813-CBC5-468B-A4B0-402EB59CC09C}"/>
    <cellStyle name="Comma 2 5 2 3 5 3" xfId="22030" xr:uid="{D52F7AD7-983F-487F-89F1-730E5DB025A2}"/>
    <cellStyle name="Comma 2 5 2 3 6" xfId="9022" xr:uid="{51755ECE-942B-4958-951A-8779B02CE518}"/>
    <cellStyle name="Comma 2 5 2 3 6 2" xfId="26366" xr:uid="{5F2E101F-0D5C-46DE-B1D8-0FAA12ADE5C0}"/>
    <cellStyle name="Comma 2 5 2 3 7" xfId="17694" xr:uid="{58F8E20B-6F3B-4111-999E-4EC60D9C1D0B}"/>
    <cellStyle name="Comma 2 5 2 4" xfId="621" xr:uid="{77DE1019-D50B-4FB9-9579-39376371EDF7}"/>
    <cellStyle name="Comma 2 5 2 4 2" xfId="1705" xr:uid="{B0A90ED2-143A-4986-8EA6-2D400E1C4033}"/>
    <cellStyle name="Comma 2 5 2 4 2 2" xfId="3873" xr:uid="{3C9561F3-A08B-4AB8-B2CC-E1428B1F3C8C}"/>
    <cellStyle name="Comma 2 5 2 4 2 2 2" xfId="8209" xr:uid="{DBEC5B76-0B05-4696-B4D3-A9B26C5BBE03}"/>
    <cellStyle name="Comma 2 5 2 4 2 2 2 2" xfId="16881" xr:uid="{50EBC44E-E3F1-4292-AF0E-39322650C3BE}"/>
    <cellStyle name="Comma 2 5 2 4 2 2 2 2 2" xfId="34225" xr:uid="{0442FD7C-CE25-43AA-AB29-E59F28290AEC}"/>
    <cellStyle name="Comma 2 5 2 4 2 2 2 3" xfId="25553" xr:uid="{37303C1D-2820-43B2-883D-608981F4D3C4}"/>
    <cellStyle name="Comma 2 5 2 4 2 2 3" xfId="12545" xr:uid="{2606193F-9E4D-4F6C-951D-43F7B91211B9}"/>
    <cellStyle name="Comma 2 5 2 4 2 2 3 2" xfId="29889" xr:uid="{F1EF3B02-1FE0-429A-8E4A-424850E5BC67}"/>
    <cellStyle name="Comma 2 5 2 4 2 2 4" xfId="21217" xr:uid="{5FDD08BB-EBFF-4848-851F-FBD0B5E0B500}"/>
    <cellStyle name="Comma 2 5 2 4 2 3" xfId="6041" xr:uid="{5ACF51BE-B1EC-4F82-8CEF-5E08E8F296CF}"/>
    <cellStyle name="Comma 2 5 2 4 2 3 2" xfId="14713" xr:uid="{A592608A-3898-49C0-9920-FF9999ABC5A9}"/>
    <cellStyle name="Comma 2 5 2 4 2 3 2 2" xfId="32057" xr:uid="{7DE13888-FD5E-48BA-A316-2D92A3461EE3}"/>
    <cellStyle name="Comma 2 5 2 4 2 3 3" xfId="23385" xr:uid="{064B0A49-30A2-44E2-A1F8-614530889EC5}"/>
    <cellStyle name="Comma 2 5 2 4 2 4" xfId="10377" xr:uid="{BC632063-2714-4DE6-909F-78F7D5BEAC78}"/>
    <cellStyle name="Comma 2 5 2 4 2 4 2" xfId="27721" xr:uid="{3EA8EF04-2A38-4D64-85D6-D613C7940A94}"/>
    <cellStyle name="Comma 2 5 2 4 2 5" xfId="19049" xr:uid="{34CC2821-272E-4E85-B409-A91FB5A38EF2}"/>
    <cellStyle name="Comma 2 5 2 4 3" xfId="2789" xr:uid="{C20F1CD8-3FC8-4E99-A817-AA455D6A3FCF}"/>
    <cellStyle name="Comma 2 5 2 4 3 2" xfId="7125" xr:uid="{70BBF4A0-04A1-47B5-8D40-E47CD18FD94C}"/>
    <cellStyle name="Comma 2 5 2 4 3 2 2" xfId="15797" xr:uid="{0A0A75EF-CC8D-4E23-9052-1E7DF03F11F1}"/>
    <cellStyle name="Comma 2 5 2 4 3 2 2 2" xfId="33141" xr:uid="{C88BA47F-8837-45C6-97B6-848B695EE3B2}"/>
    <cellStyle name="Comma 2 5 2 4 3 2 3" xfId="24469" xr:uid="{1AF8B96F-AF8E-4F68-9654-A5F7F749A28D}"/>
    <cellStyle name="Comma 2 5 2 4 3 3" xfId="11461" xr:uid="{E083A315-D4C0-459D-89EE-ECA05F644721}"/>
    <cellStyle name="Comma 2 5 2 4 3 3 2" xfId="28805" xr:uid="{572BD907-21E3-4830-878C-F6606C91506A}"/>
    <cellStyle name="Comma 2 5 2 4 3 4" xfId="20133" xr:uid="{DFFC5FD7-954F-4908-AFC9-785AB9F5B9F0}"/>
    <cellStyle name="Comma 2 5 2 4 4" xfId="4957" xr:uid="{0F1CF364-7A00-4B38-AF10-A2E1126D4290}"/>
    <cellStyle name="Comma 2 5 2 4 4 2" xfId="13629" xr:uid="{ED93267E-5A2B-41C6-A585-6ED6D358DA8A}"/>
    <cellStyle name="Comma 2 5 2 4 4 2 2" xfId="30973" xr:uid="{1145C80B-C1CF-406F-BC54-F8EBDB3DB7FC}"/>
    <cellStyle name="Comma 2 5 2 4 4 3" xfId="22301" xr:uid="{E0A9DAEF-E12D-40A1-94EF-4062BCDE7ED1}"/>
    <cellStyle name="Comma 2 5 2 4 5" xfId="9293" xr:uid="{D1DF744A-C5AB-42FD-9FA0-47D77581DE7F}"/>
    <cellStyle name="Comma 2 5 2 4 5 2" xfId="26637" xr:uid="{5C535CF5-F825-4F20-BA1A-D99D83ECFBD6}"/>
    <cellStyle name="Comma 2 5 2 4 6" xfId="17965" xr:uid="{25E28B0C-CB4B-4AB6-9770-098DE66AF844}"/>
    <cellStyle name="Comma 2 5 2 5" xfId="1164" xr:uid="{C52286DE-92A7-4E6E-ABB6-35A2935AB4B9}"/>
    <cellStyle name="Comma 2 5 2 5 2" xfId="3332" xr:uid="{3CE1BBF6-9560-4173-85EF-B52EF3B520EF}"/>
    <cellStyle name="Comma 2 5 2 5 2 2" xfId="7668" xr:uid="{D67B9479-F892-43F8-81DF-B24BA6ADE462}"/>
    <cellStyle name="Comma 2 5 2 5 2 2 2" xfId="16340" xr:uid="{DDCEABF9-E5DE-43B0-B25A-DFB9E8D1BCCC}"/>
    <cellStyle name="Comma 2 5 2 5 2 2 2 2" xfId="33684" xr:uid="{0FE5657E-B80D-42CA-A50B-6BDDC31C39FB}"/>
    <cellStyle name="Comma 2 5 2 5 2 2 3" xfId="25012" xr:uid="{B58ECD70-D77C-4D50-882C-67A20DB25188}"/>
    <cellStyle name="Comma 2 5 2 5 2 3" xfId="12004" xr:uid="{BABF2F63-8B46-4728-9FC1-48EBA36C45FC}"/>
    <cellStyle name="Comma 2 5 2 5 2 3 2" xfId="29348" xr:uid="{11D602C2-0D41-4C6D-BA94-F87FF53B318C}"/>
    <cellStyle name="Comma 2 5 2 5 2 4" xfId="20676" xr:uid="{CEE999F5-B88C-41CC-B1EA-FBBACEC31EEA}"/>
    <cellStyle name="Comma 2 5 2 5 3" xfId="5500" xr:uid="{E9B12D42-F9BF-417A-9E8A-322782622237}"/>
    <cellStyle name="Comma 2 5 2 5 3 2" xfId="14172" xr:uid="{3D4BCB44-867B-4AFD-9BC7-D443724995C9}"/>
    <cellStyle name="Comma 2 5 2 5 3 2 2" xfId="31516" xr:uid="{7ED001C4-9182-4F47-8890-F5FA7516AFC2}"/>
    <cellStyle name="Comma 2 5 2 5 3 3" xfId="22844" xr:uid="{C9BC9A44-1419-45D5-8201-3AFD829EA7C9}"/>
    <cellStyle name="Comma 2 5 2 5 4" xfId="9836" xr:uid="{45FB5471-945F-4B9C-9BF6-11222007153F}"/>
    <cellStyle name="Comma 2 5 2 5 4 2" xfId="27180" xr:uid="{7721B91D-D9C4-4F59-8827-B426D2857FD4}"/>
    <cellStyle name="Comma 2 5 2 5 5" xfId="18508" xr:uid="{E55FCCCF-94F1-4C4F-94A2-72839FE4549A}"/>
    <cellStyle name="Comma 2 5 2 6" xfId="2248" xr:uid="{193E42CE-01D7-4D90-BB93-7E5593614CCF}"/>
    <cellStyle name="Comma 2 5 2 6 2" xfId="6584" xr:uid="{2B652E3C-D664-44A6-97F4-4E85E31C266A}"/>
    <cellStyle name="Comma 2 5 2 6 2 2" xfId="15256" xr:uid="{34225CCB-BD5F-41A2-B8E3-DE5CD142C9A1}"/>
    <cellStyle name="Comma 2 5 2 6 2 2 2" xfId="32600" xr:uid="{07A3A17B-011F-405F-A167-2D388DA357FD}"/>
    <cellStyle name="Comma 2 5 2 6 2 3" xfId="23928" xr:uid="{356DF5AE-BDB7-4E85-92E2-F15762077B06}"/>
    <cellStyle name="Comma 2 5 2 6 3" xfId="10920" xr:uid="{70003372-1345-4C8D-AC3C-8C724F53AC97}"/>
    <cellStyle name="Comma 2 5 2 6 3 2" xfId="28264" xr:uid="{E12EB5F4-CE54-4575-8D92-A6EFCADB7931}"/>
    <cellStyle name="Comma 2 5 2 6 4" xfId="19592" xr:uid="{D061214D-8901-40B6-926D-6682D29F146D}"/>
    <cellStyle name="Comma 2 5 2 7" xfId="4416" xr:uid="{A778721E-6D64-4E69-B2F7-5B5FD1234B57}"/>
    <cellStyle name="Comma 2 5 2 7 2" xfId="13088" xr:uid="{0F7D63BA-E5D5-453F-948F-6FE84E459A62}"/>
    <cellStyle name="Comma 2 5 2 7 2 2" xfId="30432" xr:uid="{E7987A2C-ECC2-4D78-9281-71A6CBB9BAB4}"/>
    <cellStyle name="Comma 2 5 2 7 3" xfId="21760" xr:uid="{6ED7703B-03D9-41C8-A7F0-D41F28BA4D71}"/>
    <cellStyle name="Comma 2 5 2 8" xfId="8752" xr:uid="{3BA6724C-DF15-42F5-AF4D-01BA81C0D4A0}"/>
    <cellStyle name="Comma 2 5 2 8 2" xfId="26096" xr:uid="{82710505-F85E-4D4E-966C-0EC499A2B562}"/>
    <cellStyle name="Comma 2 5 2 9" xfId="17424" xr:uid="{EA1361D0-27BE-4C2A-9A54-484CB922E390}"/>
    <cellStyle name="Comma 2 5 3" xfId="141" xr:uid="{98EBB6F6-0057-4301-8B19-3A41F308688E}"/>
    <cellStyle name="Comma 2 5 3 2" xfId="411" xr:uid="{52603AF2-53F1-4286-AE76-D2F7576CA32E}"/>
    <cellStyle name="Comma 2 5 3 2 2" xfId="952" xr:uid="{E9E3F2D6-D029-434B-A8FA-96F3CCEB52C2}"/>
    <cellStyle name="Comma 2 5 3 2 2 2" xfId="2036" xr:uid="{4036675E-2547-4FD7-8CBD-E73C605D517B}"/>
    <cellStyle name="Comma 2 5 3 2 2 2 2" xfId="4204" xr:uid="{CD7D8E14-02EC-4F8E-89B7-1DF77CD419ED}"/>
    <cellStyle name="Comma 2 5 3 2 2 2 2 2" xfId="8540" xr:uid="{DFC1D29F-C8C2-44AC-AE61-9D41F88868AD}"/>
    <cellStyle name="Comma 2 5 3 2 2 2 2 2 2" xfId="17212" xr:uid="{7E0007FF-44EB-4F45-9E60-8E812452B1E3}"/>
    <cellStyle name="Comma 2 5 3 2 2 2 2 2 2 2" xfId="34556" xr:uid="{9253B23F-D72F-46D3-AB66-4441238B403C}"/>
    <cellStyle name="Comma 2 5 3 2 2 2 2 2 3" xfId="25884" xr:uid="{B86C74D0-2E03-4A7A-BDD7-40A97D328D25}"/>
    <cellStyle name="Comma 2 5 3 2 2 2 2 3" xfId="12876" xr:uid="{E8188133-1FB2-4517-8998-4594331FC7BE}"/>
    <cellStyle name="Comma 2 5 3 2 2 2 2 3 2" xfId="30220" xr:uid="{1A7B4F0F-767E-497E-97EF-A8FBD7A3EC60}"/>
    <cellStyle name="Comma 2 5 3 2 2 2 2 4" xfId="21548" xr:uid="{1B036516-8258-42A4-8927-59C196AB82F5}"/>
    <cellStyle name="Comma 2 5 3 2 2 2 3" xfId="6372" xr:uid="{00803290-8615-4BF9-8880-8F7DA3F51E4A}"/>
    <cellStyle name="Comma 2 5 3 2 2 2 3 2" xfId="15044" xr:uid="{49A1AB11-8E95-4BDD-8495-9C10914EAFB2}"/>
    <cellStyle name="Comma 2 5 3 2 2 2 3 2 2" xfId="32388" xr:uid="{8425BC41-FB64-4705-B595-6229CE19F3DE}"/>
    <cellStyle name="Comma 2 5 3 2 2 2 3 3" xfId="23716" xr:uid="{5A12E0BD-C19B-49BB-8545-C55BC964F6EB}"/>
    <cellStyle name="Comma 2 5 3 2 2 2 4" xfId="10708" xr:uid="{5F33FADE-8127-4721-8852-2ED79503C305}"/>
    <cellStyle name="Comma 2 5 3 2 2 2 4 2" xfId="28052" xr:uid="{0769BD7D-014A-4FD3-BDFB-561B99D973CA}"/>
    <cellStyle name="Comma 2 5 3 2 2 2 5" xfId="19380" xr:uid="{86CB4CD3-55A4-436C-AEA8-33C6242CA356}"/>
    <cellStyle name="Comma 2 5 3 2 2 3" xfId="3120" xr:uid="{578CD5CE-C68F-4824-A61F-786F5EB1DADA}"/>
    <cellStyle name="Comma 2 5 3 2 2 3 2" xfId="7456" xr:uid="{A9E1D33E-D566-42BD-B265-B84E7D090D3A}"/>
    <cellStyle name="Comma 2 5 3 2 2 3 2 2" xfId="16128" xr:uid="{93B5092C-B158-410E-A74E-CA9E29946123}"/>
    <cellStyle name="Comma 2 5 3 2 2 3 2 2 2" xfId="33472" xr:uid="{75D7C711-73F9-428E-8463-D168B8DBA092}"/>
    <cellStyle name="Comma 2 5 3 2 2 3 2 3" xfId="24800" xr:uid="{C28775F6-C58B-4245-86BB-CFE25D49E325}"/>
    <cellStyle name="Comma 2 5 3 2 2 3 3" xfId="11792" xr:uid="{4E55F9BA-AB8C-43E9-8AC4-437D261B754E}"/>
    <cellStyle name="Comma 2 5 3 2 2 3 3 2" xfId="29136" xr:uid="{088F5B82-CDE9-49E6-BEFF-0D7B603370A5}"/>
    <cellStyle name="Comma 2 5 3 2 2 3 4" xfId="20464" xr:uid="{81F8DC22-3027-407E-99A0-9C7DFE5CA536}"/>
    <cellStyle name="Comma 2 5 3 2 2 4" xfId="5288" xr:uid="{3146F4E3-CB9C-42C4-8C70-A51BD8BFAF2D}"/>
    <cellStyle name="Comma 2 5 3 2 2 4 2" xfId="13960" xr:uid="{39DF0B19-986A-44FA-B286-B80DE45AB438}"/>
    <cellStyle name="Comma 2 5 3 2 2 4 2 2" xfId="31304" xr:uid="{87EEC398-9C7B-4CE1-96BD-A2DE4B201A54}"/>
    <cellStyle name="Comma 2 5 3 2 2 4 3" xfId="22632" xr:uid="{358D8F11-037A-45D1-A8C0-6F01F15448D7}"/>
    <cellStyle name="Comma 2 5 3 2 2 5" xfId="9624" xr:uid="{D5F995E1-6A74-417E-9088-AE9E1A0801B9}"/>
    <cellStyle name="Comma 2 5 3 2 2 5 2" xfId="26968" xr:uid="{90D1C0F8-F5CB-4326-BF35-C042F9E4B19F}"/>
    <cellStyle name="Comma 2 5 3 2 2 6" xfId="18296" xr:uid="{28B6FDD5-4719-4B5D-898D-55BB2AEECE92}"/>
    <cellStyle name="Comma 2 5 3 2 3" xfId="1495" xr:uid="{7909BEF2-14AB-486A-8C0C-8D8B294823D5}"/>
    <cellStyle name="Comma 2 5 3 2 3 2" xfId="3663" xr:uid="{FEABE80E-BF9F-4D3D-ABD8-87D1B6E1EF10}"/>
    <cellStyle name="Comma 2 5 3 2 3 2 2" xfId="7999" xr:uid="{C106B9FA-1A4E-48A3-AF89-9E4D90C55FA6}"/>
    <cellStyle name="Comma 2 5 3 2 3 2 2 2" xfId="16671" xr:uid="{44347C6C-3EB6-4E21-A145-8323B485B9A4}"/>
    <cellStyle name="Comma 2 5 3 2 3 2 2 2 2" xfId="34015" xr:uid="{368C3C34-729E-45CC-B7D9-F7EC0ED1A2CE}"/>
    <cellStyle name="Comma 2 5 3 2 3 2 2 3" xfId="25343" xr:uid="{E2CFA81C-F438-40BD-8AF2-90D8A1ECB126}"/>
    <cellStyle name="Comma 2 5 3 2 3 2 3" xfId="12335" xr:uid="{90D46FC0-FC73-41DD-913A-2B8FE4CF7A01}"/>
    <cellStyle name="Comma 2 5 3 2 3 2 3 2" xfId="29679" xr:uid="{47479C53-7645-46D8-9718-2850DC176DD9}"/>
    <cellStyle name="Comma 2 5 3 2 3 2 4" xfId="21007" xr:uid="{D7534757-B7D1-411E-A1D5-0F1620335C76}"/>
    <cellStyle name="Comma 2 5 3 2 3 3" xfId="5831" xr:uid="{195360D1-0B77-4A25-B3D1-6323A2AB03BD}"/>
    <cellStyle name="Comma 2 5 3 2 3 3 2" xfId="14503" xr:uid="{A4C04CC0-3C7E-480C-8FA8-A88BD7935C23}"/>
    <cellStyle name="Comma 2 5 3 2 3 3 2 2" xfId="31847" xr:uid="{8D4327AA-711E-4651-9A5B-26E669478D55}"/>
    <cellStyle name="Comma 2 5 3 2 3 3 3" xfId="23175" xr:uid="{561B1A9B-8AE1-4721-804E-2E5DF117F218}"/>
    <cellStyle name="Comma 2 5 3 2 3 4" xfId="10167" xr:uid="{32467F21-B909-45D1-945F-FEEB8B496285}"/>
    <cellStyle name="Comma 2 5 3 2 3 4 2" xfId="27511" xr:uid="{B21AE234-7372-479E-807A-5E1765FAE619}"/>
    <cellStyle name="Comma 2 5 3 2 3 5" xfId="18839" xr:uid="{7B68A780-BECC-42BB-B880-7BE2A1881C30}"/>
    <cellStyle name="Comma 2 5 3 2 4" xfId="2579" xr:uid="{DD8EDBD6-ECA5-499C-B5B9-6BF84D041388}"/>
    <cellStyle name="Comma 2 5 3 2 4 2" xfId="6915" xr:uid="{51BE672B-5150-4557-BDBB-E877649F3F85}"/>
    <cellStyle name="Comma 2 5 3 2 4 2 2" xfId="15587" xr:uid="{CEE978A2-483A-4FB0-A27D-E72A0D97F9C3}"/>
    <cellStyle name="Comma 2 5 3 2 4 2 2 2" xfId="32931" xr:uid="{D7DC0CAD-7DF3-44E4-8D6F-9CDB88D93107}"/>
    <cellStyle name="Comma 2 5 3 2 4 2 3" xfId="24259" xr:uid="{3304809E-2443-46F0-958E-BA89C73ED7A9}"/>
    <cellStyle name="Comma 2 5 3 2 4 3" xfId="11251" xr:uid="{E7D27B8C-A724-471B-A3E8-C2A52BDC241D}"/>
    <cellStyle name="Comma 2 5 3 2 4 3 2" xfId="28595" xr:uid="{68465C64-78DE-41D1-AFF7-4833D13BA6BC}"/>
    <cellStyle name="Comma 2 5 3 2 4 4" xfId="19923" xr:uid="{93B6A8A0-849B-4388-9313-24E08F9FF875}"/>
    <cellStyle name="Comma 2 5 3 2 5" xfId="4747" xr:uid="{73AEDDD7-0F06-48FD-8AAD-AF635B891FF4}"/>
    <cellStyle name="Comma 2 5 3 2 5 2" xfId="13419" xr:uid="{BF51096F-16C6-4FB3-8ADF-E4723B8E32C3}"/>
    <cellStyle name="Comma 2 5 3 2 5 2 2" xfId="30763" xr:uid="{5363F165-AA52-4C03-B2BD-769A4380F1E3}"/>
    <cellStyle name="Comma 2 5 3 2 5 3" xfId="22091" xr:uid="{CB588508-3596-4AB2-AFE2-79397BCBDFE5}"/>
    <cellStyle name="Comma 2 5 3 2 6" xfId="9083" xr:uid="{6919673D-9987-4D54-876B-B6A902A2A9A9}"/>
    <cellStyle name="Comma 2 5 3 2 6 2" xfId="26427" xr:uid="{99A3487E-6030-4A52-AC0D-7FD496CB62E7}"/>
    <cellStyle name="Comma 2 5 3 2 7" xfId="17755" xr:uid="{C241522B-8794-49BE-87F3-C7DA6F701876}"/>
    <cellStyle name="Comma 2 5 3 3" xfId="682" xr:uid="{D03703F6-43DE-4880-9DB3-67CE2665FE2A}"/>
    <cellStyle name="Comma 2 5 3 3 2" xfId="1766" xr:uid="{9172A91B-C30B-49E9-A91E-7717822558AA}"/>
    <cellStyle name="Comma 2 5 3 3 2 2" xfId="3934" xr:uid="{F7004AA3-6B71-40BF-A3EE-0524B7166FDC}"/>
    <cellStyle name="Comma 2 5 3 3 2 2 2" xfId="8270" xr:uid="{4FEDF4FF-1651-47F9-B801-75CDB3E84010}"/>
    <cellStyle name="Comma 2 5 3 3 2 2 2 2" xfId="16942" xr:uid="{3FF0B46A-C155-4407-94DE-3C1A0E8A8371}"/>
    <cellStyle name="Comma 2 5 3 3 2 2 2 2 2" xfId="34286" xr:uid="{2FA148BD-88DA-42F8-9E10-49E21B4D3C44}"/>
    <cellStyle name="Comma 2 5 3 3 2 2 2 3" xfId="25614" xr:uid="{CABCE213-A50C-4E45-B7E2-8AF48B542880}"/>
    <cellStyle name="Comma 2 5 3 3 2 2 3" xfId="12606" xr:uid="{219A7780-FDEC-4409-9C28-63FC2426A30F}"/>
    <cellStyle name="Comma 2 5 3 3 2 2 3 2" xfId="29950" xr:uid="{0F1A36FF-AA0A-4917-83E6-C351460D4063}"/>
    <cellStyle name="Comma 2 5 3 3 2 2 4" xfId="21278" xr:uid="{3FEB56BB-8BB9-40CA-9716-32C8E87769E9}"/>
    <cellStyle name="Comma 2 5 3 3 2 3" xfId="6102" xr:uid="{6F7B7DD0-2497-42DF-A1D4-EBA9B800CF93}"/>
    <cellStyle name="Comma 2 5 3 3 2 3 2" xfId="14774" xr:uid="{DD009E0C-2387-4968-9C9F-36D8505C377C}"/>
    <cellStyle name="Comma 2 5 3 3 2 3 2 2" xfId="32118" xr:uid="{EB193E0E-FD9C-4BBC-B62C-BC7D8DC9C951}"/>
    <cellStyle name="Comma 2 5 3 3 2 3 3" xfId="23446" xr:uid="{5FCE1E1E-8A0A-4D37-9E30-D89869890A95}"/>
    <cellStyle name="Comma 2 5 3 3 2 4" xfId="10438" xr:uid="{313AF3BA-6BAC-4C64-B5F1-3C83719A1965}"/>
    <cellStyle name="Comma 2 5 3 3 2 4 2" xfId="27782" xr:uid="{1B26D6C5-BA07-474B-8F85-B9B1E7B3CF72}"/>
    <cellStyle name="Comma 2 5 3 3 2 5" xfId="19110" xr:uid="{CDBAA785-0C14-4B85-BB80-A3703A4FEC70}"/>
    <cellStyle name="Comma 2 5 3 3 3" xfId="2850" xr:uid="{7A96D297-EE4A-4107-A21E-216380FF2D42}"/>
    <cellStyle name="Comma 2 5 3 3 3 2" xfId="7186" xr:uid="{7740E51D-F1FD-4665-9E0A-C39B2973DF09}"/>
    <cellStyle name="Comma 2 5 3 3 3 2 2" xfId="15858" xr:uid="{684B41F5-FBCE-4499-ABB9-E73C568FD836}"/>
    <cellStyle name="Comma 2 5 3 3 3 2 2 2" xfId="33202" xr:uid="{3D891074-32B2-4616-AB4E-40A5F2051FD2}"/>
    <cellStyle name="Comma 2 5 3 3 3 2 3" xfId="24530" xr:uid="{F668D501-E4FA-4E48-969B-968A3C5E17BB}"/>
    <cellStyle name="Comma 2 5 3 3 3 3" xfId="11522" xr:uid="{E5E3EA76-48ED-4BC9-823A-4568DE42A8A5}"/>
    <cellStyle name="Comma 2 5 3 3 3 3 2" xfId="28866" xr:uid="{8F1D3119-59BD-479C-98D6-D15CBF42B362}"/>
    <cellStyle name="Comma 2 5 3 3 3 4" xfId="20194" xr:uid="{C87055C3-8236-4037-BE1D-9B9BDE07BAF8}"/>
    <cellStyle name="Comma 2 5 3 3 4" xfId="5018" xr:uid="{29ADBB43-DBF4-4D74-87F8-BF082BFD83DD}"/>
    <cellStyle name="Comma 2 5 3 3 4 2" xfId="13690" xr:uid="{5944A234-7F44-4635-B59E-0B8FEA426284}"/>
    <cellStyle name="Comma 2 5 3 3 4 2 2" xfId="31034" xr:uid="{C08FBA34-821A-486B-B9DE-50CFAEAAE96C}"/>
    <cellStyle name="Comma 2 5 3 3 4 3" xfId="22362" xr:uid="{2DA85A84-BF11-4116-8393-854404F31CAC}"/>
    <cellStyle name="Comma 2 5 3 3 5" xfId="9354" xr:uid="{43A1A0B1-634D-44EB-BD44-6CC0607DA8A6}"/>
    <cellStyle name="Comma 2 5 3 3 5 2" xfId="26698" xr:uid="{B8A95F5C-F2DC-4F56-8883-DFD3A43381E0}"/>
    <cellStyle name="Comma 2 5 3 3 6" xfId="18026" xr:uid="{FDF684FD-84A3-418D-A30E-D25F4427BED9}"/>
    <cellStyle name="Comma 2 5 3 4" xfId="1225" xr:uid="{2258C60E-311D-44DD-A18E-FA809774E240}"/>
    <cellStyle name="Comma 2 5 3 4 2" xfId="3393" xr:uid="{457784D6-7A51-4787-BE3C-9AAE8942E279}"/>
    <cellStyle name="Comma 2 5 3 4 2 2" xfId="7729" xr:uid="{5C6E2AF0-1018-4C36-88C3-75A8A11A1691}"/>
    <cellStyle name="Comma 2 5 3 4 2 2 2" xfId="16401" xr:uid="{FB00404C-9F90-4AE4-A023-68AE2E9B2FEA}"/>
    <cellStyle name="Comma 2 5 3 4 2 2 2 2" xfId="33745" xr:uid="{77B5A7E9-CE22-4AB5-A62A-0FB4C553A98B}"/>
    <cellStyle name="Comma 2 5 3 4 2 2 3" xfId="25073" xr:uid="{44348EF4-8266-48BF-8E0D-AC14887BA2BB}"/>
    <cellStyle name="Comma 2 5 3 4 2 3" xfId="12065" xr:uid="{DEA8902B-6D00-450C-A360-109EA3F4E861}"/>
    <cellStyle name="Comma 2 5 3 4 2 3 2" xfId="29409" xr:uid="{2BD74FBA-5653-4459-AB03-16A420E3F0C0}"/>
    <cellStyle name="Comma 2 5 3 4 2 4" xfId="20737" xr:uid="{0F616EB1-7827-49F1-BD24-56B49B935B49}"/>
    <cellStyle name="Comma 2 5 3 4 3" xfId="5561" xr:uid="{5A0F7221-7358-4762-8C39-E2A049E333D7}"/>
    <cellStyle name="Comma 2 5 3 4 3 2" xfId="14233" xr:uid="{5D30F5FA-7C21-4D3A-BA06-CA09C0E65D18}"/>
    <cellStyle name="Comma 2 5 3 4 3 2 2" xfId="31577" xr:uid="{2963625F-D9A2-426D-B9D1-A5B5E44D3F30}"/>
    <cellStyle name="Comma 2 5 3 4 3 3" xfId="22905" xr:uid="{D69988E1-7B09-486B-9292-F8D6493F10D2}"/>
    <cellStyle name="Comma 2 5 3 4 4" xfId="9897" xr:uid="{9315D426-B438-43CE-82C4-00BA8ABA5EC3}"/>
    <cellStyle name="Comma 2 5 3 4 4 2" xfId="27241" xr:uid="{AA822583-1518-4603-87DB-AB201F2F68BA}"/>
    <cellStyle name="Comma 2 5 3 4 5" xfId="18569" xr:uid="{C6E710D5-9B2E-4102-96B7-7B86AFFA0E5B}"/>
    <cellStyle name="Comma 2 5 3 5" xfId="2309" xr:uid="{E9D13DEC-24CE-42B0-B4B0-1912A79FC25D}"/>
    <cellStyle name="Comma 2 5 3 5 2" xfId="6645" xr:uid="{9935B253-8118-43D1-9E58-166BB88969A1}"/>
    <cellStyle name="Comma 2 5 3 5 2 2" xfId="15317" xr:uid="{217F80B0-2CF9-408F-AE21-ED9D4D24CB0E}"/>
    <cellStyle name="Comma 2 5 3 5 2 2 2" xfId="32661" xr:uid="{7AD5531F-A44D-45D2-B1AE-8488FD23D6AE}"/>
    <cellStyle name="Comma 2 5 3 5 2 3" xfId="23989" xr:uid="{56BD5703-CE94-48DB-8906-6DD6B84C40A5}"/>
    <cellStyle name="Comma 2 5 3 5 3" xfId="10981" xr:uid="{CFD64C22-3FE1-4E69-9F59-5F08EF1CA39A}"/>
    <cellStyle name="Comma 2 5 3 5 3 2" xfId="28325" xr:uid="{10B15A62-54E2-4EDE-A642-C3EBBA34D09D}"/>
    <cellStyle name="Comma 2 5 3 5 4" xfId="19653" xr:uid="{DBD09AE5-7254-4435-B4A6-3B1FD7209046}"/>
    <cellStyle name="Comma 2 5 3 6" xfId="4477" xr:uid="{0CD60DD1-3D2B-4B4C-AC72-F88700BE9D28}"/>
    <cellStyle name="Comma 2 5 3 6 2" xfId="13149" xr:uid="{BE614D49-33D2-47C9-8869-62F964D794EA}"/>
    <cellStyle name="Comma 2 5 3 6 2 2" xfId="30493" xr:uid="{6A7A43C7-BACA-4D3F-9357-454014574377}"/>
    <cellStyle name="Comma 2 5 3 6 3" xfId="21821" xr:uid="{31F1C56B-F121-4A26-B6BF-FE573493734A}"/>
    <cellStyle name="Comma 2 5 3 7" xfId="8813" xr:uid="{53C10EC8-33F4-46DA-928D-587A776C7B28}"/>
    <cellStyle name="Comma 2 5 3 7 2" xfId="26157" xr:uid="{165E86E4-A717-45C1-B34B-4FCEF0AAE34E}"/>
    <cellStyle name="Comma 2 5 3 8" xfId="17485" xr:uid="{729F296C-F666-42AD-9C32-4D4B4EB655E4}"/>
    <cellStyle name="Comma 2 5 4" xfId="265" xr:uid="{8A780E0B-A496-4F1A-AF9A-AF4836964CC5}"/>
    <cellStyle name="Comma 2 5 4 2" xfId="535" xr:uid="{56C577D8-03D3-4C4B-B52A-24CB92652740}"/>
    <cellStyle name="Comma 2 5 4 2 2" xfId="1076" xr:uid="{90908DA5-7A26-4BBA-BD94-048336CDF4D1}"/>
    <cellStyle name="Comma 2 5 4 2 2 2" xfId="2160" xr:uid="{AA3F9592-3571-4861-B9EE-719770763308}"/>
    <cellStyle name="Comma 2 5 4 2 2 2 2" xfId="4328" xr:uid="{47F62102-144D-4976-95DB-D0D97058D290}"/>
    <cellStyle name="Comma 2 5 4 2 2 2 2 2" xfId="8664" xr:uid="{2ABEAF2D-B9D1-46BD-8056-91EE5FB6FA80}"/>
    <cellStyle name="Comma 2 5 4 2 2 2 2 2 2" xfId="17336" xr:uid="{BD945AB6-8590-44AC-A140-564BE8DD73C2}"/>
    <cellStyle name="Comma 2 5 4 2 2 2 2 2 2 2" xfId="34680" xr:uid="{7F596278-354E-48E1-9984-00B3004EBB5A}"/>
    <cellStyle name="Comma 2 5 4 2 2 2 2 2 3" xfId="26008" xr:uid="{F0822CAC-4281-468B-A9DF-1679AE2395B5}"/>
    <cellStyle name="Comma 2 5 4 2 2 2 2 3" xfId="13000" xr:uid="{018B6203-19E3-4E9D-846C-856D2325CDDE}"/>
    <cellStyle name="Comma 2 5 4 2 2 2 2 3 2" xfId="30344" xr:uid="{C72E7E86-7725-49EF-91AA-D7571501CECA}"/>
    <cellStyle name="Comma 2 5 4 2 2 2 2 4" xfId="21672" xr:uid="{BCC06617-4CF2-4153-9B3F-43A69FF013F3}"/>
    <cellStyle name="Comma 2 5 4 2 2 2 3" xfId="6496" xr:uid="{BAD56566-DAC7-4A9E-9F0B-24EE67071835}"/>
    <cellStyle name="Comma 2 5 4 2 2 2 3 2" xfId="15168" xr:uid="{C4B8A186-C881-46FD-84B8-8F4D834F6001}"/>
    <cellStyle name="Comma 2 5 4 2 2 2 3 2 2" xfId="32512" xr:uid="{1C2221A1-607A-4AE7-98C3-17C38615421A}"/>
    <cellStyle name="Comma 2 5 4 2 2 2 3 3" xfId="23840" xr:uid="{F75DCE1A-811F-42B3-AB92-47D1405916E2}"/>
    <cellStyle name="Comma 2 5 4 2 2 2 4" xfId="10832" xr:uid="{34428B60-AA10-489D-B91E-3C205EA97768}"/>
    <cellStyle name="Comma 2 5 4 2 2 2 4 2" xfId="28176" xr:uid="{7869D3BD-188D-4C72-A75C-9F0030C0E9B6}"/>
    <cellStyle name="Comma 2 5 4 2 2 2 5" xfId="19504" xr:uid="{1884FA39-31DF-417B-8AEF-4C924F2CCA25}"/>
    <cellStyle name="Comma 2 5 4 2 2 3" xfId="3244" xr:uid="{B350F81B-E78F-40AE-A531-413AE068FE68}"/>
    <cellStyle name="Comma 2 5 4 2 2 3 2" xfId="7580" xr:uid="{170485DF-7805-49D3-B812-F60B070FA03F}"/>
    <cellStyle name="Comma 2 5 4 2 2 3 2 2" xfId="16252" xr:uid="{2A3DD894-9BC6-48ED-8351-3E409176596A}"/>
    <cellStyle name="Comma 2 5 4 2 2 3 2 2 2" xfId="33596" xr:uid="{40FB9CF1-209D-4275-82A1-DAEE772D4331}"/>
    <cellStyle name="Comma 2 5 4 2 2 3 2 3" xfId="24924" xr:uid="{F956F2DB-668B-4F84-8CE4-BC4D98EB288C}"/>
    <cellStyle name="Comma 2 5 4 2 2 3 3" xfId="11916" xr:uid="{C7608218-177D-46F5-8D4D-6720C7AD9CA0}"/>
    <cellStyle name="Comma 2 5 4 2 2 3 3 2" xfId="29260" xr:uid="{6FBB62D8-EC30-4009-987D-A934E3875A88}"/>
    <cellStyle name="Comma 2 5 4 2 2 3 4" xfId="20588" xr:uid="{8EA3EB1F-9E62-44A4-9506-ED5F125FB717}"/>
    <cellStyle name="Comma 2 5 4 2 2 4" xfId="5412" xr:uid="{70FA3166-5ADC-4695-AFFE-F67142B02D34}"/>
    <cellStyle name="Comma 2 5 4 2 2 4 2" xfId="14084" xr:uid="{634FF981-802D-4E7C-AB52-A07BAE45BCF1}"/>
    <cellStyle name="Comma 2 5 4 2 2 4 2 2" xfId="31428" xr:uid="{3C979B27-91CB-4B29-A599-2D48922F4EBA}"/>
    <cellStyle name="Comma 2 5 4 2 2 4 3" xfId="22756" xr:uid="{CF674441-D117-412D-9BA0-4E65EDA7890F}"/>
    <cellStyle name="Comma 2 5 4 2 2 5" xfId="9748" xr:uid="{DACEBF2B-EE8D-46F9-A732-206A140A1D48}"/>
    <cellStyle name="Comma 2 5 4 2 2 5 2" xfId="27092" xr:uid="{E305F207-11F0-4E72-AB51-4AD9D4A2E44D}"/>
    <cellStyle name="Comma 2 5 4 2 2 6" xfId="18420" xr:uid="{370F10BC-792B-4633-B83E-525E08853023}"/>
    <cellStyle name="Comma 2 5 4 2 3" xfId="1619" xr:uid="{350EE11C-6D47-42E7-ACDF-A0706CB2BAFD}"/>
    <cellStyle name="Comma 2 5 4 2 3 2" xfId="3787" xr:uid="{D26C936A-8322-446B-B7BD-B43C1F573058}"/>
    <cellStyle name="Comma 2 5 4 2 3 2 2" xfId="8123" xr:uid="{D4BB2117-E16C-4EAC-BAB1-AA82402D5AB0}"/>
    <cellStyle name="Comma 2 5 4 2 3 2 2 2" xfId="16795" xr:uid="{ABADCED0-80C3-426B-8EC3-541D56069DA4}"/>
    <cellStyle name="Comma 2 5 4 2 3 2 2 2 2" xfId="34139" xr:uid="{96D980D9-574C-46AB-9CC7-48A6971ED94F}"/>
    <cellStyle name="Comma 2 5 4 2 3 2 2 3" xfId="25467" xr:uid="{0240B10B-FD31-486B-A6F8-D09D722B87E8}"/>
    <cellStyle name="Comma 2 5 4 2 3 2 3" xfId="12459" xr:uid="{2DBCAC6C-F74B-4F8D-82F0-C8219E4EA73D}"/>
    <cellStyle name="Comma 2 5 4 2 3 2 3 2" xfId="29803" xr:uid="{20D71E6C-2132-43F3-815E-32D96CB63598}"/>
    <cellStyle name="Comma 2 5 4 2 3 2 4" xfId="21131" xr:uid="{7D73B939-FF67-49E9-90EE-59DAB8FE3546}"/>
    <cellStyle name="Comma 2 5 4 2 3 3" xfId="5955" xr:uid="{F68F7060-7EE4-4EEA-92DC-7B1AD339D699}"/>
    <cellStyle name="Comma 2 5 4 2 3 3 2" xfId="14627" xr:uid="{45D31D8C-2F89-4A95-A62E-0F2EDBFE79C7}"/>
    <cellStyle name="Comma 2 5 4 2 3 3 2 2" xfId="31971" xr:uid="{61ECE185-0C0D-427B-99D1-A018519647D4}"/>
    <cellStyle name="Comma 2 5 4 2 3 3 3" xfId="23299" xr:uid="{A4FE3533-49BB-496D-A2A5-59EC39301129}"/>
    <cellStyle name="Comma 2 5 4 2 3 4" xfId="10291" xr:uid="{A01FB734-7779-4EE1-B541-CB1B742C8CE0}"/>
    <cellStyle name="Comma 2 5 4 2 3 4 2" xfId="27635" xr:uid="{A3562C76-56DD-460C-96B5-66D90E5492B6}"/>
    <cellStyle name="Comma 2 5 4 2 3 5" xfId="18963" xr:uid="{08A0EF80-4E42-446B-9A06-91C1DCDC30A6}"/>
    <cellStyle name="Comma 2 5 4 2 4" xfId="2703" xr:uid="{D2A93DEF-0786-40CB-A707-EA2012B14508}"/>
    <cellStyle name="Comma 2 5 4 2 4 2" xfId="7039" xr:uid="{4A126A7C-EBCF-4132-A705-B4810F474BD0}"/>
    <cellStyle name="Comma 2 5 4 2 4 2 2" xfId="15711" xr:uid="{1FD9C2F8-CFF8-4521-A9EE-B4DEAA122DEF}"/>
    <cellStyle name="Comma 2 5 4 2 4 2 2 2" xfId="33055" xr:uid="{E3A87181-AA70-43DB-9536-42EA0DAEA528}"/>
    <cellStyle name="Comma 2 5 4 2 4 2 3" xfId="24383" xr:uid="{14AC1E26-A68D-4F61-8874-BCBCFF7995D3}"/>
    <cellStyle name="Comma 2 5 4 2 4 3" xfId="11375" xr:uid="{DC603AA2-A156-4E39-83B8-BFA723A3E85F}"/>
    <cellStyle name="Comma 2 5 4 2 4 3 2" xfId="28719" xr:uid="{68D4789A-88BA-48B8-B1F3-1FBDE749AAE1}"/>
    <cellStyle name="Comma 2 5 4 2 4 4" xfId="20047" xr:uid="{E2FDCCC7-6F09-411F-9E01-049526FF4420}"/>
    <cellStyle name="Comma 2 5 4 2 5" xfId="4871" xr:uid="{1E548E51-CCFF-491D-A58F-E6D191D84A09}"/>
    <cellStyle name="Comma 2 5 4 2 5 2" xfId="13543" xr:uid="{16C2260D-89CE-440C-941B-4D4B83CB46BF}"/>
    <cellStyle name="Comma 2 5 4 2 5 2 2" xfId="30887" xr:uid="{B7FF766A-0F73-4F49-BB15-888C24F7B857}"/>
    <cellStyle name="Comma 2 5 4 2 5 3" xfId="22215" xr:uid="{4B2669EF-7029-4711-AA55-7A96E681EAD2}"/>
    <cellStyle name="Comma 2 5 4 2 6" xfId="9207" xr:uid="{8848F54D-41AC-4B50-BFC9-A5E223F3D2A0}"/>
    <cellStyle name="Comma 2 5 4 2 6 2" xfId="26551" xr:uid="{87B293FC-7334-4960-BC6B-5FAECBD35996}"/>
    <cellStyle name="Comma 2 5 4 2 7" xfId="17879" xr:uid="{D5355F1A-E3BD-4B06-8F9A-446648E0AAF3}"/>
    <cellStyle name="Comma 2 5 4 3" xfId="806" xr:uid="{05AF0FE1-558A-46C5-A537-45EBED9C743C}"/>
    <cellStyle name="Comma 2 5 4 3 2" xfId="1890" xr:uid="{1E2C1394-9919-462F-82B1-045E93008850}"/>
    <cellStyle name="Comma 2 5 4 3 2 2" xfId="4058" xr:uid="{AE8DA8DC-F71D-46A6-9ECC-0C80732FD2C3}"/>
    <cellStyle name="Comma 2 5 4 3 2 2 2" xfId="8394" xr:uid="{5E4ECC0B-AFAD-44E4-9FB9-2CF510A4E878}"/>
    <cellStyle name="Comma 2 5 4 3 2 2 2 2" xfId="17066" xr:uid="{538CB758-6C43-4EB3-910E-8EC632568278}"/>
    <cellStyle name="Comma 2 5 4 3 2 2 2 2 2" xfId="34410" xr:uid="{AB573AA9-1958-4D02-8360-5A0292AC523C}"/>
    <cellStyle name="Comma 2 5 4 3 2 2 2 3" xfId="25738" xr:uid="{1CD77231-6CDF-425B-9E42-463F7C31532D}"/>
    <cellStyle name="Comma 2 5 4 3 2 2 3" xfId="12730" xr:uid="{BEDA4A54-5E8B-4DB1-A268-F2DDD2B33E74}"/>
    <cellStyle name="Comma 2 5 4 3 2 2 3 2" xfId="30074" xr:uid="{BB229E4B-F55F-4031-8CE5-609A26552BDA}"/>
    <cellStyle name="Comma 2 5 4 3 2 2 4" xfId="21402" xr:uid="{FE3673F0-591A-4381-85BE-122C58AE008C}"/>
    <cellStyle name="Comma 2 5 4 3 2 3" xfId="6226" xr:uid="{0DBADD53-9554-4B3C-94F0-06113FD6178F}"/>
    <cellStyle name="Comma 2 5 4 3 2 3 2" xfId="14898" xr:uid="{EF4F3B8F-8034-4EC3-A786-CC049DD4AD16}"/>
    <cellStyle name="Comma 2 5 4 3 2 3 2 2" xfId="32242" xr:uid="{DD9B1C82-373A-421E-A498-D6A372662B83}"/>
    <cellStyle name="Comma 2 5 4 3 2 3 3" xfId="23570" xr:uid="{E9EE7C8D-CE81-4492-ABE4-17662686A7A5}"/>
    <cellStyle name="Comma 2 5 4 3 2 4" xfId="10562" xr:uid="{F935D223-B815-4603-9424-0693F9272E3A}"/>
    <cellStyle name="Comma 2 5 4 3 2 4 2" xfId="27906" xr:uid="{666965CE-C792-4D5E-94B8-C45A4D46690F}"/>
    <cellStyle name="Comma 2 5 4 3 2 5" xfId="19234" xr:uid="{582C322B-11C0-4EDC-9728-A4972E1BBAE6}"/>
    <cellStyle name="Comma 2 5 4 3 3" xfId="2974" xr:uid="{CD890230-1736-4784-88DE-3C01D80D2D45}"/>
    <cellStyle name="Comma 2 5 4 3 3 2" xfId="7310" xr:uid="{D327BDFB-B95D-41B6-9224-AD64F86EAD9E}"/>
    <cellStyle name="Comma 2 5 4 3 3 2 2" xfId="15982" xr:uid="{71C28E47-E9D3-4129-B176-EE738A5EF4F1}"/>
    <cellStyle name="Comma 2 5 4 3 3 2 2 2" xfId="33326" xr:uid="{B19A9EDF-C958-48D4-8049-242279305E8D}"/>
    <cellStyle name="Comma 2 5 4 3 3 2 3" xfId="24654" xr:uid="{DA9513CA-3E99-4810-B740-AA15569E440A}"/>
    <cellStyle name="Comma 2 5 4 3 3 3" xfId="11646" xr:uid="{53AACD2A-4B34-41B3-8635-75090C6FD3FD}"/>
    <cellStyle name="Comma 2 5 4 3 3 3 2" xfId="28990" xr:uid="{DDB40F2A-B653-49EF-9FC1-56E8C99DD45C}"/>
    <cellStyle name="Comma 2 5 4 3 3 4" xfId="20318" xr:uid="{0763576D-BC0D-4218-8F75-AB75550C474D}"/>
    <cellStyle name="Comma 2 5 4 3 4" xfId="5142" xr:uid="{1F24AC19-53A6-4118-BEC0-697EE7BBAAAE}"/>
    <cellStyle name="Comma 2 5 4 3 4 2" xfId="13814" xr:uid="{13EB8572-3DE1-4D45-B2BA-67D46E6CEA08}"/>
    <cellStyle name="Comma 2 5 4 3 4 2 2" xfId="31158" xr:uid="{047E1FBB-FF21-4340-A319-D67FEAB10C51}"/>
    <cellStyle name="Comma 2 5 4 3 4 3" xfId="22486" xr:uid="{52CF184E-E52A-4042-8ECF-607FEFB1BB28}"/>
    <cellStyle name="Comma 2 5 4 3 5" xfId="9478" xr:uid="{9E758C73-B0B5-4FA4-BEBD-A29ACC4A0601}"/>
    <cellStyle name="Comma 2 5 4 3 5 2" xfId="26822" xr:uid="{A21C5FCD-D78F-49D4-8E30-3D4F9517C38E}"/>
    <cellStyle name="Comma 2 5 4 3 6" xfId="18150" xr:uid="{12B0785A-7B47-45CC-BC1A-A7028E9727EA}"/>
    <cellStyle name="Comma 2 5 4 4" xfId="1349" xr:uid="{A65C5E38-3589-44B2-A815-71CC50AA83EF}"/>
    <cellStyle name="Comma 2 5 4 4 2" xfId="3517" xr:uid="{296DECE1-3404-4DBA-BA4F-89A14C4A717B}"/>
    <cellStyle name="Comma 2 5 4 4 2 2" xfId="7853" xr:uid="{C1840020-3A39-421E-85F3-DB1660BF6242}"/>
    <cellStyle name="Comma 2 5 4 4 2 2 2" xfId="16525" xr:uid="{F219F407-B5BD-47FD-BA05-28CA4543D4FB}"/>
    <cellStyle name="Comma 2 5 4 4 2 2 2 2" xfId="33869" xr:uid="{D021FF17-D700-48B1-B336-4DD9C28173E7}"/>
    <cellStyle name="Comma 2 5 4 4 2 2 3" xfId="25197" xr:uid="{F20F1FBB-F677-4CBF-8C2E-7CBBA95B3766}"/>
    <cellStyle name="Comma 2 5 4 4 2 3" xfId="12189" xr:uid="{18040CBE-6015-49F4-81CE-86026D635DE2}"/>
    <cellStyle name="Comma 2 5 4 4 2 3 2" xfId="29533" xr:uid="{1D1F8B7C-28AD-4EC2-A710-EFC1935F22E8}"/>
    <cellStyle name="Comma 2 5 4 4 2 4" xfId="20861" xr:uid="{6519E20C-F072-45D2-9F9C-428C5431B174}"/>
    <cellStyle name="Comma 2 5 4 4 3" xfId="5685" xr:uid="{2ED4AA8E-AACF-43A4-B20F-B679BB57FCE8}"/>
    <cellStyle name="Comma 2 5 4 4 3 2" xfId="14357" xr:uid="{9B9F6669-85A2-4713-8A13-035A3DDCD126}"/>
    <cellStyle name="Comma 2 5 4 4 3 2 2" xfId="31701" xr:uid="{9BE13E59-F724-4EEE-A290-6780F1820865}"/>
    <cellStyle name="Comma 2 5 4 4 3 3" xfId="23029" xr:uid="{F288EAEA-1D91-40AC-91D6-F7F3427C0C20}"/>
    <cellStyle name="Comma 2 5 4 4 4" xfId="10021" xr:uid="{48BB37B4-A4A3-4A2E-96F8-A1D50CB4294F}"/>
    <cellStyle name="Comma 2 5 4 4 4 2" xfId="27365" xr:uid="{7ACA0960-54FC-4357-9B24-79FFB59FD9DC}"/>
    <cellStyle name="Comma 2 5 4 4 5" xfId="18693" xr:uid="{54339C37-0FE9-4916-82F0-E68ABAC4A624}"/>
    <cellStyle name="Comma 2 5 4 5" xfId="2433" xr:uid="{947F1798-96DC-401E-A81B-2CA4CDC71E17}"/>
    <cellStyle name="Comma 2 5 4 5 2" xfId="6769" xr:uid="{BA9A5C48-541D-40F6-AE29-ED058A5254E0}"/>
    <cellStyle name="Comma 2 5 4 5 2 2" xfId="15441" xr:uid="{21EE34A7-3C04-43D3-87DF-6C5D22491460}"/>
    <cellStyle name="Comma 2 5 4 5 2 2 2" xfId="32785" xr:uid="{E5440A94-C841-430D-B86C-83C87634DCCA}"/>
    <cellStyle name="Comma 2 5 4 5 2 3" xfId="24113" xr:uid="{EF1AB45C-70D7-4CEC-9942-5F6D89996EF7}"/>
    <cellStyle name="Comma 2 5 4 5 3" xfId="11105" xr:uid="{4589E353-00FF-47F8-84BE-1B78B7B133B5}"/>
    <cellStyle name="Comma 2 5 4 5 3 2" xfId="28449" xr:uid="{6438DBD5-B839-440B-B390-8EA23A37E782}"/>
    <cellStyle name="Comma 2 5 4 5 4" xfId="19777" xr:uid="{3F7F150D-CF1D-42CC-BB5C-963FC88B2E34}"/>
    <cellStyle name="Comma 2 5 4 6" xfId="4601" xr:uid="{612C179B-2488-41C6-8EA7-67503A551E2C}"/>
    <cellStyle name="Comma 2 5 4 6 2" xfId="13273" xr:uid="{9BE1CF01-62AA-461B-A779-ECED496118BD}"/>
    <cellStyle name="Comma 2 5 4 6 2 2" xfId="30617" xr:uid="{E475FF92-B71E-4F4F-8EF0-64031AF5409B}"/>
    <cellStyle name="Comma 2 5 4 6 3" xfId="21945" xr:uid="{36D5D843-2D5D-4B72-AC9C-166B5BABE915}"/>
    <cellStyle name="Comma 2 5 4 7" xfId="8937" xr:uid="{0052D4C0-53F0-4B08-8145-29D8F12FE1B5}"/>
    <cellStyle name="Comma 2 5 4 7 2" xfId="26281" xr:uid="{86BFA7F4-77DF-4030-AACB-A1A2CCD547EF}"/>
    <cellStyle name="Comma 2 5 4 8" xfId="17609" xr:uid="{129DDACE-FB65-41A8-9F97-D5785CB07A2E}"/>
    <cellStyle name="Comma 2 5 5" xfId="289" xr:uid="{8465DEE0-3E9D-4BDA-AFE3-EA81C2722516}"/>
    <cellStyle name="Comma 2 5 5 2" xfId="830" xr:uid="{47297E7F-EB15-4255-B866-65FC396C8E5C}"/>
    <cellStyle name="Comma 2 5 5 2 2" xfId="1914" xr:uid="{83FBA991-3C4A-43D9-BEED-6B069834E7EB}"/>
    <cellStyle name="Comma 2 5 5 2 2 2" xfId="4082" xr:uid="{6F85616E-9E2F-4B34-ACB6-C4919ACB76B1}"/>
    <cellStyle name="Comma 2 5 5 2 2 2 2" xfId="8418" xr:uid="{83E5CACF-6B07-4A33-BE7E-65B79CAC99CC}"/>
    <cellStyle name="Comma 2 5 5 2 2 2 2 2" xfId="17090" xr:uid="{BE766D5D-33DF-4A05-9DCA-177B8C0B396E}"/>
    <cellStyle name="Comma 2 5 5 2 2 2 2 2 2" xfId="34434" xr:uid="{551A3FAE-1DE7-4A45-8978-18C5ABCCC766}"/>
    <cellStyle name="Comma 2 5 5 2 2 2 2 3" xfId="25762" xr:uid="{D4DDDD29-CA29-4022-B350-A23A24BA37E6}"/>
    <cellStyle name="Comma 2 5 5 2 2 2 3" xfId="12754" xr:uid="{BC07D0E8-9756-4737-B316-D85EAFEF52F4}"/>
    <cellStyle name="Comma 2 5 5 2 2 2 3 2" xfId="30098" xr:uid="{64E62535-A9E1-4F1E-BCBD-BB65A2B8B0D0}"/>
    <cellStyle name="Comma 2 5 5 2 2 2 4" xfId="21426" xr:uid="{CCB27BA1-E1AE-4528-965D-1DB8176F5B34}"/>
    <cellStyle name="Comma 2 5 5 2 2 3" xfId="6250" xr:uid="{F41BC866-213F-422F-B36F-78A1F87E6EA2}"/>
    <cellStyle name="Comma 2 5 5 2 2 3 2" xfId="14922" xr:uid="{C9505DAD-CFCF-49CB-8E0E-A384A74258CE}"/>
    <cellStyle name="Comma 2 5 5 2 2 3 2 2" xfId="32266" xr:uid="{090FC19D-BD10-4069-B05D-68D130C6ABB6}"/>
    <cellStyle name="Comma 2 5 5 2 2 3 3" xfId="23594" xr:uid="{A299BE31-22E3-4481-B9D6-BE5D8FC44ED0}"/>
    <cellStyle name="Comma 2 5 5 2 2 4" xfId="10586" xr:uid="{AC1A1834-3AC4-42A9-BD82-E8D4E936D033}"/>
    <cellStyle name="Comma 2 5 5 2 2 4 2" xfId="27930" xr:uid="{43023AF0-90B7-422D-9524-CAA5DE42FCF9}"/>
    <cellStyle name="Comma 2 5 5 2 2 5" xfId="19258" xr:uid="{7A2EDC7E-77B8-489D-A494-35ABCB29B9D8}"/>
    <cellStyle name="Comma 2 5 5 2 3" xfId="2998" xr:uid="{88256E01-5A88-4750-AD47-60A8DA615BEF}"/>
    <cellStyle name="Comma 2 5 5 2 3 2" xfId="7334" xr:uid="{C8989A2D-ECA4-4E3D-8F74-886468EA4EC7}"/>
    <cellStyle name="Comma 2 5 5 2 3 2 2" xfId="16006" xr:uid="{4833D33A-B972-40F9-BB47-52B684043B43}"/>
    <cellStyle name="Comma 2 5 5 2 3 2 2 2" xfId="33350" xr:uid="{FF4B8AF4-97ED-47B1-8B5F-CB1C0CAD6516}"/>
    <cellStyle name="Comma 2 5 5 2 3 2 3" xfId="24678" xr:uid="{C65DDF69-21CA-498B-912E-940738CD6BAA}"/>
    <cellStyle name="Comma 2 5 5 2 3 3" xfId="11670" xr:uid="{E58E1186-EFD3-4DD7-A9B2-6BFCA3A9C834}"/>
    <cellStyle name="Comma 2 5 5 2 3 3 2" xfId="29014" xr:uid="{34904D3E-62D4-4B8D-80FC-C25F07844962}"/>
    <cellStyle name="Comma 2 5 5 2 3 4" xfId="20342" xr:uid="{3AB175D4-B7D3-4E86-8D45-E3151D3A2153}"/>
    <cellStyle name="Comma 2 5 5 2 4" xfId="5166" xr:uid="{7A83E6F1-75A9-4EB8-86C9-05DB3227E394}"/>
    <cellStyle name="Comma 2 5 5 2 4 2" xfId="13838" xr:uid="{5D359CCF-EC18-4D7E-A4B2-80E3CAE1E279}"/>
    <cellStyle name="Comma 2 5 5 2 4 2 2" xfId="31182" xr:uid="{722B3DCA-E888-4AE9-A7AD-42C6826F6608}"/>
    <cellStyle name="Comma 2 5 5 2 4 3" xfId="22510" xr:uid="{774B21D7-AC7B-4F54-8F80-D0920A5560F8}"/>
    <cellStyle name="Comma 2 5 5 2 5" xfId="9502" xr:uid="{1936D9F7-BF9A-4622-B100-4E0A60D17742}"/>
    <cellStyle name="Comma 2 5 5 2 5 2" xfId="26846" xr:uid="{829D096D-FAF4-4DF3-B2FA-31D3F325266D}"/>
    <cellStyle name="Comma 2 5 5 2 6" xfId="18174" xr:uid="{28B1BAA0-C57E-465B-A65E-EC6228C27209}"/>
    <cellStyle name="Comma 2 5 5 3" xfId="1373" xr:uid="{13917A1A-D686-4274-AE7F-BD4BAB3FBB1D}"/>
    <cellStyle name="Comma 2 5 5 3 2" xfId="3541" xr:uid="{00385C34-4797-4CB9-ACC8-F789DBE63ED7}"/>
    <cellStyle name="Comma 2 5 5 3 2 2" xfId="7877" xr:uid="{FF3A6FF1-F384-4DCA-95DF-8ADA9CE6480E}"/>
    <cellStyle name="Comma 2 5 5 3 2 2 2" xfId="16549" xr:uid="{DF2F8BA8-EC75-4E36-AEA1-483AE7261489}"/>
    <cellStyle name="Comma 2 5 5 3 2 2 2 2" xfId="33893" xr:uid="{F28D7631-3D20-44BB-8940-806196ABCFD3}"/>
    <cellStyle name="Comma 2 5 5 3 2 2 3" xfId="25221" xr:uid="{E450A6AA-C4F1-47E5-8FF1-FC47DD0B74C9}"/>
    <cellStyle name="Comma 2 5 5 3 2 3" xfId="12213" xr:uid="{0AE7C398-B902-4E90-871D-8B84AF2A787B}"/>
    <cellStyle name="Comma 2 5 5 3 2 3 2" xfId="29557" xr:uid="{73596150-2F29-4D60-AE67-F99FEDE2DBA0}"/>
    <cellStyle name="Comma 2 5 5 3 2 4" xfId="20885" xr:uid="{0AF0E0AA-EF8F-4514-AEA9-A17D748AFB8E}"/>
    <cellStyle name="Comma 2 5 5 3 3" xfId="5709" xr:uid="{97181B5D-8CA0-4206-A0D1-E03E5A3A075B}"/>
    <cellStyle name="Comma 2 5 5 3 3 2" xfId="14381" xr:uid="{4BA87473-20A7-4455-9B17-82C8B18E2142}"/>
    <cellStyle name="Comma 2 5 5 3 3 2 2" xfId="31725" xr:uid="{657B599A-5967-4A1F-9494-D3669E8427EB}"/>
    <cellStyle name="Comma 2 5 5 3 3 3" xfId="23053" xr:uid="{41726FBA-189F-44E8-884B-134B85653B67}"/>
    <cellStyle name="Comma 2 5 5 3 4" xfId="10045" xr:uid="{2C78EB93-F268-4E1E-AAD5-7A56A7D78B3C}"/>
    <cellStyle name="Comma 2 5 5 3 4 2" xfId="27389" xr:uid="{5B80F024-8423-4E67-BDED-28B6857A0B1B}"/>
    <cellStyle name="Comma 2 5 5 3 5" xfId="18717" xr:uid="{5E27F739-1C4D-41F5-A461-16627C6851D0}"/>
    <cellStyle name="Comma 2 5 5 4" xfId="2457" xr:uid="{9A3C73F8-7735-47BA-A137-07C54A6AE918}"/>
    <cellStyle name="Comma 2 5 5 4 2" xfId="6793" xr:uid="{47580E1A-4EE4-45EF-8405-508FFC61CA9E}"/>
    <cellStyle name="Comma 2 5 5 4 2 2" xfId="15465" xr:uid="{4F6C2710-74FC-4F2F-9B6B-5F1A8995DAA5}"/>
    <cellStyle name="Comma 2 5 5 4 2 2 2" xfId="32809" xr:uid="{C580A36D-E5BD-42F5-B69B-CA688E10B68E}"/>
    <cellStyle name="Comma 2 5 5 4 2 3" xfId="24137" xr:uid="{56F97DD6-1922-434A-9F54-6850A261846F}"/>
    <cellStyle name="Comma 2 5 5 4 3" xfId="11129" xr:uid="{03ECC863-BE3D-4F7D-BEBC-7300FC5A7B9F}"/>
    <cellStyle name="Comma 2 5 5 4 3 2" xfId="28473" xr:uid="{451BEE02-5643-48CA-885D-646B80F31283}"/>
    <cellStyle name="Comma 2 5 5 4 4" xfId="19801" xr:uid="{0F96DBF4-D8F5-4D45-8C71-FE14AFCFC61F}"/>
    <cellStyle name="Comma 2 5 5 5" xfId="4625" xr:uid="{16EFD9BC-9252-41A4-A19E-23FD8A05B003}"/>
    <cellStyle name="Comma 2 5 5 5 2" xfId="13297" xr:uid="{891DF5AD-3ED3-4817-B7BF-0F8E2CC4833F}"/>
    <cellStyle name="Comma 2 5 5 5 2 2" xfId="30641" xr:uid="{1A3242C0-5876-4AB2-A7E5-B2CFEB8FF602}"/>
    <cellStyle name="Comma 2 5 5 5 3" xfId="21969" xr:uid="{F5FAB318-3DD6-4097-8259-318D2C7A23A9}"/>
    <cellStyle name="Comma 2 5 5 6" xfId="8961" xr:uid="{EB4B2669-1901-444F-83AB-DE685E09D373}"/>
    <cellStyle name="Comma 2 5 5 6 2" xfId="26305" xr:uid="{0E5CAA4A-71F3-4F07-AD5B-C3586F1BA095}"/>
    <cellStyle name="Comma 2 5 5 7" xfId="17633" xr:uid="{9F6CEC3A-545A-4E9A-9408-AD57C78C4722}"/>
    <cellStyle name="Comma 2 5 6" xfId="560" xr:uid="{D160AE34-19A0-4523-9CB2-12BB9557CCC3}"/>
    <cellStyle name="Comma 2 5 6 2" xfId="1644" xr:uid="{27104795-ABE0-4DC7-BD4B-63A0D4D183E0}"/>
    <cellStyle name="Comma 2 5 6 2 2" xfId="3812" xr:uid="{E579B220-D409-4B56-B8EC-42D14B658155}"/>
    <cellStyle name="Comma 2 5 6 2 2 2" xfId="8148" xr:uid="{A8C2C266-ECB5-44EE-8A00-DD56946AD01E}"/>
    <cellStyle name="Comma 2 5 6 2 2 2 2" xfId="16820" xr:uid="{1E793930-F0D4-4B21-BCA5-22B7AF969BAC}"/>
    <cellStyle name="Comma 2 5 6 2 2 2 2 2" xfId="34164" xr:uid="{38FF0005-9633-4F76-AD3C-4DDCD3A95FD0}"/>
    <cellStyle name="Comma 2 5 6 2 2 2 3" xfId="25492" xr:uid="{0B116B8E-81F2-4AFE-B0F7-DED67FBD1958}"/>
    <cellStyle name="Comma 2 5 6 2 2 3" xfId="12484" xr:uid="{8194492E-81D1-4E20-A2AD-1AB71B04C686}"/>
    <cellStyle name="Comma 2 5 6 2 2 3 2" xfId="29828" xr:uid="{BE079F17-25F6-4191-8617-FA172EC8F28A}"/>
    <cellStyle name="Comma 2 5 6 2 2 4" xfId="21156" xr:uid="{51EF7043-8309-47D0-B3FF-AB67FEA4C3D7}"/>
    <cellStyle name="Comma 2 5 6 2 3" xfId="5980" xr:uid="{0AF3B1A5-CCCF-469C-9B47-7938696DD9E4}"/>
    <cellStyle name="Comma 2 5 6 2 3 2" xfId="14652" xr:uid="{18A41174-D98F-4230-A66E-BB1A8AD02792}"/>
    <cellStyle name="Comma 2 5 6 2 3 2 2" xfId="31996" xr:uid="{68EBEE0E-0C5B-4ECF-B6BD-2768F969A3B5}"/>
    <cellStyle name="Comma 2 5 6 2 3 3" xfId="23324" xr:uid="{55D4B47B-02D7-4FA2-85B4-FB36608244EE}"/>
    <cellStyle name="Comma 2 5 6 2 4" xfId="10316" xr:uid="{BF01E06D-8A1D-4944-84D7-A2A77B78A46D}"/>
    <cellStyle name="Comma 2 5 6 2 4 2" xfId="27660" xr:uid="{0C7BEF00-4CF2-4AA4-AE85-14E054855D10}"/>
    <cellStyle name="Comma 2 5 6 2 5" xfId="18988" xr:uid="{F1AC1A0A-4253-4183-8F5C-966B43F7929C}"/>
    <cellStyle name="Comma 2 5 6 3" xfId="2728" xr:uid="{31D3201F-679E-4A5C-BE85-6CD1BEF807EA}"/>
    <cellStyle name="Comma 2 5 6 3 2" xfId="7064" xr:uid="{0AB413D6-B2F7-4F26-B41A-1F1803065711}"/>
    <cellStyle name="Comma 2 5 6 3 2 2" xfId="15736" xr:uid="{DF11F2A1-F9DA-4B84-AC3D-30E54B018F9A}"/>
    <cellStyle name="Comma 2 5 6 3 2 2 2" xfId="33080" xr:uid="{359E4E2A-2E52-415F-8079-77907E894F39}"/>
    <cellStyle name="Comma 2 5 6 3 2 3" xfId="24408" xr:uid="{C5B74799-4912-4B4C-B151-CAF4D659C24A}"/>
    <cellStyle name="Comma 2 5 6 3 3" xfId="11400" xr:uid="{44B02B4D-5C09-438B-9D69-E2D4450CDC8A}"/>
    <cellStyle name="Comma 2 5 6 3 3 2" xfId="28744" xr:uid="{21D75374-3D95-42D6-BC29-4B6F6C0CEFD7}"/>
    <cellStyle name="Comma 2 5 6 3 4" xfId="20072" xr:uid="{598A4856-530B-4324-8FF1-47D5FE47C7A3}"/>
    <cellStyle name="Comma 2 5 6 4" xfId="4896" xr:uid="{E6A64514-DF76-4027-9E63-F5D406F84276}"/>
    <cellStyle name="Comma 2 5 6 4 2" xfId="13568" xr:uid="{869E6D29-93C1-4CDD-96A1-0A7D2E31A058}"/>
    <cellStyle name="Comma 2 5 6 4 2 2" xfId="30912" xr:uid="{E3E225B6-EF54-4ACD-91DB-3ECA132293A1}"/>
    <cellStyle name="Comma 2 5 6 4 3" xfId="22240" xr:uid="{462DAE3D-4026-4C4F-BA0D-B6331EE00A18}"/>
    <cellStyle name="Comma 2 5 6 5" xfId="9232" xr:uid="{267ACBAF-22F7-4370-8DE9-5A02A2DE735B}"/>
    <cellStyle name="Comma 2 5 6 5 2" xfId="26576" xr:uid="{C9A343EA-4CD4-4436-A675-A146B36A465A}"/>
    <cellStyle name="Comma 2 5 6 6" xfId="17904" xr:uid="{FE676762-D766-4F14-AB33-6311C1A46D4D}"/>
    <cellStyle name="Comma 2 5 7" xfId="1103" xr:uid="{851F9A70-2EE9-4794-9972-A8591330CE55}"/>
    <cellStyle name="Comma 2 5 7 2" xfId="3271" xr:uid="{357B97A5-4000-450A-AEC7-818536743472}"/>
    <cellStyle name="Comma 2 5 7 2 2" xfId="7607" xr:uid="{A00D18A3-881D-4770-B6B4-CEED0CB9C4D2}"/>
    <cellStyle name="Comma 2 5 7 2 2 2" xfId="16279" xr:uid="{1EEA239B-26D8-47D4-B566-07A9611AE976}"/>
    <cellStyle name="Comma 2 5 7 2 2 2 2" xfId="33623" xr:uid="{8B94CF0B-0846-48BB-A78F-2AAAD688E9C6}"/>
    <cellStyle name="Comma 2 5 7 2 2 3" xfId="24951" xr:uid="{C559CDEF-5B43-4982-A948-0481C3A3A23E}"/>
    <cellStyle name="Comma 2 5 7 2 3" xfId="11943" xr:uid="{A61DF248-5FDC-4412-A152-7E4DD6958181}"/>
    <cellStyle name="Comma 2 5 7 2 3 2" xfId="29287" xr:uid="{AA39C10B-9201-40C4-B756-7004E1E7C527}"/>
    <cellStyle name="Comma 2 5 7 2 4" xfId="20615" xr:uid="{B06BAF1F-291B-4E51-B5AC-9177B62211F0}"/>
    <cellStyle name="Comma 2 5 7 3" xfId="5439" xr:uid="{F4D191E9-C923-4073-B8C8-E88D2C85315E}"/>
    <cellStyle name="Comma 2 5 7 3 2" xfId="14111" xr:uid="{A210B76B-EBBE-48C2-AD25-AEBAE73FB269}"/>
    <cellStyle name="Comma 2 5 7 3 2 2" xfId="31455" xr:uid="{18B72BA1-833F-4942-860B-5C48633706EF}"/>
    <cellStyle name="Comma 2 5 7 3 3" xfId="22783" xr:uid="{72A0AA0A-3018-496B-BD2D-29CA1BB047FC}"/>
    <cellStyle name="Comma 2 5 7 4" xfId="9775" xr:uid="{F9C0473D-3E24-4410-80A2-9760797860EA}"/>
    <cellStyle name="Comma 2 5 7 4 2" xfId="27119" xr:uid="{43C71A9E-2160-4D7B-BA6C-9E812292D4D2}"/>
    <cellStyle name="Comma 2 5 7 5" xfId="18447" xr:uid="{4179E7F6-E377-488F-ACB3-B6FB9C54DD36}"/>
    <cellStyle name="Comma 2 5 8" xfId="2187" xr:uid="{340E13EC-7E37-4700-BC53-DB4916FF568B}"/>
    <cellStyle name="Comma 2 5 8 2" xfId="6523" xr:uid="{1C898836-1B12-49F1-B738-F05EDA25C4FA}"/>
    <cellStyle name="Comma 2 5 8 2 2" xfId="15195" xr:uid="{62181D81-8DFD-4801-8403-951759E79BAE}"/>
    <cellStyle name="Comma 2 5 8 2 2 2" xfId="32539" xr:uid="{D76A14E5-E9D1-481C-AF8C-33009E4D88B4}"/>
    <cellStyle name="Comma 2 5 8 2 3" xfId="23867" xr:uid="{3886B3B9-B871-4AE0-8891-5C50156A794A}"/>
    <cellStyle name="Comma 2 5 8 3" xfId="10859" xr:uid="{FB3D9098-3621-482F-A48D-33C2C8FCE2ED}"/>
    <cellStyle name="Comma 2 5 8 3 2" xfId="28203" xr:uid="{75BDAB56-D31A-4D8C-98AE-D24CAF9ED1DC}"/>
    <cellStyle name="Comma 2 5 8 4" xfId="19531" xr:uid="{8B6139AF-B605-46EC-BFFE-2835F4E4F12F}"/>
    <cellStyle name="Comma 2 5 9" xfId="4355" xr:uid="{5335279F-DFA5-4103-B027-3F37F73A584F}"/>
    <cellStyle name="Comma 2 5 9 2" xfId="13027" xr:uid="{A1863E52-BA91-4AAB-A699-D58DBFE2E962}"/>
    <cellStyle name="Comma 2 5 9 2 2" xfId="30371" xr:uid="{E4C379E2-FFDD-4295-8030-3FF2BD7F27C0}"/>
    <cellStyle name="Comma 2 5 9 3" xfId="21699" xr:uid="{F0B21A68-318F-4072-B687-06732C9B7EE0}"/>
    <cellStyle name="Comma 2 6" xfId="36" xr:uid="{3684961C-63CB-4108-8247-1F35A7B4B1A6}"/>
    <cellStyle name="Comma 2 6 10" xfId="17380" xr:uid="{EF96B597-2DEB-4DEA-9731-15C3F9529373}"/>
    <cellStyle name="Comma 2 6 2" xfId="97" xr:uid="{5F1A9CE3-537D-4B76-9C92-31CC31D11D9F}"/>
    <cellStyle name="Comma 2 6 2 2" xfId="219" xr:uid="{4DBA38AF-97FB-4275-9F3D-167E16B605CA}"/>
    <cellStyle name="Comma 2 6 2 2 2" xfId="489" xr:uid="{4B3308E6-D83E-4EEF-9364-4B8B55A7B43B}"/>
    <cellStyle name="Comma 2 6 2 2 2 2" xfId="1030" xr:uid="{79982E86-A033-4F9B-8F3B-91B98D8B9CE3}"/>
    <cellStyle name="Comma 2 6 2 2 2 2 2" xfId="2114" xr:uid="{CE9581AD-5371-493E-9804-A68DF6089EFE}"/>
    <cellStyle name="Comma 2 6 2 2 2 2 2 2" xfId="4282" xr:uid="{BE3279A1-82D7-40F4-9BF8-0A91592FA9F5}"/>
    <cellStyle name="Comma 2 6 2 2 2 2 2 2 2" xfId="8618" xr:uid="{2D974606-6BA3-457F-AAAF-447F9B125586}"/>
    <cellStyle name="Comma 2 6 2 2 2 2 2 2 2 2" xfId="17290" xr:uid="{C1DD6D87-5C63-4424-9768-58BA5E98C340}"/>
    <cellStyle name="Comma 2 6 2 2 2 2 2 2 2 2 2" xfId="34634" xr:uid="{B9E253A6-A2DD-4789-A43F-25D3AC4F0D75}"/>
    <cellStyle name="Comma 2 6 2 2 2 2 2 2 2 3" xfId="25962" xr:uid="{9BEEF337-B607-44FE-A37F-FD1CC3E4700F}"/>
    <cellStyle name="Comma 2 6 2 2 2 2 2 2 3" xfId="12954" xr:uid="{CDC55834-465B-4A1A-9EAC-C49AC6B66A1C}"/>
    <cellStyle name="Comma 2 6 2 2 2 2 2 2 3 2" xfId="30298" xr:uid="{272EE665-CDBF-4301-B573-3B08D1A81876}"/>
    <cellStyle name="Comma 2 6 2 2 2 2 2 2 4" xfId="21626" xr:uid="{F3DB7859-7095-4AB3-AB52-95CE9CB4AB3B}"/>
    <cellStyle name="Comma 2 6 2 2 2 2 2 3" xfId="6450" xr:uid="{413B7FD6-8ED8-4098-B81D-FDFB4EEAC3FA}"/>
    <cellStyle name="Comma 2 6 2 2 2 2 2 3 2" xfId="15122" xr:uid="{90084403-C0EB-4A25-A7D9-A7273FF5C685}"/>
    <cellStyle name="Comma 2 6 2 2 2 2 2 3 2 2" xfId="32466" xr:uid="{18F9BF69-F243-4312-A2A0-AD8DBBCD71FA}"/>
    <cellStyle name="Comma 2 6 2 2 2 2 2 3 3" xfId="23794" xr:uid="{1795084C-6476-415D-A32C-6A80B3FBD5E4}"/>
    <cellStyle name="Comma 2 6 2 2 2 2 2 4" xfId="10786" xr:uid="{47D2EF7E-7D03-41E7-B49D-B89EE2380203}"/>
    <cellStyle name="Comma 2 6 2 2 2 2 2 4 2" xfId="28130" xr:uid="{FF1990F8-5F34-4FA8-A7C4-822CBDF5106F}"/>
    <cellStyle name="Comma 2 6 2 2 2 2 2 5" xfId="19458" xr:uid="{0312E6B1-A504-4DDE-828E-78B9DD90792C}"/>
    <cellStyle name="Comma 2 6 2 2 2 2 3" xfId="3198" xr:uid="{F46EC7F8-6317-4613-9189-1D8C1DB02683}"/>
    <cellStyle name="Comma 2 6 2 2 2 2 3 2" xfId="7534" xr:uid="{5F4565CB-8E7D-460C-A84A-62C07789BF6F}"/>
    <cellStyle name="Comma 2 6 2 2 2 2 3 2 2" xfId="16206" xr:uid="{E259A2F6-D3D0-4547-BE24-A7A4BAE8F08C}"/>
    <cellStyle name="Comma 2 6 2 2 2 2 3 2 2 2" xfId="33550" xr:uid="{D900DB2B-6494-4792-AB54-FD49C2B2FFC7}"/>
    <cellStyle name="Comma 2 6 2 2 2 2 3 2 3" xfId="24878" xr:uid="{D3DA0A1D-BC6D-4F36-AA4F-7CE2B7BF86BB}"/>
    <cellStyle name="Comma 2 6 2 2 2 2 3 3" xfId="11870" xr:uid="{4EE3A407-DD36-40AA-A6A4-94082939E74C}"/>
    <cellStyle name="Comma 2 6 2 2 2 2 3 3 2" xfId="29214" xr:uid="{C42EE6F6-14E4-46F2-86E2-36CCD8ADF26B}"/>
    <cellStyle name="Comma 2 6 2 2 2 2 3 4" xfId="20542" xr:uid="{E5203F51-F679-4583-AE8B-3C6844376822}"/>
    <cellStyle name="Comma 2 6 2 2 2 2 4" xfId="5366" xr:uid="{18722C2A-132E-4156-9A21-823D2891199A}"/>
    <cellStyle name="Comma 2 6 2 2 2 2 4 2" xfId="14038" xr:uid="{7D0CB768-8A65-4078-8043-814E19A7CC0D}"/>
    <cellStyle name="Comma 2 6 2 2 2 2 4 2 2" xfId="31382" xr:uid="{C2C4221E-53F6-48E3-AB09-DE06E8D13181}"/>
    <cellStyle name="Comma 2 6 2 2 2 2 4 3" xfId="22710" xr:uid="{D7B73FD6-B27D-4777-8826-A243B19EF41D}"/>
    <cellStyle name="Comma 2 6 2 2 2 2 5" xfId="9702" xr:uid="{6BCD2FC8-B050-42FB-914E-2F85F2BBFE7C}"/>
    <cellStyle name="Comma 2 6 2 2 2 2 5 2" xfId="27046" xr:uid="{EE02E153-4DE7-48AE-85A0-C5536EF2D665}"/>
    <cellStyle name="Comma 2 6 2 2 2 2 6" xfId="18374" xr:uid="{02F6D4AE-84E2-48B6-8F65-A85F58943582}"/>
    <cellStyle name="Comma 2 6 2 2 2 3" xfId="1573" xr:uid="{58321BE8-BEF4-4B62-AD70-8C4AE204BA2D}"/>
    <cellStyle name="Comma 2 6 2 2 2 3 2" xfId="3741" xr:uid="{E76A7B35-B8AD-477E-BC9D-C3B674CDCB29}"/>
    <cellStyle name="Comma 2 6 2 2 2 3 2 2" xfId="8077" xr:uid="{698A9064-474C-44BC-997F-090E4290FC1D}"/>
    <cellStyle name="Comma 2 6 2 2 2 3 2 2 2" xfId="16749" xr:uid="{015A7B36-8076-40AB-AE21-EDB538588AE3}"/>
    <cellStyle name="Comma 2 6 2 2 2 3 2 2 2 2" xfId="34093" xr:uid="{87E7672F-AF84-4AE7-BDBE-AB41C1E5F08B}"/>
    <cellStyle name="Comma 2 6 2 2 2 3 2 2 3" xfId="25421" xr:uid="{4B981C5D-CADC-4D6C-B026-C6E14984179C}"/>
    <cellStyle name="Comma 2 6 2 2 2 3 2 3" xfId="12413" xr:uid="{C6CABD6F-3F0D-4191-A5F2-5BA9689962C1}"/>
    <cellStyle name="Comma 2 6 2 2 2 3 2 3 2" xfId="29757" xr:uid="{62A09D53-29F7-427B-8072-5CFDDE5BE2F8}"/>
    <cellStyle name="Comma 2 6 2 2 2 3 2 4" xfId="21085" xr:uid="{27FDF636-0E03-4486-B569-0F85C6D4A5B2}"/>
    <cellStyle name="Comma 2 6 2 2 2 3 3" xfId="5909" xr:uid="{76964286-CCB9-4C49-AF19-3324CD2623EB}"/>
    <cellStyle name="Comma 2 6 2 2 2 3 3 2" xfId="14581" xr:uid="{54E64487-AB22-468B-BEDE-BF3FF6616CD4}"/>
    <cellStyle name="Comma 2 6 2 2 2 3 3 2 2" xfId="31925" xr:uid="{45B1C0EF-A4C5-4380-811C-6F2BF3619CD9}"/>
    <cellStyle name="Comma 2 6 2 2 2 3 3 3" xfId="23253" xr:uid="{BA5D8251-BA75-43EA-82B6-30F0D280F8E0}"/>
    <cellStyle name="Comma 2 6 2 2 2 3 4" xfId="10245" xr:uid="{C5BF2A38-5EBF-424A-BE9F-4F0CC8E4F988}"/>
    <cellStyle name="Comma 2 6 2 2 2 3 4 2" xfId="27589" xr:uid="{9071A0CE-E016-4A25-8CD3-15EE93BF269D}"/>
    <cellStyle name="Comma 2 6 2 2 2 3 5" xfId="18917" xr:uid="{2C06C62F-458F-4E8C-9C72-A3E9BA6B1E1D}"/>
    <cellStyle name="Comma 2 6 2 2 2 4" xfId="2657" xr:uid="{8CA090A1-F661-459E-8AF0-EC82FE57DB03}"/>
    <cellStyle name="Comma 2 6 2 2 2 4 2" xfId="6993" xr:uid="{61C059A9-D0E9-4786-945B-CC8DC7CE942F}"/>
    <cellStyle name="Comma 2 6 2 2 2 4 2 2" xfId="15665" xr:uid="{4B5C9F59-9F43-4370-B1DB-DF673224EDFE}"/>
    <cellStyle name="Comma 2 6 2 2 2 4 2 2 2" xfId="33009" xr:uid="{8EF66987-D57D-4A8E-A01F-EA324C394E2E}"/>
    <cellStyle name="Comma 2 6 2 2 2 4 2 3" xfId="24337" xr:uid="{6DE9D50A-9191-4C16-9908-150C7FFB5AC3}"/>
    <cellStyle name="Comma 2 6 2 2 2 4 3" xfId="11329" xr:uid="{AC616E2C-9865-47F4-B1A4-391F2561C7BF}"/>
    <cellStyle name="Comma 2 6 2 2 2 4 3 2" xfId="28673" xr:uid="{90FD26D5-20F5-4E47-AB39-605FA84279B0}"/>
    <cellStyle name="Comma 2 6 2 2 2 4 4" xfId="20001" xr:uid="{DC81FF32-CD2A-4B4B-B4FB-07A883D94846}"/>
    <cellStyle name="Comma 2 6 2 2 2 5" xfId="4825" xr:uid="{3A341E22-2F34-4690-A7F9-31EB162717E0}"/>
    <cellStyle name="Comma 2 6 2 2 2 5 2" xfId="13497" xr:uid="{76447A18-6801-49EA-868B-396D96C41B27}"/>
    <cellStyle name="Comma 2 6 2 2 2 5 2 2" xfId="30841" xr:uid="{6E7B3D6C-B437-4602-A68C-F9569C0B2D52}"/>
    <cellStyle name="Comma 2 6 2 2 2 5 3" xfId="22169" xr:uid="{16655274-609D-4E84-A30D-705E093B9E53}"/>
    <cellStyle name="Comma 2 6 2 2 2 6" xfId="9161" xr:uid="{6C7201EB-83C4-424B-8FDC-296541957360}"/>
    <cellStyle name="Comma 2 6 2 2 2 6 2" xfId="26505" xr:uid="{4834CA51-C625-4D89-9EEE-81DE535C7F0C}"/>
    <cellStyle name="Comma 2 6 2 2 2 7" xfId="17833" xr:uid="{4D21AD18-E3F0-4219-85A8-DFED2CF4DF72}"/>
    <cellStyle name="Comma 2 6 2 2 3" xfId="760" xr:uid="{AE657235-D068-472E-85FB-358D724A8655}"/>
    <cellStyle name="Comma 2 6 2 2 3 2" xfId="1844" xr:uid="{59BC0690-62CC-4642-BA57-59D8F9485992}"/>
    <cellStyle name="Comma 2 6 2 2 3 2 2" xfId="4012" xr:uid="{92168970-B1A2-48D5-89AB-EFFEB1161BEC}"/>
    <cellStyle name="Comma 2 6 2 2 3 2 2 2" xfId="8348" xr:uid="{75A6F2B0-1F54-4E13-AD61-AF64B3E142E8}"/>
    <cellStyle name="Comma 2 6 2 2 3 2 2 2 2" xfId="17020" xr:uid="{295CEF2E-BC15-4A33-AB4A-51EE4DC0524B}"/>
    <cellStyle name="Comma 2 6 2 2 3 2 2 2 2 2" xfId="34364" xr:uid="{E4BE9FF5-5F04-44B3-A02D-B5141DC06C72}"/>
    <cellStyle name="Comma 2 6 2 2 3 2 2 2 3" xfId="25692" xr:uid="{FE1C75CE-26AC-4737-8956-EFE7BFCE593B}"/>
    <cellStyle name="Comma 2 6 2 2 3 2 2 3" xfId="12684" xr:uid="{54766C32-E30D-46A0-BF50-B4140678BC44}"/>
    <cellStyle name="Comma 2 6 2 2 3 2 2 3 2" xfId="30028" xr:uid="{4F8C4EAE-A32D-4883-902B-A742D68558E9}"/>
    <cellStyle name="Comma 2 6 2 2 3 2 2 4" xfId="21356" xr:uid="{76FD123C-9738-46FC-B009-4C465BAA2066}"/>
    <cellStyle name="Comma 2 6 2 2 3 2 3" xfId="6180" xr:uid="{E6ADF3EC-7FC9-4975-995B-16FDB464E05C}"/>
    <cellStyle name="Comma 2 6 2 2 3 2 3 2" xfId="14852" xr:uid="{6E8F7ABA-4754-44B9-ABDE-B0C510636230}"/>
    <cellStyle name="Comma 2 6 2 2 3 2 3 2 2" xfId="32196" xr:uid="{BCEF1DBB-AB18-45DD-A6BD-C74261E984CE}"/>
    <cellStyle name="Comma 2 6 2 2 3 2 3 3" xfId="23524" xr:uid="{4B82E7F6-4328-472F-BBFC-75123807F6E0}"/>
    <cellStyle name="Comma 2 6 2 2 3 2 4" xfId="10516" xr:uid="{10287F22-F134-4BDD-ABD0-516C41F101E1}"/>
    <cellStyle name="Comma 2 6 2 2 3 2 4 2" xfId="27860" xr:uid="{C0327F54-553D-491F-984A-72B66A59C4B8}"/>
    <cellStyle name="Comma 2 6 2 2 3 2 5" xfId="19188" xr:uid="{2E9D450B-63C6-496E-8054-BA8B3F9898E9}"/>
    <cellStyle name="Comma 2 6 2 2 3 3" xfId="2928" xr:uid="{6B1723CB-152A-47A6-89FA-70141E859AB1}"/>
    <cellStyle name="Comma 2 6 2 2 3 3 2" xfId="7264" xr:uid="{64BFA19C-1502-409B-8320-69117EB13D91}"/>
    <cellStyle name="Comma 2 6 2 2 3 3 2 2" xfId="15936" xr:uid="{1EC09AD1-0C8B-4F3A-8F3C-F118464CB3D1}"/>
    <cellStyle name="Comma 2 6 2 2 3 3 2 2 2" xfId="33280" xr:uid="{91F086F5-AEE2-451C-B864-68EE86E5AB57}"/>
    <cellStyle name="Comma 2 6 2 2 3 3 2 3" xfId="24608" xr:uid="{9B8C2594-168B-489C-BF65-67F6DA53EF10}"/>
    <cellStyle name="Comma 2 6 2 2 3 3 3" xfId="11600" xr:uid="{072F4238-8E0C-4F8C-A29C-D63EC898F072}"/>
    <cellStyle name="Comma 2 6 2 2 3 3 3 2" xfId="28944" xr:uid="{7588F7CA-7365-460B-A6BA-529D1AF99328}"/>
    <cellStyle name="Comma 2 6 2 2 3 3 4" xfId="20272" xr:uid="{EB34F5B3-0ECD-4AC9-A069-2E78EC2BC5A2}"/>
    <cellStyle name="Comma 2 6 2 2 3 4" xfId="5096" xr:uid="{0F80D97F-FDFC-4083-91DA-9D1441319E7D}"/>
    <cellStyle name="Comma 2 6 2 2 3 4 2" xfId="13768" xr:uid="{2946C1CC-FE77-4722-B673-170489080B5B}"/>
    <cellStyle name="Comma 2 6 2 2 3 4 2 2" xfId="31112" xr:uid="{75B1C8F8-F328-46C4-AD2A-8CAAAB7BFECA}"/>
    <cellStyle name="Comma 2 6 2 2 3 4 3" xfId="22440" xr:uid="{B1CD4145-7331-4D5A-8308-6FDF4B351917}"/>
    <cellStyle name="Comma 2 6 2 2 3 5" xfId="9432" xr:uid="{775CEBE9-FA26-4DC8-B6DE-0F64CFBA4F04}"/>
    <cellStyle name="Comma 2 6 2 2 3 5 2" xfId="26776" xr:uid="{A3383233-0B5E-4665-BEBD-68B94BEE6A5F}"/>
    <cellStyle name="Comma 2 6 2 2 3 6" xfId="18104" xr:uid="{ACCB77E4-F786-4E7C-A031-210A5F1A2B0E}"/>
    <cellStyle name="Comma 2 6 2 2 4" xfId="1303" xr:uid="{E10EE2D6-0197-4415-8925-9D6E0D9DEBD8}"/>
    <cellStyle name="Comma 2 6 2 2 4 2" xfId="3471" xr:uid="{ED1991A9-3D5F-4B0C-830D-D795EB885534}"/>
    <cellStyle name="Comma 2 6 2 2 4 2 2" xfId="7807" xr:uid="{A3109230-375D-44D5-A0BC-048712A6AED4}"/>
    <cellStyle name="Comma 2 6 2 2 4 2 2 2" xfId="16479" xr:uid="{8CD63D97-4AA9-4E0B-B229-9C933388E3C6}"/>
    <cellStyle name="Comma 2 6 2 2 4 2 2 2 2" xfId="33823" xr:uid="{2BC1A74A-A6F3-4103-B80A-EE3513C49D8A}"/>
    <cellStyle name="Comma 2 6 2 2 4 2 2 3" xfId="25151" xr:uid="{207E8F95-A28C-4E12-83A0-9A5E183278E7}"/>
    <cellStyle name="Comma 2 6 2 2 4 2 3" xfId="12143" xr:uid="{6FECC4D7-6562-4899-8120-F18E210070FF}"/>
    <cellStyle name="Comma 2 6 2 2 4 2 3 2" xfId="29487" xr:uid="{00BEDB19-9348-44F2-9393-FB91665292A9}"/>
    <cellStyle name="Comma 2 6 2 2 4 2 4" xfId="20815" xr:uid="{D618B9BB-EB34-4EF4-8963-F30F961DF688}"/>
    <cellStyle name="Comma 2 6 2 2 4 3" xfId="5639" xr:uid="{DDE0C542-4F5A-4B35-8DC8-A2D37925C17F}"/>
    <cellStyle name="Comma 2 6 2 2 4 3 2" xfId="14311" xr:uid="{92D69983-A040-4676-A740-9FC7AFE4D299}"/>
    <cellStyle name="Comma 2 6 2 2 4 3 2 2" xfId="31655" xr:uid="{F30250F6-4E6F-4631-A201-360A0683002D}"/>
    <cellStyle name="Comma 2 6 2 2 4 3 3" xfId="22983" xr:uid="{E66AE169-1A72-4F17-AA9D-EED3F55346BA}"/>
    <cellStyle name="Comma 2 6 2 2 4 4" xfId="9975" xr:uid="{83E48DD3-2970-40FC-A84C-BC7C32A38BEA}"/>
    <cellStyle name="Comma 2 6 2 2 4 4 2" xfId="27319" xr:uid="{F793EAFD-F0BB-4C11-8D2B-6449FD4680EB}"/>
    <cellStyle name="Comma 2 6 2 2 4 5" xfId="18647" xr:uid="{3B073940-4096-48AB-A9DC-03E5F9AF7496}"/>
    <cellStyle name="Comma 2 6 2 2 5" xfId="2387" xr:uid="{3D0226D3-994D-412D-8A0F-1FCFB67A1468}"/>
    <cellStyle name="Comma 2 6 2 2 5 2" xfId="6723" xr:uid="{41DA4DEB-8711-41FF-9261-78AE3523DB2D}"/>
    <cellStyle name="Comma 2 6 2 2 5 2 2" xfId="15395" xr:uid="{CEA97332-6684-4B98-9D88-F37EFF126F5F}"/>
    <cellStyle name="Comma 2 6 2 2 5 2 2 2" xfId="32739" xr:uid="{469274D0-0287-4C70-ADA2-E22524D9D9C7}"/>
    <cellStyle name="Comma 2 6 2 2 5 2 3" xfId="24067" xr:uid="{7140724B-120E-4755-89B1-900F4B3310BE}"/>
    <cellStyle name="Comma 2 6 2 2 5 3" xfId="11059" xr:uid="{D35EF566-E4C7-49C5-AFC2-889FD3DB02D2}"/>
    <cellStyle name="Comma 2 6 2 2 5 3 2" xfId="28403" xr:uid="{6C35AD6F-5B68-48EC-829D-89023F3C773B}"/>
    <cellStyle name="Comma 2 6 2 2 5 4" xfId="19731" xr:uid="{3B629EAB-B416-4148-B8CF-F4D1C3BF1278}"/>
    <cellStyle name="Comma 2 6 2 2 6" xfId="4555" xr:uid="{FE817374-53AC-403A-AF06-F2122BF00FE9}"/>
    <cellStyle name="Comma 2 6 2 2 6 2" xfId="13227" xr:uid="{4BBDD2F9-3EFF-4CEF-9CB8-E79CB7B56EFE}"/>
    <cellStyle name="Comma 2 6 2 2 6 2 2" xfId="30571" xr:uid="{D685D685-19CF-4603-A609-D6436E595FA1}"/>
    <cellStyle name="Comma 2 6 2 2 6 3" xfId="21899" xr:uid="{F8481901-5175-4CEB-99BA-AEE1111A464E}"/>
    <cellStyle name="Comma 2 6 2 2 7" xfId="8891" xr:uid="{ABA371F3-126D-4A71-8F2C-B2E6D0EAC771}"/>
    <cellStyle name="Comma 2 6 2 2 7 2" xfId="26235" xr:uid="{6A98AC9D-EC8F-40F2-9BC0-139D31F2E1EA}"/>
    <cellStyle name="Comma 2 6 2 2 8" xfId="17563" xr:uid="{56F3F7AC-F33E-4447-BA16-DBEF5285603C}"/>
    <cellStyle name="Comma 2 6 2 3" xfId="367" xr:uid="{3637980E-2D7E-4279-BCE2-F51CB0F16FF3}"/>
    <cellStyle name="Comma 2 6 2 3 2" xfId="908" xr:uid="{1664C345-791A-4BE2-B31E-91FE12E2A248}"/>
    <cellStyle name="Comma 2 6 2 3 2 2" xfId="1992" xr:uid="{2C1866E4-81FC-41D6-9D6B-C46E64702F71}"/>
    <cellStyle name="Comma 2 6 2 3 2 2 2" xfId="4160" xr:uid="{690E976B-C960-478F-8FD4-EE0B6105605F}"/>
    <cellStyle name="Comma 2 6 2 3 2 2 2 2" xfId="8496" xr:uid="{0033583E-0D0F-4010-A6DE-C72B764A2E47}"/>
    <cellStyle name="Comma 2 6 2 3 2 2 2 2 2" xfId="17168" xr:uid="{5E34FC13-680B-437A-AC3F-6DA0D4A39576}"/>
    <cellStyle name="Comma 2 6 2 3 2 2 2 2 2 2" xfId="34512" xr:uid="{78B0FB76-DD99-45C2-B4B5-5339E9292DBA}"/>
    <cellStyle name="Comma 2 6 2 3 2 2 2 2 3" xfId="25840" xr:uid="{D920A7B0-7C40-44C4-ABB2-0019275B24E9}"/>
    <cellStyle name="Comma 2 6 2 3 2 2 2 3" xfId="12832" xr:uid="{6A21306C-FB8B-45DD-8529-FC6C60A4BB1B}"/>
    <cellStyle name="Comma 2 6 2 3 2 2 2 3 2" xfId="30176" xr:uid="{0346966C-E9B4-40C9-B62F-1F196B9C6E12}"/>
    <cellStyle name="Comma 2 6 2 3 2 2 2 4" xfId="21504" xr:uid="{8B7A14BA-6FE1-49CB-9F1F-E6D5B5CAFCD3}"/>
    <cellStyle name="Comma 2 6 2 3 2 2 3" xfId="6328" xr:uid="{81AE6816-9B15-42E6-99EE-B0D761BE80FC}"/>
    <cellStyle name="Comma 2 6 2 3 2 2 3 2" xfId="15000" xr:uid="{DFF960BE-91B8-48AC-BAED-6B1A0E13CA05}"/>
    <cellStyle name="Comma 2 6 2 3 2 2 3 2 2" xfId="32344" xr:uid="{FD1BD7E7-49D0-40C6-9B21-921CA36F929F}"/>
    <cellStyle name="Comma 2 6 2 3 2 2 3 3" xfId="23672" xr:uid="{4A221817-A695-4D07-931F-925102207133}"/>
    <cellStyle name="Comma 2 6 2 3 2 2 4" xfId="10664" xr:uid="{C7293956-0C2C-4DA6-87D9-67121ED1A686}"/>
    <cellStyle name="Comma 2 6 2 3 2 2 4 2" xfId="28008" xr:uid="{9EBB3F08-1495-44EF-8A35-46078DF665CF}"/>
    <cellStyle name="Comma 2 6 2 3 2 2 5" xfId="19336" xr:uid="{C6BEA6FA-CFF6-4849-906A-17BDDC36E5C5}"/>
    <cellStyle name="Comma 2 6 2 3 2 3" xfId="3076" xr:uid="{CEF44A79-FBCE-4732-B878-653FEF2A835F}"/>
    <cellStyle name="Comma 2 6 2 3 2 3 2" xfId="7412" xr:uid="{E919FEEF-B88B-42A2-AD57-8A17406E55A1}"/>
    <cellStyle name="Comma 2 6 2 3 2 3 2 2" xfId="16084" xr:uid="{F307BC6B-8F1F-44D4-929E-61FDD0C7594F}"/>
    <cellStyle name="Comma 2 6 2 3 2 3 2 2 2" xfId="33428" xr:uid="{500049AC-F094-4E65-A1BE-F6FA3F58115B}"/>
    <cellStyle name="Comma 2 6 2 3 2 3 2 3" xfId="24756" xr:uid="{56E27754-C04C-429B-A941-BD8A0029FACE}"/>
    <cellStyle name="Comma 2 6 2 3 2 3 3" xfId="11748" xr:uid="{D789098B-1638-4CE3-8368-6825E8C5667A}"/>
    <cellStyle name="Comma 2 6 2 3 2 3 3 2" xfId="29092" xr:uid="{E9941D07-184F-4E0A-8E71-FE70FB9F2FEB}"/>
    <cellStyle name="Comma 2 6 2 3 2 3 4" xfId="20420" xr:uid="{9BA9E51A-02F3-40E3-87A5-2DB9DD1290C0}"/>
    <cellStyle name="Comma 2 6 2 3 2 4" xfId="5244" xr:uid="{6B261D4A-A697-49AF-A566-AA64D45C3855}"/>
    <cellStyle name="Comma 2 6 2 3 2 4 2" xfId="13916" xr:uid="{D93FE669-B87F-4920-A01C-03BD1A165A02}"/>
    <cellStyle name="Comma 2 6 2 3 2 4 2 2" xfId="31260" xr:uid="{2CF1B9D2-8A1C-442D-BD78-86B5E9BC9813}"/>
    <cellStyle name="Comma 2 6 2 3 2 4 3" xfId="22588" xr:uid="{7590D23F-3272-4A12-93A8-E2BD357E923A}"/>
    <cellStyle name="Comma 2 6 2 3 2 5" xfId="9580" xr:uid="{F4084566-EFE9-4BC5-B8E3-E82D20783AF7}"/>
    <cellStyle name="Comma 2 6 2 3 2 5 2" xfId="26924" xr:uid="{A4B2ADF8-B5B5-466E-929F-738079191D6A}"/>
    <cellStyle name="Comma 2 6 2 3 2 6" xfId="18252" xr:uid="{D4DF7691-1F7B-470E-B71A-F2A5D1DA292A}"/>
    <cellStyle name="Comma 2 6 2 3 3" xfId="1451" xr:uid="{9B95D157-4B1C-425A-BB36-A3D379F7F6D6}"/>
    <cellStyle name="Comma 2 6 2 3 3 2" xfId="3619" xr:uid="{1BA36A51-4931-4668-8871-40DC3E51857A}"/>
    <cellStyle name="Comma 2 6 2 3 3 2 2" xfId="7955" xr:uid="{7CF869EC-F667-4CF8-BF59-EADE9D1A1180}"/>
    <cellStyle name="Comma 2 6 2 3 3 2 2 2" xfId="16627" xr:uid="{6484E73A-4EA9-4524-BF2C-C9CD5F7D0E7F}"/>
    <cellStyle name="Comma 2 6 2 3 3 2 2 2 2" xfId="33971" xr:uid="{2AFAAB7F-22CA-4CEE-8A97-54E9C33877EF}"/>
    <cellStyle name="Comma 2 6 2 3 3 2 2 3" xfId="25299" xr:uid="{34B90832-3BBD-4E83-9BBB-096D679900D6}"/>
    <cellStyle name="Comma 2 6 2 3 3 2 3" xfId="12291" xr:uid="{F531A6B6-9E46-425E-A9D1-4D53FAA6FA36}"/>
    <cellStyle name="Comma 2 6 2 3 3 2 3 2" xfId="29635" xr:uid="{EE5C2A27-34E0-4F2F-ABAF-01577F3A8819}"/>
    <cellStyle name="Comma 2 6 2 3 3 2 4" xfId="20963" xr:uid="{E26CD988-1FAF-443D-BB42-B0A4845BD87C}"/>
    <cellStyle name="Comma 2 6 2 3 3 3" xfId="5787" xr:uid="{1A1F7D43-F743-41D3-8E80-62C5946A9AE5}"/>
    <cellStyle name="Comma 2 6 2 3 3 3 2" xfId="14459" xr:uid="{6B9ECC1C-FDA9-4BD1-9575-8C241013AB28}"/>
    <cellStyle name="Comma 2 6 2 3 3 3 2 2" xfId="31803" xr:uid="{CA72409F-0DDA-4A2B-A0FA-9644C3E6F884}"/>
    <cellStyle name="Comma 2 6 2 3 3 3 3" xfId="23131" xr:uid="{870490DE-1E15-41FB-B081-54433093A1DB}"/>
    <cellStyle name="Comma 2 6 2 3 3 4" xfId="10123" xr:uid="{D3D9B785-48EC-4541-BEC8-61678C20F5C1}"/>
    <cellStyle name="Comma 2 6 2 3 3 4 2" xfId="27467" xr:uid="{B790320C-0840-4DF4-84AE-1572F2228D77}"/>
    <cellStyle name="Comma 2 6 2 3 3 5" xfId="18795" xr:uid="{7604D974-DDCA-40B5-8694-9033FA4119C1}"/>
    <cellStyle name="Comma 2 6 2 3 4" xfId="2535" xr:uid="{27FDD490-1831-4E86-93A0-5733A8FF3904}"/>
    <cellStyle name="Comma 2 6 2 3 4 2" xfId="6871" xr:uid="{9B036DC0-45F5-492B-BB83-7304F7C60314}"/>
    <cellStyle name="Comma 2 6 2 3 4 2 2" xfId="15543" xr:uid="{273254A4-7CF8-4654-9274-C00F0208893B}"/>
    <cellStyle name="Comma 2 6 2 3 4 2 2 2" xfId="32887" xr:uid="{56EE6A46-5634-4DDC-9B97-43992DDCDB34}"/>
    <cellStyle name="Comma 2 6 2 3 4 2 3" xfId="24215" xr:uid="{869917F7-DCDF-4924-A0B8-F66492B8D9BC}"/>
    <cellStyle name="Comma 2 6 2 3 4 3" xfId="11207" xr:uid="{DEF21D53-9E13-44F5-9D9D-B31C4A4B6CE2}"/>
    <cellStyle name="Comma 2 6 2 3 4 3 2" xfId="28551" xr:uid="{A83C1395-86A6-4687-BCDC-5D0A15DC6DED}"/>
    <cellStyle name="Comma 2 6 2 3 4 4" xfId="19879" xr:uid="{A2ED6D3A-C7E3-43D2-8E97-ABB977DD2F3E}"/>
    <cellStyle name="Comma 2 6 2 3 5" xfId="4703" xr:uid="{7DC14E80-7785-47A0-A8AE-186469F9D836}"/>
    <cellStyle name="Comma 2 6 2 3 5 2" xfId="13375" xr:uid="{C55B4220-DF60-41D6-AE4C-47B095A6CA90}"/>
    <cellStyle name="Comma 2 6 2 3 5 2 2" xfId="30719" xr:uid="{A319F739-DA27-4DA6-A8E1-0FE046007C8F}"/>
    <cellStyle name="Comma 2 6 2 3 5 3" xfId="22047" xr:uid="{0F49CAEE-885E-4176-9480-8A125B7B36E4}"/>
    <cellStyle name="Comma 2 6 2 3 6" xfId="9039" xr:uid="{5361579F-F14A-485B-8065-FCA3AC178123}"/>
    <cellStyle name="Comma 2 6 2 3 6 2" xfId="26383" xr:uid="{2149F9E8-2596-443D-A3B1-973A672C80B9}"/>
    <cellStyle name="Comma 2 6 2 3 7" xfId="17711" xr:uid="{2079D9AC-9CAB-4F0C-83E2-1B291F46A9EC}"/>
    <cellStyle name="Comma 2 6 2 4" xfId="638" xr:uid="{74A39683-FC29-44E4-B4A2-6808B88FB861}"/>
    <cellStyle name="Comma 2 6 2 4 2" xfId="1722" xr:uid="{1F7F3611-2681-4D5C-BFF8-5F50C0D8A283}"/>
    <cellStyle name="Comma 2 6 2 4 2 2" xfId="3890" xr:uid="{7D44FA34-134E-49AA-AE1E-0CF78ACC891D}"/>
    <cellStyle name="Comma 2 6 2 4 2 2 2" xfId="8226" xr:uid="{80DC7B4A-EC38-43A5-8965-7A4354EC7C25}"/>
    <cellStyle name="Comma 2 6 2 4 2 2 2 2" xfId="16898" xr:uid="{B7E6E172-1CE0-4653-A10E-A6B3A3168BDA}"/>
    <cellStyle name="Comma 2 6 2 4 2 2 2 2 2" xfId="34242" xr:uid="{F31ABED4-0D6B-41BD-95BC-5A1853B8F87B}"/>
    <cellStyle name="Comma 2 6 2 4 2 2 2 3" xfId="25570" xr:uid="{94AFDB4F-5065-4BC6-AF40-C2CB8FA8F89E}"/>
    <cellStyle name="Comma 2 6 2 4 2 2 3" xfId="12562" xr:uid="{7A64837F-B25C-4C20-848B-F1BB071AF4E9}"/>
    <cellStyle name="Comma 2 6 2 4 2 2 3 2" xfId="29906" xr:uid="{518A9A74-66B3-47EE-8ABB-A0863D4AD719}"/>
    <cellStyle name="Comma 2 6 2 4 2 2 4" xfId="21234" xr:uid="{7FDDF44B-E901-41F7-893F-6E7D44029A62}"/>
    <cellStyle name="Comma 2 6 2 4 2 3" xfId="6058" xr:uid="{954183DB-2B53-4BF0-B46C-6B58E4CF9334}"/>
    <cellStyle name="Comma 2 6 2 4 2 3 2" xfId="14730" xr:uid="{102874AD-BD5D-47B3-B5A2-685399F13E76}"/>
    <cellStyle name="Comma 2 6 2 4 2 3 2 2" xfId="32074" xr:uid="{041378C5-3F20-4E26-A308-BBFA052570BA}"/>
    <cellStyle name="Comma 2 6 2 4 2 3 3" xfId="23402" xr:uid="{5BE528E3-DCF5-4B01-B907-F55791BD787F}"/>
    <cellStyle name="Comma 2 6 2 4 2 4" xfId="10394" xr:uid="{5C4B72B0-5633-4084-96C5-30DFD42795CE}"/>
    <cellStyle name="Comma 2 6 2 4 2 4 2" xfId="27738" xr:uid="{88C79947-5DB3-4013-9805-18F1F2B1A4EF}"/>
    <cellStyle name="Comma 2 6 2 4 2 5" xfId="19066" xr:uid="{745D1D11-E1DE-4458-AC76-D3A06AAF8DDD}"/>
    <cellStyle name="Comma 2 6 2 4 3" xfId="2806" xr:uid="{25EBDFCF-3A83-4E2F-A281-6C41AFEDCC8A}"/>
    <cellStyle name="Comma 2 6 2 4 3 2" xfId="7142" xr:uid="{B4F77425-139C-497A-9F85-861171EAAD19}"/>
    <cellStyle name="Comma 2 6 2 4 3 2 2" xfId="15814" xr:uid="{26DA8FA9-F56B-4EB8-B78E-0223BED2A26F}"/>
    <cellStyle name="Comma 2 6 2 4 3 2 2 2" xfId="33158" xr:uid="{9E951D34-4943-4445-A7DC-2F608552CB65}"/>
    <cellStyle name="Comma 2 6 2 4 3 2 3" xfId="24486" xr:uid="{8CF3C3D0-4D55-4659-97C5-C0C6B78D8EDB}"/>
    <cellStyle name="Comma 2 6 2 4 3 3" xfId="11478" xr:uid="{A449B6A2-352C-415B-8C79-AF99CB2AFA14}"/>
    <cellStyle name="Comma 2 6 2 4 3 3 2" xfId="28822" xr:uid="{FA353C0A-1FBB-4ECB-9F86-C21664AE8750}"/>
    <cellStyle name="Comma 2 6 2 4 3 4" xfId="20150" xr:uid="{C4A985EB-84CB-47AC-B088-2962679ED87C}"/>
    <cellStyle name="Comma 2 6 2 4 4" xfId="4974" xr:uid="{2DBFD71C-44EF-4495-8385-48D967CEBBFC}"/>
    <cellStyle name="Comma 2 6 2 4 4 2" xfId="13646" xr:uid="{4661D69D-D709-433A-811A-986D8A4E96CB}"/>
    <cellStyle name="Comma 2 6 2 4 4 2 2" xfId="30990" xr:uid="{1BE96D9A-DD38-4861-9F10-BF3CB07E0DBC}"/>
    <cellStyle name="Comma 2 6 2 4 4 3" xfId="22318" xr:uid="{07F8AEC2-8248-4996-81D7-FD7FBF34F363}"/>
    <cellStyle name="Comma 2 6 2 4 5" xfId="9310" xr:uid="{FFA9A9E1-2944-4267-8748-D4856417FDEA}"/>
    <cellStyle name="Comma 2 6 2 4 5 2" xfId="26654" xr:uid="{2B93BFAD-024E-46FB-8598-9AF0F2615F15}"/>
    <cellStyle name="Comma 2 6 2 4 6" xfId="17982" xr:uid="{95D007C8-6517-46EC-BDA3-DE26ADD18205}"/>
    <cellStyle name="Comma 2 6 2 5" xfId="1181" xr:uid="{1728DA86-5E4C-4D9D-BA59-16F6DD9C817F}"/>
    <cellStyle name="Comma 2 6 2 5 2" xfId="3349" xr:uid="{4EAC1A3E-7AA8-4303-ACCF-99CF93BADF48}"/>
    <cellStyle name="Comma 2 6 2 5 2 2" xfId="7685" xr:uid="{F1E5B52D-9936-4E3F-B9C5-B4C37D56A042}"/>
    <cellStyle name="Comma 2 6 2 5 2 2 2" xfId="16357" xr:uid="{A3F69283-22F7-4F22-B24B-00D4E80A5839}"/>
    <cellStyle name="Comma 2 6 2 5 2 2 2 2" xfId="33701" xr:uid="{8C9749B3-7EC8-495A-8D68-0E3CD6E2FA53}"/>
    <cellStyle name="Comma 2 6 2 5 2 2 3" xfId="25029" xr:uid="{35340E5D-D98A-4494-BD27-3457F2E18D6D}"/>
    <cellStyle name="Comma 2 6 2 5 2 3" xfId="12021" xr:uid="{7CCAC93E-1B58-40C5-938D-30016AF06651}"/>
    <cellStyle name="Comma 2 6 2 5 2 3 2" xfId="29365" xr:uid="{399E097C-DA9A-4B0F-B01C-561CF92F8125}"/>
    <cellStyle name="Comma 2 6 2 5 2 4" xfId="20693" xr:uid="{87632FB9-7F7D-48AD-9A7A-613AC5D5CE27}"/>
    <cellStyle name="Comma 2 6 2 5 3" xfId="5517" xr:uid="{62A7B66F-9056-4223-B9A4-9BEEC8C69656}"/>
    <cellStyle name="Comma 2 6 2 5 3 2" xfId="14189" xr:uid="{62B7440C-F294-4285-A816-CADCF9B0CF5C}"/>
    <cellStyle name="Comma 2 6 2 5 3 2 2" xfId="31533" xr:uid="{0F243D4B-ABB3-4137-B830-70F63BD69C97}"/>
    <cellStyle name="Comma 2 6 2 5 3 3" xfId="22861" xr:uid="{A66C8EAF-78A5-4D73-A5BD-DF5012C7DFED}"/>
    <cellStyle name="Comma 2 6 2 5 4" xfId="9853" xr:uid="{2C4387C9-6075-48D0-AA2F-B5CD2A998D1D}"/>
    <cellStyle name="Comma 2 6 2 5 4 2" xfId="27197" xr:uid="{70E6FB24-7A55-4E3A-924F-A20CD2BA8069}"/>
    <cellStyle name="Comma 2 6 2 5 5" xfId="18525" xr:uid="{8D9CC931-A143-43FF-9F4A-4B34AAA345D0}"/>
    <cellStyle name="Comma 2 6 2 6" xfId="2265" xr:uid="{BCDB1BA2-9E21-40C2-9C27-D9118C04A22A}"/>
    <cellStyle name="Comma 2 6 2 6 2" xfId="6601" xr:uid="{52012D12-19B9-4F6C-8628-02E550836B46}"/>
    <cellStyle name="Comma 2 6 2 6 2 2" xfId="15273" xr:uid="{7508DD10-6170-4B5F-A951-B7A06E136DEA}"/>
    <cellStyle name="Comma 2 6 2 6 2 2 2" xfId="32617" xr:uid="{148DB6D5-2F8B-443A-BA03-A49744FFAF97}"/>
    <cellStyle name="Comma 2 6 2 6 2 3" xfId="23945" xr:uid="{481444D6-E9CF-4C7F-9C43-78623CEC3D90}"/>
    <cellStyle name="Comma 2 6 2 6 3" xfId="10937" xr:uid="{9B5E5C56-C72A-4B03-92D2-E0F237C78A34}"/>
    <cellStyle name="Comma 2 6 2 6 3 2" xfId="28281" xr:uid="{7AC3FF19-D4E0-46DD-81B1-8E7D0EE7E55E}"/>
    <cellStyle name="Comma 2 6 2 6 4" xfId="19609" xr:uid="{95A61EEB-66AB-4A32-A060-FFE6294AC64C}"/>
    <cellStyle name="Comma 2 6 2 7" xfId="4433" xr:uid="{05CD22E0-6887-4057-A8B7-5022A00D341E}"/>
    <cellStyle name="Comma 2 6 2 7 2" xfId="13105" xr:uid="{85AFBE32-3611-4A32-8B7D-2334F0A37004}"/>
    <cellStyle name="Comma 2 6 2 7 2 2" xfId="30449" xr:uid="{2F060F52-0123-4896-9AD9-4F34C05D9BF8}"/>
    <cellStyle name="Comma 2 6 2 7 3" xfId="21777" xr:uid="{08336E7E-6624-4E3E-881E-05C13A2AD0C2}"/>
    <cellStyle name="Comma 2 6 2 8" xfId="8769" xr:uid="{8579CF7B-8163-4BC1-90F6-7772F04B9967}"/>
    <cellStyle name="Comma 2 6 2 8 2" xfId="26113" xr:uid="{7F7CF593-23FE-46AA-B317-8A27A94059F7}"/>
    <cellStyle name="Comma 2 6 2 9" xfId="17441" xr:uid="{B70EC2F3-5B4E-43E3-89D6-35BDD356154C}"/>
    <cellStyle name="Comma 2 6 3" xfId="158" xr:uid="{4ACF8B93-250E-42CA-B3AA-07AE05A01210}"/>
    <cellStyle name="Comma 2 6 3 2" xfId="428" xr:uid="{C2ABDE27-6B94-4F61-8BAE-C7BCCEC4D9F7}"/>
    <cellStyle name="Comma 2 6 3 2 2" xfId="969" xr:uid="{9F07F151-DA92-4FB9-8FFB-34849983384C}"/>
    <cellStyle name="Comma 2 6 3 2 2 2" xfId="2053" xr:uid="{BA245A75-A46A-4034-9924-680C53AFEB71}"/>
    <cellStyle name="Comma 2 6 3 2 2 2 2" xfId="4221" xr:uid="{30822655-9202-4177-84CC-F216C594AA3B}"/>
    <cellStyle name="Comma 2 6 3 2 2 2 2 2" xfId="8557" xr:uid="{F99C2780-A628-410A-B94C-80A91BC59063}"/>
    <cellStyle name="Comma 2 6 3 2 2 2 2 2 2" xfId="17229" xr:uid="{7AF05600-2EC1-4C20-AA58-FBD637D113B7}"/>
    <cellStyle name="Comma 2 6 3 2 2 2 2 2 2 2" xfId="34573" xr:uid="{79629268-CED9-4551-83F7-0CE6E0F73037}"/>
    <cellStyle name="Comma 2 6 3 2 2 2 2 2 3" xfId="25901" xr:uid="{32D5ACE7-35B4-4B7A-8710-F0AA48487EEB}"/>
    <cellStyle name="Comma 2 6 3 2 2 2 2 3" xfId="12893" xr:uid="{EA0B297C-8D98-4DC5-8E18-957B4E7A2818}"/>
    <cellStyle name="Comma 2 6 3 2 2 2 2 3 2" xfId="30237" xr:uid="{9900138E-5AF9-4834-9117-2AD2D4BBDF4B}"/>
    <cellStyle name="Comma 2 6 3 2 2 2 2 4" xfId="21565" xr:uid="{270101C0-8D58-4BFD-B404-F663BDB32A4D}"/>
    <cellStyle name="Comma 2 6 3 2 2 2 3" xfId="6389" xr:uid="{AB84DD73-A681-4977-BD77-78BDD1968428}"/>
    <cellStyle name="Comma 2 6 3 2 2 2 3 2" xfId="15061" xr:uid="{AECBBAC1-35CC-4CC7-9AC7-35EAF135F21E}"/>
    <cellStyle name="Comma 2 6 3 2 2 2 3 2 2" xfId="32405" xr:uid="{7728B432-0EAD-4546-B9CD-31B78902B032}"/>
    <cellStyle name="Comma 2 6 3 2 2 2 3 3" xfId="23733" xr:uid="{BF0CC0F0-2D65-4E35-B858-C82B1E3F283C}"/>
    <cellStyle name="Comma 2 6 3 2 2 2 4" xfId="10725" xr:uid="{02AB6B70-738C-4BD8-AF88-4F8BEF9DD3AD}"/>
    <cellStyle name="Comma 2 6 3 2 2 2 4 2" xfId="28069" xr:uid="{CA198E77-DE39-4EB7-861C-FA7C8CEFB318}"/>
    <cellStyle name="Comma 2 6 3 2 2 2 5" xfId="19397" xr:uid="{C50726F6-7E52-49F9-B4B1-8B974189CC0A}"/>
    <cellStyle name="Comma 2 6 3 2 2 3" xfId="3137" xr:uid="{E3EA2EB5-50AC-46EC-A698-5AE87A0FE31D}"/>
    <cellStyle name="Comma 2 6 3 2 2 3 2" xfId="7473" xr:uid="{3EC51061-56A3-401E-A344-EB93DD566C03}"/>
    <cellStyle name="Comma 2 6 3 2 2 3 2 2" xfId="16145" xr:uid="{CF9B6812-4EAC-45E2-9302-46A4675F26B7}"/>
    <cellStyle name="Comma 2 6 3 2 2 3 2 2 2" xfId="33489" xr:uid="{3BDE1F60-D3FF-4B34-8217-A1BD4A441E3E}"/>
    <cellStyle name="Comma 2 6 3 2 2 3 2 3" xfId="24817" xr:uid="{2C2EF367-8115-4329-98A6-4C45644307A7}"/>
    <cellStyle name="Comma 2 6 3 2 2 3 3" xfId="11809" xr:uid="{1034EE19-312E-4F9D-A260-49FE3DEA6DDB}"/>
    <cellStyle name="Comma 2 6 3 2 2 3 3 2" xfId="29153" xr:uid="{FF484171-FDC2-4F66-BB70-C8B9D33A0148}"/>
    <cellStyle name="Comma 2 6 3 2 2 3 4" xfId="20481" xr:uid="{6E5618E5-AD04-4A03-9863-F71225D15BB5}"/>
    <cellStyle name="Comma 2 6 3 2 2 4" xfId="5305" xr:uid="{33A8D46B-A1F7-4EA9-BA0E-6473C1418C9B}"/>
    <cellStyle name="Comma 2 6 3 2 2 4 2" xfId="13977" xr:uid="{98C6EE7A-8E28-4F34-8EFF-F125C2175E24}"/>
    <cellStyle name="Comma 2 6 3 2 2 4 2 2" xfId="31321" xr:uid="{D5693796-7D30-4B33-A868-C2B1E23666F8}"/>
    <cellStyle name="Comma 2 6 3 2 2 4 3" xfId="22649" xr:uid="{FFD2146D-71A0-45AD-A3B8-773A18208584}"/>
    <cellStyle name="Comma 2 6 3 2 2 5" xfId="9641" xr:uid="{CEB09563-7ADD-43B3-9330-C310FE9B896D}"/>
    <cellStyle name="Comma 2 6 3 2 2 5 2" xfId="26985" xr:uid="{ECE1CDDF-616D-4ACA-ACE6-5154E2C334C2}"/>
    <cellStyle name="Comma 2 6 3 2 2 6" xfId="18313" xr:uid="{3823C311-CDA8-4C10-A0D7-8C0D9A33A4C8}"/>
    <cellStyle name="Comma 2 6 3 2 3" xfId="1512" xr:uid="{4D07189C-29B7-4F21-8C26-A82768650C5F}"/>
    <cellStyle name="Comma 2 6 3 2 3 2" xfId="3680" xr:uid="{2FC7AC82-1ABF-40E8-B925-5986E873688E}"/>
    <cellStyle name="Comma 2 6 3 2 3 2 2" xfId="8016" xr:uid="{23923446-A0B2-4194-A6DE-7DAAE05F0EDD}"/>
    <cellStyle name="Comma 2 6 3 2 3 2 2 2" xfId="16688" xr:uid="{586B6044-0E5A-4E99-AA43-AB8EE07DA814}"/>
    <cellStyle name="Comma 2 6 3 2 3 2 2 2 2" xfId="34032" xr:uid="{4863344B-4D35-45FF-AB7D-A860F0D76697}"/>
    <cellStyle name="Comma 2 6 3 2 3 2 2 3" xfId="25360" xr:uid="{19660A65-C71A-4683-AE1F-B332B27478B1}"/>
    <cellStyle name="Comma 2 6 3 2 3 2 3" xfId="12352" xr:uid="{D9EEEB80-C93A-424E-9130-87E1B81EEF88}"/>
    <cellStyle name="Comma 2 6 3 2 3 2 3 2" xfId="29696" xr:uid="{148080BF-7A68-4E0C-8EBE-5B697A3CB18F}"/>
    <cellStyle name="Comma 2 6 3 2 3 2 4" xfId="21024" xr:uid="{34F813A9-A9E1-431C-891C-FC0746C1C576}"/>
    <cellStyle name="Comma 2 6 3 2 3 3" xfId="5848" xr:uid="{48872DA7-2384-431E-B18B-C20A40FD4E63}"/>
    <cellStyle name="Comma 2 6 3 2 3 3 2" xfId="14520" xr:uid="{CFFDFE66-A2F2-416F-81DC-9B0B32202B57}"/>
    <cellStyle name="Comma 2 6 3 2 3 3 2 2" xfId="31864" xr:uid="{C8BEE323-0020-4B3E-B4CD-81E918D026E0}"/>
    <cellStyle name="Comma 2 6 3 2 3 3 3" xfId="23192" xr:uid="{F3CBAC48-E3B5-48B6-A404-E92FB2F8FE33}"/>
    <cellStyle name="Comma 2 6 3 2 3 4" xfId="10184" xr:uid="{A93B80E3-B1A0-4120-8F54-64D6FCA7F8D9}"/>
    <cellStyle name="Comma 2 6 3 2 3 4 2" xfId="27528" xr:uid="{5F325657-52D2-4C8A-8F4D-1B540DA7E492}"/>
    <cellStyle name="Comma 2 6 3 2 3 5" xfId="18856" xr:uid="{C5DC29AC-97B6-4B39-B1AB-2D63B2616149}"/>
    <cellStyle name="Comma 2 6 3 2 4" xfId="2596" xr:uid="{3B32918C-83D8-444E-9435-4908D970B4C1}"/>
    <cellStyle name="Comma 2 6 3 2 4 2" xfId="6932" xr:uid="{32A01167-36D3-4DCD-A85A-8D904729953D}"/>
    <cellStyle name="Comma 2 6 3 2 4 2 2" xfId="15604" xr:uid="{16AD83C3-7FA9-405C-986A-1A16193491D9}"/>
    <cellStyle name="Comma 2 6 3 2 4 2 2 2" xfId="32948" xr:uid="{F9BDC9D8-2B96-4B80-AE6F-D0F0F003764D}"/>
    <cellStyle name="Comma 2 6 3 2 4 2 3" xfId="24276" xr:uid="{8ECBE32B-653C-4D25-BFA0-5AE44AA340E5}"/>
    <cellStyle name="Comma 2 6 3 2 4 3" xfId="11268" xr:uid="{B2BA2B14-3EB0-4783-A2DE-63BF6AE09611}"/>
    <cellStyle name="Comma 2 6 3 2 4 3 2" xfId="28612" xr:uid="{669F60F9-3F01-4C00-A2BB-B054B99514B0}"/>
    <cellStyle name="Comma 2 6 3 2 4 4" xfId="19940" xr:uid="{9B33FAD1-8255-46A1-8331-2E366B57A308}"/>
    <cellStyle name="Comma 2 6 3 2 5" xfId="4764" xr:uid="{F535758E-F3F4-4709-B6DC-EE431E275AF7}"/>
    <cellStyle name="Comma 2 6 3 2 5 2" xfId="13436" xr:uid="{E9EAB902-10F2-43AA-8F35-F66101E50A78}"/>
    <cellStyle name="Comma 2 6 3 2 5 2 2" xfId="30780" xr:uid="{B061B591-543C-4410-8CD1-7E836653C6A5}"/>
    <cellStyle name="Comma 2 6 3 2 5 3" xfId="22108" xr:uid="{A792E695-41A4-4E74-9C2A-D3D2C1980E09}"/>
    <cellStyle name="Comma 2 6 3 2 6" xfId="9100" xr:uid="{F745A1CD-CB22-4F30-B424-5FE04765B477}"/>
    <cellStyle name="Comma 2 6 3 2 6 2" xfId="26444" xr:uid="{F4467032-8549-4585-A926-67AF9553DE11}"/>
    <cellStyle name="Comma 2 6 3 2 7" xfId="17772" xr:uid="{5939F4C0-97EC-4CC7-93E6-7ADFF0B3733C}"/>
    <cellStyle name="Comma 2 6 3 3" xfId="699" xr:uid="{AF9E1776-A5D5-4105-B254-8CE64A2C7F47}"/>
    <cellStyle name="Comma 2 6 3 3 2" xfId="1783" xr:uid="{CA05BA04-557A-4C95-A984-A5AAD24B6FD8}"/>
    <cellStyle name="Comma 2 6 3 3 2 2" xfId="3951" xr:uid="{24D76457-51D9-4EFA-9311-196DC0158DD3}"/>
    <cellStyle name="Comma 2 6 3 3 2 2 2" xfId="8287" xr:uid="{1744DD91-56A3-4E05-AFC2-E67D807ED4DA}"/>
    <cellStyle name="Comma 2 6 3 3 2 2 2 2" xfId="16959" xr:uid="{87FC12DC-3C63-45F0-96FD-19A64FD6E5F9}"/>
    <cellStyle name="Comma 2 6 3 3 2 2 2 2 2" xfId="34303" xr:uid="{26DBE0FD-8864-4FBB-9630-CBD7328C42F6}"/>
    <cellStyle name="Comma 2 6 3 3 2 2 2 3" xfId="25631" xr:uid="{55E26B0E-F1C2-48AB-B283-6EEB5DBC8975}"/>
    <cellStyle name="Comma 2 6 3 3 2 2 3" xfId="12623" xr:uid="{D9E772E3-B428-49EC-BDEB-AA982EFA1CDA}"/>
    <cellStyle name="Comma 2 6 3 3 2 2 3 2" xfId="29967" xr:uid="{B884AFCC-1C43-465D-BBC6-D59D041FB3A2}"/>
    <cellStyle name="Comma 2 6 3 3 2 2 4" xfId="21295" xr:uid="{4F769EAD-43AE-4633-A0E8-390D10E88C7D}"/>
    <cellStyle name="Comma 2 6 3 3 2 3" xfId="6119" xr:uid="{0FCEA14C-22BC-4643-9A05-F549F3AD0FBC}"/>
    <cellStyle name="Comma 2 6 3 3 2 3 2" xfId="14791" xr:uid="{E202184D-7865-4251-A6DF-0CFE3C90059F}"/>
    <cellStyle name="Comma 2 6 3 3 2 3 2 2" xfId="32135" xr:uid="{B8DD598D-4EAB-4CDE-8D3B-873B226451C9}"/>
    <cellStyle name="Comma 2 6 3 3 2 3 3" xfId="23463" xr:uid="{012481B1-1367-4A69-AADA-284BBF2DCC85}"/>
    <cellStyle name="Comma 2 6 3 3 2 4" xfId="10455" xr:uid="{40E3ADAD-F891-43A4-B64B-672C1DB43EDA}"/>
    <cellStyle name="Comma 2 6 3 3 2 4 2" xfId="27799" xr:uid="{3A26B5C9-B904-40C8-95DF-861F9610014A}"/>
    <cellStyle name="Comma 2 6 3 3 2 5" xfId="19127" xr:uid="{6CEEA543-98A1-401A-9F9E-E4B84F7FF939}"/>
    <cellStyle name="Comma 2 6 3 3 3" xfId="2867" xr:uid="{98671A28-10B8-4AA7-80E2-6CC0866D3B1A}"/>
    <cellStyle name="Comma 2 6 3 3 3 2" xfId="7203" xr:uid="{5184BEB6-6C39-49A9-B9A9-296391C1A446}"/>
    <cellStyle name="Comma 2 6 3 3 3 2 2" xfId="15875" xr:uid="{CF418739-EB07-424D-9143-3EE0CBD30701}"/>
    <cellStyle name="Comma 2 6 3 3 3 2 2 2" xfId="33219" xr:uid="{F77A89C1-DC16-488B-893C-6A765001DABD}"/>
    <cellStyle name="Comma 2 6 3 3 3 2 3" xfId="24547" xr:uid="{FDD8C82B-7DCA-40C8-B2E5-7FE55FF960F0}"/>
    <cellStyle name="Comma 2 6 3 3 3 3" xfId="11539" xr:uid="{2BEEE399-A775-4548-A5BB-2B0BB3996A73}"/>
    <cellStyle name="Comma 2 6 3 3 3 3 2" xfId="28883" xr:uid="{91B9D872-0004-4D0B-A8FF-87675A221719}"/>
    <cellStyle name="Comma 2 6 3 3 3 4" xfId="20211" xr:uid="{EB16530E-CD98-4167-B088-5A8E8BAFED90}"/>
    <cellStyle name="Comma 2 6 3 3 4" xfId="5035" xr:uid="{4BCB5FA5-5743-4EC0-994D-B72A630CA827}"/>
    <cellStyle name="Comma 2 6 3 3 4 2" xfId="13707" xr:uid="{FAD40298-8DF8-4696-A891-A5A494BB8F69}"/>
    <cellStyle name="Comma 2 6 3 3 4 2 2" xfId="31051" xr:uid="{3FC718CD-E3F6-4A17-90DF-B6F844751A23}"/>
    <cellStyle name="Comma 2 6 3 3 4 3" xfId="22379" xr:uid="{6AA298E2-6517-4950-8D30-07437D119199}"/>
    <cellStyle name="Comma 2 6 3 3 5" xfId="9371" xr:uid="{958FA837-897A-4F4C-A49D-38A6532E3A56}"/>
    <cellStyle name="Comma 2 6 3 3 5 2" xfId="26715" xr:uid="{FB2EDEB5-B39F-4A57-9607-7C0C0CA051D0}"/>
    <cellStyle name="Comma 2 6 3 3 6" xfId="18043" xr:uid="{E8C2B2E1-BCAD-45C4-BD74-469D04FA6FF3}"/>
    <cellStyle name="Comma 2 6 3 4" xfId="1242" xr:uid="{167EDA4A-24C7-493E-A1FE-33447CD4696F}"/>
    <cellStyle name="Comma 2 6 3 4 2" xfId="3410" xr:uid="{AD6F6F2C-8787-4C29-B111-04E36380C19A}"/>
    <cellStyle name="Comma 2 6 3 4 2 2" xfId="7746" xr:uid="{3D75EE56-C717-4604-A505-530B24C99049}"/>
    <cellStyle name="Comma 2 6 3 4 2 2 2" xfId="16418" xr:uid="{A5A81C9A-7835-43D1-A213-150DA4E1EDD4}"/>
    <cellStyle name="Comma 2 6 3 4 2 2 2 2" xfId="33762" xr:uid="{47AC5E5E-3FE1-4949-9A09-1663C6C6A8BF}"/>
    <cellStyle name="Comma 2 6 3 4 2 2 3" xfId="25090" xr:uid="{2046FFFA-47C8-4548-B49A-FF914985C842}"/>
    <cellStyle name="Comma 2 6 3 4 2 3" xfId="12082" xr:uid="{010C2C05-AB29-4D5E-9B4E-B116C768D849}"/>
    <cellStyle name="Comma 2 6 3 4 2 3 2" xfId="29426" xr:uid="{E49F552A-A4D9-4196-8A4A-E080084A6697}"/>
    <cellStyle name="Comma 2 6 3 4 2 4" xfId="20754" xr:uid="{64AA228A-DD76-4194-A6E9-8B1D09088A99}"/>
    <cellStyle name="Comma 2 6 3 4 3" xfId="5578" xr:uid="{0CAA096D-199D-4C24-B705-C78181C1857B}"/>
    <cellStyle name="Comma 2 6 3 4 3 2" xfId="14250" xr:uid="{467DE372-C30A-4A71-B68A-F36E549CE247}"/>
    <cellStyle name="Comma 2 6 3 4 3 2 2" xfId="31594" xr:uid="{3AEB22E1-8B0B-4489-ADEE-981F34FE950E}"/>
    <cellStyle name="Comma 2 6 3 4 3 3" xfId="22922" xr:uid="{0EEBCA6C-693C-4C2A-86A9-085F94AF7BF7}"/>
    <cellStyle name="Comma 2 6 3 4 4" xfId="9914" xr:uid="{6844FC1A-FDAA-4CFE-BAB1-55667BCB1E10}"/>
    <cellStyle name="Comma 2 6 3 4 4 2" xfId="27258" xr:uid="{796C3046-A6A4-4632-9115-574C6075B1D3}"/>
    <cellStyle name="Comma 2 6 3 4 5" xfId="18586" xr:uid="{82A40028-3308-4882-93C4-A9C274A196D0}"/>
    <cellStyle name="Comma 2 6 3 5" xfId="2326" xr:uid="{374BE7FE-85EA-4005-A7DE-CB8DA1F0BEC6}"/>
    <cellStyle name="Comma 2 6 3 5 2" xfId="6662" xr:uid="{2462CECC-8A0A-4E31-9DD4-A6552F31DD50}"/>
    <cellStyle name="Comma 2 6 3 5 2 2" xfId="15334" xr:uid="{6CA0DE54-9FAA-4D82-BC61-29E3082772BB}"/>
    <cellStyle name="Comma 2 6 3 5 2 2 2" xfId="32678" xr:uid="{0AA7FAD6-8214-4DC9-9378-4CEFF4C5ED85}"/>
    <cellStyle name="Comma 2 6 3 5 2 3" xfId="24006" xr:uid="{AE190CE7-D048-4BB7-BFCF-A102A3E68B50}"/>
    <cellStyle name="Comma 2 6 3 5 3" xfId="10998" xr:uid="{BE43B1E3-EF83-4CAC-A146-5358885E1904}"/>
    <cellStyle name="Comma 2 6 3 5 3 2" xfId="28342" xr:uid="{4FC4E89E-7D7B-4AFB-A5FB-CD251FC987B3}"/>
    <cellStyle name="Comma 2 6 3 5 4" xfId="19670" xr:uid="{FD705F1D-1FFE-40DA-8280-45E7FFA19E25}"/>
    <cellStyle name="Comma 2 6 3 6" xfId="4494" xr:uid="{E4A2DD25-F5A9-450C-A9CC-D682956F5C60}"/>
    <cellStyle name="Comma 2 6 3 6 2" xfId="13166" xr:uid="{4394BFE7-2747-400B-914E-7CEB494FDB93}"/>
    <cellStyle name="Comma 2 6 3 6 2 2" xfId="30510" xr:uid="{1279A827-42AC-45D4-B99A-311A6E286F73}"/>
    <cellStyle name="Comma 2 6 3 6 3" xfId="21838" xr:uid="{AA71D40F-8E72-4C73-AD2C-A2A6D9711FE0}"/>
    <cellStyle name="Comma 2 6 3 7" xfId="8830" xr:uid="{4F1CEF56-A822-476C-B7AA-9B4751103042}"/>
    <cellStyle name="Comma 2 6 3 7 2" xfId="26174" xr:uid="{0AEBBDBB-67EC-49E4-988A-B15DEC8E3A17}"/>
    <cellStyle name="Comma 2 6 3 8" xfId="17502" xr:uid="{E569A646-2428-4688-8069-FFBD8957D673}"/>
    <cellStyle name="Comma 2 6 4" xfId="306" xr:uid="{4F835E22-9AC5-439C-8E2D-C172BD336D84}"/>
    <cellStyle name="Comma 2 6 4 2" xfId="847" xr:uid="{2609D865-EC56-4F8A-B02C-558354A681D9}"/>
    <cellStyle name="Comma 2 6 4 2 2" xfId="1931" xr:uid="{49A4BA12-F701-4A84-9E02-DDBD78BCBDE1}"/>
    <cellStyle name="Comma 2 6 4 2 2 2" xfId="4099" xr:uid="{955B826C-DD75-4544-83ED-DA928ED2C481}"/>
    <cellStyle name="Comma 2 6 4 2 2 2 2" xfId="8435" xr:uid="{34EA19D8-BB23-4B29-B74C-A76AE87B57AA}"/>
    <cellStyle name="Comma 2 6 4 2 2 2 2 2" xfId="17107" xr:uid="{62248580-4266-4C0C-9483-E3ADF001ECCE}"/>
    <cellStyle name="Comma 2 6 4 2 2 2 2 2 2" xfId="34451" xr:uid="{1F1CD5C4-2426-42B9-872D-505C86C6A1EE}"/>
    <cellStyle name="Comma 2 6 4 2 2 2 2 3" xfId="25779" xr:uid="{2BE23075-F409-4174-B449-441CD19831D5}"/>
    <cellStyle name="Comma 2 6 4 2 2 2 3" xfId="12771" xr:uid="{0BF8D6DF-E01B-4515-91BB-CB454BB86AAD}"/>
    <cellStyle name="Comma 2 6 4 2 2 2 3 2" xfId="30115" xr:uid="{B566D2F7-438F-41C8-AAC2-DABFC1DB5AB3}"/>
    <cellStyle name="Comma 2 6 4 2 2 2 4" xfId="21443" xr:uid="{288AE158-FE71-4907-9740-188AE7AF3EFE}"/>
    <cellStyle name="Comma 2 6 4 2 2 3" xfId="6267" xr:uid="{C831C38B-04F8-41B3-B3B7-06FC0C24AA4D}"/>
    <cellStyle name="Comma 2 6 4 2 2 3 2" xfId="14939" xr:uid="{4F05B158-66A0-4508-813B-E3C8E1E9CDC3}"/>
    <cellStyle name="Comma 2 6 4 2 2 3 2 2" xfId="32283" xr:uid="{D86D9202-3E54-4A72-8A26-1B6A6734A858}"/>
    <cellStyle name="Comma 2 6 4 2 2 3 3" xfId="23611" xr:uid="{2AFF78C5-752C-4825-B67A-87F84CF23E03}"/>
    <cellStyle name="Comma 2 6 4 2 2 4" xfId="10603" xr:uid="{81733645-3CBF-4B75-A4CB-0E17F07CA279}"/>
    <cellStyle name="Comma 2 6 4 2 2 4 2" xfId="27947" xr:uid="{BA860C76-506E-48C8-B326-B608539DB7D1}"/>
    <cellStyle name="Comma 2 6 4 2 2 5" xfId="19275" xr:uid="{8E2FCB2F-A1DB-4D3E-93A6-4E2CC3ADE522}"/>
    <cellStyle name="Comma 2 6 4 2 3" xfId="3015" xr:uid="{52BD4318-3E16-4649-99AB-4C61709E6CD0}"/>
    <cellStyle name="Comma 2 6 4 2 3 2" xfId="7351" xr:uid="{BB8F180B-1F0A-417B-AB99-1E94014ECB75}"/>
    <cellStyle name="Comma 2 6 4 2 3 2 2" xfId="16023" xr:uid="{4F717EC0-008D-464E-9955-50F05AF5DAEA}"/>
    <cellStyle name="Comma 2 6 4 2 3 2 2 2" xfId="33367" xr:uid="{DDD5CF7E-1D5D-45B4-952C-81103D90BEAD}"/>
    <cellStyle name="Comma 2 6 4 2 3 2 3" xfId="24695" xr:uid="{CA4D1649-5A94-4A4F-9D9A-53370EF10AAD}"/>
    <cellStyle name="Comma 2 6 4 2 3 3" xfId="11687" xr:uid="{E754838E-9698-40EC-88C6-5A1D84BEE6DD}"/>
    <cellStyle name="Comma 2 6 4 2 3 3 2" xfId="29031" xr:uid="{ACC55953-614E-45C8-A776-FAD277F8046A}"/>
    <cellStyle name="Comma 2 6 4 2 3 4" xfId="20359" xr:uid="{59ABC360-4A45-4659-B523-86DD952984D8}"/>
    <cellStyle name="Comma 2 6 4 2 4" xfId="5183" xr:uid="{2761B6CB-72A7-45AC-B715-2BE5F1B8EF08}"/>
    <cellStyle name="Comma 2 6 4 2 4 2" xfId="13855" xr:uid="{25C61289-AA29-42F4-AB30-915E6C40070B}"/>
    <cellStyle name="Comma 2 6 4 2 4 2 2" xfId="31199" xr:uid="{1FEE31A7-4706-44F0-894C-34C87DE219C0}"/>
    <cellStyle name="Comma 2 6 4 2 4 3" xfId="22527" xr:uid="{9E89C83B-B6A6-4AA6-9E4B-AC28BBCCB4CE}"/>
    <cellStyle name="Comma 2 6 4 2 5" xfId="9519" xr:uid="{99856565-F14E-4845-BD01-8F7BF1B69B93}"/>
    <cellStyle name="Comma 2 6 4 2 5 2" xfId="26863" xr:uid="{FF3CC135-F3B2-4DD7-9E3B-5E9BCC0094F4}"/>
    <cellStyle name="Comma 2 6 4 2 6" xfId="18191" xr:uid="{3FF267CC-C57A-4372-B793-25C4E803B637}"/>
    <cellStyle name="Comma 2 6 4 3" xfId="1390" xr:uid="{222433AE-D5F3-4139-A3CD-AC2FDB43D2AD}"/>
    <cellStyle name="Comma 2 6 4 3 2" xfId="3558" xr:uid="{0D28D601-E2D8-43B6-802F-3659EE4924AC}"/>
    <cellStyle name="Comma 2 6 4 3 2 2" xfId="7894" xr:uid="{CF91A0FA-F130-4DE6-9312-D537F3D14AF3}"/>
    <cellStyle name="Comma 2 6 4 3 2 2 2" xfId="16566" xr:uid="{4F990F37-1E11-47AE-87C9-FBE47658087D}"/>
    <cellStyle name="Comma 2 6 4 3 2 2 2 2" xfId="33910" xr:uid="{3B65346B-83B0-4FDE-896E-B78365B1A8F3}"/>
    <cellStyle name="Comma 2 6 4 3 2 2 3" xfId="25238" xr:uid="{DED11CD3-4E00-425F-B64E-2E2FD34DD609}"/>
    <cellStyle name="Comma 2 6 4 3 2 3" xfId="12230" xr:uid="{7CEB7B2F-B6AB-40DA-B428-096FA14CCD58}"/>
    <cellStyle name="Comma 2 6 4 3 2 3 2" xfId="29574" xr:uid="{B0856463-4520-4ADB-8D48-7FD0ABB91A9E}"/>
    <cellStyle name="Comma 2 6 4 3 2 4" xfId="20902" xr:uid="{DAAEB369-BBF9-4E14-891B-9E08804EEE53}"/>
    <cellStyle name="Comma 2 6 4 3 3" xfId="5726" xr:uid="{56888C26-A6A1-45E8-BF81-6B0C3CA10727}"/>
    <cellStyle name="Comma 2 6 4 3 3 2" xfId="14398" xr:uid="{A2B83677-99BF-4F1E-A649-69E29D57320F}"/>
    <cellStyle name="Comma 2 6 4 3 3 2 2" xfId="31742" xr:uid="{D6325583-8980-4D28-9D5E-261FB15B84EC}"/>
    <cellStyle name="Comma 2 6 4 3 3 3" xfId="23070" xr:uid="{B1BAA6DC-1080-43A2-84E2-C9E21CA218B7}"/>
    <cellStyle name="Comma 2 6 4 3 4" xfId="10062" xr:uid="{78A59084-C9CE-42C1-9281-053BD80954D9}"/>
    <cellStyle name="Comma 2 6 4 3 4 2" xfId="27406" xr:uid="{F750B62D-BFDE-4D0B-9E10-AAA657B43899}"/>
    <cellStyle name="Comma 2 6 4 3 5" xfId="18734" xr:uid="{A4A2AD14-33FD-4063-9530-E86A0F2A2EED}"/>
    <cellStyle name="Comma 2 6 4 4" xfId="2474" xr:uid="{76645C97-E9A6-4252-B3CA-1079FD9B9DBC}"/>
    <cellStyle name="Comma 2 6 4 4 2" xfId="6810" xr:uid="{512C3C2B-76AB-4B44-956D-AAF86B65F011}"/>
    <cellStyle name="Comma 2 6 4 4 2 2" xfId="15482" xr:uid="{1077EFAC-5CDF-4695-89B5-0D226FD2070F}"/>
    <cellStyle name="Comma 2 6 4 4 2 2 2" xfId="32826" xr:uid="{00DA4C20-DB05-4A7F-A350-BEA9266E182D}"/>
    <cellStyle name="Comma 2 6 4 4 2 3" xfId="24154" xr:uid="{BA9B0162-87A5-4D23-B1CC-D630E649151D}"/>
    <cellStyle name="Comma 2 6 4 4 3" xfId="11146" xr:uid="{4326CE0F-EE6D-4CA9-BE3B-37AADE3A1FE8}"/>
    <cellStyle name="Comma 2 6 4 4 3 2" xfId="28490" xr:uid="{C9D9EF55-57A0-459F-97C5-EF403CE2CE5F}"/>
    <cellStyle name="Comma 2 6 4 4 4" xfId="19818" xr:uid="{6038B8E7-58B0-4277-9BAE-D603F8EAD293}"/>
    <cellStyle name="Comma 2 6 4 5" xfId="4642" xr:uid="{26C01FBF-F175-4FE2-96D8-E2A16BCD5F6E}"/>
    <cellStyle name="Comma 2 6 4 5 2" xfId="13314" xr:uid="{AEE33006-D385-4F2E-8C71-C486FF792332}"/>
    <cellStyle name="Comma 2 6 4 5 2 2" xfId="30658" xr:uid="{8B69D3BE-2A98-47AA-9871-168E274EF685}"/>
    <cellStyle name="Comma 2 6 4 5 3" xfId="21986" xr:uid="{6803F883-A522-4DFE-A871-AFE710201EF9}"/>
    <cellStyle name="Comma 2 6 4 6" xfId="8978" xr:uid="{7B1006D0-6517-43C7-98E3-9177DCFFE5FB}"/>
    <cellStyle name="Comma 2 6 4 6 2" xfId="26322" xr:uid="{B0DC30D3-D362-43AE-8876-E09305388140}"/>
    <cellStyle name="Comma 2 6 4 7" xfId="17650" xr:uid="{60E778F0-D8B9-4C21-8C21-6377CD198DAD}"/>
    <cellStyle name="Comma 2 6 5" xfId="577" xr:uid="{BD819537-3B3D-40AA-8D22-C6758B6ACDA4}"/>
    <cellStyle name="Comma 2 6 5 2" xfId="1661" xr:uid="{5D3A6550-7312-455E-B5B7-EFC8FA1DC7BB}"/>
    <cellStyle name="Comma 2 6 5 2 2" xfId="3829" xr:uid="{10634136-9A96-4FEC-A989-9E58DDF25A0A}"/>
    <cellStyle name="Comma 2 6 5 2 2 2" xfId="8165" xr:uid="{089DA884-517B-46B1-BA77-A7B3437D9518}"/>
    <cellStyle name="Comma 2 6 5 2 2 2 2" xfId="16837" xr:uid="{279774AF-BF85-4AF6-9DE6-A10DA7F7E9EE}"/>
    <cellStyle name="Comma 2 6 5 2 2 2 2 2" xfId="34181" xr:uid="{38F7A275-A179-4885-BBA9-5D7E19EF0B48}"/>
    <cellStyle name="Comma 2 6 5 2 2 2 3" xfId="25509" xr:uid="{19DAFA36-ACA1-4F93-91D1-0C7082FA6F7A}"/>
    <cellStyle name="Comma 2 6 5 2 2 3" xfId="12501" xr:uid="{8FE3B767-6D74-4DCD-A216-1992A66D4047}"/>
    <cellStyle name="Comma 2 6 5 2 2 3 2" xfId="29845" xr:uid="{65EEBC05-61EC-4AC4-B0FF-64BE673BD8FD}"/>
    <cellStyle name="Comma 2 6 5 2 2 4" xfId="21173" xr:uid="{474977D9-A144-4DD7-8F5C-2A95CCDB3E61}"/>
    <cellStyle name="Comma 2 6 5 2 3" xfId="5997" xr:uid="{E02F97FD-63F9-4B72-B735-025154BA5E48}"/>
    <cellStyle name="Comma 2 6 5 2 3 2" xfId="14669" xr:uid="{F7A6C39F-47DF-4C68-8824-784DE84C1279}"/>
    <cellStyle name="Comma 2 6 5 2 3 2 2" xfId="32013" xr:uid="{5EDE0E49-BC50-4FCF-9852-6669419CB03D}"/>
    <cellStyle name="Comma 2 6 5 2 3 3" xfId="23341" xr:uid="{95DC6889-89CB-4FCF-9FCB-8C2DB7F00C38}"/>
    <cellStyle name="Comma 2 6 5 2 4" xfId="10333" xr:uid="{BE146AEB-640D-4448-98B0-ACD2F0A36685}"/>
    <cellStyle name="Comma 2 6 5 2 4 2" xfId="27677" xr:uid="{59F540F5-7729-48FD-A76F-6C11C78534E3}"/>
    <cellStyle name="Comma 2 6 5 2 5" xfId="19005" xr:uid="{6F1FA066-447F-45ED-9F82-60F89A1F4317}"/>
    <cellStyle name="Comma 2 6 5 3" xfId="2745" xr:uid="{38A30ED1-4FAD-46B2-B717-A5E6CDB1D454}"/>
    <cellStyle name="Comma 2 6 5 3 2" xfId="7081" xr:uid="{1DCC224F-24D1-45FB-8747-2F5476DB0595}"/>
    <cellStyle name="Comma 2 6 5 3 2 2" xfId="15753" xr:uid="{954E4EF1-4C73-401E-804C-239D8B7BCFC5}"/>
    <cellStyle name="Comma 2 6 5 3 2 2 2" xfId="33097" xr:uid="{EE9FB5F6-5502-4916-8D88-26C16DF29FFC}"/>
    <cellStyle name="Comma 2 6 5 3 2 3" xfId="24425" xr:uid="{4DAA64A1-7875-4CBB-89D8-974E4E4BF2F4}"/>
    <cellStyle name="Comma 2 6 5 3 3" xfId="11417" xr:uid="{758835BA-5A8F-4991-B44B-2A62B0440D9F}"/>
    <cellStyle name="Comma 2 6 5 3 3 2" xfId="28761" xr:uid="{73FCD540-BFF3-49EC-9C76-597A4D5539F6}"/>
    <cellStyle name="Comma 2 6 5 3 4" xfId="20089" xr:uid="{108A877B-7C54-4BC1-B58C-777B6B924376}"/>
    <cellStyle name="Comma 2 6 5 4" xfId="4913" xr:uid="{11621E56-C518-4185-9D18-6B352031A4DB}"/>
    <cellStyle name="Comma 2 6 5 4 2" xfId="13585" xr:uid="{74F89FE8-275D-45DE-A7AE-A365465695D5}"/>
    <cellStyle name="Comma 2 6 5 4 2 2" xfId="30929" xr:uid="{EE378485-8E52-4EBD-B59C-BAB1339B92B6}"/>
    <cellStyle name="Comma 2 6 5 4 3" xfId="22257" xr:uid="{C73ACA9F-3776-45A4-9ED6-0CEB255E8E57}"/>
    <cellStyle name="Comma 2 6 5 5" xfId="9249" xr:uid="{EA4A7A0F-5D23-4E05-8D0F-12A6A2233E46}"/>
    <cellStyle name="Comma 2 6 5 5 2" xfId="26593" xr:uid="{0B49FE98-1F5B-493C-84F2-AA6230671AAA}"/>
    <cellStyle name="Comma 2 6 5 6" xfId="17921" xr:uid="{7B2ADF57-A4A3-4936-B2B4-0F2D6031BDA1}"/>
    <cellStyle name="Comma 2 6 6" xfId="1120" xr:uid="{6F764F9E-5D4D-478B-A8D4-230B0863551E}"/>
    <cellStyle name="Comma 2 6 6 2" xfId="3288" xr:uid="{4C5F78F8-940E-46B3-B6DE-07D63DAD6843}"/>
    <cellStyle name="Comma 2 6 6 2 2" xfId="7624" xr:uid="{8B1F515A-1B75-49E3-9829-8C6F5D1C9F9F}"/>
    <cellStyle name="Comma 2 6 6 2 2 2" xfId="16296" xr:uid="{14254543-AB41-4841-A305-19563FE6FBA6}"/>
    <cellStyle name="Comma 2 6 6 2 2 2 2" xfId="33640" xr:uid="{9BB6402F-0661-4D1B-8D58-8F3556DD34C4}"/>
    <cellStyle name="Comma 2 6 6 2 2 3" xfId="24968" xr:uid="{798B747C-B9B9-429F-B89C-45B301519B8C}"/>
    <cellStyle name="Comma 2 6 6 2 3" xfId="11960" xr:uid="{FD59C42B-0AE1-49CB-BE9A-53805E52013B}"/>
    <cellStyle name="Comma 2 6 6 2 3 2" xfId="29304" xr:uid="{5C8F2350-69B9-49B9-8733-F26D68DAEB47}"/>
    <cellStyle name="Comma 2 6 6 2 4" xfId="20632" xr:uid="{6297D124-73CF-4EC8-9C3F-B483A25BE547}"/>
    <cellStyle name="Comma 2 6 6 3" xfId="5456" xr:uid="{6DDC02D4-B2EE-484E-8472-DD1512DC75C4}"/>
    <cellStyle name="Comma 2 6 6 3 2" xfId="14128" xr:uid="{F9F63CA9-22EB-4E30-9A54-420BEFE97846}"/>
    <cellStyle name="Comma 2 6 6 3 2 2" xfId="31472" xr:uid="{22E0525C-4011-4055-B1EF-403AB653EBA1}"/>
    <cellStyle name="Comma 2 6 6 3 3" xfId="22800" xr:uid="{D4159B4F-BB77-4AE5-BED7-FB57E2E4F4B4}"/>
    <cellStyle name="Comma 2 6 6 4" xfId="9792" xr:uid="{B2433A8E-8A1D-41EE-B813-D917C43C00DE}"/>
    <cellStyle name="Comma 2 6 6 4 2" xfId="27136" xr:uid="{CFB2FC0F-19F8-4F47-97F5-09FC9943FFC6}"/>
    <cellStyle name="Comma 2 6 6 5" xfId="18464" xr:uid="{EA984D4B-BBAF-44F7-8334-C4C83D75B82E}"/>
    <cellStyle name="Comma 2 6 7" xfId="2204" xr:uid="{1F1FE093-9B22-4E0C-AB51-A56C8EA959EF}"/>
    <cellStyle name="Comma 2 6 7 2" xfId="6540" xr:uid="{0C6D4C61-A9DB-41ED-B373-7FB0FB81985B}"/>
    <cellStyle name="Comma 2 6 7 2 2" xfId="15212" xr:uid="{45772803-C65C-4889-8766-1CE0ECD78DCD}"/>
    <cellStyle name="Comma 2 6 7 2 2 2" xfId="32556" xr:uid="{DF330F9C-67F5-45E1-A0DE-5766CA3D9010}"/>
    <cellStyle name="Comma 2 6 7 2 3" xfId="23884" xr:uid="{F0C2A47D-5ED8-42BF-A5E5-FC3344F8F721}"/>
    <cellStyle name="Comma 2 6 7 3" xfId="10876" xr:uid="{D9698999-3A83-4393-A703-FE0A12D18090}"/>
    <cellStyle name="Comma 2 6 7 3 2" xfId="28220" xr:uid="{C9A3E3CF-20EF-410F-B294-911BE9F7CBCA}"/>
    <cellStyle name="Comma 2 6 7 4" xfId="19548" xr:uid="{0149AEC6-08CB-4362-9190-48D96759DE42}"/>
    <cellStyle name="Comma 2 6 8" xfId="4372" xr:uid="{19AC1319-9A07-4937-B2F4-BFEAFAE0B5E5}"/>
    <cellStyle name="Comma 2 6 8 2" xfId="13044" xr:uid="{126FEEC3-6202-4AE7-AA50-5530E4AF4C2F}"/>
    <cellStyle name="Comma 2 6 8 2 2" xfId="30388" xr:uid="{E0A61249-4421-44CF-A566-93AAB8E52E7E}"/>
    <cellStyle name="Comma 2 6 8 3" xfId="21716" xr:uid="{E956F0AA-07FC-4DC5-8D7B-A67920AC5399}"/>
    <cellStyle name="Comma 2 6 9" xfId="8708" xr:uid="{20672579-0D30-407F-8858-ECE70B3D3E73}"/>
    <cellStyle name="Comma 2 6 9 2" xfId="26052" xr:uid="{5B1D1F7E-B851-4E58-A65E-7B90B63C58CD}"/>
    <cellStyle name="Comma 2 7" xfId="44" xr:uid="{30F16DE2-9BB6-4F55-9B73-5FAC34E84DCD}"/>
    <cellStyle name="Comma 2 7 10" xfId="17388" xr:uid="{6DA033D4-1B01-426D-A6F9-E68BA99311A9}"/>
    <cellStyle name="Comma 2 7 2" xfId="105" xr:uid="{89C52B06-DC32-4AB1-A3B6-0828FAC8F869}"/>
    <cellStyle name="Comma 2 7 2 2" xfId="227" xr:uid="{5D66CDFE-E59B-44AA-94BE-C7AD9565673B}"/>
    <cellStyle name="Comma 2 7 2 2 2" xfId="497" xr:uid="{64E68232-D8E3-4A23-9D3D-13E22D6B661A}"/>
    <cellStyle name="Comma 2 7 2 2 2 2" xfId="1038" xr:uid="{71806723-A98E-44DF-B2F4-B1837D679AD5}"/>
    <cellStyle name="Comma 2 7 2 2 2 2 2" xfId="2122" xr:uid="{1A1E4F19-B12D-4CD9-A925-1D99F839F4FC}"/>
    <cellStyle name="Comma 2 7 2 2 2 2 2 2" xfId="4290" xr:uid="{ABB2A4D6-DA51-4DE8-8094-F78E0395A942}"/>
    <cellStyle name="Comma 2 7 2 2 2 2 2 2 2" xfId="8626" xr:uid="{A6AF0EA3-F0B4-43A0-A973-ACB7259BC73C}"/>
    <cellStyle name="Comma 2 7 2 2 2 2 2 2 2 2" xfId="17298" xr:uid="{019AAFA4-734D-450A-90C4-5EDABC553069}"/>
    <cellStyle name="Comma 2 7 2 2 2 2 2 2 2 2 2" xfId="34642" xr:uid="{8C2F28F4-BCBA-4C2B-9B18-DD53C004F2F1}"/>
    <cellStyle name="Comma 2 7 2 2 2 2 2 2 2 3" xfId="25970" xr:uid="{D2A850F7-55EB-43DF-BEF2-FE0411185D23}"/>
    <cellStyle name="Comma 2 7 2 2 2 2 2 2 3" xfId="12962" xr:uid="{C0638C3F-CF82-4170-9615-A10E9C51986D}"/>
    <cellStyle name="Comma 2 7 2 2 2 2 2 2 3 2" xfId="30306" xr:uid="{2C486556-D921-4573-A8E6-3746B7FF10ED}"/>
    <cellStyle name="Comma 2 7 2 2 2 2 2 2 4" xfId="21634" xr:uid="{61F44E6A-A488-4DC1-B87B-D9CE59CCC700}"/>
    <cellStyle name="Comma 2 7 2 2 2 2 2 3" xfId="6458" xr:uid="{BD6705BC-AC49-419C-B258-44518FCC8385}"/>
    <cellStyle name="Comma 2 7 2 2 2 2 2 3 2" xfId="15130" xr:uid="{2649C8B4-8825-411B-8D94-6CC5BD6A5ED7}"/>
    <cellStyle name="Comma 2 7 2 2 2 2 2 3 2 2" xfId="32474" xr:uid="{4043A72F-C371-4277-87BD-DDC97E1F9A06}"/>
    <cellStyle name="Comma 2 7 2 2 2 2 2 3 3" xfId="23802" xr:uid="{08795249-0782-4C89-92E0-78699EADDB81}"/>
    <cellStyle name="Comma 2 7 2 2 2 2 2 4" xfId="10794" xr:uid="{2258CF1C-C619-4B1D-B7F9-C5DE19BB4347}"/>
    <cellStyle name="Comma 2 7 2 2 2 2 2 4 2" xfId="28138" xr:uid="{3BCB23D4-D2FA-4684-8CCB-93B9E7CBD968}"/>
    <cellStyle name="Comma 2 7 2 2 2 2 2 5" xfId="19466" xr:uid="{B9E8A0B5-9BBD-43BE-BBDB-DA3080338426}"/>
    <cellStyle name="Comma 2 7 2 2 2 2 3" xfId="3206" xr:uid="{79F598FB-3A9B-4DB6-B6B9-F089D3CE7D00}"/>
    <cellStyle name="Comma 2 7 2 2 2 2 3 2" xfId="7542" xr:uid="{0EA5B46F-1CB1-4E66-8566-DAF8513955EA}"/>
    <cellStyle name="Comma 2 7 2 2 2 2 3 2 2" xfId="16214" xr:uid="{4FC83F9A-35D9-4C96-93CF-C0DF49E94E61}"/>
    <cellStyle name="Comma 2 7 2 2 2 2 3 2 2 2" xfId="33558" xr:uid="{7B2B5A26-D11F-4214-8468-DF6BD79584E3}"/>
    <cellStyle name="Comma 2 7 2 2 2 2 3 2 3" xfId="24886" xr:uid="{5B71420C-EB62-4E40-82F8-76FE5C75F547}"/>
    <cellStyle name="Comma 2 7 2 2 2 2 3 3" xfId="11878" xr:uid="{61743E82-0E25-4ADC-9C30-91D707DCF9EC}"/>
    <cellStyle name="Comma 2 7 2 2 2 2 3 3 2" xfId="29222" xr:uid="{254D2F51-7D47-4840-9E28-FB3B17A21730}"/>
    <cellStyle name="Comma 2 7 2 2 2 2 3 4" xfId="20550" xr:uid="{A5A46FEC-C053-4102-B017-1A97E85B59DF}"/>
    <cellStyle name="Comma 2 7 2 2 2 2 4" xfId="5374" xr:uid="{89DD504F-DD97-472E-BF24-5FAC522F46B1}"/>
    <cellStyle name="Comma 2 7 2 2 2 2 4 2" xfId="14046" xr:uid="{56E5A722-D0C3-4476-9EF9-C82FCBF50BD7}"/>
    <cellStyle name="Comma 2 7 2 2 2 2 4 2 2" xfId="31390" xr:uid="{F2CDBB22-DB28-4FA0-A10C-8A517A9675E2}"/>
    <cellStyle name="Comma 2 7 2 2 2 2 4 3" xfId="22718" xr:uid="{A61D4D91-7CC9-4DDF-AC92-ADBDED3E28A5}"/>
    <cellStyle name="Comma 2 7 2 2 2 2 5" xfId="9710" xr:uid="{CEC09C6A-A5D9-492D-884D-773CDF07C047}"/>
    <cellStyle name="Comma 2 7 2 2 2 2 5 2" xfId="27054" xr:uid="{803D6746-E4D5-4930-BEB8-3F4E757CCFE5}"/>
    <cellStyle name="Comma 2 7 2 2 2 2 6" xfId="18382" xr:uid="{62A3ED6E-3FCF-4D89-BF64-66DBA5BB6BAB}"/>
    <cellStyle name="Comma 2 7 2 2 2 3" xfId="1581" xr:uid="{32F1F12B-CBD6-4C48-A280-DF13AB3247A3}"/>
    <cellStyle name="Comma 2 7 2 2 2 3 2" xfId="3749" xr:uid="{4F0C7BD9-5000-43DE-A83F-999702F7D8B6}"/>
    <cellStyle name="Comma 2 7 2 2 2 3 2 2" xfId="8085" xr:uid="{552DDCC8-A622-4229-ACAC-28773B9B3E1C}"/>
    <cellStyle name="Comma 2 7 2 2 2 3 2 2 2" xfId="16757" xr:uid="{30375408-BFF2-41B5-9795-009669D0EAFE}"/>
    <cellStyle name="Comma 2 7 2 2 2 3 2 2 2 2" xfId="34101" xr:uid="{59DD335C-3EBE-4642-B656-6C370F20398B}"/>
    <cellStyle name="Comma 2 7 2 2 2 3 2 2 3" xfId="25429" xr:uid="{B47ACBA1-EB18-4B46-A8D8-C2F156D4E160}"/>
    <cellStyle name="Comma 2 7 2 2 2 3 2 3" xfId="12421" xr:uid="{8525B4EC-E516-40E8-B1BF-37A6750DBF66}"/>
    <cellStyle name="Comma 2 7 2 2 2 3 2 3 2" xfId="29765" xr:uid="{B4907C93-0C2A-4E1D-B1D7-850D28635BFA}"/>
    <cellStyle name="Comma 2 7 2 2 2 3 2 4" xfId="21093" xr:uid="{2D98864C-B4C0-4C55-B718-C89E1FD2015C}"/>
    <cellStyle name="Comma 2 7 2 2 2 3 3" xfId="5917" xr:uid="{97E5A501-3D59-4889-B95E-595D6FA739DE}"/>
    <cellStyle name="Comma 2 7 2 2 2 3 3 2" xfId="14589" xr:uid="{C03322AE-8B72-48D7-9FEE-98EAE1A0416E}"/>
    <cellStyle name="Comma 2 7 2 2 2 3 3 2 2" xfId="31933" xr:uid="{3159E2AD-6F09-4D7D-B8F9-44502445F190}"/>
    <cellStyle name="Comma 2 7 2 2 2 3 3 3" xfId="23261" xr:uid="{25718512-2D93-4F86-9046-7EF71C84D781}"/>
    <cellStyle name="Comma 2 7 2 2 2 3 4" xfId="10253" xr:uid="{47B6E10A-8406-4CE6-86BD-C7DDD31C4C38}"/>
    <cellStyle name="Comma 2 7 2 2 2 3 4 2" xfId="27597" xr:uid="{C2DE2192-F274-4478-8E91-25892A0B62C9}"/>
    <cellStyle name="Comma 2 7 2 2 2 3 5" xfId="18925" xr:uid="{AA48648A-313C-44FD-A5DE-052361ED16B4}"/>
    <cellStyle name="Comma 2 7 2 2 2 4" xfId="2665" xr:uid="{A2383211-08B6-4A30-B19C-FCADBDE0A1D5}"/>
    <cellStyle name="Comma 2 7 2 2 2 4 2" xfId="7001" xr:uid="{45EE7E50-6A58-450D-A172-FCDDE62E9B92}"/>
    <cellStyle name="Comma 2 7 2 2 2 4 2 2" xfId="15673" xr:uid="{1A0AC552-25E6-4D07-AE71-2F3736262F89}"/>
    <cellStyle name="Comma 2 7 2 2 2 4 2 2 2" xfId="33017" xr:uid="{4D041EB3-2B66-4D09-8D73-1A9DDF192674}"/>
    <cellStyle name="Comma 2 7 2 2 2 4 2 3" xfId="24345" xr:uid="{3F1E39ED-94DC-4C93-B89C-78F53E6A7783}"/>
    <cellStyle name="Comma 2 7 2 2 2 4 3" xfId="11337" xr:uid="{BBE4EAF4-05BB-4912-95C1-99D764630136}"/>
    <cellStyle name="Comma 2 7 2 2 2 4 3 2" xfId="28681" xr:uid="{4EE61628-CE1D-4C82-8F16-4ED6C3AB6238}"/>
    <cellStyle name="Comma 2 7 2 2 2 4 4" xfId="20009" xr:uid="{08F66CE6-F87B-4E39-B273-C87F1383C36A}"/>
    <cellStyle name="Comma 2 7 2 2 2 5" xfId="4833" xr:uid="{6F31409B-8103-4796-A11C-165376ABB180}"/>
    <cellStyle name="Comma 2 7 2 2 2 5 2" xfId="13505" xr:uid="{2CB12104-B53B-4908-A9B8-EF88E9414E26}"/>
    <cellStyle name="Comma 2 7 2 2 2 5 2 2" xfId="30849" xr:uid="{7137FBCA-2990-40C3-BB40-D56DDF803692}"/>
    <cellStyle name="Comma 2 7 2 2 2 5 3" xfId="22177" xr:uid="{D44E7EE3-B9D7-475F-AE44-D16528B47B83}"/>
    <cellStyle name="Comma 2 7 2 2 2 6" xfId="9169" xr:uid="{DBC57120-848B-4C70-B406-3FBB20F4FCC8}"/>
    <cellStyle name="Comma 2 7 2 2 2 6 2" xfId="26513" xr:uid="{46332B0C-EA9D-4A77-B6DD-713662D0AF5F}"/>
    <cellStyle name="Comma 2 7 2 2 2 7" xfId="17841" xr:uid="{AD94FBCD-BD84-45ED-953D-9DAB8CE0C0A8}"/>
    <cellStyle name="Comma 2 7 2 2 3" xfId="768" xr:uid="{8A7DA864-EBCD-4D82-B675-C68344C813BE}"/>
    <cellStyle name="Comma 2 7 2 2 3 2" xfId="1852" xr:uid="{140B4EC6-255B-437A-AFAD-23B54F6BE0CC}"/>
    <cellStyle name="Comma 2 7 2 2 3 2 2" xfId="4020" xr:uid="{19EC3803-BE08-445C-BF97-F2B6EBB95223}"/>
    <cellStyle name="Comma 2 7 2 2 3 2 2 2" xfId="8356" xr:uid="{09EB7F86-8D9E-4DD2-BEF5-6761EBB4689A}"/>
    <cellStyle name="Comma 2 7 2 2 3 2 2 2 2" xfId="17028" xr:uid="{324683D4-7F86-4B39-879C-517D5C8569A7}"/>
    <cellStyle name="Comma 2 7 2 2 3 2 2 2 2 2" xfId="34372" xr:uid="{FF4EFEC2-890D-4C6E-9BFD-FB69809030BE}"/>
    <cellStyle name="Comma 2 7 2 2 3 2 2 2 3" xfId="25700" xr:uid="{32838AC0-599B-4A5C-8602-13FFE6B47256}"/>
    <cellStyle name="Comma 2 7 2 2 3 2 2 3" xfId="12692" xr:uid="{E7BD2DF3-A137-4C89-967C-BA9EC2913558}"/>
    <cellStyle name="Comma 2 7 2 2 3 2 2 3 2" xfId="30036" xr:uid="{3F1A2E62-B1EB-41B8-8806-5ED5F134E5C2}"/>
    <cellStyle name="Comma 2 7 2 2 3 2 2 4" xfId="21364" xr:uid="{232CA94F-163B-4EE5-8A85-B43FF8B459F6}"/>
    <cellStyle name="Comma 2 7 2 2 3 2 3" xfId="6188" xr:uid="{50C0A785-1266-443A-9A13-A9F812B6CE39}"/>
    <cellStyle name="Comma 2 7 2 2 3 2 3 2" xfId="14860" xr:uid="{778C19A5-6B8F-45DE-A040-63CBAE0B7761}"/>
    <cellStyle name="Comma 2 7 2 2 3 2 3 2 2" xfId="32204" xr:uid="{93236C97-881E-42ED-8F48-4B95AE6754E0}"/>
    <cellStyle name="Comma 2 7 2 2 3 2 3 3" xfId="23532" xr:uid="{4E1EE890-D019-46CA-B001-3FA7FA3485A7}"/>
    <cellStyle name="Comma 2 7 2 2 3 2 4" xfId="10524" xr:uid="{605E94F9-2D5A-4AE2-8174-DBFD6E988205}"/>
    <cellStyle name="Comma 2 7 2 2 3 2 4 2" xfId="27868" xr:uid="{556C8591-0E07-4902-BE3D-1BE957B76E28}"/>
    <cellStyle name="Comma 2 7 2 2 3 2 5" xfId="19196" xr:uid="{A8B76C9C-A058-44DF-8307-331C6F7C1DB0}"/>
    <cellStyle name="Comma 2 7 2 2 3 3" xfId="2936" xr:uid="{4550FE4E-2A7F-4067-A690-91715B2F8629}"/>
    <cellStyle name="Comma 2 7 2 2 3 3 2" xfId="7272" xr:uid="{1CC846BC-71CA-44B6-9A13-D55A32FD5E06}"/>
    <cellStyle name="Comma 2 7 2 2 3 3 2 2" xfId="15944" xr:uid="{7DD1320B-12FE-4A56-A83F-141B4F005BEE}"/>
    <cellStyle name="Comma 2 7 2 2 3 3 2 2 2" xfId="33288" xr:uid="{3861683B-9FE6-4817-BC2E-C9BFAEDD82C6}"/>
    <cellStyle name="Comma 2 7 2 2 3 3 2 3" xfId="24616" xr:uid="{2B708B76-644A-4D27-8385-9BF08F509E10}"/>
    <cellStyle name="Comma 2 7 2 2 3 3 3" xfId="11608" xr:uid="{5D926754-9C2C-445E-99CE-C68DB02FE924}"/>
    <cellStyle name="Comma 2 7 2 2 3 3 3 2" xfId="28952" xr:uid="{717F2BD9-9862-4FC1-8D47-1E6BC5DFC7FB}"/>
    <cellStyle name="Comma 2 7 2 2 3 3 4" xfId="20280" xr:uid="{41461C40-655D-4F45-A3A6-E2FF286AAACD}"/>
    <cellStyle name="Comma 2 7 2 2 3 4" xfId="5104" xr:uid="{CCC7D950-2965-453C-9C5E-A014572674B1}"/>
    <cellStyle name="Comma 2 7 2 2 3 4 2" xfId="13776" xr:uid="{6FB402A4-D62B-44C6-848A-7131B2980B88}"/>
    <cellStyle name="Comma 2 7 2 2 3 4 2 2" xfId="31120" xr:uid="{460457F9-272E-4D87-BE77-7239188F755B}"/>
    <cellStyle name="Comma 2 7 2 2 3 4 3" xfId="22448" xr:uid="{2E98F32F-25C7-4BEA-AD3D-E2842F7ECCA5}"/>
    <cellStyle name="Comma 2 7 2 2 3 5" xfId="9440" xr:uid="{6920E884-01B9-48ED-9607-CC430FB5474C}"/>
    <cellStyle name="Comma 2 7 2 2 3 5 2" xfId="26784" xr:uid="{B68FD0CA-8603-4B1C-8540-04F0405B2581}"/>
    <cellStyle name="Comma 2 7 2 2 3 6" xfId="18112" xr:uid="{05B9D582-07B3-4A0C-9220-A5EDCBB2E5D1}"/>
    <cellStyle name="Comma 2 7 2 2 4" xfId="1311" xr:uid="{378EB1A8-7371-4F32-B529-C0EA77756F89}"/>
    <cellStyle name="Comma 2 7 2 2 4 2" xfId="3479" xr:uid="{7263F62B-AC6B-40B1-9AAF-D0853466F87F}"/>
    <cellStyle name="Comma 2 7 2 2 4 2 2" xfId="7815" xr:uid="{8E43BBFC-7CBA-4DCD-AC69-DBD510537D7B}"/>
    <cellStyle name="Comma 2 7 2 2 4 2 2 2" xfId="16487" xr:uid="{986347DD-28E0-47CF-9728-A9F069D82E0B}"/>
    <cellStyle name="Comma 2 7 2 2 4 2 2 2 2" xfId="33831" xr:uid="{3E2A51F1-1159-46B6-8C36-2D49EDF76978}"/>
    <cellStyle name="Comma 2 7 2 2 4 2 2 3" xfId="25159" xr:uid="{B5E4B0A0-5D0E-4709-8EC4-3FA0072EA3FD}"/>
    <cellStyle name="Comma 2 7 2 2 4 2 3" xfId="12151" xr:uid="{4143961E-7EC7-4DB4-8786-7DCBB2326D31}"/>
    <cellStyle name="Comma 2 7 2 2 4 2 3 2" xfId="29495" xr:uid="{04FCE19B-4B61-4469-8E8F-F9CA309C7476}"/>
    <cellStyle name="Comma 2 7 2 2 4 2 4" xfId="20823" xr:uid="{AC2BF9EE-D2CD-407F-AFC1-561039EF2766}"/>
    <cellStyle name="Comma 2 7 2 2 4 3" xfId="5647" xr:uid="{932C74BA-631A-449A-94A2-2689A057D1DB}"/>
    <cellStyle name="Comma 2 7 2 2 4 3 2" xfId="14319" xr:uid="{E8C463A5-FDF5-45A2-9CA9-874CF4292DDF}"/>
    <cellStyle name="Comma 2 7 2 2 4 3 2 2" xfId="31663" xr:uid="{E214BD1E-1533-47CB-83AE-A7739A9AFED0}"/>
    <cellStyle name="Comma 2 7 2 2 4 3 3" xfId="22991" xr:uid="{63C5C158-3B1D-41C5-9A6A-DE206167AD1B}"/>
    <cellStyle name="Comma 2 7 2 2 4 4" xfId="9983" xr:uid="{4E1A8088-B282-45BF-966F-47A68DE767DA}"/>
    <cellStyle name="Comma 2 7 2 2 4 4 2" xfId="27327" xr:uid="{EC97DBF4-FFCF-4647-A1A9-25428ABDDBE3}"/>
    <cellStyle name="Comma 2 7 2 2 4 5" xfId="18655" xr:uid="{14D5E9F9-9711-4082-86BB-DCDB367EDB7E}"/>
    <cellStyle name="Comma 2 7 2 2 5" xfId="2395" xr:uid="{8D01231D-D05C-458A-8087-2C6276E34B8A}"/>
    <cellStyle name="Comma 2 7 2 2 5 2" xfId="6731" xr:uid="{B83930DE-AB95-4EF4-B3E2-468F34DE0778}"/>
    <cellStyle name="Comma 2 7 2 2 5 2 2" xfId="15403" xr:uid="{546FF98A-79DC-406B-9AC0-5D8FAA371043}"/>
    <cellStyle name="Comma 2 7 2 2 5 2 2 2" xfId="32747" xr:uid="{73CA82A6-3421-4D98-8229-DA82CA614807}"/>
    <cellStyle name="Comma 2 7 2 2 5 2 3" xfId="24075" xr:uid="{8DCBB832-A5D1-4150-9413-E50FAEFB137B}"/>
    <cellStyle name="Comma 2 7 2 2 5 3" xfId="11067" xr:uid="{86A1B676-7B9C-467F-B9BB-274A5B9D033C}"/>
    <cellStyle name="Comma 2 7 2 2 5 3 2" xfId="28411" xr:uid="{A81C3CD9-BF61-4CCD-BB1D-97655DC9B827}"/>
    <cellStyle name="Comma 2 7 2 2 5 4" xfId="19739" xr:uid="{12E5EA12-AB0B-49CA-AC8A-4970BC250CA8}"/>
    <cellStyle name="Comma 2 7 2 2 6" xfId="4563" xr:uid="{DE2D7A9C-6786-4F9D-A763-EE66DA01E152}"/>
    <cellStyle name="Comma 2 7 2 2 6 2" xfId="13235" xr:uid="{334101F3-BC5E-4BE6-A85A-05B6557B1D87}"/>
    <cellStyle name="Comma 2 7 2 2 6 2 2" xfId="30579" xr:uid="{27D5FAAE-FA07-4C74-B645-F8FD16920FBC}"/>
    <cellStyle name="Comma 2 7 2 2 6 3" xfId="21907" xr:uid="{8AA1AF60-89FE-4941-8E04-4B3AB3A98269}"/>
    <cellStyle name="Comma 2 7 2 2 7" xfId="8899" xr:uid="{0CC80607-7A05-4C50-B3C5-E04286275BF9}"/>
    <cellStyle name="Comma 2 7 2 2 7 2" xfId="26243" xr:uid="{03FBD6EC-F8C4-4D8F-88A3-BB2C20294615}"/>
    <cellStyle name="Comma 2 7 2 2 8" xfId="17571" xr:uid="{236347D6-50BD-40C6-9A6D-3A3F2BB017F4}"/>
    <cellStyle name="Comma 2 7 2 3" xfId="375" xr:uid="{B296BC73-682B-4B50-A1BE-01706744FC58}"/>
    <cellStyle name="Comma 2 7 2 3 2" xfId="916" xr:uid="{30530A07-31DD-4DB8-9074-E307716C2C6E}"/>
    <cellStyle name="Comma 2 7 2 3 2 2" xfId="2000" xr:uid="{A1559DF3-EE1A-4EDE-B4A8-FA9A5FCFC750}"/>
    <cellStyle name="Comma 2 7 2 3 2 2 2" xfId="4168" xr:uid="{519E358F-5735-4F89-9F27-978CE85FA4AD}"/>
    <cellStyle name="Comma 2 7 2 3 2 2 2 2" xfId="8504" xr:uid="{E3DAD85A-2A2E-46FD-8B9C-5D2CF0C5F763}"/>
    <cellStyle name="Comma 2 7 2 3 2 2 2 2 2" xfId="17176" xr:uid="{8058C4A3-3537-4DB0-83A4-1E60E4A882FB}"/>
    <cellStyle name="Comma 2 7 2 3 2 2 2 2 2 2" xfId="34520" xr:uid="{372752C3-7CC9-413F-A7B4-B964CF0608BE}"/>
    <cellStyle name="Comma 2 7 2 3 2 2 2 2 3" xfId="25848" xr:uid="{A2573ABA-F0B7-459E-9701-EAE3B2D94FA3}"/>
    <cellStyle name="Comma 2 7 2 3 2 2 2 3" xfId="12840" xr:uid="{4EBDBC58-4916-4A4A-806C-26E694305ED5}"/>
    <cellStyle name="Comma 2 7 2 3 2 2 2 3 2" xfId="30184" xr:uid="{0573B9C4-0647-4B28-A2B6-C63494501D87}"/>
    <cellStyle name="Comma 2 7 2 3 2 2 2 4" xfId="21512" xr:uid="{0AB7693A-FF15-4D40-8E9C-E2199A7DE54F}"/>
    <cellStyle name="Comma 2 7 2 3 2 2 3" xfId="6336" xr:uid="{893B6A4F-7208-41AA-A381-DD7EC6A09B42}"/>
    <cellStyle name="Comma 2 7 2 3 2 2 3 2" xfId="15008" xr:uid="{ADB8504A-0551-4E98-B9BF-BE8D515C60FC}"/>
    <cellStyle name="Comma 2 7 2 3 2 2 3 2 2" xfId="32352" xr:uid="{0D3B95A5-DFA5-4034-856E-1F6E41521EA5}"/>
    <cellStyle name="Comma 2 7 2 3 2 2 3 3" xfId="23680" xr:uid="{449E534D-F50E-4827-AF72-A35BE5F360BD}"/>
    <cellStyle name="Comma 2 7 2 3 2 2 4" xfId="10672" xr:uid="{86761A3C-D9D0-4D69-A6F0-C6602B977E3F}"/>
    <cellStyle name="Comma 2 7 2 3 2 2 4 2" xfId="28016" xr:uid="{49073EA7-AB67-4DDD-A615-041971E18EF0}"/>
    <cellStyle name="Comma 2 7 2 3 2 2 5" xfId="19344" xr:uid="{066F8B58-B9C8-44E5-9BDE-6288A6F2444E}"/>
    <cellStyle name="Comma 2 7 2 3 2 3" xfId="3084" xr:uid="{EC4B79AA-C706-4765-AD18-1C136B5785D2}"/>
    <cellStyle name="Comma 2 7 2 3 2 3 2" xfId="7420" xr:uid="{35EEBAFD-B13B-46EB-B3D9-42B3BCC15F56}"/>
    <cellStyle name="Comma 2 7 2 3 2 3 2 2" xfId="16092" xr:uid="{688830E8-7C26-48DF-A090-3C7A19A64530}"/>
    <cellStyle name="Comma 2 7 2 3 2 3 2 2 2" xfId="33436" xr:uid="{6FD9433F-14A5-4449-9DCB-054B374E508A}"/>
    <cellStyle name="Comma 2 7 2 3 2 3 2 3" xfId="24764" xr:uid="{B7B6F89F-4A0E-4CF3-9430-851B02C621A4}"/>
    <cellStyle name="Comma 2 7 2 3 2 3 3" xfId="11756" xr:uid="{207CA97E-3E76-4E3F-BCED-CC989C1F15DE}"/>
    <cellStyle name="Comma 2 7 2 3 2 3 3 2" xfId="29100" xr:uid="{4961C218-928C-4B07-BB65-1C08559E1123}"/>
    <cellStyle name="Comma 2 7 2 3 2 3 4" xfId="20428" xr:uid="{62D47221-F704-4FA0-9BF3-8589A592A9E8}"/>
    <cellStyle name="Comma 2 7 2 3 2 4" xfId="5252" xr:uid="{DF2D769A-F881-4C3F-8AD0-305321B2B52B}"/>
    <cellStyle name="Comma 2 7 2 3 2 4 2" xfId="13924" xr:uid="{7FBD41A3-1BDB-481A-8470-64B3DF70C212}"/>
    <cellStyle name="Comma 2 7 2 3 2 4 2 2" xfId="31268" xr:uid="{1D8DC789-5CE7-4A27-BAB9-107CD08A2B4E}"/>
    <cellStyle name="Comma 2 7 2 3 2 4 3" xfId="22596" xr:uid="{0DD85ED6-94AA-4AC0-B75C-44B611942674}"/>
    <cellStyle name="Comma 2 7 2 3 2 5" xfId="9588" xr:uid="{1B99B01E-BADE-414E-B234-C14403AAB3A6}"/>
    <cellStyle name="Comma 2 7 2 3 2 5 2" xfId="26932" xr:uid="{0AB3A612-E930-45CC-A97C-826DCC557C4E}"/>
    <cellStyle name="Comma 2 7 2 3 2 6" xfId="18260" xr:uid="{3396105D-E076-4C34-A077-0755835502B8}"/>
    <cellStyle name="Comma 2 7 2 3 3" xfId="1459" xr:uid="{87F10094-FD1A-4F7C-84D4-3ADE4D3A8898}"/>
    <cellStyle name="Comma 2 7 2 3 3 2" xfId="3627" xr:uid="{6BD78899-6DAB-4F64-A4D7-38BC9F299C85}"/>
    <cellStyle name="Comma 2 7 2 3 3 2 2" xfId="7963" xr:uid="{26D04210-89D1-40FA-945C-CFD3682C52EC}"/>
    <cellStyle name="Comma 2 7 2 3 3 2 2 2" xfId="16635" xr:uid="{690D570C-75E5-4C66-B2EB-170780AB10B6}"/>
    <cellStyle name="Comma 2 7 2 3 3 2 2 2 2" xfId="33979" xr:uid="{0342D494-422E-4707-BD21-9EB49E8A65DA}"/>
    <cellStyle name="Comma 2 7 2 3 3 2 2 3" xfId="25307" xr:uid="{D1425850-DC2A-44E9-8C56-0A46748FF6A1}"/>
    <cellStyle name="Comma 2 7 2 3 3 2 3" xfId="12299" xr:uid="{F04F505F-CCEE-4FC6-A90B-29FEC4AC5915}"/>
    <cellStyle name="Comma 2 7 2 3 3 2 3 2" xfId="29643" xr:uid="{04425046-922C-4A1A-9AB6-D5A5D68B5E59}"/>
    <cellStyle name="Comma 2 7 2 3 3 2 4" xfId="20971" xr:uid="{AB9B92C7-F52D-4C56-9D23-507BA86365FD}"/>
    <cellStyle name="Comma 2 7 2 3 3 3" xfId="5795" xr:uid="{35139263-9D7A-48C3-B3AF-BC4B26F32117}"/>
    <cellStyle name="Comma 2 7 2 3 3 3 2" xfId="14467" xr:uid="{4FE9DD4F-9C58-49C3-9F71-22FD78288BA6}"/>
    <cellStyle name="Comma 2 7 2 3 3 3 2 2" xfId="31811" xr:uid="{31FE3C40-98B8-44E3-AF26-235E6015E9D4}"/>
    <cellStyle name="Comma 2 7 2 3 3 3 3" xfId="23139" xr:uid="{E9EE7805-01B8-401E-AE96-97E0C53B7B83}"/>
    <cellStyle name="Comma 2 7 2 3 3 4" xfId="10131" xr:uid="{1631165F-38EA-415E-9269-14D202708575}"/>
    <cellStyle name="Comma 2 7 2 3 3 4 2" xfId="27475" xr:uid="{926DA877-7600-4F1C-BA47-E70B5C243BC9}"/>
    <cellStyle name="Comma 2 7 2 3 3 5" xfId="18803" xr:uid="{7B8DE0C7-A53B-41E1-8060-CB1665B93117}"/>
    <cellStyle name="Comma 2 7 2 3 4" xfId="2543" xr:uid="{0D9A870B-E3EF-4C8C-A8DE-8C247E52570C}"/>
    <cellStyle name="Comma 2 7 2 3 4 2" xfId="6879" xr:uid="{181F291B-3430-4BEA-A55E-F069BD64F680}"/>
    <cellStyle name="Comma 2 7 2 3 4 2 2" xfId="15551" xr:uid="{725FACB9-BA23-46A8-96DC-2E2F4C6080B7}"/>
    <cellStyle name="Comma 2 7 2 3 4 2 2 2" xfId="32895" xr:uid="{693F5DF7-EAB0-488C-B1F6-DD63FC4FC7DF}"/>
    <cellStyle name="Comma 2 7 2 3 4 2 3" xfId="24223" xr:uid="{E4441E9A-B5C1-4FA0-AA7B-B8E3F2FAC5C1}"/>
    <cellStyle name="Comma 2 7 2 3 4 3" xfId="11215" xr:uid="{F5B900B2-C432-4105-ABCB-B02E94D39B3D}"/>
    <cellStyle name="Comma 2 7 2 3 4 3 2" xfId="28559" xr:uid="{2EC69EEB-3BA6-42E1-BCC8-BA9041F9823C}"/>
    <cellStyle name="Comma 2 7 2 3 4 4" xfId="19887" xr:uid="{93487AA9-80E9-4266-951B-08D72CBD5C56}"/>
    <cellStyle name="Comma 2 7 2 3 5" xfId="4711" xr:uid="{8B7F91D1-6254-4F38-8284-30F223E4AB26}"/>
    <cellStyle name="Comma 2 7 2 3 5 2" xfId="13383" xr:uid="{F14FC3D9-3E91-4954-A04F-B40CC0D6F10D}"/>
    <cellStyle name="Comma 2 7 2 3 5 2 2" xfId="30727" xr:uid="{E5CF59AA-5384-4DE8-A939-6BEEB38C4B3E}"/>
    <cellStyle name="Comma 2 7 2 3 5 3" xfId="22055" xr:uid="{F42E48C7-D71C-4A20-ABAB-CAC72B9CC04B}"/>
    <cellStyle name="Comma 2 7 2 3 6" xfId="9047" xr:uid="{A20D65C8-F266-4EDA-BBC0-B981A6375034}"/>
    <cellStyle name="Comma 2 7 2 3 6 2" xfId="26391" xr:uid="{B8557036-4817-4BC5-B85F-51FCE28E5297}"/>
    <cellStyle name="Comma 2 7 2 3 7" xfId="17719" xr:uid="{31B03243-0572-4EDF-92E5-F63FFD8F31C3}"/>
    <cellStyle name="Comma 2 7 2 4" xfId="646" xr:uid="{4A6D324B-C2B2-402B-B975-9B9A84E5C3C1}"/>
    <cellStyle name="Comma 2 7 2 4 2" xfId="1730" xr:uid="{B805E2EB-AB03-45C8-94EE-8ACE2E599F5E}"/>
    <cellStyle name="Comma 2 7 2 4 2 2" xfId="3898" xr:uid="{367CBF18-7AA0-4820-9D5D-11FF253B47AD}"/>
    <cellStyle name="Comma 2 7 2 4 2 2 2" xfId="8234" xr:uid="{41797842-3996-411F-B43E-CB453B6D1129}"/>
    <cellStyle name="Comma 2 7 2 4 2 2 2 2" xfId="16906" xr:uid="{581ED444-14FC-4AB7-B4AE-3F3C5A1A5755}"/>
    <cellStyle name="Comma 2 7 2 4 2 2 2 2 2" xfId="34250" xr:uid="{25C5CED4-749B-4659-9292-2CC48C56C8D6}"/>
    <cellStyle name="Comma 2 7 2 4 2 2 2 3" xfId="25578" xr:uid="{3EE73794-B694-4518-8AF9-AA1FED7BBBA8}"/>
    <cellStyle name="Comma 2 7 2 4 2 2 3" xfId="12570" xr:uid="{FDF0054F-C5F6-4BB2-AF49-251222C47657}"/>
    <cellStyle name="Comma 2 7 2 4 2 2 3 2" xfId="29914" xr:uid="{B372BB62-7C67-4380-97BB-08F1921D66D9}"/>
    <cellStyle name="Comma 2 7 2 4 2 2 4" xfId="21242" xr:uid="{C408012B-C759-4BF2-B888-EF4300E017BF}"/>
    <cellStyle name="Comma 2 7 2 4 2 3" xfId="6066" xr:uid="{C8FABF74-B32B-4498-AE20-104E003C925A}"/>
    <cellStyle name="Comma 2 7 2 4 2 3 2" xfId="14738" xr:uid="{BFDAE652-6070-4D21-B326-557C3E1D32AC}"/>
    <cellStyle name="Comma 2 7 2 4 2 3 2 2" xfId="32082" xr:uid="{1473ACB5-EB0E-49AD-90B3-DE55B0EFF8A6}"/>
    <cellStyle name="Comma 2 7 2 4 2 3 3" xfId="23410" xr:uid="{5A267F89-FBAA-420C-98C2-D5DF1E45FE70}"/>
    <cellStyle name="Comma 2 7 2 4 2 4" xfId="10402" xr:uid="{A1917212-2A62-47C5-9D2B-15E0623FB63E}"/>
    <cellStyle name="Comma 2 7 2 4 2 4 2" xfId="27746" xr:uid="{6927A7E5-590F-4F7B-893C-7D218820F5E7}"/>
    <cellStyle name="Comma 2 7 2 4 2 5" xfId="19074" xr:uid="{4A68558F-94C7-4824-93DD-A8C684FE8E49}"/>
    <cellStyle name="Comma 2 7 2 4 3" xfId="2814" xr:uid="{CB4EECAE-3573-405F-B579-C5F37222AF75}"/>
    <cellStyle name="Comma 2 7 2 4 3 2" xfId="7150" xr:uid="{56DAA7D4-975B-4C2B-8939-06DECAE96422}"/>
    <cellStyle name="Comma 2 7 2 4 3 2 2" xfId="15822" xr:uid="{449FF930-EBD6-41FC-9025-6DC7A79502E2}"/>
    <cellStyle name="Comma 2 7 2 4 3 2 2 2" xfId="33166" xr:uid="{2A8C36E7-8734-4F13-86F3-1D5AF340467E}"/>
    <cellStyle name="Comma 2 7 2 4 3 2 3" xfId="24494" xr:uid="{074FFC9A-4A37-4563-85B0-55AE5BD486DA}"/>
    <cellStyle name="Comma 2 7 2 4 3 3" xfId="11486" xr:uid="{138B522A-4B26-4B40-A808-7171D1F2A893}"/>
    <cellStyle name="Comma 2 7 2 4 3 3 2" xfId="28830" xr:uid="{D95AD05A-B2F5-4DBC-B15C-43C1ACE9D346}"/>
    <cellStyle name="Comma 2 7 2 4 3 4" xfId="20158" xr:uid="{011DA31E-F6CD-4E7D-B7E7-BE74AE8D50FA}"/>
    <cellStyle name="Comma 2 7 2 4 4" xfId="4982" xr:uid="{CA3960F9-5F6E-415E-9D46-8943F41AC469}"/>
    <cellStyle name="Comma 2 7 2 4 4 2" xfId="13654" xr:uid="{48723722-C913-4F0A-9CFE-8158FA434779}"/>
    <cellStyle name="Comma 2 7 2 4 4 2 2" xfId="30998" xr:uid="{504594B2-4333-4069-98AB-AACDFC185DE8}"/>
    <cellStyle name="Comma 2 7 2 4 4 3" xfId="22326" xr:uid="{17D7C129-D2F1-42C7-A306-E3389A05FA22}"/>
    <cellStyle name="Comma 2 7 2 4 5" xfId="9318" xr:uid="{8B533AD2-50E1-4516-9359-7A7F0D6DC5EF}"/>
    <cellStyle name="Comma 2 7 2 4 5 2" xfId="26662" xr:uid="{AC11A91F-07DF-4EA5-A17D-71E17C5B1E91}"/>
    <cellStyle name="Comma 2 7 2 4 6" xfId="17990" xr:uid="{D9567178-F367-42A0-89CE-6F3F128C4FAA}"/>
    <cellStyle name="Comma 2 7 2 5" xfId="1189" xr:uid="{72ADD39D-0D10-488E-B756-A1841F09447C}"/>
    <cellStyle name="Comma 2 7 2 5 2" xfId="3357" xr:uid="{215B0A89-CF24-4050-92B4-5722FFB19D16}"/>
    <cellStyle name="Comma 2 7 2 5 2 2" xfId="7693" xr:uid="{DC789EC1-0DED-4EB4-9F83-A07DBC17DA9E}"/>
    <cellStyle name="Comma 2 7 2 5 2 2 2" xfId="16365" xr:uid="{C2D7D636-ADFB-4EDC-87CB-543940E11895}"/>
    <cellStyle name="Comma 2 7 2 5 2 2 2 2" xfId="33709" xr:uid="{FE9DF5CB-E80F-4BAB-BD9C-F0C06AF50F87}"/>
    <cellStyle name="Comma 2 7 2 5 2 2 3" xfId="25037" xr:uid="{74EA866D-35C5-4B32-8AAC-7565B4C5A46E}"/>
    <cellStyle name="Comma 2 7 2 5 2 3" xfId="12029" xr:uid="{FB79F358-6E4E-441F-8EF8-4EEB401591C8}"/>
    <cellStyle name="Comma 2 7 2 5 2 3 2" xfId="29373" xr:uid="{5FFC3F02-41C3-43C6-BF22-4D90E48CF2E6}"/>
    <cellStyle name="Comma 2 7 2 5 2 4" xfId="20701" xr:uid="{7821B3FA-6D6D-4E38-93A1-7BC7FD9726C6}"/>
    <cellStyle name="Comma 2 7 2 5 3" xfId="5525" xr:uid="{6AF7B034-297B-4E7E-98E5-7345B99CAD5E}"/>
    <cellStyle name="Comma 2 7 2 5 3 2" xfId="14197" xr:uid="{95FF0327-F267-47D3-A388-64906C93038F}"/>
    <cellStyle name="Comma 2 7 2 5 3 2 2" xfId="31541" xr:uid="{07AEDBBC-469B-467E-BA54-DD733FAB4953}"/>
    <cellStyle name="Comma 2 7 2 5 3 3" xfId="22869" xr:uid="{798DE397-5D99-4DE6-98C6-497A9A839828}"/>
    <cellStyle name="Comma 2 7 2 5 4" xfId="9861" xr:uid="{140BBD3B-D46A-42D8-909D-2BA9B053B90E}"/>
    <cellStyle name="Comma 2 7 2 5 4 2" xfId="27205" xr:uid="{082574DC-6645-4A2B-BB0E-8AD2E79DFEF9}"/>
    <cellStyle name="Comma 2 7 2 5 5" xfId="18533" xr:uid="{485E3435-1B85-416B-B531-6027BAD9DA25}"/>
    <cellStyle name="Comma 2 7 2 6" xfId="2273" xr:uid="{8DF21507-064E-44BA-A7AB-2C3DB8B26E7F}"/>
    <cellStyle name="Comma 2 7 2 6 2" xfId="6609" xr:uid="{66C50758-273A-46F4-8396-F85E5C7CCF31}"/>
    <cellStyle name="Comma 2 7 2 6 2 2" xfId="15281" xr:uid="{249A2A66-CC67-4E23-ACDE-D08BD4CDEAAF}"/>
    <cellStyle name="Comma 2 7 2 6 2 2 2" xfId="32625" xr:uid="{0A5F92A6-33ED-48E1-A7A1-E920C97D513D}"/>
    <cellStyle name="Comma 2 7 2 6 2 3" xfId="23953" xr:uid="{330B2AF1-8033-46F4-A4CB-9F00A1F8A8B8}"/>
    <cellStyle name="Comma 2 7 2 6 3" xfId="10945" xr:uid="{AC4159DC-B13A-49DA-9D7F-C041AD6AFE1D}"/>
    <cellStyle name="Comma 2 7 2 6 3 2" xfId="28289" xr:uid="{7FC63A20-8616-40B3-B742-61599079985A}"/>
    <cellStyle name="Comma 2 7 2 6 4" xfId="19617" xr:uid="{BBA287A2-4C54-4260-BEC7-50515F5DA63F}"/>
    <cellStyle name="Comma 2 7 2 7" xfId="4441" xr:uid="{91ACD539-1BFB-4C92-8225-90B3E9D99E92}"/>
    <cellStyle name="Comma 2 7 2 7 2" xfId="13113" xr:uid="{356E90F4-D09C-4C54-8FF9-13A6245321F4}"/>
    <cellStyle name="Comma 2 7 2 7 2 2" xfId="30457" xr:uid="{EDC6BB33-FEB8-4C80-BCA9-BFBED233A155}"/>
    <cellStyle name="Comma 2 7 2 7 3" xfId="21785" xr:uid="{2F993663-51A5-4A84-81C8-B48E07579417}"/>
    <cellStyle name="Comma 2 7 2 8" xfId="8777" xr:uid="{7377F248-2EDB-49C3-B4DC-162FB9C59F43}"/>
    <cellStyle name="Comma 2 7 2 8 2" xfId="26121" xr:uid="{16678888-3448-4ED4-8C65-6FEC32AACEBD}"/>
    <cellStyle name="Comma 2 7 2 9" xfId="17449" xr:uid="{104D5778-4E2D-44A3-B3F3-C3FD3A1A09BD}"/>
    <cellStyle name="Comma 2 7 3" xfId="166" xr:uid="{AEDA668C-D86A-48AA-8EF7-0C0DC37CD43E}"/>
    <cellStyle name="Comma 2 7 3 2" xfId="436" xr:uid="{55E0EC5A-92D2-4708-9DBF-4A47E15204BE}"/>
    <cellStyle name="Comma 2 7 3 2 2" xfId="977" xr:uid="{AF5C9638-8757-4961-886C-23AAE621BA3D}"/>
    <cellStyle name="Comma 2 7 3 2 2 2" xfId="2061" xr:uid="{59011078-3DAC-4AC0-903C-903087A1D78B}"/>
    <cellStyle name="Comma 2 7 3 2 2 2 2" xfId="4229" xr:uid="{F65F2D0E-61AA-48EF-87D2-D2D3B5E1CA58}"/>
    <cellStyle name="Comma 2 7 3 2 2 2 2 2" xfId="8565" xr:uid="{1CF5FEF2-D632-480A-9BF0-6F7E6C431A35}"/>
    <cellStyle name="Comma 2 7 3 2 2 2 2 2 2" xfId="17237" xr:uid="{2C3E117A-29BC-489E-95ED-433011506C3A}"/>
    <cellStyle name="Comma 2 7 3 2 2 2 2 2 2 2" xfId="34581" xr:uid="{C2CD2BD6-A75C-42F6-BA5F-585D621BFCB8}"/>
    <cellStyle name="Comma 2 7 3 2 2 2 2 2 3" xfId="25909" xr:uid="{AAB620F7-6CD1-46B2-8298-F95284290C76}"/>
    <cellStyle name="Comma 2 7 3 2 2 2 2 3" xfId="12901" xr:uid="{71DE1882-F467-40BB-B60A-1E23520ABEE9}"/>
    <cellStyle name="Comma 2 7 3 2 2 2 2 3 2" xfId="30245" xr:uid="{181B689C-54BF-4DC9-A4C8-E92395010428}"/>
    <cellStyle name="Comma 2 7 3 2 2 2 2 4" xfId="21573" xr:uid="{A5A55E81-5511-4B91-A547-7D4EE556737F}"/>
    <cellStyle name="Comma 2 7 3 2 2 2 3" xfId="6397" xr:uid="{4183859F-3C68-4300-B42B-75DC7D5E2F1D}"/>
    <cellStyle name="Comma 2 7 3 2 2 2 3 2" xfId="15069" xr:uid="{290819DC-E617-44EF-8A75-258259649044}"/>
    <cellStyle name="Comma 2 7 3 2 2 2 3 2 2" xfId="32413" xr:uid="{D83033C3-D84A-4FD9-8FEF-473173E10CA6}"/>
    <cellStyle name="Comma 2 7 3 2 2 2 3 3" xfId="23741" xr:uid="{E689259A-2202-4C0D-A70B-490C00754DC5}"/>
    <cellStyle name="Comma 2 7 3 2 2 2 4" xfId="10733" xr:uid="{908464FE-0183-45C8-8056-5D5AE40D74E9}"/>
    <cellStyle name="Comma 2 7 3 2 2 2 4 2" xfId="28077" xr:uid="{59C93B58-3111-463A-B094-447DA6314EDB}"/>
    <cellStyle name="Comma 2 7 3 2 2 2 5" xfId="19405" xr:uid="{C0D7C9AB-1E72-40ED-B096-202A5FDED3A8}"/>
    <cellStyle name="Comma 2 7 3 2 2 3" xfId="3145" xr:uid="{3870DB1C-1E0D-4422-9A36-2FDF78CD5682}"/>
    <cellStyle name="Comma 2 7 3 2 2 3 2" xfId="7481" xr:uid="{49D36097-2711-413F-90C1-D4AADB1F6467}"/>
    <cellStyle name="Comma 2 7 3 2 2 3 2 2" xfId="16153" xr:uid="{2A15C0CE-7866-49FB-817E-1B04ADA40967}"/>
    <cellStyle name="Comma 2 7 3 2 2 3 2 2 2" xfId="33497" xr:uid="{B3D5395E-7117-49C7-8267-AECC4B6FFA67}"/>
    <cellStyle name="Comma 2 7 3 2 2 3 2 3" xfId="24825" xr:uid="{DDE41932-9A4C-4E18-83F2-1B6668AB4920}"/>
    <cellStyle name="Comma 2 7 3 2 2 3 3" xfId="11817" xr:uid="{749244E5-0F0D-460F-BFA3-71DE63F6AD21}"/>
    <cellStyle name="Comma 2 7 3 2 2 3 3 2" xfId="29161" xr:uid="{EBCAA7D2-C41D-4A2B-A3A8-3C5CDA2DCEB7}"/>
    <cellStyle name="Comma 2 7 3 2 2 3 4" xfId="20489" xr:uid="{F3B9BE2B-1849-4C8C-90AE-92BF28E913FC}"/>
    <cellStyle name="Comma 2 7 3 2 2 4" xfId="5313" xr:uid="{9F305571-2BCD-45CF-8D5F-62B9F7B5AEF8}"/>
    <cellStyle name="Comma 2 7 3 2 2 4 2" xfId="13985" xr:uid="{E1AB0A3A-2E7A-4F0A-97CE-E8D33099B1F1}"/>
    <cellStyle name="Comma 2 7 3 2 2 4 2 2" xfId="31329" xr:uid="{0C63FA72-23CC-447A-B887-3D5C68840EEB}"/>
    <cellStyle name="Comma 2 7 3 2 2 4 3" xfId="22657" xr:uid="{48744C8F-B8F1-4D2C-B135-0721431F8FF3}"/>
    <cellStyle name="Comma 2 7 3 2 2 5" xfId="9649" xr:uid="{26B46A72-78CC-4E34-9717-7D299D28B952}"/>
    <cellStyle name="Comma 2 7 3 2 2 5 2" xfId="26993" xr:uid="{5D35946E-8935-4347-A7B9-2F89A2E45787}"/>
    <cellStyle name="Comma 2 7 3 2 2 6" xfId="18321" xr:uid="{7368FD0E-524B-46FD-8318-0FC69C308B8C}"/>
    <cellStyle name="Comma 2 7 3 2 3" xfId="1520" xr:uid="{BED83632-E898-42DC-A385-705B6290AC74}"/>
    <cellStyle name="Comma 2 7 3 2 3 2" xfId="3688" xr:uid="{EB022D76-825F-4463-93AA-95CD7E12CC9A}"/>
    <cellStyle name="Comma 2 7 3 2 3 2 2" xfId="8024" xr:uid="{4FD354DA-A47E-440F-A23F-1F07C7C6B568}"/>
    <cellStyle name="Comma 2 7 3 2 3 2 2 2" xfId="16696" xr:uid="{F5F3F293-7077-4FF4-919F-D79AAC175511}"/>
    <cellStyle name="Comma 2 7 3 2 3 2 2 2 2" xfId="34040" xr:uid="{FE62AAFF-2755-4891-9382-1556DA7E65F1}"/>
    <cellStyle name="Comma 2 7 3 2 3 2 2 3" xfId="25368" xr:uid="{8B73EB3E-9AE9-4B80-9C62-D67BA4C23C69}"/>
    <cellStyle name="Comma 2 7 3 2 3 2 3" xfId="12360" xr:uid="{7E38A5D8-270D-45E9-85D9-1955A6E156A0}"/>
    <cellStyle name="Comma 2 7 3 2 3 2 3 2" xfId="29704" xr:uid="{5A7CDB63-19F6-40BA-B633-F53E03E66C9F}"/>
    <cellStyle name="Comma 2 7 3 2 3 2 4" xfId="21032" xr:uid="{21403F9A-60BD-42E5-A724-E7CD24930DC5}"/>
    <cellStyle name="Comma 2 7 3 2 3 3" xfId="5856" xr:uid="{8E305448-E497-43E3-B5D1-B67967D7B316}"/>
    <cellStyle name="Comma 2 7 3 2 3 3 2" xfId="14528" xr:uid="{7CF9158B-568E-4205-9D95-9E6F55EDDBF9}"/>
    <cellStyle name="Comma 2 7 3 2 3 3 2 2" xfId="31872" xr:uid="{6095EF7C-5419-4872-97DF-7F2CE208AA93}"/>
    <cellStyle name="Comma 2 7 3 2 3 3 3" xfId="23200" xr:uid="{CEEFF28B-A9C1-4C4B-90D9-6640A02FB03D}"/>
    <cellStyle name="Comma 2 7 3 2 3 4" xfId="10192" xr:uid="{3BA4942D-F447-47CE-AE86-34C3DC8F058F}"/>
    <cellStyle name="Comma 2 7 3 2 3 4 2" xfId="27536" xr:uid="{08AB0D1A-D264-454B-B5B2-CEBD85632A6F}"/>
    <cellStyle name="Comma 2 7 3 2 3 5" xfId="18864" xr:uid="{A44B4FC8-AE59-414B-8DD0-F7D70689F391}"/>
    <cellStyle name="Comma 2 7 3 2 4" xfId="2604" xr:uid="{48C72FBF-B851-478B-955C-59F983A39DAA}"/>
    <cellStyle name="Comma 2 7 3 2 4 2" xfId="6940" xr:uid="{1069F259-0EEC-485A-8685-2FFF03ECF859}"/>
    <cellStyle name="Comma 2 7 3 2 4 2 2" xfId="15612" xr:uid="{8D4F72E1-B059-4DE8-A884-BF4AEC9BB98B}"/>
    <cellStyle name="Comma 2 7 3 2 4 2 2 2" xfId="32956" xr:uid="{2D2382C3-B5DF-47E3-B60A-865EADFA85C5}"/>
    <cellStyle name="Comma 2 7 3 2 4 2 3" xfId="24284" xr:uid="{D19E88B5-09D7-4B91-9BC6-117267322E48}"/>
    <cellStyle name="Comma 2 7 3 2 4 3" xfId="11276" xr:uid="{2026AF22-9D77-455A-B239-D765180EB278}"/>
    <cellStyle name="Comma 2 7 3 2 4 3 2" xfId="28620" xr:uid="{C8CDA1C4-C899-4359-AC94-63FF23C32C82}"/>
    <cellStyle name="Comma 2 7 3 2 4 4" xfId="19948" xr:uid="{8E9A9C0B-1EFC-4C8E-BE52-FE5C1BA7DAAF}"/>
    <cellStyle name="Comma 2 7 3 2 5" xfId="4772" xr:uid="{C42C710D-9803-4958-B9DC-0D1B77098560}"/>
    <cellStyle name="Comma 2 7 3 2 5 2" xfId="13444" xr:uid="{D6E41DC8-9C7E-4876-B49A-16750960A401}"/>
    <cellStyle name="Comma 2 7 3 2 5 2 2" xfId="30788" xr:uid="{F3EA769E-2650-45AC-B2E9-AE58E92C6D89}"/>
    <cellStyle name="Comma 2 7 3 2 5 3" xfId="22116" xr:uid="{ABC1BEAA-8F9A-4F00-B8A8-B6496928060B}"/>
    <cellStyle name="Comma 2 7 3 2 6" xfId="9108" xr:uid="{0E494CF8-E2D5-4A77-B89E-71201936659B}"/>
    <cellStyle name="Comma 2 7 3 2 6 2" xfId="26452" xr:uid="{E3FF9F71-7113-46F1-A94D-955A3F948B4C}"/>
    <cellStyle name="Comma 2 7 3 2 7" xfId="17780" xr:uid="{328EDE70-1385-4F02-8BF1-A03B5EA56472}"/>
    <cellStyle name="Comma 2 7 3 3" xfId="707" xr:uid="{C7959738-D7DF-48E5-99A7-3D306E63C5E1}"/>
    <cellStyle name="Comma 2 7 3 3 2" xfId="1791" xr:uid="{42C32A9C-F2DC-4C5C-9284-01287BA00352}"/>
    <cellStyle name="Comma 2 7 3 3 2 2" xfId="3959" xr:uid="{D8046D1D-E95A-4157-9C6F-BD4704B358C5}"/>
    <cellStyle name="Comma 2 7 3 3 2 2 2" xfId="8295" xr:uid="{03B643F4-C6F1-49E0-93DB-ED669F4BC38B}"/>
    <cellStyle name="Comma 2 7 3 3 2 2 2 2" xfId="16967" xr:uid="{63578F5A-AB5D-4987-B75F-FB476F444E26}"/>
    <cellStyle name="Comma 2 7 3 3 2 2 2 2 2" xfId="34311" xr:uid="{437EF2CC-2B9C-4E2C-BF61-A0C9953096DC}"/>
    <cellStyle name="Comma 2 7 3 3 2 2 2 3" xfId="25639" xr:uid="{277A5BF5-634F-4D66-8781-F5F6E64BB691}"/>
    <cellStyle name="Comma 2 7 3 3 2 2 3" xfId="12631" xr:uid="{DC4C55BB-85D5-4FDE-B3DF-00B87D4C4293}"/>
    <cellStyle name="Comma 2 7 3 3 2 2 3 2" xfId="29975" xr:uid="{F84D61E9-34A8-4A03-B091-31476B86389A}"/>
    <cellStyle name="Comma 2 7 3 3 2 2 4" xfId="21303" xr:uid="{F73553C7-C031-4481-91C0-419274ABB2B2}"/>
    <cellStyle name="Comma 2 7 3 3 2 3" xfId="6127" xr:uid="{2EBB7FA6-4A0F-4ED5-A1E4-4601F21DEF9F}"/>
    <cellStyle name="Comma 2 7 3 3 2 3 2" xfId="14799" xr:uid="{4A7532BA-8842-4892-95B6-B37C4D9467D8}"/>
    <cellStyle name="Comma 2 7 3 3 2 3 2 2" xfId="32143" xr:uid="{CB799DD6-13FE-4AFA-A493-8D741F1AAC2F}"/>
    <cellStyle name="Comma 2 7 3 3 2 3 3" xfId="23471" xr:uid="{4070B3E6-A040-48A9-A6FC-69D5F68F22DB}"/>
    <cellStyle name="Comma 2 7 3 3 2 4" xfId="10463" xr:uid="{FEB15768-A184-4669-A5AD-90278BA86C4A}"/>
    <cellStyle name="Comma 2 7 3 3 2 4 2" xfId="27807" xr:uid="{FB456958-779C-4D2C-8A9F-E3A35EB51859}"/>
    <cellStyle name="Comma 2 7 3 3 2 5" xfId="19135" xr:uid="{25F4498D-A8A6-4B65-BCA9-A48D80601CE6}"/>
    <cellStyle name="Comma 2 7 3 3 3" xfId="2875" xr:uid="{96E8ED55-E928-4724-88F2-1ADD569BFE99}"/>
    <cellStyle name="Comma 2 7 3 3 3 2" xfId="7211" xr:uid="{31C07C6F-36F4-460F-8085-B8A8F71C4627}"/>
    <cellStyle name="Comma 2 7 3 3 3 2 2" xfId="15883" xr:uid="{ACE0C80B-FB05-4E3F-91FC-79AE65BB805E}"/>
    <cellStyle name="Comma 2 7 3 3 3 2 2 2" xfId="33227" xr:uid="{6B03A8F5-B56F-4EA7-A867-1A41CAEA8984}"/>
    <cellStyle name="Comma 2 7 3 3 3 2 3" xfId="24555" xr:uid="{2A7C33EB-BEC3-453C-B3E6-5111B9F28C5E}"/>
    <cellStyle name="Comma 2 7 3 3 3 3" xfId="11547" xr:uid="{2BAD3C5C-A80C-45FC-A2D9-D016EB9B436A}"/>
    <cellStyle name="Comma 2 7 3 3 3 3 2" xfId="28891" xr:uid="{B71020A2-9BD2-44BE-8BE8-1EEC0750FA3D}"/>
    <cellStyle name="Comma 2 7 3 3 3 4" xfId="20219" xr:uid="{69588957-3AC2-4C86-B572-C775B36BBED3}"/>
    <cellStyle name="Comma 2 7 3 3 4" xfId="5043" xr:uid="{7CA8C9DD-3775-4B26-9AD6-4C24E0A508D0}"/>
    <cellStyle name="Comma 2 7 3 3 4 2" xfId="13715" xr:uid="{AC1F10A0-DC22-431C-9A2E-D98A3A730336}"/>
    <cellStyle name="Comma 2 7 3 3 4 2 2" xfId="31059" xr:uid="{8FD8DF84-4E8E-4389-8552-9B5664D37E94}"/>
    <cellStyle name="Comma 2 7 3 3 4 3" xfId="22387" xr:uid="{E5D7A380-F181-4831-9012-09FE227A0B37}"/>
    <cellStyle name="Comma 2 7 3 3 5" xfId="9379" xr:uid="{A1C347B6-0397-4290-96F8-75CC46E094F1}"/>
    <cellStyle name="Comma 2 7 3 3 5 2" xfId="26723" xr:uid="{2959C8CB-87B4-40E2-88F9-E97B7907A875}"/>
    <cellStyle name="Comma 2 7 3 3 6" xfId="18051" xr:uid="{9F43C0FA-6826-4200-B7EC-BC98409A9D46}"/>
    <cellStyle name="Comma 2 7 3 4" xfId="1250" xr:uid="{E450036A-D261-4F62-AF08-F758BB613EEE}"/>
    <cellStyle name="Comma 2 7 3 4 2" xfId="3418" xr:uid="{581B762C-3773-4F95-84DC-880D8651C33D}"/>
    <cellStyle name="Comma 2 7 3 4 2 2" xfId="7754" xr:uid="{C90CD7A2-6FFC-4E78-B785-FA5200CE1A54}"/>
    <cellStyle name="Comma 2 7 3 4 2 2 2" xfId="16426" xr:uid="{6D51D192-F095-4C8E-BB06-B0448D9FC924}"/>
    <cellStyle name="Comma 2 7 3 4 2 2 2 2" xfId="33770" xr:uid="{D7C6F3D9-0467-4771-9E28-B68E706FE954}"/>
    <cellStyle name="Comma 2 7 3 4 2 2 3" xfId="25098" xr:uid="{D3642FE2-541B-4DDA-A405-966DB3D4D4CE}"/>
    <cellStyle name="Comma 2 7 3 4 2 3" xfId="12090" xr:uid="{06B49F8D-2B11-481B-8510-0738AF9EC1FA}"/>
    <cellStyle name="Comma 2 7 3 4 2 3 2" xfId="29434" xr:uid="{85702D86-C4AD-42E4-9494-B20EEAC44B80}"/>
    <cellStyle name="Comma 2 7 3 4 2 4" xfId="20762" xr:uid="{6D786D6A-AC79-4EE3-8A0C-64AC2F7ED671}"/>
    <cellStyle name="Comma 2 7 3 4 3" xfId="5586" xr:uid="{88D636D2-CCD1-45E8-B580-5BF381E70141}"/>
    <cellStyle name="Comma 2 7 3 4 3 2" xfId="14258" xr:uid="{4940ED3F-C553-4F45-B84F-655D31CD1513}"/>
    <cellStyle name="Comma 2 7 3 4 3 2 2" xfId="31602" xr:uid="{D631B1FF-ED20-4090-AAF7-5D724123D175}"/>
    <cellStyle name="Comma 2 7 3 4 3 3" xfId="22930" xr:uid="{1046ADC4-C41E-47DA-A94D-DE347DEABF39}"/>
    <cellStyle name="Comma 2 7 3 4 4" xfId="9922" xr:uid="{5C913217-C751-4D23-9408-1E905B7FD4C8}"/>
    <cellStyle name="Comma 2 7 3 4 4 2" xfId="27266" xr:uid="{98FC4978-AD3E-433F-BDB0-8E706E0E8DF4}"/>
    <cellStyle name="Comma 2 7 3 4 5" xfId="18594" xr:uid="{B236CACE-DBD1-40C1-9B42-46D37B036639}"/>
    <cellStyle name="Comma 2 7 3 5" xfId="2334" xr:uid="{307531F8-223B-4761-B596-67F105A9ACC7}"/>
    <cellStyle name="Comma 2 7 3 5 2" xfId="6670" xr:uid="{0297B1DC-D963-45D1-AD5D-5A709CBB5645}"/>
    <cellStyle name="Comma 2 7 3 5 2 2" xfId="15342" xr:uid="{D78F06D6-E81B-4B7B-A0D6-8A53AC56AEF0}"/>
    <cellStyle name="Comma 2 7 3 5 2 2 2" xfId="32686" xr:uid="{0ECD0507-F1C6-4322-8BCA-AEA3FA228D0B}"/>
    <cellStyle name="Comma 2 7 3 5 2 3" xfId="24014" xr:uid="{0F74C120-AEAA-4EDC-9528-43C0F95AC2DE}"/>
    <cellStyle name="Comma 2 7 3 5 3" xfId="11006" xr:uid="{5EC256FB-6A2E-46D7-96A7-D53E485E0B67}"/>
    <cellStyle name="Comma 2 7 3 5 3 2" xfId="28350" xr:uid="{165E53BC-3F03-4DA7-8BBF-B6F5CD7BCE14}"/>
    <cellStyle name="Comma 2 7 3 5 4" xfId="19678" xr:uid="{175E6DD7-1292-4AEF-A3D6-9DCC31264659}"/>
    <cellStyle name="Comma 2 7 3 6" xfId="4502" xr:uid="{B3118EEF-AF7F-43D9-A4B4-280E7A622686}"/>
    <cellStyle name="Comma 2 7 3 6 2" xfId="13174" xr:uid="{E37A3FD8-3F23-43FF-8E7F-1CC005AE744B}"/>
    <cellStyle name="Comma 2 7 3 6 2 2" xfId="30518" xr:uid="{10717DE7-7AED-4E10-8D70-5B40804E1DE8}"/>
    <cellStyle name="Comma 2 7 3 6 3" xfId="21846" xr:uid="{269A4895-3EB2-43D8-B26F-512512365202}"/>
    <cellStyle name="Comma 2 7 3 7" xfId="8838" xr:uid="{CC1E7240-FADB-4DC5-98CA-D2046484A5D8}"/>
    <cellStyle name="Comma 2 7 3 7 2" xfId="26182" xr:uid="{9B14E85B-EF2D-4E58-9CFF-8CCF09D2DF44}"/>
    <cellStyle name="Comma 2 7 3 8" xfId="17510" xr:uid="{E0DDCC9F-3030-4D41-AAE8-CAC76F6E3B03}"/>
    <cellStyle name="Comma 2 7 4" xfId="314" xr:uid="{CB366C70-9C34-42F2-AB10-217A7FF81FA5}"/>
    <cellStyle name="Comma 2 7 4 2" xfId="855" xr:uid="{DAD87217-DC01-40E3-96D5-AA5E9A66214D}"/>
    <cellStyle name="Comma 2 7 4 2 2" xfId="1939" xr:uid="{008BAB24-D73F-44E2-9ABE-B88673E8E602}"/>
    <cellStyle name="Comma 2 7 4 2 2 2" xfId="4107" xr:uid="{DEB4EB35-E768-44F5-BEF3-A4294FC6F9DE}"/>
    <cellStyle name="Comma 2 7 4 2 2 2 2" xfId="8443" xr:uid="{9BCB7946-5527-4DF4-9EA4-0FC45FF3CCE5}"/>
    <cellStyle name="Comma 2 7 4 2 2 2 2 2" xfId="17115" xr:uid="{4C2B333F-A1BB-4185-8F9C-7B06208F4D9D}"/>
    <cellStyle name="Comma 2 7 4 2 2 2 2 2 2" xfId="34459" xr:uid="{F4D84799-408D-4198-AE7F-5D14B89B0109}"/>
    <cellStyle name="Comma 2 7 4 2 2 2 2 3" xfId="25787" xr:uid="{D430FF07-F58F-45FA-B846-B4E3E10D60E0}"/>
    <cellStyle name="Comma 2 7 4 2 2 2 3" xfId="12779" xr:uid="{C06110CF-58E8-4B5F-8471-E838C873B95C}"/>
    <cellStyle name="Comma 2 7 4 2 2 2 3 2" xfId="30123" xr:uid="{D56EB0E2-7A27-4C2A-AF62-CF5B804A054D}"/>
    <cellStyle name="Comma 2 7 4 2 2 2 4" xfId="21451" xr:uid="{4458BFCB-88E0-4EE4-94E9-55F3DE8BEABC}"/>
    <cellStyle name="Comma 2 7 4 2 2 3" xfId="6275" xr:uid="{FBF57203-3BBE-481F-9147-8D112FFC6F3C}"/>
    <cellStyle name="Comma 2 7 4 2 2 3 2" xfId="14947" xr:uid="{9B6200E2-2834-42FB-8CAC-2A42E7103433}"/>
    <cellStyle name="Comma 2 7 4 2 2 3 2 2" xfId="32291" xr:uid="{F945B07A-6CCD-45DB-877D-0DFD1E138ED4}"/>
    <cellStyle name="Comma 2 7 4 2 2 3 3" xfId="23619" xr:uid="{F05BC6E0-3DFE-4A1F-AD01-0500F99CC39D}"/>
    <cellStyle name="Comma 2 7 4 2 2 4" xfId="10611" xr:uid="{E10EE121-B32C-4DA5-B90D-7F79D1C3BA9E}"/>
    <cellStyle name="Comma 2 7 4 2 2 4 2" xfId="27955" xr:uid="{13F671C5-9E5D-48E3-9FF0-06B972BC4015}"/>
    <cellStyle name="Comma 2 7 4 2 2 5" xfId="19283" xr:uid="{357FE64F-1639-4C60-BA70-CB7328D5B8E2}"/>
    <cellStyle name="Comma 2 7 4 2 3" xfId="3023" xr:uid="{34C6D1E6-95F2-4B5C-B44C-3A5AAE4CEA66}"/>
    <cellStyle name="Comma 2 7 4 2 3 2" xfId="7359" xr:uid="{3B388C7A-8841-4422-9164-4C3FC312F95C}"/>
    <cellStyle name="Comma 2 7 4 2 3 2 2" xfId="16031" xr:uid="{BB57BD83-C15B-443C-BBBE-F03E532165D8}"/>
    <cellStyle name="Comma 2 7 4 2 3 2 2 2" xfId="33375" xr:uid="{E65D4914-ADB0-4DA3-9176-4D9E07436D0F}"/>
    <cellStyle name="Comma 2 7 4 2 3 2 3" xfId="24703" xr:uid="{E07014CB-0555-482A-AE06-58240C1A2B10}"/>
    <cellStyle name="Comma 2 7 4 2 3 3" xfId="11695" xr:uid="{1D4E4314-F194-4C9B-A3E8-84C3413A6B2E}"/>
    <cellStyle name="Comma 2 7 4 2 3 3 2" xfId="29039" xr:uid="{B885E2E6-2328-4A8A-BAFD-6CA3DD390077}"/>
    <cellStyle name="Comma 2 7 4 2 3 4" xfId="20367" xr:uid="{581F4D62-11E1-4D32-B1DA-516E22307FD6}"/>
    <cellStyle name="Comma 2 7 4 2 4" xfId="5191" xr:uid="{AB15D48A-0BCF-4146-9CBD-01A109180522}"/>
    <cellStyle name="Comma 2 7 4 2 4 2" xfId="13863" xr:uid="{8EA9FFBD-E502-47F7-9D8A-38F765CF6399}"/>
    <cellStyle name="Comma 2 7 4 2 4 2 2" xfId="31207" xr:uid="{122E3E4D-C7DA-4A4B-95E3-AC6B117AEECD}"/>
    <cellStyle name="Comma 2 7 4 2 4 3" xfId="22535" xr:uid="{A486F73E-7BC1-4D3A-8441-978EE21DEE49}"/>
    <cellStyle name="Comma 2 7 4 2 5" xfId="9527" xr:uid="{C2FA02AC-124E-443B-BFA0-A3075E442319}"/>
    <cellStyle name="Comma 2 7 4 2 5 2" xfId="26871" xr:uid="{AAF07FC6-592B-452C-8E35-FD443DFBF025}"/>
    <cellStyle name="Comma 2 7 4 2 6" xfId="18199" xr:uid="{97664B8F-B275-4051-88C0-8FD6C096F98B}"/>
    <cellStyle name="Comma 2 7 4 3" xfId="1398" xr:uid="{C852A338-0D22-4367-8945-9807484BD8D4}"/>
    <cellStyle name="Comma 2 7 4 3 2" xfId="3566" xr:uid="{CDC7156A-4AB6-4758-B18C-1C7B2457F4BA}"/>
    <cellStyle name="Comma 2 7 4 3 2 2" xfId="7902" xr:uid="{220FC7EF-BD89-46CB-90F4-ED740128277C}"/>
    <cellStyle name="Comma 2 7 4 3 2 2 2" xfId="16574" xr:uid="{CDC4ADC1-4F18-4A9D-B6CE-D97B08CDFAC6}"/>
    <cellStyle name="Comma 2 7 4 3 2 2 2 2" xfId="33918" xr:uid="{6371B341-A63C-4ECE-ADF4-45F2D28CCEC3}"/>
    <cellStyle name="Comma 2 7 4 3 2 2 3" xfId="25246" xr:uid="{4E62B547-8852-4332-8C46-5DFB21DCC497}"/>
    <cellStyle name="Comma 2 7 4 3 2 3" xfId="12238" xr:uid="{9A90A401-C956-4EBE-957A-185B38244AB8}"/>
    <cellStyle name="Comma 2 7 4 3 2 3 2" xfId="29582" xr:uid="{40517472-C143-4727-8590-F576A47114AC}"/>
    <cellStyle name="Comma 2 7 4 3 2 4" xfId="20910" xr:uid="{3D710FFF-B447-451B-9477-F3728B010447}"/>
    <cellStyle name="Comma 2 7 4 3 3" xfId="5734" xr:uid="{BE811676-01DC-4459-AF27-232F86855C34}"/>
    <cellStyle name="Comma 2 7 4 3 3 2" xfId="14406" xr:uid="{4C7A55F6-3C59-419A-9CBA-1BE4035A8735}"/>
    <cellStyle name="Comma 2 7 4 3 3 2 2" xfId="31750" xr:uid="{6253979E-1402-4F3B-BAC8-319D88249952}"/>
    <cellStyle name="Comma 2 7 4 3 3 3" xfId="23078" xr:uid="{77006BD0-E90B-42F9-9984-66C9F62E5FFE}"/>
    <cellStyle name="Comma 2 7 4 3 4" xfId="10070" xr:uid="{868638F2-CA5B-49DB-B2B3-5C0D5B08F004}"/>
    <cellStyle name="Comma 2 7 4 3 4 2" xfId="27414" xr:uid="{530C15C8-9220-490F-A3CA-930120B5D84E}"/>
    <cellStyle name="Comma 2 7 4 3 5" xfId="18742" xr:uid="{DA29D430-A0CD-4D0A-B5D1-30C11EC7D0BF}"/>
    <cellStyle name="Comma 2 7 4 4" xfId="2482" xr:uid="{96E157CA-7201-4606-BDAA-7C1F5223C764}"/>
    <cellStyle name="Comma 2 7 4 4 2" xfId="6818" xr:uid="{DA9624B9-195E-40A4-962F-775B065C8428}"/>
    <cellStyle name="Comma 2 7 4 4 2 2" xfId="15490" xr:uid="{50C6C660-0F3E-4B29-BAC0-9121526912C7}"/>
    <cellStyle name="Comma 2 7 4 4 2 2 2" xfId="32834" xr:uid="{787646D2-41EE-40A1-B764-637878A23718}"/>
    <cellStyle name="Comma 2 7 4 4 2 3" xfId="24162" xr:uid="{742B4756-A741-4537-B51A-EBFA39DC8724}"/>
    <cellStyle name="Comma 2 7 4 4 3" xfId="11154" xr:uid="{534B3E4E-A494-4CC8-8BED-41038D5CD038}"/>
    <cellStyle name="Comma 2 7 4 4 3 2" xfId="28498" xr:uid="{3806A9A0-F47B-4BA6-A572-DCF2BDE03EB9}"/>
    <cellStyle name="Comma 2 7 4 4 4" xfId="19826" xr:uid="{519969F1-A16E-49D0-B81C-A69F5FC2FB34}"/>
    <cellStyle name="Comma 2 7 4 5" xfId="4650" xr:uid="{8E89A4F8-2776-4028-9BDE-79BC7F49DE2F}"/>
    <cellStyle name="Comma 2 7 4 5 2" xfId="13322" xr:uid="{A84876EE-0DD3-4585-8334-F23A99FBD2D8}"/>
    <cellStyle name="Comma 2 7 4 5 2 2" xfId="30666" xr:uid="{1B2F8FB7-E722-446C-ABC7-C21A8355E806}"/>
    <cellStyle name="Comma 2 7 4 5 3" xfId="21994" xr:uid="{E715D7C7-AF1B-41BE-8DFC-6AE22DB25C57}"/>
    <cellStyle name="Comma 2 7 4 6" xfId="8986" xr:uid="{375ED80B-4D97-4066-82C4-52A3FBA7A008}"/>
    <cellStyle name="Comma 2 7 4 6 2" xfId="26330" xr:uid="{10F8CBB6-2E8E-4FA8-81E5-384FBB8A4169}"/>
    <cellStyle name="Comma 2 7 4 7" xfId="17658" xr:uid="{45250B74-94A5-43E8-9A2F-CF96CC564606}"/>
    <cellStyle name="Comma 2 7 5" xfId="585" xr:uid="{9D18EDDA-555B-4486-9BD7-F60516E4859D}"/>
    <cellStyle name="Comma 2 7 5 2" xfId="1669" xr:uid="{F36BACC7-85D8-4256-AAFE-7F9892EB6C78}"/>
    <cellStyle name="Comma 2 7 5 2 2" xfId="3837" xr:uid="{9939CFFC-4C9D-4C41-880D-8FEB50BC38B4}"/>
    <cellStyle name="Comma 2 7 5 2 2 2" xfId="8173" xr:uid="{D635628D-605A-4260-9243-58898D3F8701}"/>
    <cellStyle name="Comma 2 7 5 2 2 2 2" xfId="16845" xr:uid="{DED2FB07-9917-4D2F-8B4D-7C9A1028B989}"/>
    <cellStyle name="Comma 2 7 5 2 2 2 2 2" xfId="34189" xr:uid="{DED3195B-D70B-4A86-962F-ABB1C6367BF2}"/>
    <cellStyle name="Comma 2 7 5 2 2 2 3" xfId="25517" xr:uid="{D7C1C803-2360-4563-8E98-28F1415C95E8}"/>
    <cellStyle name="Comma 2 7 5 2 2 3" xfId="12509" xr:uid="{15F050D4-608B-4B03-99C8-DED791AD7ABA}"/>
    <cellStyle name="Comma 2 7 5 2 2 3 2" xfId="29853" xr:uid="{07582C5E-F9EE-45DA-83D3-0F0B8C4A27A2}"/>
    <cellStyle name="Comma 2 7 5 2 2 4" xfId="21181" xr:uid="{AA80B9D2-EBBB-4DD9-969D-FC0FD8AB6E3D}"/>
    <cellStyle name="Comma 2 7 5 2 3" xfId="6005" xr:uid="{DCDB2929-425B-444B-8936-2690667F338A}"/>
    <cellStyle name="Comma 2 7 5 2 3 2" xfId="14677" xr:uid="{260BC67C-1A01-4997-8428-84AD3C6C3018}"/>
    <cellStyle name="Comma 2 7 5 2 3 2 2" xfId="32021" xr:uid="{9C95EFA6-536E-40C8-8D69-74A5A3907BC5}"/>
    <cellStyle name="Comma 2 7 5 2 3 3" xfId="23349" xr:uid="{F9AA5EE7-2EFC-4FEB-9D29-D9620DCB96C1}"/>
    <cellStyle name="Comma 2 7 5 2 4" xfId="10341" xr:uid="{5B96DA12-E149-4AE6-8F9C-83DBBAE13447}"/>
    <cellStyle name="Comma 2 7 5 2 4 2" xfId="27685" xr:uid="{D487F397-28FF-4165-9829-541A8E4232CB}"/>
    <cellStyle name="Comma 2 7 5 2 5" xfId="19013" xr:uid="{E831A2D3-F78D-4D0C-A197-FF4E48485526}"/>
    <cellStyle name="Comma 2 7 5 3" xfId="2753" xr:uid="{40C95DC7-9480-48F8-A2AC-83BC5759AFFD}"/>
    <cellStyle name="Comma 2 7 5 3 2" xfId="7089" xr:uid="{D9B60C41-21A3-43F5-918E-D9C719362352}"/>
    <cellStyle name="Comma 2 7 5 3 2 2" xfId="15761" xr:uid="{F61BEA13-57BA-4A30-AAF6-5A272BBDAC81}"/>
    <cellStyle name="Comma 2 7 5 3 2 2 2" xfId="33105" xr:uid="{AD26B6F6-9DD6-4D99-A82B-E91DE1F59AF8}"/>
    <cellStyle name="Comma 2 7 5 3 2 3" xfId="24433" xr:uid="{2ABF1C03-CFEF-4A42-A22C-39626EE6E5DF}"/>
    <cellStyle name="Comma 2 7 5 3 3" xfId="11425" xr:uid="{0581B831-1FB6-48B2-AFD6-00D9C666B427}"/>
    <cellStyle name="Comma 2 7 5 3 3 2" xfId="28769" xr:uid="{8C5E02D9-4EF7-4CC5-A01E-9DF6107AFA71}"/>
    <cellStyle name="Comma 2 7 5 3 4" xfId="20097" xr:uid="{730CB1F7-9746-4645-A03B-E1898FA30566}"/>
    <cellStyle name="Comma 2 7 5 4" xfId="4921" xr:uid="{20CD5C02-7480-493F-A208-6D758A4E9678}"/>
    <cellStyle name="Comma 2 7 5 4 2" xfId="13593" xr:uid="{D4BFF4CA-FB09-4F7E-A56F-543F26DEE0C0}"/>
    <cellStyle name="Comma 2 7 5 4 2 2" xfId="30937" xr:uid="{E0491DE3-05CA-4A01-89CF-859D135ADBCE}"/>
    <cellStyle name="Comma 2 7 5 4 3" xfId="22265" xr:uid="{68743FE8-3FE2-41C0-B53B-16E9E39F7B7D}"/>
    <cellStyle name="Comma 2 7 5 5" xfId="9257" xr:uid="{B7E88F8D-8870-4601-A366-87F836D57C6F}"/>
    <cellStyle name="Comma 2 7 5 5 2" xfId="26601" xr:uid="{6ED8875A-A577-4E45-994D-43B7D8F0C42F}"/>
    <cellStyle name="Comma 2 7 5 6" xfId="17929" xr:uid="{E527B8CB-F6C2-4B62-9DC2-F8ED1DEB22C3}"/>
    <cellStyle name="Comma 2 7 6" xfId="1128" xr:uid="{8AADF2DB-F03B-4EF8-ADEF-866CAF29DB5D}"/>
    <cellStyle name="Comma 2 7 6 2" xfId="3296" xr:uid="{4EC525F9-EB9F-4F15-9320-B46E0410614C}"/>
    <cellStyle name="Comma 2 7 6 2 2" xfId="7632" xr:uid="{8089B824-1393-4A47-9777-D6DCD7355482}"/>
    <cellStyle name="Comma 2 7 6 2 2 2" xfId="16304" xr:uid="{E33198B2-863D-4E43-B48F-C5376E6CA000}"/>
    <cellStyle name="Comma 2 7 6 2 2 2 2" xfId="33648" xr:uid="{6341B026-9AED-453D-B177-4428F70C6CD8}"/>
    <cellStyle name="Comma 2 7 6 2 2 3" xfId="24976" xr:uid="{474E886F-024A-47F5-97B6-163F3A7E50D2}"/>
    <cellStyle name="Comma 2 7 6 2 3" xfId="11968" xr:uid="{31B65F86-35F1-49A1-9985-F61A419A56CD}"/>
    <cellStyle name="Comma 2 7 6 2 3 2" xfId="29312" xr:uid="{F20A1D3A-D47B-4BC4-9381-A8DA6E7D71CA}"/>
    <cellStyle name="Comma 2 7 6 2 4" xfId="20640" xr:uid="{0F0BD502-5131-4856-A1D7-B548D6F4706C}"/>
    <cellStyle name="Comma 2 7 6 3" xfId="5464" xr:uid="{EA7B9322-EDDA-4CDE-8C65-CAA98A277150}"/>
    <cellStyle name="Comma 2 7 6 3 2" xfId="14136" xr:uid="{02CC3800-EE64-4854-9240-6C57D3D42EF4}"/>
    <cellStyle name="Comma 2 7 6 3 2 2" xfId="31480" xr:uid="{D1B353A7-633A-4F46-A37E-F8446C50360C}"/>
    <cellStyle name="Comma 2 7 6 3 3" xfId="22808" xr:uid="{AB25B815-2EA0-472B-A86B-943D5A70D62A}"/>
    <cellStyle name="Comma 2 7 6 4" xfId="9800" xr:uid="{17B00D35-7310-41D4-8E5F-4B7EBA92A9EB}"/>
    <cellStyle name="Comma 2 7 6 4 2" xfId="27144" xr:uid="{AE592642-AB16-45C7-AA7B-66E1EB916B1C}"/>
    <cellStyle name="Comma 2 7 6 5" xfId="18472" xr:uid="{CCBB0856-2D80-4EAC-AB1B-D7A2960E1C29}"/>
    <cellStyle name="Comma 2 7 7" xfId="2212" xr:uid="{61ABD17E-9CEF-4621-9857-A293E53B1302}"/>
    <cellStyle name="Comma 2 7 7 2" xfId="6548" xr:uid="{9AAAD53E-3BC9-4B02-89BD-3AD53BDB9AAF}"/>
    <cellStyle name="Comma 2 7 7 2 2" xfId="15220" xr:uid="{2D07D5DE-BE25-4A51-A348-A6E5A48E810E}"/>
    <cellStyle name="Comma 2 7 7 2 2 2" xfId="32564" xr:uid="{0E402269-3DCB-49DB-AC66-7C20E01B41E8}"/>
    <cellStyle name="Comma 2 7 7 2 3" xfId="23892" xr:uid="{5086C36F-BBD3-457F-A66A-96DCFF38B6F2}"/>
    <cellStyle name="Comma 2 7 7 3" xfId="10884" xr:uid="{586966A1-5D69-4D73-9279-27E066D161C3}"/>
    <cellStyle name="Comma 2 7 7 3 2" xfId="28228" xr:uid="{BB2C36A5-2734-445B-8EF3-54C4F4C8EC32}"/>
    <cellStyle name="Comma 2 7 7 4" xfId="19556" xr:uid="{2B36AB33-48E1-49BF-A3AE-F2331EF96361}"/>
    <cellStyle name="Comma 2 7 8" xfId="4380" xr:uid="{910FB89D-4085-4A5F-A924-3A0E1D690988}"/>
    <cellStyle name="Comma 2 7 8 2" xfId="13052" xr:uid="{EC51A494-075E-421D-9C5C-BD413A08BE31}"/>
    <cellStyle name="Comma 2 7 8 2 2" xfId="30396" xr:uid="{426C2722-1440-47DE-87F3-DC8529160801}"/>
    <cellStyle name="Comma 2 7 8 3" xfId="21724" xr:uid="{B8E99837-3159-4B06-BEF7-C2BBB5D6CF02}"/>
    <cellStyle name="Comma 2 7 9" xfId="8716" xr:uid="{BC31DF10-611B-49AC-A9C1-1416F9AFD3CA}"/>
    <cellStyle name="Comma 2 7 9 2" xfId="26060" xr:uid="{C3624E75-7F54-4487-BF93-978904296D2C}"/>
    <cellStyle name="Comma 2 8" xfId="51" xr:uid="{97A866E2-A5F0-45F2-A241-1185460C6BF3}"/>
    <cellStyle name="Comma 2 8 10" xfId="17395" xr:uid="{A4E83FD3-950A-4771-B825-4A0B60E63C50}"/>
    <cellStyle name="Comma 2 8 2" xfId="112" xr:uid="{3C0E40DC-811F-4428-9D10-1B28891847BD}"/>
    <cellStyle name="Comma 2 8 2 2" xfId="234" xr:uid="{D908F8D7-30C0-4506-A6B2-296A8F415F47}"/>
    <cellStyle name="Comma 2 8 2 2 2" xfId="504" xr:uid="{28DAB8AE-531C-40EC-A927-6E683CD12F17}"/>
    <cellStyle name="Comma 2 8 2 2 2 2" xfId="1045" xr:uid="{5BD3BDC9-8E4F-48F5-8500-CCDE7E8076A2}"/>
    <cellStyle name="Comma 2 8 2 2 2 2 2" xfId="2129" xr:uid="{CF3B510D-2AFC-4B1F-BCB7-9CC8BBB8C0F4}"/>
    <cellStyle name="Comma 2 8 2 2 2 2 2 2" xfId="4297" xr:uid="{5B68E555-C2A0-4E5E-AD3F-32A6623E9E11}"/>
    <cellStyle name="Comma 2 8 2 2 2 2 2 2 2" xfId="8633" xr:uid="{04E33FBA-E57D-404D-9593-8777D9FC7C88}"/>
    <cellStyle name="Comma 2 8 2 2 2 2 2 2 2 2" xfId="17305" xr:uid="{DB64F5E7-5E5E-4E57-A195-DA058FE0C756}"/>
    <cellStyle name="Comma 2 8 2 2 2 2 2 2 2 2 2" xfId="34649" xr:uid="{EC282D3E-CA68-424F-B372-D0422CFEF3A8}"/>
    <cellStyle name="Comma 2 8 2 2 2 2 2 2 2 3" xfId="25977" xr:uid="{662460A0-5CDC-4D94-8043-8B3D2ECA9D71}"/>
    <cellStyle name="Comma 2 8 2 2 2 2 2 2 3" xfId="12969" xr:uid="{259C48D3-8AC4-42B6-A984-142B196B788E}"/>
    <cellStyle name="Comma 2 8 2 2 2 2 2 2 3 2" xfId="30313" xr:uid="{B6696F7E-A8AC-4A2F-8C47-394A5BE57AAE}"/>
    <cellStyle name="Comma 2 8 2 2 2 2 2 2 4" xfId="21641" xr:uid="{CBD67E9F-194E-4CF3-919D-1AABDBBF8ABC}"/>
    <cellStyle name="Comma 2 8 2 2 2 2 2 3" xfId="6465" xr:uid="{05473D92-6A04-40A1-8E54-CB343A041D35}"/>
    <cellStyle name="Comma 2 8 2 2 2 2 2 3 2" xfId="15137" xr:uid="{28DB3E61-3E04-45D7-9FFC-F2B8C411093A}"/>
    <cellStyle name="Comma 2 8 2 2 2 2 2 3 2 2" xfId="32481" xr:uid="{25C7C0C5-A4A7-4553-9007-C58443104EAB}"/>
    <cellStyle name="Comma 2 8 2 2 2 2 2 3 3" xfId="23809" xr:uid="{3F22B9B8-3163-4145-B5F5-DC510CEB73D6}"/>
    <cellStyle name="Comma 2 8 2 2 2 2 2 4" xfId="10801" xr:uid="{FE8BFBB2-6864-4C4A-A3D0-87C48BA7A635}"/>
    <cellStyle name="Comma 2 8 2 2 2 2 2 4 2" xfId="28145" xr:uid="{2BB6DA64-8A76-41E7-AAD8-80286EF7099D}"/>
    <cellStyle name="Comma 2 8 2 2 2 2 2 5" xfId="19473" xr:uid="{9A5EC69F-A1C3-419E-8986-898A5FA1F758}"/>
    <cellStyle name="Comma 2 8 2 2 2 2 3" xfId="3213" xr:uid="{38C50087-D221-4119-B02F-1DD5DD5A3C78}"/>
    <cellStyle name="Comma 2 8 2 2 2 2 3 2" xfId="7549" xr:uid="{717ECF8E-E985-43C3-824E-8933887A265D}"/>
    <cellStyle name="Comma 2 8 2 2 2 2 3 2 2" xfId="16221" xr:uid="{4CF5FB22-647F-4029-9647-85258D77EA3D}"/>
    <cellStyle name="Comma 2 8 2 2 2 2 3 2 2 2" xfId="33565" xr:uid="{33CB0381-5FCA-4D03-8AE5-50AFE9E564EE}"/>
    <cellStyle name="Comma 2 8 2 2 2 2 3 2 3" xfId="24893" xr:uid="{83A0FC34-7A09-411C-B208-B6E0A92F53AC}"/>
    <cellStyle name="Comma 2 8 2 2 2 2 3 3" xfId="11885" xr:uid="{4739747B-8B4C-4903-8C7A-AF7FD3C07FEC}"/>
    <cellStyle name="Comma 2 8 2 2 2 2 3 3 2" xfId="29229" xr:uid="{70DC9969-4010-4864-8477-C717160A1A93}"/>
    <cellStyle name="Comma 2 8 2 2 2 2 3 4" xfId="20557" xr:uid="{677A927C-80A4-4232-BE8C-0ABFD69E4375}"/>
    <cellStyle name="Comma 2 8 2 2 2 2 4" xfId="5381" xr:uid="{5B8918F8-FDC1-4655-98AE-F5E1BF87161F}"/>
    <cellStyle name="Comma 2 8 2 2 2 2 4 2" xfId="14053" xr:uid="{360DC1B3-1303-441F-A227-7E8EF11F1613}"/>
    <cellStyle name="Comma 2 8 2 2 2 2 4 2 2" xfId="31397" xr:uid="{C4C6B2AB-B2F0-4F1A-A8A8-06F5B5063996}"/>
    <cellStyle name="Comma 2 8 2 2 2 2 4 3" xfId="22725" xr:uid="{5F1D3B7D-A130-42EF-8497-960D2FE57099}"/>
    <cellStyle name="Comma 2 8 2 2 2 2 5" xfId="9717" xr:uid="{52B91A6B-1D00-4FBC-A088-AB473E4B961F}"/>
    <cellStyle name="Comma 2 8 2 2 2 2 5 2" xfId="27061" xr:uid="{6C76A777-501B-4B3C-9F98-A68BB4F4896B}"/>
    <cellStyle name="Comma 2 8 2 2 2 2 6" xfId="18389" xr:uid="{258D025F-50B3-4D9B-982F-C791A1C4CFF8}"/>
    <cellStyle name="Comma 2 8 2 2 2 3" xfId="1588" xr:uid="{2F551EE6-AAAF-4D25-ABEC-160CA3EA008F}"/>
    <cellStyle name="Comma 2 8 2 2 2 3 2" xfId="3756" xr:uid="{5E5B005F-F7EE-49FD-9211-B56B46D62DDA}"/>
    <cellStyle name="Comma 2 8 2 2 2 3 2 2" xfId="8092" xr:uid="{6D8A8B0A-BA8D-4166-AEA0-D7A50D199431}"/>
    <cellStyle name="Comma 2 8 2 2 2 3 2 2 2" xfId="16764" xr:uid="{6A11A637-E059-413F-8B5F-383429D5F14C}"/>
    <cellStyle name="Comma 2 8 2 2 2 3 2 2 2 2" xfId="34108" xr:uid="{F9E1A2A6-7DAE-4CA7-B23E-DC18E848F748}"/>
    <cellStyle name="Comma 2 8 2 2 2 3 2 2 3" xfId="25436" xr:uid="{AB08C4C7-23FF-43DD-8252-C415A9B8B8DB}"/>
    <cellStyle name="Comma 2 8 2 2 2 3 2 3" xfId="12428" xr:uid="{8782DC8C-2258-4A72-8FFC-EFC4AE0912ED}"/>
    <cellStyle name="Comma 2 8 2 2 2 3 2 3 2" xfId="29772" xr:uid="{A3CDA801-DEDC-4F34-BAAB-F292C0F9998A}"/>
    <cellStyle name="Comma 2 8 2 2 2 3 2 4" xfId="21100" xr:uid="{F3E71CB5-7D25-47D4-AD93-1EAC7850A311}"/>
    <cellStyle name="Comma 2 8 2 2 2 3 3" xfId="5924" xr:uid="{93E2654B-6568-46FC-AE8D-AD82CD93629D}"/>
    <cellStyle name="Comma 2 8 2 2 2 3 3 2" xfId="14596" xr:uid="{FFE55910-7A6D-476A-8B28-3FD184335318}"/>
    <cellStyle name="Comma 2 8 2 2 2 3 3 2 2" xfId="31940" xr:uid="{35208465-6EBD-4007-AEFF-0848636ABE19}"/>
    <cellStyle name="Comma 2 8 2 2 2 3 3 3" xfId="23268" xr:uid="{E91B60AA-65E3-4789-AD2D-DCC69A0E3053}"/>
    <cellStyle name="Comma 2 8 2 2 2 3 4" xfId="10260" xr:uid="{8341B6DD-B788-4665-AB7B-892402129007}"/>
    <cellStyle name="Comma 2 8 2 2 2 3 4 2" xfId="27604" xr:uid="{6DF76359-A798-4D41-B0C0-C4BDEECDF93E}"/>
    <cellStyle name="Comma 2 8 2 2 2 3 5" xfId="18932" xr:uid="{13118236-783D-4F69-8412-B18273054B70}"/>
    <cellStyle name="Comma 2 8 2 2 2 4" xfId="2672" xr:uid="{4E41040B-6A5E-419D-A52F-764EC7FD94C8}"/>
    <cellStyle name="Comma 2 8 2 2 2 4 2" xfId="7008" xr:uid="{D744EF50-413E-4E17-8F32-43B470FB6EE1}"/>
    <cellStyle name="Comma 2 8 2 2 2 4 2 2" xfId="15680" xr:uid="{BCDFFB63-C2B8-49E6-AF31-20FF59AE77D0}"/>
    <cellStyle name="Comma 2 8 2 2 2 4 2 2 2" xfId="33024" xr:uid="{8F77E5AB-72DC-4B65-AB05-FD137D3BEC23}"/>
    <cellStyle name="Comma 2 8 2 2 2 4 2 3" xfId="24352" xr:uid="{34804F47-C054-428B-8BAD-0CD18F344DF0}"/>
    <cellStyle name="Comma 2 8 2 2 2 4 3" xfId="11344" xr:uid="{97108CAD-C18E-48DA-AFA1-72A947539C06}"/>
    <cellStyle name="Comma 2 8 2 2 2 4 3 2" xfId="28688" xr:uid="{7E56CFAD-FF49-4DAB-AFB4-5183366E091E}"/>
    <cellStyle name="Comma 2 8 2 2 2 4 4" xfId="20016" xr:uid="{94736F96-9678-446E-8889-5F3AB9287E79}"/>
    <cellStyle name="Comma 2 8 2 2 2 5" xfId="4840" xr:uid="{8B47800A-C882-4B42-BA7F-3BE42CCBF02A}"/>
    <cellStyle name="Comma 2 8 2 2 2 5 2" xfId="13512" xr:uid="{C16FB67B-EB49-4634-ADC0-2A7EDE70BEF9}"/>
    <cellStyle name="Comma 2 8 2 2 2 5 2 2" xfId="30856" xr:uid="{E6CA9234-AD6E-4D33-8214-427DAB9BE503}"/>
    <cellStyle name="Comma 2 8 2 2 2 5 3" xfId="22184" xr:uid="{6213872B-99BB-4B29-AF11-84E621FE82DF}"/>
    <cellStyle name="Comma 2 8 2 2 2 6" xfId="9176" xr:uid="{1BC37D81-79A2-4FBB-951F-7174DBA83003}"/>
    <cellStyle name="Comma 2 8 2 2 2 6 2" xfId="26520" xr:uid="{FDBEEB22-1A06-4972-AE45-E25727376D80}"/>
    <cellStyle name="Comma 2 8 2 2 2 7" xfId="17848" xr:uid="{7789567A-829C-490B-ADC1-00C99E8D44CD}"/>
    <cellStyle name="Comma 2 8 2 2 3" xfId="775" xr:uid="{2A600F97-A47F-414A-BF60-FD39EFC7D5DB}"/>
    <cellStyle name="Comma 2 8 2 2 3 2" xfId="1859" xr:uid="{7B1AB6B3-8330-4FF3-8E70-1B4F3DA72B92}"/>
    <cellStyle name="Comma 2 8 2 2 3 2 2" xfId="4027" xr:uid="{3545753E-9F12-4CF2-AEE4-1811958F640D}"/>
    <cellStyle name="Comma 2 8 2 2 3 2 2 2" xfId="8363" xr:uid="{40EA106D-F28A-4319-B489-74A4ADC5F15F}"/>
    <cellStyle name="Comma 2 8 2 2 3 2 2 2 2" xfId="17035" xr:uid="{63297E30-E8D6-4B34-8673-3D282A074E0A}"/>
    <cellStyle name="Comma 2 8 2 2 3 2 2 2 2 2" xfId="34379" xr:uid="{E57850C0-AABC-4FCF-8A57-0CD3CF97217F}"/>
    <cellStyle name="Comma 2 8 2 2 3 2 2 2 3" xfId="25707" xr:uid="{69294A31-A8FF-4570-9B7D-D0DB62FEA8C6}"/>
    <cellStyle name="Comma 2 8 2 2 3 2 2 3" xfId="12699" xr:uid="{4F3AED9E-52BF-41F6-A12C-15E1DE9F2BD4}"/>
    <cellStyle name="Comma 2 8 2 2 3 2 2 3 2" xfId="30043" xr:uid="{73040AF1-8769-4CFB-AA64-8A9DF102C625}"/>
    <cellStyle name="Comma 2 8 2 2 3 2 2 4" xfId="21371" xr:uid="{BF24AF28-0E67-475B-8662-F88E8474C6D9}"/>
    <cellStyle name="Comma 2 8 2 2 3 2 3" xfId="6195" xr:uid="{2F73E15D-3527-4804-9AAA-6156AB0E1728}"/>
    <cellStyle name="Comma 2 8 2 2 3 2 3 2" xfId="14867" xr:uid="{8691A01D-7F8E-4185-993B-0087ECE261E9}"/>
    <cellStyle name="Comma 2 8 2 2 3 2 3 2 2" xfId="32211" xr:uid="{043D28BD-3C6E-471D-9AF0-428129579A4B}"/>
    <cellStyle name="Comma 2 8 2 2 3 2 3 3" xfId="23539" xr:uid="{31232C56-562C-4AC3-A0EB-17CD6274A096}"/>
    <cellStyle name="Comma 2 8 2 2 3 2 4" xfId="10531" xr:uid="{AE6A36F5-266F-4AA6-ACF6-DD052C639C6A}"/>
    <cellStyle name="Comma 2 8 2 2 3 2 4 2" xfId="27875" xr:uid="{48E41F6F-156D-4391-9BA8-4679649F4715}"/>
    <cellStyle name="Comma 2 8 2 2 3 2 5" xfId="19203" xr:uid="{ACEBFCC8-CDD6-4C91-AF97-F1208F34E041}"/>
    <cellStyle name="Comma 2 8 2 2 3 3" xfId="2943" xr:uid="{2FC4AD30-44E2-4996-826E-BB0D7F498D81}"/>
    <cellStyle name="Comma 2 8 2 2 3 3 2" xfId="7279" xr:uid="{B0400478-EF63-4B56-B94D-EEF3ECB1370D}"/>
    <cellStyle name="Comma 2 8 2 2 3 3 2 2" xfId="15951" xr:uid="{E4D8FB38-DBBA-42B8-B817-5969A40DC784}"/>
    <cellStyle name="Comma 2 8 2 2 3 3 2 2 2" xfId="33295" xr:uid="{EAB04382-D802-4577-8F2F-75C7F4736210}"/>
    <cellStyle name="Comma 2 8 2 2 3 3 2 3" xfId="24623" xr:uid="{E7949057-5FFD-4934-A132-1C4786C2BD53}"/>
    <cellStyle name="Comma 2 8 2 2 3 3 3" xfId="11615" xr:uid="{B12BA156-748E-483A-AAF5-7B194E28A458}"/>
    <cellStyle name="Comma 2 8 2 2 3 3 3 2" xfId="28959" xr:uid="{139F7D3C-7488-45F5-B000-C106F3088A2D}"/>
    <cellStyle name="Comma 2 8 2 2 3 3 4" xfId="20287" xr:uid="{70E1691B-7F09-4DBA-8B4B-3183486A99A7}"/>
    <cellStyle name="Comma 2 8 2 2 3 4" xfId="5111" xr:uid="{BF00ED49-160D-446E-B356-30F6D5929457}"/>
    <cellStyle name="Comma 2 8 2 2 3 4 2" xfId="13783" xr:uid="{3E6E1403-5C68-43E4-8B56-1DEC02559053}"/>
    <cellStyle name="Comma 2 8 2 2 3 4 2 2" xfId="31127" xr:uid="{DDB7ABD8-8784-4013-83D5-2C337E93033F}"/>
    <cellStyle name="Comma 2 8 2 2 3 4 3" xfId="22455" xr:uid="{9E24058B-67B6-4DB9-B3F7-8C3C81437566}"/>
    <cellStyle name="Comma 2 8 2 2 3 5" xfId="9447" xr:uid="{A6FCAF65-9BAF-44D3-ABFE-70DBB3BAFD8E}"/>
    <cellStyle name="Comma 2 8 2 2 3 5 2" xfId="26791" xr:uid="{6CA2BD53-8AE0-411B-BA5D-97920707325C}"/>
    <cellStyle name="Comma 2 8 2 2 3 6" xfId="18119" xr:uid="{FBF09085-35AF-4F2D-89E9-78C0605B6EF2}"/>
    <cellStyle name="Comma 2 8 2 2 4" xfId="1318" xr:uid="{FAB07444-004C-4190-8AC1-81D111234C9B}"/>
    <cellStyle name="Comma 2 8 2 2 4 2" xfId="3486" xr:uid="{D1386D60-F6F6-4D91-BA55-B975AF44E4BD}"/>
    <cellStyle name="Comma 2 8 2 2 4 2 2" xfId="7822" xr:uid="{50551829-1C89-4452-9F7D-EC153FCE9BEB}"/>
    <cellStyle name="Comma 2 8 2 2 4 2 2 2" xfId="16494" xr:uid="{86CDDC24-3DF3-4EF0-B946-11ACA5188578}"/>
    <cellStyle name="Comma 2 8 2 2 4 2 2 2 2" xfId="33838" xr:uid="{F7F7AF92-AE15-4354-AA83-6FA1AB63387D}"/>
    <cellStyle name="Comma 2 8 2 2 4 2 2 3" xfId="25166" xr:uid="{8F14F7B0-63A3-4127-898F-4FE0CA8BF767}"/>
    <cellStyle name="Comma 2 8 2 2 4 2 3" xfId="12158" xr:uid="{F0838C11-7EE4-44D7-8AC5-21B5D1D5F1D1}"/>
    <cellStyle name="Comma 2 8 2 2 4 2 3 2" xfId="29502" xr:uid="{D2BBC4B2-51B4-4749-866C-D9CB9EB50CA1}"/>
    <cellStyle name="Comma 2 8 2 2 4 2 4" xfId="20830" xr:uid="{17A329E8-3B52-48E8-9CCD-4150301653E6}"/>
    <cellStyle name="Comma 2 8 2 2 4 3" xfId="5654" xr:uid="{FFA7A842-58F3-4029-BF1A-E43A4D8214AB}"/>
    <cellStyle name="Comma 2 8 2 2 4 3 2" xfId="14326" xr:uid="{C093DCA5-8C26-4D3A-8575-80AC6A194A28}"/>
    <cellStyle name="Comma 2 8 2 2 4 3 2 2" xfId="31670" xr:uid="{31DB4E74-EFA0-4347-B05B-A9298F131C62}"/>
    <cellStyle name="Comma 2 8 2 2 4 3 3" xfId="22998" xr:uid="{51DEF19E-0EA1-4FCB-B528-82D768113E11}"/>
    <cellStyle name="Comma 2 8 2 2 4 4" xfId="9990" xr:uid="{3FC0E1D3-D45B-418E-89FE-1BA9151ACFEC}"/>
    <cellStyle name="Comma 2 8 2 2 4 4 2" xfId="27334" xr:uid="{FBC954EC-B670-4DB6-A322-30C7AD030A1F}"/>
    <cellStyle name="Comma 2 8 2 2 4 5" xfId="18662" xr:uid="{F76A0052-8D6F-4D34-BC9E-9B9B6649FD97}"/>
    <cellStyle name="Comma 2 8 2 2 5" xfId="2402" xr:uid="{644EF5B5-E9DA-4526-9595-BCFA9239EDD1}"/>
    <cellStyle name="Comma 2 8 2 2 5 2" xfId="6738" xr:uid="{975FEAE6-A412-45A8-B2DD-A6424E0458AE}"/>
    <cellStyle name="Comma 2 8 2 2 5 2 2" xfId="15410" xr:uid="{B223C38D-7966-474C-AE10-85397DDA24FD}"/>
    <cellStyle name="Comma 2 8 2 2 5 2 2 2" xfId="32754" xr:uid="{9D7037D7-671F-4AEB-B941-8779433E7EAD}"/>
    <cellStyle name="Comma 2 8 2 2 5 2 3" xfId="24082" xr:uid="{6BF5BF57-890D-4427-9457-89385A5F6D31}"/>
    <cellStyle name="Comma 2 8 2 2 5 3" xfId="11074" xr:uid="{908D0227-1EB6-4D17-90F5-CFDE74857908}"/>
    <cellStyle name="Comma 2 8 2 2 5 3 2" xfId="28418" xr:uid="{B70C4F2F-5E98-4099-9CDC-10A90A466A84}"/>
    <cellStyle name="Comma 2 8 2 2 5 4" xfId="19746" xr:uid="{C068B915-18BD-4B6D-8085-F841E428AF03}"/>
    <cellStyle name="Comma 2 8 2 2 6" xfId="4570" xr:uid="{7ECD6056-1A52-494A-A56C-04E9D67BAD59}"/>
    <cellStyle name="Comma 2 8 2 2 6 2" xfId="13242" xr:uid="{B30BABC6-E63D-4AC7-8617-EF906E84BB32}"/>
    <cellStyle name="Comma 2 8 2 2 6 2 2" xfId="30586" xr:uid="{86A1FFAE-A266-4D92-A9DB-26B11BC8C435}"/>
    <cellStyle name="Comma 2 8 2 2 6 3" xfId="21914" xr:uid="{645573E5-27BE-46D2-BD7C-6C5F52A3363E}"/>
    <cellStyle name="Comma 2 8 2 2 7" xfId="8906" xr:uid="{A4A03A28-C88F-4400-BBA3-3B8506181DF7}"/>
    <cellStyle name="Comma 2 8 2 2 7 2" xfId="26250" xr:uid="{CDE466AC-F311-4B87-B15C-B3F91364651E}"/>
    <cellStyle name="Comma 2 8 2 2 8" xfId="17578" xr:uid="{F1A7B4BB-6953-47D9-B3A6-22657D91CC13}"/>
    <cellStyle name="Comma 2 8 2 3" xfId="382" xr:uid="{9FDB5203-7F92-4A9C-A1E7-BA8EADCF1653}"/>
    <cellStyle name="Comma 2 8 2 3 2" xfId="923" xr:uid="{038E1998-1C61-47BC-9063-5959EDEB6DFE}"/>
    <cellStyle name="Comma 2 8 2 3 2 2" xfId="2007" xr:uid="{86F87C69-732C-4404-B45E-F2EAE42FB4DE}"/>
    <cellStyle name="Comma 2 8 2 3 2 2 2" xfId="4175" xr:uid="{C576764E-CBCD-4010-858D-0DCF208FDBB5}"/>
    <cellStyle name="Comma 2 8 2 3 2 2 2 2" xfId="8511" xr:uid="{44C320D2-9F97-4B57-BB25-A6F076443E51}"/>
    <cellStyle name="Comma 2 8 2 3 2 2 2 2 2" xfId="17183" xr:uid="{5FD30328-4C2A-4BE8-9916-93CC62E50553}"/>
    <cellStyle name="Comma 2 8 2 3 2 2 2 2 2 2" xfId="34527" xr:uid="{80DDD103-2BFD-4E1A-860E-A1F1D81C053C}"/>
    <cellStyle name="Comma 2 8 2 3 2 2 2 2 3" xfId="25855" xr:uid="{1F3EE75A-21D4-4E96-8019-F447F02D1044}"/>
    <cellStyle name="Comma 2 8 2 3 2 2 2 3" xfId="12847" xr:uid="{8E05C825-6BF1-4A9A-AE21-F499FEBBF1E9}"/>
    <cellStyle name="Comma 2 8 2 3 2 2 2 3 2" xfId="30191" xr:uid="{09322FE6-28F3-42FC-96C6-3707D73C048E}"/>
    <cellStyle name="Comma 2 8 2 3 2 2 2 4" xfId="21519" xr:uid="{2139DA5E-F27C-430F-8408-0B78D53A64BF}"/>
    <cellStyle name="Comma 2 8 2 3 2 2 3" xfId="6343" xr:uid="{45A1D751-084D-436F-956F-C5A636131B3B}"/>
    <cellStyle name="Comma 2 8 2 3 2 2 3 2" xfId="15015" xr:uid="{7464C558-BF32-4947-90AF-24F386B1B3C7}"/>
    <cellStyle name="Comma 2 8 2 3 2 2 3 2 2" xfId="32359" xr:uid="{AFCD1501-2D7D-4313-9639-996F79FBE128}"/>
    <cellStyle name="Comma 2 8 2 3 2 2 3 3" xfId="23687" xr:uid="{6C8FEC58-9C6A-45C3-9194-A0679A8ED0C9}"/>
    <cellStyle name="Comma 2 8 2 3 2 2 4" xfId="10679" xr:uid="{6DDA6745-8AFE-4B00-83DD-5E4CEDBA5752}"/>
    <cellStyle name="Comma 2 8 2 3 2 2 4 2" xfId="28023" xr:uid="{8E863ED4-2E19-4FE6-9018-83FCF84C53EE}"/>
    <cellStyle name="Comma 2 8 2 3 2 2 5" xfId="19351" xr:uid="{B1F448B2-D7AD-4C8C-A144-92BBFA814818}"/>
    <cellStyle name="Comma 2 8 2 3 2 3" xfId="3091" xr:uid="{3D125934-9FE9-4BA3-B73B-D8140C22C7D7}"/>
    <cellStyle name="Comma 2 8 2 3 2 3 2" xfId="7427" xr:uid="{00346A7F-CCCA-4476-BC24-44F7B4DA6B2F}"/>
    <cellStyle name="Comma 2 8 2 3 2 3 2 2" xfId="16099" xr:uid="{2B946EE7-7986-40D8-AB87-56198610501D}"/>
    <cellStyle name="Comma 2 8 2 3 2 3 2 2 2" xfId="33443" xr:uid="{2A3E6230-67F1-4EAB-8A04-B9F80D22DCE4}"/>
    <cellStyle name="Comma 2 8 2 3 2 3 2 3" xfId="24771" xr:uid="{A6F6C4F9-7C96-477D-929E-18D51B1620CF}"/>
    <cellStyle name="Comma 2 8 2 3 2 3 3" xfId="11763" xr:uid="{988192BB-EF8B-4EE6-AAD1-FD738A2D8D3E}"/>
    <cellStyle name="Comma 2 8 2 3 2 3 3 2" xfId="29107" xr:uid="{97CF98BD-BF47-46F0-995B-0B37D499DED6}"/>
    <cellStyle name="Comma 2 8 2 3 2 3 4" xfId="20435" xr:uid="{FA42E0F6-183A-4529-B870-7CFFB26DD862}"/>
    <cellStyle name="Comma 2 8 2 3 2 4" xfId="5259" xr:uid="{A55E0916-2201-47B3-B942-45AC07B9EE9F}"/>
    <cellStyle name="Comma 2 8 2 3 2 4 2" xfId="13931" xr:uid="{6526C947-4F79-43EE-891E-BC903A30D2CB}"/>
    <cellStyle name="Comma 2 8 2 3 2 4 2 2" xfId="31275" xr:uid="{E5BEDE45-58B1-4D83-A7EF-FFF2A2C767B5}"/>
    <cellStyle name="Comma 2 8 2 3 2 4 3" xfId="22603" xr:uid="{140D8E18-B70C-4316-8BFB-780E64A28418}"/>
    <cellStyle name="Comma 2 8 2 3 2 5" xfId="9595" xr:uid="{31834B89-DC04-49B3-95FB-CF0942DDA7F9}"/>
    <cellStyle name="Comma 2 8 2 3 2 5 2" xfId="26939" xr:uid="{C93C82A9-A719-4A96-B267-001961F37FF0}"/>
    <cellStyle name="Comma 2 8 2 3 2 6" xfId="18267" xr:uid="{1F6E0EB2-DDEB-4D6B-B5EB-C8E3635964AE}"/>
    <cellStyle name="Comma 2 8 2 3 3" xfId="1466" xr:uid="{8EE84F65-1E62-4320-B15C-D72DD7066897}"/>
    <cellStyle name="Comma 2 8 2 3 3 2" xfId="3634" xr:uid="{4D17F15F-40EF-4CDA-BD41-D94DE2732D8A}"/>
    <cellStyle name="Comma 2 8 2 3 3 2 2" xfId="7970" xr:uid="{0761C93E-D02D-400A-9F85-76931EDC43BF}"/>
    <cellStyle name="Comma 2 8 2 3 3 2 2 2" xfId="16642" xr:uid="{63E59A62-5038-4A31-8F0A-DAAD343DE0AA}"/>
    <cellStyle name="Comma 2 8 2 3 3 2 2 2 2" xfId="33986" xr:uid="{409A9B2D-2AE7-45AB-8977-457914F1F8E9}"/>
    <cellStyle name="Comma 2 8 2 3 3 2 2 3" xfId="25314" xr:uid="{E7E3EF66-8192-442E-8FFE-D1BDDB6F6AF2}"/>
    <cellStyle name="Comma 2 8 2 3 3 2 3" xfId="12306" xr:uid="{5946C031-A010-410A-9EF1-061243503E3F}"/>
    <cellStyle name="Comma 2 8 2 3 3 2 3 2" xfId="29650" xr:uid="{9E75E5EB-694F-45E6-8D85-B61849281DFD}"/>
    <cellStyle name="Comma 2 8 2 3 3 2 4" xfId="20978" xr:uid="{CCB0A09F-F9C1-4571-B7EC-2BE2AEA9127A}"/>
    <cellStyle name="Comma 2 8 2 3 3 3" xfId="5802" xr:uid="{C00A1AFF-24F7-416D-9859-F0E70E8CF86A}"/>
    <cellStyle name="Comma 2 8 2 3 3 3 2" xfId="14474" xr:uid="{5E3CF7A3-2AB0-469F-9BE5-A1418C1F7241}"/>
    <cellStyle name="Comma 2 8 2 3 3 3 2 2" xfId="31818" xr:uid="{4EE1DA1B-DE7D-4190-8C04-0F67152E0727}"/>
    <cellStyle name="Comma 2 8 2 3 3 3 3" xfId="23146" xr:uid="{D61BE696-112E-4117-949F-E216CA4F89EE}"/>
    <cellStyle name="Comma 2 8 2 3 3 4" xfId="10138" xr:uid="{6068FF15-0038-4C57-BB27-E76224DA33B6}"/>
    <cellStyle name="Comma 2 8 2 3 3 4 2" xfId="27482" xr:uid="{0FA94246-FFC2-42CD-98EC-4C431B4F5571}"/>
    <cellStyle name="Comma 2 8 2 3 3 5" xfId="18810" xr:uid="{F67779FC-EAC3-410B-930B-6CEF819CD1EE}"/>
    <cellStyle name="Comma 2 8 2 3 4" xfId="2550" xr:uid="{ED33DC39-0A92-4BF9-9A51-D1C56CEBA351}"/>
    <cellStyle name="Comma 2 8 2 3 4 2" xfId="6886" xr:uid="{887FC3E5-179B-4357-9CE9-32710782F72C}"/>
    <cellStyle name="Comma 2 8 2 3 4 2 2" xfId="15558" xr:uid="{2EBC3F8F-39B1-43D1-A8F5-D22C226B1AA7}"/>
    <cellStyle name="Comma 2 8 2 3 4 2 2 2" xfId="32902" xr:uid="{5BD665FC-4F04-4740-8EAB-F2383072F073}"/>
    <cellStyle name="Comma 2 8 2 3 4 2 3" xfId="24230" xr:uid="{FAADB9C3-896B-464E-88D1-7635DD855CF3}"/>
    <cellStyle name="Comma 2 8 2 3 4 3" xfId="11222" xr:uid="{97BA0A6B-8E7D-4AD0-822C-75000A7C972B}"/>
    <cellStyle name="Comma 2 8 2 3 4 3 2" xfId="28566" xr:uid="{63FA4E67-8774-4376-8B85-4E7EFF09DF49}"/>
    <cellStyle name="Comma 2 8 2 3 4 4" xfId="19894" xr:uid="{A9ECDEA3-A5AD-47F4-A479-6CE2E1967EF9}"/>
    <cellStyle name="Comma 2 8 2 3 5" xfId="4718" xr:uid="{0C6C577B-0170-480B-851A-2CF6156A5BAD}"/>
    <cellStyle name="Comma 2 8 2 3 5 2" xfId="13390" xr:uid="{BDE5F3AA-77DB-4E01-A651-867A6E42869A}"/>
    <cellStyle name="Comma 2 8 2 3 5 2 2" xfId="30734" xr:uid="{2FDDC8F6-532D-45F3-9284-E2685E4A1AB9}"/>
    <cellStyle name="Comma 2 8 2 3 5 3" xfId="22062" xr:uid="{66E84064-C626-47CB-A556-7DDE23FF2E3F}"/>
    <cellStyle name="Comma 2 8 2 3 6" xfId="9054" xr:uid="{984558B4-8D80-46AB-87B8-57D351E86B0A}"/>
    <cellStyle name="Comma 2 8 2 3 6 2" xfId="26398" xr:uid="{7188E835-EE6C-4F39-A8FC-1C3B2C6B7F99}"/>
    <cellStyle name="Comma 2 8 2 3 7" xfId="17726" xr:uid="{B7D0531D-BA86-4270-9513-D7D3FD99C1EA}"/>
    <cellStyle name="Comma 2 8 2 4" xfId="653" xr:uid="{771F2F1F-B563-46C4-A800-FC44686914EC}"/>
    <cellStyle name="Comma 2 8 2 4 2" xfId="1737" xr:uid="{B5C86173-F723-449B-97E0-6C329C359FDB}"/>
    <cellStyle name="Comma 2 8 2 4 2 2" xfId="3905" xr:uid="{36C66E89-3FF6-4696-8493-BD43A41146A5}"/>
    <cellStyle name="Comma 2 8 2 4 2 2 2" xfId="8241" xr:uid="{912AC3EC-021F-4673-B9F8-A321FDFCB757}"/>
    <cellStyle name="Comma 2 8 2 4 2 2 2 2" xfId="16913" xr:uid="{3AC1EE39-809D-442F-BDA0-E1172FA13237}"/>
    <cellStyle name="Comma 2 8 2 4 2 2 2 2 2" xfId="34257" xr:uid="{8AF134ED-7B50-4A04-8844-FDCF7F6DEB90}"/>
    <cellStyle name="Comma 2 8 2 4 2 2 2 3" xfId="25585" xr:uid="{099D7D6C-0865-44C1-974F-7E0D695B208B}"/>
    <cellStyle name="Comma 2 8 2 4 2 2 3" xfId="12577" xr:uid="{4CEA4F2D-03FF-4C6C-8FC8-545E8814BADD}"/>
    <cellStyle name="Comma 2 8 2 4 2 2 3 2" xfId="29921" xr:uid="{EFC34505-E1EC-417A-BC7F-C328B24E5A47}"/>
    <cellStyle name="Comma 2 8 2 4 2 2 4" xfId="21249" xr:uid="{248D7E86-B32B-4C89-96C1-0C81889DA6BC}"/>
    <cellStyle name="Comma 2 8 2 4 2 3" xfId="6073" xr:uid="{C89613BD-6DE2-4E3B-8460-72BFA832CA44}"/>
    <cellStyle name="Comma 2 8 2 4 2 3 2" xfId="14745" xr:uid="{7C84CF3E-49C4-4F0C-A603-4FE5798F0FD8}"/>
    <cellStyle name="Comma 2 8 2 4 2 3 2 2" xfId="32089" xr:uid="{A969FA74-F4CC-43C4-8DFD-E41099A5B8AE}"/>
    <cellStyle name="Comma 2 8 2 4 2 3 3" xfId="23417" xr:uid="{69F96D08-F90B-4DDF-8DE9-DA3481567628}"/>
    <cellStyle name="Comma 2 8 2 4 2 4" xfId="10409" xr:uid="{28E9D692-13BA-4F1C-85FB-ED05EDA5CD19}"/>
    <cellStyle name="Comma 2 8 2 4 2 4 2" xfId="27753" xr:uid="{B624DB32-E942-4754-BCD6-863D3DEB8280}"/>
    <cellStyle name="Comma 2 8 2 4 2 5" xfId="19081" xr:uid="{33809366-8678-46BB-AB0D-35D86A2A9DED}"/>
    <cellStyle name="Comma 2 8 2 4 3" xfId="2821" xr:uid="{6086A0D3-4699-4D87-A852-7686AAE6B27C}"/>
    <cellStyle name="Comma 2 8 2 4 3 2" xfId="7157" xr:uid="{E2EDA14C-A266-4030-9C53-FDB40503C07E}"/>
    <cellStyle name="Comma 2 8 2 4 3 2 2" xfId="15829" xr:uid="{67C13C19-017E-4FCA-B489-9EE37674B787}"/>
    <cellStyle name="Comma 2 8 2 4 3 2 2 2" xfId="33173" xr:uid="{A593D9DF-73C0-4880-AB81-8CC5CFA656B8}"/>
    <cellStyle name="Comma 2 8 2 4 3 2 3" xfId="24501" xr:uid="{00FF4588-8F74-4EC0-AFD1-9F1F92A22BFB}"/>
    <cellStyle name="Comma 2 8 2 4 3 3" xfId="11493" xr:uid="{7F2AC08D-E97D-41E8-A72C-3E75642F7BA9}"/>
    <cellStyle name="Comma 2 8 2 4 3 3 2" xfId="28837" xr:uid="{F27AFEDB-A0B0-4544-88CF-EB89822C8876}"/>
    <cellStyle name="Comma 2 8 2 4 3 4" xfId="20165" xr:uid="{53355C02-6E28-4635-A2CE-5919AD33B963}"/>
    <cellStyle name="Comma 2 8 2 4 4" xfId="4989" xr:uid="{8CD3D00E-67C7-4DF6-8B38-67140D3A25B5}"/>
    <cellStyle name="Comma 2 8 2 4 4 2" xfId="13661" xr:uid="{D941B39C-380A-4D3E-B58F-11921E6AB1A3}"/>
    <cellStyle name="Comma 2 8 2 4 4 2 2" xfId="31005" xr:uid="{593A66B8-ADBF-4F3A-BDF2-3061541FF8EA}"/>
    <cellStyle name="Comma 2 8 2 4 4 3" xfId="22333" xr:uid="{5A257C34-7A51-40D3-96FD-D1A46AD0F747}"/>
    <cellStyle name="Comma 2 8 2 4 5" xfId="9325" xr:uid="{45BD3D95-833F-4E12-A717-B3A491A850EB}"/>
    <cellStyle name="Comma 2 8 2 4 5 2" xfId="26669" xr:uid="{047CF72D-AB14-4F6B-8E02-BE6639A5D158}"/>
    <cellStyle name="Comma 2 8 2 4 6" xfId="17997" xr:uid="{449EA50A-4DB5-4233-835B-A6CE06902698}"/>
    <cellStyle name="Comma 2 8 2 5" xfId="1196" xr:uid="{202D5B62-3AE3-424A-9895-0CBA5AD63E6C}"/>
    <cellStyle name="Comma 2 8 2 5 2" xfId="3364" xr:uid="{A0AE85AD-5B96-4143-8B49-612B5716E270}"/>
    <cellStyle name="Comma 2 8 2 5 2 2" xfId="7700" xr:uid="{96873C77-169F-4C1B-92EA-959C47D8AC5E}"/>
    <cellStyle name="Comma 2 8 2 5 2 2 2" xfId="16372" xr:uid="{D3C9D53F-A525-4342-B21F-D463419448A4}"/>
    <cellStyle name="Comma 2 8 2 5 2 2 2 2" xfId="33716" xr:uid="{F400CF96-8C7A-4CC5-B9DD-76807123B9E6}"/>
    <cellStyle name="Comma 2 8 2 5 2 2 3" xfId="25044" xr:uid="{8C4B3F73-045F-45C7-B775-81F399CA6CB7}"/>
    <cellStyle name="Comma 2 8 2 5 2 3" xfId="12036" xr:uid="{7FC51905-FDCA-4DA2-8120-2C3D6D752501}"/>
    <cellStyle name="Comma 2 8 2 5 2 3 2" xfId="29380" xr:uid="{42A2B683-151D-4623-A512-7170DE4977A6}"/>
    <cellStyle name="Comma 2 8 2 5 2 4" xfId="20708" xr:uid="{99CEB9C2-C439-433B-92BE-615DE6D712C5}"/>
    <cellStyle name="Comma 2 8 2 5 3" xfId="5532" xr:uid="{C8A09987-79B8-48D6-9C87-2E91C62660B9}"/>
    <cellStyle name="Comma 2 8 2 5 3 2" xfId="14204" xr:uid="{E6E5B94F-7522-4221-ACB5-256FC85EDCD8}"/>
    <cellStyle name="Comma 2 8 2 5 3 2 2" xfId="31548" xr:uid="{77BC53FB-2B80-4B0B-94DD-0BBA3BD4EFE9}"/>
    <cellStyle name="Comma 2 8 2 5 3 3" xfId="22876" xr:uid="{8D14A4B5-B53B-498F-B014-CB83D52078B9}"/>
    <cellStyle name="Comma 2 8 2 5 4" xfId="9868" xr:uid="{FB977E6F-6CDF-406E-B421-FD7A3478E6B4}"/>
    <cellStyle name="Comma 2 8 2 5 4 2" xfId="27212" xr:uid="{7CE92479-1384-4EE6-BE61-02B96827BAE4}"/>
    <cellStyle name="Comma 2 8 2 5 5" xfId="18540" xr:uid="{9FA6DD71-97D7-4040-B6EF-C0792B66414C}"/>
    <cellStyle name="Comma 2 8 2 6" xfId="2280" xr:uid="{26676C22-56A1-4708-91C7-8FC9BD71A2D5}"/>
    <cellStyle name="Comma 2 8 2 6 2" xfId="6616" xr:uid="{C90FCF30-544F-429F-8956-36FDEE979DEA}"/>
    <cellStyle name="Comma 2 8 2 6 2 2" xfId="15288" xr:uid="{EAC69B0A-19BB-46BB-8401-AEDF70DE62EE}"/>
    <cellStyle name="Comma 2 8 2 6 2 2 2" xfId="32632" xr:uid="{47951E8D-9D63-4C62-BE5D-645AD7323246}"/>
    <cellStyle name="Comma 2 8 2 6 2 3" xfId="23960" xr:uid="{D6CD82C3-001A-49FC-A4ED-0F2EB66A22F4}"/>
    <cellStyle name="Comma 2 8 2 6 3" xfId="10952" xr:uid="{422D6596-B3C0-4AFE-96F6-D740EAE27B7C}"/>
    <cellStyle name="Comma 2 8 2 6 3 2" xfId="28296" xr:uid="{24F92DB3-E856-41C0-B4BE-56C8D232885D}"/>
    <cellStyle name="Comma 2 8 2 6 4" xfId="19624" xr:uid="{A24CC00C-1A43-4E90-9A9B-4B047808A6DD}"/>
    <cellStyle name="Comma 2 8 2 7" xfId="4448" xr:uid="{296D1489-5EB5-487C-B671-F8DBB391451A}"/>
    <cellStyle name="Comma 2 8 2 7 2" xfId="13120" xr:uid="{AEC3B7CD-D9A3-4538-9247-8267B29C16F1}"/>
    <cellStyle name="Comma 2 8 2 7 2 2" xfId="30464" xr:uid="{F238B680-06F6-4400-862B-BE3E3564E8A5}"/>
    <cellStyle name="Comma 2 8 2 7 3" xfId="21792" xr:uid="{86384DED-552B-4DE9-85E0-FB36D118F532}"/>
    <cellStyle name="Comma 2 8 2 8" xfId="8784" xr:uid="{58E57B8B-9488-4FBA-BEC1-8E5FB3D792CD}"/>
    <cellStyle name="Comma 2 8 2 8 2" xfId="26128" xr:uid="{6EB3405A-4A70-43D5-A816-54DFF4E1F8C8}"/>
    <cellStyle name="Comma 2 8 2 9" xfId="17456" xr:uid="{B898CDA0-5371-4579-8672-337C707EECE3}"/>
    <cellStyle name="Comma 2 8 3" xfId="173" xr:uid="{5E53BB8D-A524-49DE-A523-5E7CBC021B50}"/>
    <cellStyle name="Comma 2 8 3 2" xfId="443" xr:uid="{241D3EB0-1D0F-4D6A-A7C1-C42BDB66DD50}"/>
    <cellStyle name="Comma 2 8 3 2 2" xfId="984" xr:uid="{850CE0EA-4D88-413E-8FDF-CE4CDE8A8316}"/>
    <cellStyle name="Comma 2 8 3 2 2 2" xfId="2068" xr:uid="{787B9984-4F96-46BC-A5F8-772E0C65E7F7}"/>
    <cellStyle name="Comma 2 8 3 2 2 2 2" xfId="4236" xr:uid="{887C5719-B44E-4F65-850A-4AAE7571419C}"/>
    <cellStyle name="Comma 2 8 3 2 2 2 2 2" xfId="8572" xr:uid="{BBB5EB5F-246F-48A0-84E5-486D8CE1CB9B}"/>
    <cellStyle name="Comma 2 8 3 2 2 2 2 2 2" xfId="17244" xr:uid="{62F8326C-22F3-41E0-86C9-D5E7F8D59E73}"/>
    <cellStyle name="Comma 2 8 3 2 2 2 2 2 2 2" xfId="34588" xr:uid="{5865EA67-CDAB-4471-ADA3-C73FD5C0A7F4}"/>
    <cellStyle name="Comma 2 8 3 2 2 2 2 2 3" xfId="25916" xr:uid="{1C5500B9-5FB9-4838-B053-58D795305709}"/>
    <cellStyle name="Comma 2 8 3 2 2 2 2 3" xfId="12908" xr:uid="{D828577C-E037-4821-B69B-EFB2FC78FF7A}"/>
    <cellStyle name="Comma 2 8 3 2 2 2 2 3 2" xfId="30252" xr:uid="{841B2ADA-79C9-4FCB-B7B2-3F6A9A74D8E5}"/>
    <cellStyle name="Comma 2 8 3 2 2 2 2 4" xfId="21580" xr:uid="{7081400F-852F-42A4-9390-6C71E4EC0FF3}"/>
    <cellStyle name="Comma 2 8 3 2 2 2 3" xfId="6404" xr:uid="{FE5A0834-35BD-4B2C-8136-68954448A765}"/>
    <cellStyle name="Comma 2 8 3 2 2 2 3 2" xfId="15076" xr:uid="{6B7191FC-AEEB-4814-A8BF-A230ECACC5AE}"/>
    <cellStyle name="Comma 2 8 3 2 2 2 3 2 2" xfId="32420" xr:uid="{9B1146B7-4DCA-48BD-9DB5-F6F487608666}"/>
    <cellStyle name="Comma 2 8 3 2 2 2 3 3" xfId="23748" xr:uid="{950CCE52-C5EA-4B16-A41A-DE8D06E077ED}"/>
    <cellStyle name="Comma 2 8 3 2 2 2 4" xfId="10740" xr:uid="{7A9B0BF2-C41E-4328-9FCB-C61899B98400}"/>
    <cellStyle name="Comma 2 8 3 2 2 2 4 2" xfId="28084" xr:uid="{A04159C3-0D81-4933-BC55-A432B557F088}"/>
    <cellStyle name="Comma 2 8 3 2 2 2 5" xfId="19412" xr:uid="{1B47B9F0-E72F-4805-BA11-DD8925C39E99}"/>
    <cellStyle name="Comma 2 8 3 2 2 3" xfId="3152" xr:uid="{8C856AF5-502C-44A9-AD36-ED578D6579B0}"/>
    <cellStyle name="Comma 2 8 3 2 2 3 2" xfId="7488" xr:uid="{17A756FA-114E-4061-B449-5D796F531196}"/>
    <cellStyle name="Comma 2 8 3 2 2 3 2 2" xfId="16160" xr:uid="{44404ED2-FAA4-47E5-9950-5CCC3964B12D}"/>
    <cellStyle name="Comma 2 8 3 2 2 3 2 2 2" xfId="33504" xr:uid="{91A72746-A61B-44E5-9180-A38601E6BA85}"/>
    <cellStyle name="Comma 2 8 3 2 2 3 2 3" xfId="24832" xr:uid="{9E6FD8EE-59A8-45DE-9664-30DE684C7F5D}"/>
    <cellStyle name="Comma 2 8 3 2 2 3 3" xfId="11824" xr:uid="{E53F1618-1E6B-4EB6-9191-9D7FB48CE796}"/>
    <cellStyle name="Comma 2 8 3 2 2 3 3 2" xfId="29168" xr:uid="{2A0DE802-4136-4FD3-B33E-02368B444D37}"/>
    <cellStyle name="Comma 2 8 3 2 2 3 4" xfId="20496" xr:uid="{CC30E70E-A03E-4000-A6DE-0B3CAE39494F}"/>
    <cellStyle name="Comma 2 8 3 2 2 4" xfId="5320" xr:uid="{0FDA3311-5218-4A3E-9CC7-3912FEFD902F}"/>
    <cellStyle name="Comma 2 8 3 2 2 4 2" xfId="13992" xr:uid="{D29C6549-9429-4E54-901C-AD11F37985BF}"/>
    <cellStyle name="Comma 2 8 3 2 2 4 2 2" xfId="31336" xr:uid="{A523835E-2D1D-4642-BB7F-288A8E0C80EE}"/>
    <cellStyle name="Comma 2 8 3 2 2 4 3" xfId="22664" xr:uid="{A4383C7A-77E2-4F27-B487-805F59DCB93B}"/>
    <cellStyle name="Comma 2 8 3 2 2 5" xfId="9656" xr:uid="{0A49DC76-2C98-4782-A91D-402F4F40BF60}"/>
    <cellStyle name="Comma 2 8 3 2 2 5 2" xfId="27000" xr:uid="{A9339457-194B-4B23-A613-62539EF8544A}"/>
    <cellStyle name="Comma 2 8 3 2 2 6" xfId="18328" xr:uid="{2DF24F4A-DC6F-47CA-B85B-68213DC99D2B}"/>
    <cellStyle name="Comma 2 8 3 2 3" xfId="1527" xr:uid="{D839DDDB-0079-4044-82DF-92043D91D5F5}"/>
    <cellStyle name="Comma 2 8 3 2 3 2" xfId="3695" xr:uid="{99B54614-4AE4-42E9-8B11-E37A0A318F70}"/>
    <cellStyle name="Comma 2 8 3 2 3 2 2" xfId="8031" xr:uid="{6D6F2F7E-D900-4416-B2E2-C9F9BCE1B0C7}"/>
    <cellStyle name="Comma 2 8 3 2 3 2 2 2" xfId="16703" xr:uid="{7D7E3A0E-1733-48D4-AD3D-7CB1C70013DA}"/>
    <cellStyle name="Comma 2 8 3 2 3 2 2 2 2" xfId="34047" xr:uid="{5E5C5656-A23F-4C63-B87B-25DEFD55705E}"/>
    <cellStyle name="Comma 2 8 3 2 3 2 2 3" xfId="25375" xr:uid="{15D7ECFC-F024-4FA4-A7BD-BBBF6DA0678A}"/>
    <cellStyle name="Comma 2 8 3 2 3 2 3" xfId="12367" xr:uid="{9251FD13-1522-4EC1-8F5E-6FD1EC4778E6}"/>
    <cellStyle name="Comma 2 8 3 2 3 2 3 2" xfId="29711" xr:uid="{5108604D-61F2-4DE8-B9DC-3847F85B95B0}"/>
    <cellStyle name="Comma 2 8 3 2 3 2 4" xfId="21039" xr:uid="{87E9C9DA-DBBD-4B1A-AB96-C49B0260157A}"/>
    <cellStyle name="Comma 2 8 3 2 3 3" xfId="5863" xr:uid="{96C02ADF-EFF0-42F8-B2E9-C02550709218}"/>
    <cellStyle name="Comma 2 8 3 2 3 3 2" xfId="14535" xr:uid="{4E7F543D-8192-40F7-8C65-44B660C57959}"/>
    <cellStyle name="Comma 2 8 3 2 3 3 2 2" xfId="31879" xr:uid="{95A8D1EC-7B07-4D4F-A097-FB4935D9D0C9}"/>
    <cellStyle name="Comma 2 8 3 2 3 3 3" xfId="23207" xr:uid="{5DB646E2-63E8-496F-8B0D-D6B632651B0E}"/>
    <cellStyle name="Comma 2 8 3 2 3 4" xfId="10199" xr:uid="{2B17F35C-9D72-4B07-BA8C-D09D10439F22}"/>
    <cellStyle name="Comma 2 8 3 2 3 4 2" xfId="27543" xr:uid="{BA587AF5-C71E-42BA-81C1-5D161F155DC6}"/>
    <cellStyle name="Comma 2 8 3 2 3 5" xfId="18871" xr:uid="{698F2A32-0FCF-46DC-99F3-83A90BED884E}"/>
    <cellStyle name="Comma 2 8 3 2 4" xfId="2611" xr:uid="{FCAE662B-C54A-47F3-BD08-5907CFC84BC5}"/>
    <cellStyle name="Comma 2 8 3 2 4 2" xfId="6947" xr:uid="{471A8B82-1807-471B-BBBB-7DEB98976AED}"/>
    <cellStyle name="Comma 2 8 3 2 4 2 2" xfId="15619" xr:uid="{FE7FE492-6830-4B1A-B3D5-722A5327C6B6}"/>
    <cellStyle name="Comma 2 8 3 2 4 2 2 2" xfId="32963" xr:uid="{45BF5909-8DC3-4314-9544-6B284E34A14E}"/>
    <cellStyle name="Comma 2 8 3 2 4 2 3" xfId="24291" xr:uid="{4CA737ED-ABCC-4FF9-BF06-531F228CF115}"/>
    <cellStyle name="Comma 2 8 3 2 4 3" xfId="11283" xr:uid="{5090A676-CD41-4031-82BF-35E882A47BF2}"/>
    <cellStyle name="Comma 2 8 3 2 4 3 2" xfId="28627" xr:uid="{3ABCD67C-C31E-4B32-8902-37F019CB54D8}"/>
    <cellStyle name="Comma 2 8 3 2 4 4" xfId="19955" xr:uid="{E4C95A18-7F05-492D-99F2-4535F1CE7B12}"/>
    <cellStyle name="Comma 2 8 3 2 5" xfId="4779" xr:uid="{56582C93-FCD5-4E5E-B266-7A556DC273D4}"/>
    <cellStyle name="Comma 2 8 3 2 5 2" xfId="13451" xr:uid="{8462DFD1-C94D-4F86-819B-BAE8F0B10E02}"/>
    <cellStyle name="Comma 2 8 3 2 5 2 2" xfId="30795" xr:uid="{E1BF747C-8CA0-46CF-AC2B-E980FC3EA893}"/>
    <cellStyle name="Comma 2 8 3 2 5 3" xfId="22123" xr:uid="{CB349CC4-F2EC-461F-98BD-AF13A12AD1F2}"/>
    <cellStyle name="Comma 2 8 3 2 6" xfId="9115" xr:uid="{34692F58-0486-4A4A-81A3-544619B12146}"/>
    <cellStyle name="Comma 2 8 3 2 6 2" xfId="26459" xr:uid="{0A21215A-6B93-48D3-8EF1-41ADD640F2D0}"/>
    <cellStyle name="Comma 2 8 3 2 7" xfId="17787" xr:uid="{214C5CC8-D743-4997-96F0-F789E8F6E803}"/>
    <cellStyle name="Comma 2 8 3 3" xfId="714" xr:uid="{ED931ADE-AFCA-49D3-93D0-B8F9685BEB7C}"/>
    <cellStyle name="Comma 2 8 3 3 2" xfId="1798" xr:uid="{0F8C4F22-3D19-4CF8-9A8C-5FCD14A68600}"/>
    <cellStyle name="Comma 2 8 3 3 2 2" xfId="3966" xr:uid="{D319A69D-C406-4AC8-929B-220FE8F1F03A}"/>
    <cellStyle name="Comma 2 8 3 3 2 2 2" xfId="8302" xr:uid="{2A5ACC36-ADF1-403F-A1D6-3CDCC7E3311F}"/>
    <cellStyle name="Comma 2 8 3 3 2 2 2 2" xfId="16974" xr:uid="{F72F9081-D98D-41A0-A1C9-E2019B4F0F42}"/>
    <cellStyle name="Comma 2 8 3 3 2 2 2 2 2" xfId="34318" xr:uid="{F791D39A-153E-4ED9-ABCA-62612FAE4D21}"/>
    <cellStyle name="Comma 2 8 3 3 2 2 2 3" xfId="25646" xr:uid="{C9B672A9-2D69-4585-BEF1-248DD9AB8534}"/>
    <cellStyle name="Comma 2 8 3 3 2 2 3" xfId="12638" xr:uid="{37D25D3E-B322-4C30-A1C9-270741218662}"/>
    <cellStyle name="Comma 2 8 3 3 2 2 3 2" xfId="29982" xr:uid="{1CDA5900-7634-4F09-97F1-E748EF3B02ED}"/>
    <cellStyle name="Comma 2 8 3 3 2 2 4" xfId="21310" xr:uid="{4FE88A42-D2A1-4F06-869E-0B923B059AC7}"/>
    <cellStyle name="Comma 2 8 3 3 2 3" xfId="6134" xr:uid="{C5CB4D49-CBEE-4E76-BE6B-78F2A0B7BC28}"/>
    <cellStyle name="Comma 2 8 3 3 2 3 2" xfId="14806" xr:uid="{23732465-663B-4B89-8334-AC2D241A647A}"/>
    <cellStyle name="Comma 2 8 3 3 2 3 2 2" xfId="32150" xr:uid="{949300C0-7882-4215-9ACA-8152F18E83AC}"/>
    <cellStyle name="Comma 2 8 3 3 2 3 3" xfId="23478" xr:uid="{51F82CDA-7FFC-4B89-B647-FEDA17C198E6}"/>
    <cellStyle name="Comma 2 8 3 3 2 4" xfId="10470" xr:uid="{8E63BCA7-362B-49C4-A0C2-B515EF8A6E51}"/>
    <cellStyle name="Comma 2 8 3 3 2 4 2" xfId="27814" xr:uid="{21938B0A-B234-4ACA-8C0D-8D9B11AA08B1}"/>
    <cellStyle name="Comma 2 8 3 3 2 5" xfId="19142" xr:uid="{3BB846BD-38EF-4F16-87B5-1A04EA53C9EB}"/>
    <cellStyle name="Comma 2 8 3 3 3" xfId="2882" xr:uid="{B955407E-324B-44E9-94B8-9935693B41C8}"/>
    <cellStyle name="Comma 2 8 3 3 3 2" xfId="7218" xr:uid="{2D7297B9-C63A-4702-8037-6404A9CF3EDC}"/>
    <cellStyle name="Comma 2 8 3 3 3 2 2" xfId="15890" xr:uid="{EB356C85-59CF-4D42-B9CE-36E4347F68F2}"/>
    <cellStyle name="Comma 2 8 3 3 3 2 2 2" xfId="33234" xr:uid="{70207A62-CC3F-40BE-B029-4BABADBCBFC2}"/>
    <cellStyle name="Comma 2 8 3 3 3 2 3" xfId="24562" xr:uid="{A5AA838C-07F1-4911-9E33-4BE1E206E567}"/>
    <cellStyle name="Comma 2 8 3 3 3 3" xfId="11554" xr:uid="{5A255EA6-7471-4109-8542-143E2CECB529}"/>
    <cellStyle name="Comma 2 8 3 3 3 3 2" xfId="28898" xr:uid="{2943795A-6FB4-415A-B561-BA8B0C87EE9D}"/>
    <cellStyle name="Comma 2 8 3 3 3 4" xfId="20226" xr:uid="{A148C680-A44F-42F2-8E51-AE3B3D012B2D}"/>
    <cellStyle name="Comma 2 8 3 3 4" xfId="5050" xr:uid="{CC811C97-251B-452B-984F-ACD926296843}"/>
    <cellStyle name="Comma 2 8 3 3 4 2" xfId="13722" xr:uid="{FE0568B5-E79D-441B-B94E-CD6F6194AF42}"/>
    <cellStyle name="Comma 2 8 3 3 4 2 2" xfId="31066" xr:uid="{4166DD63-FC73-497B-9FA1-5F013569D2C5}"/>
    <cellStyle name="Comma 2 8 3 3 4 3" xfId="22394" xr:uid="{51379839-03B4-4EBB-934E-1DCE2DE0E3DB}"/>
    <cellStyle name="Comma 2 8 3 3 5" xfId="9386" xr:uid="{130E9C03-BFBD-4147-A68F-DCFC75629F0E}"/>
    <cellStyle name="Comma 2 8 3 3 5 2" xfId="26730" xr:uid="{905D298E-36B5-4BD6-B75B-64E729EF0D85}"/>
    <cellStyle name="Comma 2 8 3 3 6" xfId="18058" xr:uid="{B4D7BF77-3A2F-490A-AEAB-C318F3E8E2A9}"/>
    <cellStyle name="Comma 2 8 3 4" xfId="1257" xr:uid="{3777C805-85EB-40F4-A1BB-B67DB2C73A5C}"/>
    <cellStyle name="Comma 2 8 3 4 2" xfId="3425" xr:uid="{7F89D0C1-560D-4129-AED6-D3E74C56047B}"/>
    <cellStyle name="Comma 2 8 3 4 2 2" xfId="7761" xr:uid="{F9232F3E-F5AD-48C1-BA97-C505B8A0C3C2}"/>
    <cellStyle name="Comma 2 8 3 4 2 2 2" xfId="16433" xr:uid="{206D31D2-57F5-4C3E-A31C-1811A9E2F75B}"/>
    <cellStyle name="Comma 2 8 3 4 2 2 2 2" xfId="33777" xr:uid="{AA004AAC-3C41-422F-A1C6-8B5AA5C26493}"/>
    <cellStyle name="Comma 2 8 3 4 2 2 3" xfId="25105" xr:uid="{0FE603F8-B969-4165-9785-FE6349DCFC6F}"/>
    <cellStyle name="Comma 2 8 3 4 2 3" xfId="12097" xr:uid="{3440846B-727F-42CD-B135-51BC037CAFF0}"/>
    <cellStyle name="Comma 2 8 3 4 2 3 2" xfId="29441" xr:uid="{345880A7-8A79-431C-9C69-771461FBFFB2}"/>
    <cellStyle name="Comma 2 8 3 4 2 4" xfId="20769" xr:uid="{D093A94D-7336-474D-AC17-109FE5171EE4}"/>
    <cellStyle name="Comma 2 8 3 4 3" xfId="5593" xr:uid="{732B61D0-300B-4E8B-ABA6-D3DD3FEE61D4}"/>
    <cellStyle name="Comma 2 8 3 4 3 2" xfId="14265" xr:uid="{813D1830-B5A1-4D88-864E-93B4A3970C0C}"/>
    <cellStyle name="Comma 2 8 3 4 3 2 2" xfId="31609" xr:uid="{8189043D-9059-4FA1-8D8D-07B3F220DCA2}"/>
    <cellStyle name="Comma 2 8 3 4 3 3" xfId="22937" xr:uid="{E7A93BCB-8E0C-4D0D-8984-3722F017AC98}"/>
    <cellStyle name="Comma 2 8 3 4 4" xfId="9929" xr:uid="{EF260028-75F3-44FA-928D-82E8C3A89032}"/>
    <cellStyle name="Comma 2 8 3 4 4 2" xfId="27273" xr:uid="{6114F4BE-39D9-4945-81CF-80FCCC43D3C2}"/>
    <cellStyle name="Comma 2 8 3 4 5" xfId="18601" xr:uid="{CFC05F01-842F-447A-A420-0AC132CF3D85}"/>
    <cellStyle name="Comma 2 8 3 5" xfId="2341" xr:uid="{40C9BAB8-980E-45B1-AC5A-8B04B5AB495B}"/>
    <cellStyle name="Comma 2 8 3 5 2" xfId="6677" xr:uid="{C8952F0B-AF90-469A-92A0-E12416BEA816}"/>
    <cellStyle name="Comma 2 8 3 5 2 2" xfId="15349" xr:uid="{0E314081-D759-4B88-878E-245DE5D2B5AE}"/>
    <cellStyle name="Comma 2 8 3 5 2 2 2" xfId="32693" xr:uid="{41AEE2F6-5CEC-4E03-8EF9-5D9773571D38}"/>
    <cellStyle name="Comma 2 8 3 5 2 3" xfId="24021" xr:uid="{135DD857-9819-4799-9A35-217519FD57D7}"/>
    <cellStyle name="Comma 2 8 3 5 3" xfId="11013" xr:uid="{3FD063FD-2C8F-48EF-8904-2810E9BB1DD6}"/>
    <cellStyle name="Comma 2 8 3 5 3 2" xfId="28357" xr:uid="{043EDD01-1731-4CCC-92BA-F78D62C1F172}"/>
    <cellStyle name="Comma 2 8 3 5 4" xfId="19685" xr:uid="{5DD4C9C0-8DEB-4E98-BA4A-EEC52C92157C}"/>
    <cellStyle name="Comma 2 8 3 6" xfId="4509" xr:uid="{6DD0C347-D6F2-4348-AD9A-393A1127E3DC}"/>
    <cellStyle name="Comma 2 8 3 6 2" xfId="13181" xr:uid="{C4B6EFCE-7E4E-41F7-A879-7ED262803CA8}"/>
    <cellStyle name="Comma 2 8 3 6 2 2" xfId="30525" xr:uid="{40ADD2A6-07FB-41C8-84B0-5108B69212C3}"/>
    <cellStyle name="Comma 2 8 3 6 3" xfId="21853" xr:uid="{B37082D0-6CA2-4790-BD01-769B8F6810FA}"/>
    <cellStyle name="Comma 2 8 3 7" xfId="8845" xr:uid="{2AFA9023-A185-4B82-8FBB-4A8186C91299}"/>
    <cellStyle name="Comma 2 8 3 7 2" xfId="26189" xr:uid="{E0518270-B27A-4C2C-BFCA-08591819EA34}"/>
    <cellStyle name="Comma 2 8 3 8" xfId="17517" xr:uid="{5915BD05-BF03-459E-BF84-6411E3DEA6DA}"/>
    <cellStyle name="Comma 2 8 4" xfId="321" xr:uid="{87D4B3A5-8826-49E6-A996-3E57A61303AB}"/>
    <cellStyle name="Comma 2 8 4 2" xfId="862" xr:uid="{58E2B1E6-03FD-4071-8C2F-D846CE81F222}"/>
    <cellStyle name="Comma 2 8 4 2 2" xfId="1946" xr:uid="{A40CAE3F-59AF-45AB-B8C5-6A99E709BDC3}"/>
    <cellStyle name="Comma 2 8 4 2 2 2" xfId="4114" xr:uid="{F6D998D1-C324-4A74-882D-7C230C368516}"/>
    <cellStyle name="Comma 2 8 4 2 2 2 2" xfId="8450" xr:uid="{AACD73CE-349D-4D5F-A8C6-47DB9B19C525}"/>
    <cellStyle name="Comma 2 8 4 2 2 2 2 2" xfId="17122" xr:uid="{755D414A-FE8C-49AB-8DED-14B24CCEEC85}"/>
    <cellStyle name="Comma 2 8 4 2 2 2 2 2 2" xfId="34466" xr:uid="{D5C74FCD-3B9C-40AE-BA50-5E2D4C377753}"/>
    <cellStyle name="Comma 2 8 4 2 2 2 2 3" xfId="25794" xr:uid="{540B2C5C-E91C-44DF-8C5E-26F6F7EA471D}"/>
    <cellStyle name="Comma 2 8 4 2 2 2 3" xfId="12786" xr:uid="{413BB34A-60E3-4815-A2A9-12AB4C3C9914}"/>
    <cellStyle name="Comma 2 8 4 2 2 2 3 2" xfId="30130" xr:uid="{60A9B4D0-73E5-4435-AD00-72A7695DD8E9}"/>
    <cellStyle name="Comma 2 8 4 2 2 2 4" xfId="21458" xr:uid="{F938C25D-4935-47AC-A41B-0A6B06728EA7}"/>
    <cellStyle name="Comma 2 8 4 2 2 3" xfId="6282" xr:uid="{FEB954B9-9358-4C08-A207-D3C9909A81B6}"/>
    <cellStyle name="Comma 2 8 4 2 2 3 2" xfId="14954" xr:uid="{F62C32A0-32E9-4C8F-88D7-0DF5026B6DA5}"/>
    <cellStyle name="Comma 2 8 4 2 2 3 2 2" xfId="32298" xr:uid="{29F2BD62-43A0-481F-9AC8-243E52346B7A}"/>
    <cellStyle name="Comma 2 8 4 2 2 3 3" xfId="23626" xr:uid="{4D99EFC9-9103-4625-95FC-74D3FB38D327}"/>
    <cellStyle name="Comma 2 8 4 2 2 4" xfId="10618" xr:uid="{1BE0B122-88F7-41F5-B91D-1CF2BED853C6}"/>
    <cellStyle name="Comma 2 8 4 2 2 4 2" xfId="27962" xr:uid="{B9C91178-B3F2-4B8D-A656-41D59ADA4769}"/>
    <cellStyle name="Comma 2 8 4 2 2 5" xfId="19290" xr:uid="{280231BA-1EBB-406C-B9C7-D8054B69B4C4}"/>
    <cellStyle name="Comma 2 8 4 2 3" xfId="3030" xr:uid="{2B9B7282-97DD-4220-90F3-93A2B7EEBA0F}"/>
    <cellStyle name="Comma 2 8 4 2 3 2" xfId="7366" xr:uid="{9FA48D39-A136-4D32-8380-F4856A7CF10A}"/>
    <cellStyle name="Comma 2 8 4 2 3 2 2" xfId="16038" xr:uid="{B07F77D0-57E3-416B-B14E-D94F21436F83}"/>
    <cellStyle name="Comma 2 8 4 2 3 2 2 2" xfId="33382" xr:uid="{8E58268E-791D-4CAF-A066-F260653FA256}"/>
    <cellStyle name="Comma 2 8 4 2 3 2 3" xfId="24710" xr:uid="{D148EF79-11BA-49F0-BB42-5D4EECDB1DF7}"/>
    <cellStyle name="Comma 2 8 4 2 3 3" xfId="11702" xr:uid="{9A41DA65-FD58-4E9D-BCCC-DF9763A6FCF8}"/>
    <cellStyle name="Comma 2 8 4 2 3 3 2" xfId="29046" xr:uid="{CA2675FD-5419-4010-B63E-86D1A1CAA748}"/>
    <cellStyle name="Comma 2 8 4 2 3 4" xfId="20374" xr:uid="{DB6A170E-8BDB-4457-812A-130F489E810E}"/>
    <cellStyle name="Comma 2 8 4 2 4" xfId="5198" xr:uid="{F47DBEC9-F3F0-4E0E-AD79-6E7C6B6740F1}"/>
    <cellStyle name="Comma 2 8 4 2 4 2" xfId="13870" xr:uid="{6373A196-376B-4D95-910F-A17FF4697001}"/>
    <cellStyle name="Comma 2 8 4 2 4 2 2" xfId="31214" xr:uid="{1ADFCFB6-2503-4D24-92E6-CB7E53FD427B}"/>
    <cellStyle name="Comma 2 8 4 2 4 3" xfId="22542" xr:uid="{07FA733F-32E9-4BA7-800E-6904486584AE}"/>
    <cellStyle name="Comma 2 8 4 2 5" xfId="9534" xr:uid="{F433417D-4DCF-4997-8E5F-F84A911ACE8B}"/>
    <cellStyle name="Comma 2 8 4 2 5 2" xfId="26878" xr:uid="{0AE995B0-F0DD-4EFD-A894-C2B004B1FEB8}"/>
    <cellStyle name="Comma 2 8 4 2 6" xfId="18206" xr:uid="{90EFD200-99AD-4D67-A236-37545050E4F7}"/>
    <cellStyle name="Comma 2 8 4 3" xfId="1405" xr:uid="{976C892D-EBF9-4CBF-B8CB-80EE224571F0}"/>
    <cellStyle name="Comma 2 8 4 3 2" xfId="3573" xr:uid="{3108ED45-9B40-4D4C-B2CA-48DFEDFD2B06}"/>
    <cellStyle name="Comma 2 8 4 3 2 2" xfId="7909" xr:uid="{B7A4BD3E-73FF-419C-ADD6-350955970AC9}"/>
    <cellStyle name="Comma 2 8 4 3 2 2 2" xfId="16581" xr:uid="{EB5B51C3-04A5-4C84-81E4-C342D38817E5}"/>
    <cellStyle name="Comma 2 8 4 3 2 2 2 2" xfId="33925" xr:uid="{506A17B6-5BFE-43D7-9496-C41F05DF93B1}"/>
    <cellStyle name="Comma 2 8 4 3 2 2 3" xfId="25253" xr:uid="{8BB6996E-033D-40AF-99DF-0ADDA1BE9315}"/>
    <cellStyle name="Comma 2 8 4 3 2 3" xfId="12245" xr:uid="{666EBF60-F2DB-4FCF-A16D-B16B8DEF8BCC}"/>
    <cellStyle name="Comma 2 8 4 3 2 3 2" xfId="29589" xr:uid="{E3B88737-CB35-4DFA-9D2A-087636F58BBE}"/>
    <cellStyle name="Comma 2 8 4 3 2 4" xfId="20917" xr:uid="{06AE476D-BF4D-4466-A428-3675366C66C8}"/>
    <cellStyle name="Comma 2 8 4 3 3" xfId="5741" xr:uid="{D248E972-4C42-40D1-A81D-E67CF0BC2C49}"/>
    <cellStyle name="Comma 2 8 4 3 3 2" xfId="14413" xr:uid="{13093C2F-68AB-41D0-9DFB-0F5551E6BC62}"/>
    <cellStyle name="Comma 2 8 4 3 3 2 2" xfId="31757" xr:uid="{E31BED45-87FA-4759-A503-C844BF07C798}"/>
    <cellStyle name="Comma 2 8 4 3 3 3" xfId="23085" xr:uid="{754AC879-C8B3-4970-A77B-A5549AE4CCFB}"/>
    <cellStyle name="Comma 2 8 4 3 4" xfId="10077" xr:uid="{B51A2866-4C93-4CC6-9445-DE1F40EFF934}"/>
    <cellStyle name="Comma 2 8 4 3 4 2" xfId="27421" xr:uid="{28540B5F-FCB2-4C4C-99EE-E3E5D79DC669}"/>
    <cellStyle name="Comma 2 8 4 3 5" xfId="18749" xr:uid="{808319FE-27FF-4B7B-BD11-FDF642FA835F}"/>
    <cellStyle name="Comma 2 8 4 4" xfId="2489" xr:uid="{9C9FF557-A15E-4FD4-9759-844A0504781B}"/>
    <cellStyle name="Comma 2 8 4 4 2" xfId="6825" xr:uid="{4E3818B1-4249-4427-94AF-FAE73D0BC7CD}"/>
    <cellStyle name="Comma 2 8 4 4 2 2" xfId="15497" xr:uid="{47F0177C-51AC-4B83-908B-F40114949E5D}"/>
    <cellStyle name="Comma 2 8 4 4 2 2 2" xfId="32841" xr:uid="{8D37AA9D-7E43-412A-BD42-BE267154A7CA}"/>
    <cellStyle name="Comma 2 8 4 4 2 3" xfId="24169" xr:uid="{6AB2327D-640E-4573-AE7E-674BBB47654B}"/>
    <cellStyle name="Comma 2 8 4 4 3" xfId="11161" xr:uid="{3298B620-71B3-477D-AC75-986D08FBB1A8}"/>
    <cellStyle name="Comma 2 8 4 4 3 2" xfId="28505" xr:uid="{051BDF87-C237-422F-9E64-F9B8A5669763}"/>
    <cellStyle name="Comma 2 8 4 4 4" xfId="19833" xr:uid="{78A70B9C-9095-4436-A3A0-91E29DD1E731}"/>
    <cellStyle name="Comma 2 8 4 5" xfId="4657" xr:uid="{6EA46292-93E8-423E-8D7C-502058DF7416}"/>
    <cellStyle name="Comma 2 8 4 5 2" xfId="13329" xr:uid="{EEF0BDDD-7325-46E2-8FD5-DA66EFAE0FA0}"/>
    <cellStyle name="Comma 2 8 4 5 2 2" xfId="30673" xr:uid="{BF4DECC2-33A8-41AC-87CF-6479C18C834C}"/>
    <cellStyle name="Comma 2 8 4 5 3" xfId="22001" xr:uid="{6817F1C6-64CB-48BA-86B7-7B3ED293B7BA}"/>
    <cellStyle name="Comma 2 8 4 6" xfId="8993" xr:uid="{5D631914-2288-4CFA-B88B-5BF5D7795F19}"/>
    <cellStyle name="Comma 2 8 4 6 2" xfId="26337" xr:uid="{75821E45-FA96-4B8B-98CD-218A1D104AEF}"/>
    <cellStyle name="Comma 2 8 4 7" xfId="17665" xr:uid="{4A060A39-8231-46BE-AC13-2DBF3D18FCC1}"/>
    <cellStyle name="Comma 2 8 5" xfId="592" xr:uid="{D5990581-0029-49EC-A344-E51BFC0E914C}"/>
    <cellStyle name="Comma 2 8 5 2" xfId="1676" xr:uid="{04535B49-7894-47C9-8A80-E4FB8D9B4B31}"/>
    <cellStyle name="Comma 2 8 5 2 2" xfId="3844" xr:uid="{1A045CC2-3B2A-4872-8FD2-E4541770B04A}"/>
    <cellStyle name="Comma 2 8 5 2 2 2" xfId="8180" xr:uid="{04327002-A150-4839-9896-4A93EAEAA3AB}"/>
    <cellStyle name="Comma 2 8 5 2 2 2 2" xfId="16852" xr:uid="{2B4B12A2-0C56-45D2-B35F-77B0462C3C45}"/>
    <cellStyle name="Comma 2 8 5 2 2 2 2 2" xfId="34196" xr:uid="{3434E3BA-5D9B-4942-AC2B-EB462D0F0922}"/>
    <cellStyle name="Comma 2 8 5 2 2 2 3" xfId="25524" xr:uid="{175E0E71-8936-44A9-A2A6-E504D1A60498}"/>
    <cellStyle name="Comma 2 8 5 2 2 3" xfId="12516" xr:uid="{8E26FEA0-8160-469C-8D86-87AB1C30A8B2}"/>
    <cellStyle name="Comma 2 8 5 2 2 3 2" xfId="29860" xr:uid="{C6498FBC-AB6E-4C44-A62E-76540C65256D}"/>
    <cellStyle name="Comma 2 8 5 2 2 4" xfId="21188" xr:uid="{518B2DC3-16B8-4785-A6D7-1F36E38FF3D9}"/>
    <cellStyle name="Comma 2 8 5 2 3" xfId="6012" xr:uid="{D3A2FC62-251D-44FB-9163-1EDDEE3E59B0}"/>
    <cellStyle name="Comma 2 8 5 2 3 2" xfId="14684" xr:uid="{F670468C-B6D5-4F45-A640-E5ED656A3D73}"/>
    <cellStyle name="Comma 2 8 5 2 3 2 2" xfId="32028" xr:uid="{10F50005-8EC8-414A-A5F4-CD974FE0462F}"/>
    <cellStyle name="Comma 2 8 5 2 3 3" xfId="23356" xr:uid="{2B1C67FB-71A5-4057-8358-D712FEFDEB3C}"/>
    <cellStyle name="Comma 2 8 5 2 4" xfId="10348" xr:uid="{FE5CED3F-5D28-40D0-8F83-9A48B754040C}"/>
    <cellStyle name="Comma 2 8 5 2 4 2" xfId="27692" xr:uid="{F7D56ECC-5FF6-45A4-A212-01912123DDF4}"/>
    <cellStyle name="Comma 2 8 5 2 5" xfId="19020" xr:uid="{4924717B-78C6-41BF-BDB0-4C674FEBC0F2}"/>
    <cellStyle name="Comma 2 8 5 3" xfId="2760" xr:uid="{DD9780CA-20BC-40C9-9B65-2C3D59D0C20C}"/>
    <cellStyle name="Comma 2 8 5 3 2" xfId="7096" xr:uid="{CF894DBB-59E1-462E-BC8B-FBD26BF6F036}"/>
    <cellStyle name="Comma 2 8 5 3 2 2" xfId="15768" xr:uid="{96B85FAD-A6CB-4213-9401-A122BC85C402}"/>
    <cellStyle name="Comma 2 8 5 3 2 2 2" xfId="33112" xr:uid="{377298AF-5AAD-4C3C-8C2C-BBB992623B17}"/>
    <cellStyle name="Comma 2 8 5 3 2 3" xfId="24440" xr:uid="{D9332E4A-A822-45B6-B783-92D09CDD3055}"/>
    <cellStyle name="Comma 2 8 5 3 3" xfId="11432" xr:uid="{C9AC09F1-3B25-49EC-9C0A-26D254D61CAB}"/>
    <cellStyle name="Comma 2 8 5 3 3 2" xfId="28776" xr:uid="{34106EA6-DBA5-4807-8DFD-421C35DDFEA1}"/>
    <cellStyle name="Comma 2 8 5 3 4" xfId="20104" xr:uid="{4AC7F630-F84B-49EC-A11C-8E788BFC60B9}"/>
    <cellStyle name="Comma 2 8 5 4" xfId="4928" xr:uid="{E537697D-E0F0-455B-B104-DC427F1C844B}"/>
    <cellStyle name="Comma 2 8 5 4 2" xfId="13600" xr:uid="{E992E543-13BC-4FEC-AC57-AD3809D2C229}"/>
    <cellStyle name="Comma 2 8 5 4 2 2" xfId="30944" xr:uid="{9C54FF2A-16E2-4FB3-B0C4-388326E7C9BE}"/>
    <cellStyle name="Comma 2 8 5 4 3" xfId="22272" xr:uid="{555E96DF-943B-4279-8992-849F2D33BA3A}"/>
    <cellStyle name="Comma 2 8 5 5" xfId="9264" xr:uid="{0218089A-7800-45F9-AF60-5CEFA1778B8A}"/>
    <cellStyle name="Comma 2 8 5 5 2" xfId="26608" xr:uid="{2793830B-6AD6-4C45-BA00-D4E558C91943}"/>
    <cellStyle name="Comma 2 8 5 6" xfId="17936" xr:uid="{66E03DCE-0F19-4C1C-9342-E83E8CE47F70}"/>
    <cellStyle name="Comma 2 8 6" xfId="1135" xr:uid="{D061DBDD-9959-49B3-92A2-6F63CEC7A399}"/>
    <cellStyle name="Comma 2 8 6 2" xfId="3303" xr:uid="{7F9C0130-C0F2-450A-8921-0F36F1A2B4C1}"/>
    <cellStyle name="Comma 2 8 6 2 2" xfId="7639" xr:uid="{C77CACA7-2E6E-4C14-8EA1-BFE4AE8E031A}"/>
    <cellStyle name="Comma 2 8 6 2 2 2" xfId="16311" xr:uid="{11A427A1-13A8-4D2A-837C-D698448EEB4E}"/>
    <cellStyle name="Comma 2 8 6 2 2 2 2" xfId="33655" xr:uid="{7BE47F9F-1DD4-4F53-A2FF-1E387B2D6C4F}"/>
    <cellStyle name="Comma 2 8 6 2 2 3" xfId="24983" xr:uid="{2E85E8D7-B519-45CB-B9F5-502C276CCBFF}"/>
    <cellStyle name="Comma 2 8 6 2 3" xfId="11975" xr:uid="{5AA42B10-2114-40EE-BEA8-CE178E623802}"/>
    <cellStyle name="Comma 2 8 6 2 3 2" xfId="29319" xr:uid="{38DD7EA8-7F8D-406C-B51F-5744C4BBC070}"/>
    <cellStyle name="Comma 2 8 6 2 4" xfId="20647" xr:uid="{C50CCCEA-892B-454E-804F-69973DEA04EF}"/>
    <cellStyle name="Comma 2 8 6 3" xfId="5471" xr:uid="{6FCE9BAA-405D-4932-90C9-00749666667D}"/>
    <cellStyle name="Comma 2 8 6 3 2" xfId="14143" xr:uid="{A7478553-7744-4C12-8D3A-64197C57719D}"/>
    <cellStyle name="Comma 2 8 6 3 2 2" xfId="31487" xr:uid="{C60DACB9-1760-4319-9E55-71535375122E}"/>
    <cellStyle name="Comma 2 8 6 3 3" xfId="22815" xr:uid="{CE2BB41D-17EF-4D07-8753-A4E33F065434}"/>
    <cellStyle name="Comma 2 8 6 4" xfId="9807" xr:uid="{8EBC2B48-D645-480B-8873-8C4F4A81BA92}"/>
    <cellStyle name="Comma 2 8 6 4 2" xfId="27151" xr:uid="{49FF3D7A-D17F-4E44-858E-DF8A48045629}"/>
    <cellStyle name="Comma 2 8 6 5" xfId="18479" xr:uid="{3BDBC263-5488-4B9F-AAAE-EDC1560C5BB4}"/>
    <cellStyle name="Comma 2 8 7" xfId="2219" xr:uid="{DD7388D2-6664-4887-80A4-A33C90BD84DE}"/>
    <cellStyle name="Comma 2 8 7 2" xfId="6555" xr:uid="{DEA2109A-92FA-4114-AB53-4D1388BE8781}"/>
    <cellStyle name="Comma 2 8 7 2 2" xfId="15227" xr:uid="{11FC9F18-9CE7-44FA-ADD5-B65F36D994ED}"/>
    <cellStyle name="Comma 2 8 7 2 2 2" xfId="32571" xr:uid="{C8FF7D8F-6BCD-4F01-8BAD-3C618D03F5BA}"/>
    <cellStyle name="Comma 2 8 7 2 3" xfId="23899" xr:uid="{83DAF76F-B077-4ACF-9EED-15B7E82236EE}"/>
    <cellStyle name="Comma 2 8 7 3" xfId="10891" xr:uid="{46005D6E-1B2A-4BB3-A852-39D8F50230C3}"/>
    <cellStyle name="Comma 2 8 7 3 2" xfId="28235" xr:uid="{67D68D87-D1CC-4D65-9B05-529B9CD5A5BF}"/>
    <cellStyle name="Comma 2 8 7 4" xfId="19563" xr:uid="{8EDA5035-1943-4B68-A9B1-82FDFB3C2FF7}"/>
    <cellStyle name="Comma 2 8 8" xfId="4387" xr:uid="{85F7CEB7-ED43-4CEC-B01F-170224A672A9}"/>
    <cellStyle name="Comma 2 8 8 2" xfId="13059" xr:uid="{689BE5AC-92FF-41EC-90DA-747D542F5A65}"/>
    <cellStyle name="Comma 2 8 8 2 2" xfId="30403" xr:uid="{E14BAFFC-04B4-40D4-8469-DEA80C67F5E2}"/>
    <cellStyle name="Comma 2 8 8 3" xfId="21731" xr:uid="{67A8C08C-39E5-4810-8FE0-8BD30FB866D0}"/>
    <cellStyle name="Comma 2 8 9" xfId="8723" xr:uid="{85EB20E4-54EE-41C2-9593-3DE8B97042E1}"/>
    <cellStyle name="Comma 2 8 9 2" xfId="26067" xr:uid="{3B98A213-C292-415D-94ED-88FBA7D5F6CB}"/>
    <cellStyle name="Comma 2 9" xfId="64" xr:uid="{A9AD3227-F3EA-4C43-A683-90CB4405C315}"/>
    <cellStyle name="Comma 2 9 2" xfId="186" xr:uid="{B2F45CB4-67E6-4809-985D-24B547623A04}"/>
    <cellStyle name="Comma 2 9 2 2" xfId="456" xr:uid="{1F19FB59-458E-40F1-8E5E-BF9E2C832225}"/>
    <cellStyle name="Comma 2 9 2 2 2" xfId="997" xr:uid="{6485DE1F-0800-43A6-9CEA-7B86422776ED}"/>
    <cellStyle name="Comma 2 9 2 2 2 2" xfId="2081" xr:uid="{0A23D7BA-050D-4FB4-AFF5-E9CE98F83C5F}"/>
    <cellStyle name="Comma 2 9 2 2 2 2 2" xfId="4249" xr:uid="{A5B62BDC-99D6-4EBD-8523-8409BF84A51E}"/>
    <cellStyle name="Comma 2 9 2 2 2 2 2 2" xfId="8585" xr:uid="{68392C6F-6B5C-4330-A53C-05E3E404F133}"/>
    <cellStyle name="Comma 2 9 2 2 2 2 2 2 2" xfId="17257" xr:uid="{0F9A9DE1-4D0F-482A-912C-B48EDF10193D}"/>
    <cellStyle name="Comma 2 9 2 2 2 2 2 2 2 2" xfId="34601" xr:uid="{72243634-D8FF-4396-A556-F097EE4349C9}"/>
    <cellStyle name="Comma 2 9 2 2 2 2 2 2 3" xfId="25929" xr:uid="{84F1DC49-C75D-44A9-897A-871FF9A98C82}"/>
    <cellStyle name="Comma 2 9 2 2 2 2 2 3" xfId="12921" xr:uid="{051C546F-A53F-43D0-BACB-7A1E7E164087}"/>
    <cellStyle name="Comma 2 9 2 2 2 2 2 3 2" xfId="30265" xr:uid="{E9078AF0-E743-496D-8FB1-3057B1351854}"/>
    <cellStyle name="Comma 2 9 2 2 2 2 2 4" xfId="21593" xr:uid="{73EC5EAF-903F-41A7-BDDF-EEB7A2CDF884}"/>
    <cellStyle name="Comma 2 9 2 2 2 2 3" xfId="6417" xr:uid="{A3BCF48C-39E0-4E9E-B202-918343FCA56B}"/>
    <cellStyle name="Comma 2 9 2 2 2 2 3 2" xfId="15089" xr:uid="{DD82A7E2-081D-48C9-B3D5-FF145DB7A462}"/>
    <cellStyle name="Comma 2 9 2 2 2 2 3 2 2" xfId="32433" xr:uid="{DA470468-8970-4238-9CF5-E9CD2F8CB71C}"/>
    <cellStyle name="Comma 2 9 2 2 2 2 3 3" xfId="23761" xr:uid="{01AA3590-A795-4701-A8D9-98F8E5CDDD58}"/>
    <cellStyle name="Comma 2 9 2 2 2 2 4" xfId="10753" xr:uid="{DDCB9192-7A39-4BF1-A988-2B30BA305C46}"/>
    <cellStyle name="Comma 2 9 2 2 2 2 4 2" xfId="28097" xr:uid="{EE8CCF44-1FE2-4DFF-B40E-CACB1E3413B1}"/>
    <cellStyle name="Comma 2 9 2 2 2 2 5" xfId="19425" xr:uid="{67B7C673-2FFA-4F6D-B616-7F189C7F6036}"/>
    <cellStyle name="Comma 2 9 2 2 2 3" xfId="3165" xr:uid="{57773523-0B57-4EFA-AE77-1C7FF9BAA2A0}"/>
    <cellStyle name="Comma 2 9 2 2 2 3 2" xfId="7501" xr:uid="{41164D58-4CB2-4803-B5F1-41B5F5F8D9D3}"/>
    <cellStyle name="Comma 2 9 2 2 2 3 2 2" xfId="16173" xr:uid="{5B315F24-1C82-4088-A098-E75BAC89FC4A}"/>
    <cellStyle name="Comma 2 9 2 2 2 3 2 2 2" xfId="33517" xr:uid="{81B48509-7BD1-436C-A35C-39B11E834313}"/>
    <cellStyle name="Comma 2 9 2 2 2 3 2 3" xfId="24845" xr:uid="{6BF43D30-6B83-41F4-866D-329E187C0C16}"/>
    <cellStyle name="Comma 2 9 2 2 2 3 3" xfId="11837" xr:uid="{9942A421-F3F6-4808-B8B3-390D788AE456}"/>
    <cellStyle name="Comma 2 9 2 2 2 3 3 2" xfId="29181" xr:uid="{22E2D78E-F63E-4748-829B-E2554472CCCB}"/>
    <cellStyle name="Comma 2 9 2 2 2 3 4" xfId="20509" xr:uid="{D5B94F1A-F2C1-4D70-9000-D38FF885F91C}"/>
    <cellStyle name="Comma 2 9 2 2 2 4" xfId="5333" xr:uid="{AC974599-3ED5-4D98-B84F-B0D0082831EB}"/>
    <cellStyle name="Comma 2 9 2 2 2 4 2" xfId="14005" xr:uid="{C10A47AF-473A-4103-B5F1-FECA1E23589A}"/>
    <cellStyle name="Comma 2 9 2 2 2 4 2 2" xfId="31349" xr:uid="{F8663340-7ED7-4A50-9823-E28666598BDD}"/>
    <cellStyle name="Comma 2 9 2 2 2 4 3" xfId="22677" xr:uid="{B0DFAFAD-2CCA-4C8C-833B-24780FC34177}"/>
    <cellStyle name="Comma 2 9 2 2 2 5" xfId="9669" xr:uid="{E99551D4-7D48-4617-93E9-E0348B96B703}"/>
    <cellStyle name="Comma 2 9 2 2 2 5 2" xfId="27013" xr:uid="{70B3DF1A-3178-437A-893A-74B993F84EC5}"/>
    <cellStyle name="Comma 2 9 2 2 2 6" xfId="18341" xr:uid="{66D5134A-7675-49F9-870D-096D613DB2C1}"/>
    <cellStyle name="Comma 2 9 2 2 3" xfId="1540" xr:uid="{9ED21902-B40B-4328-8ED8-A9A148C5957E}"/>
    <cellStyle name="Comma 2 9 2 2 3 2" xfId="3708" xr:uid="{EAEE78C6-6DC4-4F05-AC86-34DF4C100E41}"/>
    <cellStyle name="Comma 2 9 2 2 3 2 2" xfId="8044" xr:uid="{AC28EB2B-AFD5-41CE-985C-76B102DDA214}"/>
    <cellStyle name="Comma 2 9 2 2 3 2 2 2" xfId="16716" xr:uid="{211340D5-B3E2-4D16-809D-0DAE11D1FDD4}"/>
    <cellStyle name="Comma 2 9 2 2 3 2 2 2 2" xfId="34060" xr:uid="{A45927D4-1236-458F-94AF-751AB96DDEC5}"/>
    <cellStyle name="Comma 2 9 2 2 3 2 2 3" xfId="25388" xr:uid="{FB85C2A0-9780-40BB-9EDF-99DB7FE2732E}"/>
    <cellStyle name="Comma 2 9 2 2 3 2 3" xfId="12380" xr:uid="{BEE77EB1-A89F-4E0A-8544-778EE9F0D812}"/>
    <cellStyle name="Comma 2 9 2 2 3 2 3 2" xfId="29724" xr:uid="{8C1718E1-346D-4A2B-9DD0-91C4B6AD3255}"/>
    <cellStyle name="Comma 2 9 2 2 3 2 4" xfId="21052" xr:uid="{AEA0A474-BFB8-448F-A9F5-195F67552087}"/>
    <cellStyle name="Comma 2 9 2 2 3 3" xfId="5876" xr:uid="{45A3963D-88A4-4E6D-AE49-A91B8EEC5D8A}"/>
    <cellStyle name="Comma 2 9 2 2 3 3 2" xfId="14548" xr:uid="{9DE3F41B-D877-4906-88D0-765675FEBB1D}"/>
    <cellStyle name="Comma 2 9 2 2 3 3 2 2" xfId="31892" xr:uid="{895F5E00-FEF8-4B0A-B660-3C47A9517137}"/>
    <cellStyle name="Comma 2 9 2 2 3 3 3" xfId="23220" xr:uid="{D27EED85-9C13-47F2-908C-79BF86EDF4FF}"/>
    <cellStyle name="Comma 2 9 2 2 3 4" xfId="10212" xr:uid="{7826BD53-A476-487F-9082-42EC5BEC7976}"/>
    <cellStyle name="Comma 2 9 2 2 3 4 2" xfId="27556" xr:uid="{D09178CD-A42A-41DB-8A04-9AF9E17D19F1}"/>
    <cellStyle name="Comma 2 9 2 2 3 5" xfId="18884" xr:uid="{1DFCC914-44C0-4B29-8091-C34F39B4CE3D}"/>
    <cellStyle name="Comma 2 9 2 2 4" xfId="2624" xr:uid="{6A8DF229-7E6B-4DB7-BCD9-6A756A8B06DD}"/>
    <cellStyle name="Comma 2 9 2 2 4 2" xfId="6960" xr:uid="{B080BC4F-ED3F-4E96-83AC-769DC39BE1A5}"/>
    <cellStyle name="Comma 2 9 2 2 4 2 2" xfId="15632" xr:uid="{F8B91D97-4410-438E-85E3-820B99D73CAE}"/>
    <cellStyle name="Comma 2 9 2 2 4 2 2 2" xfId="32976" xr:uid="{CFB0296B-52FC-415C-8ACE-B4C9D559F8DD}"/>
    <cellStyle name="Comma 2 9 2 2 4 2 3" xfId="24304" xr:uid="{C707B54C-69B5-414B-9612-1EA6A6B7CDF7}"/>
    <cellStyle name="Comma 2 9 2 2 4 3" xfId="11296" xr:uid="{FB6E1BDD-23A8-4F04-A3F9-90E3CA40A8E1}"/>
    <cellStyle name="Comma 2 9 2 2 4 3 2" xfId="28640" xr:uid="{01D41C9B-B124-4379-ADBF-94CCE30AFC6B}"/>
    <cellStyle name="Comma 2 9 2 2 4 4" xfId="19968" xr:uid="{2312D635-7942-4E49-A8E0-E16DF8B1EE5C}"/>
    <cellStyle name="Comma 2 9 2 2 5" xfId="4792" xr:uid="{16C8098B-33AA-426B-B3F2-27D84D8A8C41}"/>
    <cellStyle name="Comma 2 9 2 2 5 2" xfId="13464" xr:uid="{AE7EC18A-AA3F-4B94-B51D-E6F8DB97EEE1}"/>
    <cellStyle name="Comma 2 9 2 2 5 2 2" xfId="30808" xr:uid="{792C5236-2DA2-4805-BA47-6EB8C5D2B5B4}"/>
    <cellStyle name="Comma 2 9 2 2 5 3" xfId="22136" xr:uid="{AEE0CB1F-2647-4EEC-B4CC-E40D28671A32}"/>
    <cellStyle name="Comma 2 9 2 2 6" xfId="9128" xr:uid="{098AF06B-6D64-483E-BCF8-C512A4CF3EEF}"/>
    <cellStyle name="Comma 2 9 2 2 6 2" xfId="26472" xr:uid="{FE47B3B7-5020-48E2-9B9E-2B1C00B9B016}"/>
    <cellStyle name="Comma 2 9 2 2 7" xfId="17800" xr:uid="{F0C9F6D3-7357-4620-A3E5-2B8CAA82F23D}"/>
    <cellStyle name="Comma 2 9 2 3" xfId="727" xr:uid="{1A592E35-7C2A-49B3-9EF3-31FF4A1F3A6C}"/>
    <cellStyle name="Comma 2 9 2 3 2" xfId="1811" xr:uid="{1215251F-167C-4DE7-A13B-26C9BACF7193}"/>
    <cellStyle name="Comma 2 9 2 3 2 2" xfId="3979" xr:uid="{8A3984FC-8146-4809-B3E7-B38E8FE9F082}"/>
    <cellStyle name="Comma 2 9 2 3 2 2 2" xfId="8315" xr:uid="{954EC5E9-9B2C-4E18-A089-0EACD750C447}"/>
    <cellStyle name="Comma 2 9 2 3 2 2 2 2" xfId="16987" xr:uid="{BA269CEA-A227-4635-B18E-2DAE413F0F0C}"/>
    <cellStyle name="Comma 2 9 2 3 2 2 2 2 2" xfId="34331" xr:uid="{5523B804-FE71-49BD-9714-1E999B1996C5}"/>
    <cellStyle name="Comma 2 9 2 3 2 2 2 3" xfId="25659" xr:uid="{F738977B-0D79-4F77-A111-FE5BADB81061}"/>
    <cellStyle name="Comma 2 9 2 3 2 2 3" xfId="12651" xr:uid="{7A2B458A-FF34-4182-BDF6-3F30A9C14B6F}"/>
    <cellStyle name="Comma 2 9 2 3 2 2 3 2" xfId="29995" xr:uid="{F8591C33-AE8D-4B3C-A8F4-4AA1DA41ABA4}"/>
    <cellStyle name="Comma 2 9 2 3 2 2 4" xfId="21323" xr:uid="{96B7A97C-3847-46C0-A834-3C3191F5C4C2}"/>
    <cellStyle name="Comma 2 9 2 3 2 3" xfId="6147" xr:uid="{D546804A-0E60-4A9F-8188-6283B7BFEB9B}"/>
    <cellStyle name="Comma 2 9 2 3 2 3 2" xfId="14819" xr:uid="{9894C9A9-38FE-443E-9A4E-F077F8CB965A}"/>
    <cellStyle name="Comma 2 9 2 3 2 3 2 2" xfId="32163" xr:uid="{C7624295-E4EF-41DC-B77A-0A8333D5B5CC}"/>
    <cellStyle name="Comma 2 9 2 3 2 3 3" xfId="23491" xr:uid="{8747DA98-DFA2-417F-B2A7-D7CB4E908587}"/>
    <cellStyle name="Comma 2 9 2 3 2 4" xfId="10483" xr:uid="{E31F8D29-B2CD-4520-B922-DD147F3CD1FC}"/>
    <cellStyle name="Comma 2 9 2 3 2 4 2" xfId="27827" xr:uid="{9FD493DE-0E45-4089-B22A-CE828C4A49C5}"/>
    <cellStyle name="Comma 2 9 2 3 2 5" xfId="19155" xr:uid="{4CE7C331-78CE-436C-8D80-FDA31D83C34D}"/>
    <cellStyle name="Comma 2 9 2 3 3" xfId="2895" xr:uid="{FE33C0F9-1BC7-4A8B-8A52-EE84471A3130}"/>
    <cellStyle name="Comma 2 9 2 3 3 2" xfId="7231" xr:uid="{EBFC2580-4490-480D-8A59-637E6DE350A9}"/>
    <cellStyle name="Comma 2 9 2 3 3 2 2" xfId="15903" xr:uid="{B7BB950F-2E29-4238-BD13-995B50E8BACB}"/>
    <cellStyle name="Comma 2 9 2 3 3 2 2 2" xfId="33247" xr:uid="{CC4CCC84-1330-4B93-86F2-6DE61E97033B}"/>
    <cellStyle name="Comma 2 9 2 3 3 2 3" xfId="24575" xr:uid="{EE449490-4C9E-4AB4-ACB2-C2FFF6CF2506}"/>
    <cellStyle name="Comma 2 9 2 3 3 3" xfId="11567" xr:uid="{A2415098-660B-4863-8B73-D4EA73A1C81C}"/>
    <cellStyle name="Comma 2 9 2 3 3 3 2" xfId="28911" xr:uid="{28DB3090-1B09-4C1C-A8B7-D8F74D6741DA}"/>
    <cellStyle name="Comma 2 9 2 3 3 4" xfId="20239" xr:uid="{8739AF51-4E8D-4814-8E37-724794F4C722}"/>
    <cellStyle name="Comma 2 9 2 3 4" xfId="5063" xr:uid="{C8771BF9-2806-46FD-8459-840C630F527B}"/>
    <cellStyle name="Comma 2 9 2 3 4 2" xfId="13735" xr:uid="{3FFA9993-2B08-4FC7-AE2F-6A864EFFF8E9}"/>
    <cellStyle name="Comma 2 9 2 3 4 2 2" xfId="31079" xr:uid="{7A0D1AB2-9C6F-4A86-8C50-818FB194F83C}"/>
    <cellStyle name="Comma 2 9 2 3 4 3" xfId="22407" xr:uid="{926E3374-6143-4CF4-ABFB-135B33C67914}"/>
    <cellStyle name="Comma 2 9 2 3 5" xfId="9399" xr:uid="{94C38BA8-EB3E-487E-BDBA-2917455241F9}"/>
    <cellStyle name="Comma 2 9 2 3 5 2" xfId="26743" xr:uid="{0DA98BC2-7987-49A2-8224-6483F5C0F95A}"/>
    <cellStyle name="Comma 2 9 2 3 6" xfId="18071" xr:uid="{AF35854E-0985-4F13-B1B0-9274CC86B172}"/>
    <cellStyle name="Comma 2 9 2 4" xfId="1270" xr:uid="{4EDE8004-2E55-4021-AE33-0E755AD6D377}"/>
    <cellStyle name="Comma 2 9 2 4 2" xfId="3438" xr:uid="{9677072C-24F0-49EA-BCF3-ABB0C79CC42A}"/>
    <cellStyle name="Comma 2 9 2 4 2 2" xfId="7774" xr:uid="{3239B015-E1F6-4977-881E-B3A138E53207}"/>
    <cellStyle name="Comma 2 9 2 4 2 2 2" xfId="16446" xr:uid="{1908F3A7-D877-4636-AA53-D185F0D595C4}"/>
    <cellStyle name="Comma 2 9 2 4 2 2 2 2" xfId="33790" xr:uid="{35DB5B6B-485C-423B-BA17-877A5AE0F4A2}"/>
    <cellStyle name="Comma 2 9 2 4 2 2 3" xfId="25118" xr:uid="{471A2B1A-76D3-4E49-B476-E07AF55B85F0}"/>
    <cellStyle name="Comma 2 9 2 4 2 3" xfId="12110" xr:uid="{F7D2099A-72E0-4DF9-8131-2A312B27973B}"/>
    <cellStyle name="Comma 2 9 2 4 2 3 2" xfId="29454" xr:uid="{EA1E843A-ABB6-4AA2-8AF0-9CBA74745C44}"/>
    <cellStyle name="Comma 2 9 2 4 2 4" xfId="20782" xr:uid="{597A08BE-4233-42AE-89C9-2EFAA1FFE91C}"/>
    <cellStyle name="Comma 2 9 2 4 3" xfId="5606" xr:uid="{CCE0182E-FD3A-43A8-9B1C-106AC2DAF88A}"/>
    <cellStyle name="Comma 2 9 2 4 3 2" xfId="14278" xr:uid="{D323FC9D-93EE-4C41-B116-9BCA21B8B4A7}"/>
    <cellStyle name="Comma 2 9 2 4 3 2 2" xfId="31622" xr:uid="{F656DBA9-E60C-494B-B3CD-536733A54902}"/>
    <cellStyle name="Comma 2 9 2 4 3 3" xfId="22950" xr:uid="{3BFA036D-6504-4D6A-BC00-3A30AD3A171F}"/>
    <cellStyle name="Comma 2 9 2 4 4" xfId="9942" xr:uid="{07AE68E3-734A-4ADC-856A-C27CC299B7F1}"/>
    <cellStyle name="Comma 2 9 2 4 4 2" xfId="27286" xr:uid="{CCD25253-4D72-47EE-AC65-35B26DCF6DB0}"/>
    <cellStyle name="Comma 2 9 2 4 5" xfId="18614" xr:uid="{2BBF61F0-D5E2-421A-96F3-E00436E386C4}"/>
    <cellStyle name="Comma 2 9 2 5" xfId="2354" xr:uid="{563DEAAB-EF18-443B-9CA2-6212D406F01B}"/>
    <cellStyle name="Comma 2 9 2 5 2" xfId="6690" xr:uid="{0B344D83-66F4-4C8E-85EA-5F092045904A}"/>
    <cellStyle name="Comma 2 9 2 5 2 2" xfId="15362" xr:uid="{3E52C750-23C8-4CE9-B044-4A0D49655515}"/>
    <cellStyle name="Comma 2 9 2 5 2 2 2" xfId="32706" xr:uid="{C95BCC6E-0445-4C68-88AA-3E24C13F3610}"/>
    <cellStyle name="Comma 2 9 2 5 2 3" xfId="24034" xr:uid="{FC4FDE4E-7620-439C-89CE-F39D784C430E}"/>
    <cellStyle name="Comma 2 9 2 5 3" xfId="11026" xr:uid="{D4406816-722D-4053-8BA8-E42368BFBD57}"/>
    <cellStyle name="Comma 2 9 2 5 3 2" xfId="28370" xr:uid="{FB8448C3-0777-414D-B79A-83275995AB70}"/>
    <cellStyle name="Comma 2 9 2 5 4" xfId="19698" xr:uid="{6635E4E5-7D8A-4D63-81CF-0736D182E1EB}"/>
    <cellStyle name="Comma 2 9 2 6" xfId="4522" xr:uid="{847AB111-7101-4090-9EC1-5D6B3029A008}"/>
    <cellStyle name="Comma 2 9 2 6 2" xfId="13194" xr:uid="{126BAC65-5618-4BAA-84FE-28829B3D6261}"/>
    <cellStyle name="Comma 2 9 2 6 2 2" xfId="30538" xr:uid="{B1C12D11-0A3E-44B2-9098-DF2F091E8375}"/>
    <cellStyle name="Comma 2 9 2 6 3" xfId="21866" xr:uid="{75AE48D1-847B-42AE-B7CD-10A23C3062C4}"/>
    <cellStyle name="Comma 2 9 2 7" xfId="8858" xr:uid="{97263EB1-262E-45B6-AD32-2A2FC08CB417}"/>
    <cellStyle name="Comma 2 9 2 7 2" xfId="26202" xr:uid="{0148DA1C-CF27-431B-8CF6-105B1522EE2A}"/>
    <cellStyle name="Comma 2 9 2 8" xfId="17530" xr:uid="{75D15798-CDE2-4C42-BE04-F70D625454B8}"/>
    <cellStyle name="Comma 2 9 3" xfId="334" xr:uid="{F8B7BCC4-B3A4-4A23-810A-94B59F594CE1}"/>
    <cellStyle name="Comma 2 9 3 2" xfId="875" xr:uid="{019799EE-E0C6-47D6-8771-D5C5225F4EDD}"/>
    <cellStyle name="Comma 2 9 3 2 2" xfId="1959" xr:uid="{701E2204-1E01-48D0-9A35-D41C8C48F223}"/>
    <cellStyle name="Comma 2 9 3 2 2 2" xfId="4127" xr:uid="{4AD2231E-212E-4EF8-B5F3-D22F2ACB605E}"/>
    <cellStyle name="Comma 2 9 3 2 2 2 2" xfId="8463" xr:uid="{3586164A-5AD3-46F6-BFBC-732D7EE8AAB2}"/>
    <cellStyle name="Comma 2 9 3 2 2 2 2 2" xfId="17135" xr:uid="{AA9F1696-487A-4914-981C-72B2000B41B6}"/>
    <cellStyle name="Comma 2 9 3 2 2 2 2 2 2" xfId="34479" xr:uid="{56377EFA-4DCA-4046-9241-E6C40B6E53B9}"/>
    <cellStyle name="Comma 2 9 3 2 2 2 2 3" xfId="25807" xr:uid="{86EF16A2-8691-4E23-A9E8-30F4E598C83B}"/>
    <cellStyle name="Comma 2 9 3 2 2 2 3" xfId="12799" xr:uid="{4A0DC52A-F3FA-4F01-AB1C-AB3FB28E15F3}"/>
    <cellStyle name="Comma 2 9 3 2 2 2 3 2" xfId="30143" xr:uid="{FAFC2E16-4528-4968-AE3E-99B59ADFEE54}"/>
    <cellStyle name="Comma 2 9 3 2 2 2 4" xfId="21471" xr:uid="{EDEF9DA2-3F2E-45AB-98B1-A3ED63E5588C}"/>
    <cellStyle name="Comma 2 9 3 2 2 3" xfId="6295" xr:uid="{64C8C57A-8C7F-43EC-831F-89986D547B28}"/>
    <cellStyle name="Comma 2 9 3 2 2 3 2" xfId="14967" xr:uid="{16C471E4-97BE-4AE5-A0A1-C07818B4CADB}"/>
    <cellStyle name="Comma 2 9 3 2 2 3 2 2" xfId="32311" xr:uid="{5497A5E6-EDA6-466F-878B-F57B321C4370}"/>
    <cellStyle name="Comma 2 9 3 2 2 3 3" xfId="23639" xr:uid="{BF09A857-7BC9-4D28-AF0F-61B8F16B1AC2}"/>
    <cellStyle name="Comma 2 9 3 2 2 4" xfId="10631" xr:uid="{7480310C-C477-402F-83E3-AC3A9D3B7AE8}"/>
    <cellStyle name="Comma 2 9 3 2 2 4 2" xfId="27975" xr:uid="{5F2F089B-8A0C-4CF6-A123-6719410EFB68}"/>
    <cellStyle name="Comma 2 9 3 2 2 5" xfId="19303" xr:uid="{B4EC7208-873E-48D5-842C-FDB3BD96C2E6}"/>
    <cellStyle name="Comma 2 9 3 2 3" xfId="3043" xr:uid="{7BD21829-2DFC-4915-A486-38F75CC50592}"/>
    <cellStyle name="Comma 2 9 3 2 3 2" xfId="7379" xr:uid="{9314FC04-AB94-4019-A7F6-EB3E30A9EC2D}"/>
    <cellStyle name="Comma 2 9 3 2 3 2 2" xfId="16051" xr:uid="{656C8FD3-D698-457B-889B-A717219EF719}"/>
    <cellStyle name="Comma 2 9 3 2 3 2 2 2" xfId="33395" xr:uid="{54717452-C71F-4AEC-A75C-B573E534D6AD}"/>
    <cellStyle name="Comma 2 9 3 2 3 2 3" xfId="24723" xr:uid="{44E91E49-690A-4606-9B64-B2008A259922}"/>
    <cellStyle name="Comma 2 9 3 2 3 3" xfId="11715" xr:uid="{40E2E42D-4872-485D-91CA-F733321B406E}"/>
    <cellStyle name="Comma 2 9 3 2 3 3 2" xfId="29059" xr:uid="{5C457D79-2710-4202-9A65-569F3DCE9D5E}"/>
    <cellStyle name="Comma 2 9 3 2 3 4" xfId="20387" xr:uid="{B5FCD63F-BC3F-454B-89C8-4CAA32A5B6D5}"/>
    <cellStyle name="Comma 2 9 3 2 4" xfId="5211" xr:uid="{074C1DF4-EE3C-4EDF-BC5C-C5DC547CF360}"/>
    <cellStyle name="Comma 2 9 3 2 4 2" xfId="13883" xr:uid="{DD6259BA-0CCD-4F85-8652-D1CAFA7543D5}"/>
    <cellStyle name="Comma 2 9 3 2 4 2 2" xfId="31227" xr:uid="{CC50A957-068E-46A3-96F4-28B09066E621}"/>
    <cellStyle name="Comma 2 9 3 2 4 3" xfId="22555" xr:uid="{D4BDA4B9-CA47-4BD1-BC58-28F8136197FF}"/>
    <cellStyle name="Comma 2 9 3 2 5" xfId="9547" xr:uid="{A87B8502-B052-4EDC-A1B1-5090F27ED47C}"/>
    <cellStyle name="Comma 2 9 3 2 5 2" xfId="26891" xr:uid="{28C5A770-5DD5-4DDD-BEEC-F708F9AD7D84}"/>
    <cellStyle name="Comma 2 9 3 2 6" xfId="18219" xr:uid="{0B94CCE8-48E7-4112-84E0-EFBDC30B0EF2}"/>
    <cellStyle name="Comma 2 9 3 3" xfId="1418" xr:uid="{94F8F250-81F3-497F-A5A3-F848CA7C2B37}"/>
    <cellStyle name="Comma 2 9 3 3 2" xfId="3586" xr:uid="{60556676-4FC4-4F15-9C03-7C55833EA5DE}"/>
    <cellStyle name="Comma 2 9 3 3 2 2" xfId="7922" xr:uid="{6ED3D97C-B66A-4C70-8892-2D838ED8E20F}"/>
    <cellStyle name="Comma 2 9 3 3 2 2 2" xfId="16594" xr:uid="{7C3663E3-28CF-49FB-AB1A-1E910836E007}"/>
    <cellStyle name="Comma 2 9 3 3 2 2 2 2" xfId="33938" xr:uid="{99289BCB-5C2A-43C7-893A-FEA79456BD0E}"/>
    <cellStyle name="Comma 2 9 3 3 2 2 3" xfId="25266" xr:uid="{5D455280-B059-4A57-98D4-2985C88675DA}"/>
    <cellStyle name="Comma 2 9 3 3 2 3" xfId="12258" xr:uid="{DB4B4C97-6FB8-4D2B-BC88-56EE88BC82BD}"/>
    <cellStyle name="Comma 2 9 3 3 2 3 2" xfId="29602" xr:uid="{A3BC04F6-0928-4B42-9435-CAD0A4040AC5}"/>
    <cellStyle name="Comma 2 9 3 3 2 4" xfId="20930" xr:uid="{AFA86DA8-E6CE-46D9-8673-2C543ADCBA6A}"/>
    <cellStyle name="Comma 2 9 3 3 3" xfId="5754" xr:uid="{D1755F76-9BC8-41F3-B5EA-98D33E6D6F45}"/>
    <cellStyle name="Comma 2 9 3 3 3 2" xfId="14426" xr:uid="{D8AA6DAE-07BB-472A-B8EE-682F58FA3E9D}"/>
    <cellStyle name="Comma 2 9 3 3 3 2 2" xfId="31770" xr:uid="{79961434-E2C6-420A-8ACC-795F872EA8FD}"/>
    <cellStyle name="Comma 2 9 3 3 3 3" xfId="23098" xr:uid="{1FB639BD-709E-4DE1-A50A-9028132322FC}"/>
    <cellStyle name="Comma 2 9 3 3 4" xfId="10090" xr:uid="{2772CF9F-D9FF-41DE-B91C-B829A18C7794}"/>
    <cellStyle name="Comma 2 9 3 3 4 2" xfId="27434" xr:uid="{EE25E0C0-30C4-49F2-90C5-BAF24B9C06A7}"/>
    <cellStyle name="Comma 2 9 3 3 5" xfId="18762" xr:uid="{10C73E6D-FC7B-4E67-B3EE-56383120D8D3}"/>
    <cellStyle name="Comma 2 9 3 4" xfId="2502" xr:uid="{B4894E41-660D-4B2D-A4C1-FC57724F0BE7}"/>
    <cellStyle name="Comma 2 9 3 4 2" xfId="6838" xr:uid="{764B56E0-DE98-4870-B2F4-9308EE8E72B6}"/>
    <cellStyle name="Comma 2 9 3 4 2 2" xfId="15510" xr:uid="{2CD6BD48-BC28-473D-9F79-2FD1449680C4}"/>
    <cellStyle name="Comma 2 9 3 4 2 2 2" xfId="32854" xr:uid="{D92AA15E-9750-4A15-81FA-4AD13A7C3AD0}"/>
    <cellStyle name="Comma 2 9 3 4 2 3" xfId="24182" xr:uid="{4667BA86-03EF-4C1E-8D62-94CEB75EB6D2}"/>
    <cellStyle name="Comma 2 9 3 4 3" xfId="11174" xr:uid="{ABE233AA-5635-4F1B-AD19-4C71820D5E06}"/>
    <cellStyle name="Comma 2 9 3 4 3 2" xfId="28518" xr:uid="{65301F03-1FFC-4114-9C0B-7C4C5D8418B4}"/>
    <cellStyle name="Comma 2 9 3 4 4" xfId="19846" xr:uid="{503DAC57-B451-4565-BC9C-BDF2DD9958B6}"/>
    <cellStyle name="Comma 2 9 3 5" xfId="4670" xr:uid="{999825E2-5503-487F-9881-D0CE20EACC10}"/>
    <cellStyle name="Comma 2 9 3 5 2" xfId="13342" xr:uid="{FCA71C20-16C2-442A-8F57-FEB33C1FF729}"/>
    <cellStyle name="Comma 2 9 3 5 2 2" xfId="30686" xr:uid="{0A5C10E1-6F46-4532-A652-6E9E74C2E43E}"/>
    <cellStyle name="Comma 2 9 3 5 3" xfId="22014" xr:uid="{44D5491A-3E81-49B6-9D08-8E038FFE7149}"/>
    <cellStyle name="Comma 2 9 3 6" xfId="9006" xr:uid="{00B2CB1B-52D4-4165-998A-6167FA7B40C8}"/>
    <cellStyle name="Comma 2 9 3 6 2" xfId="26350" xr:uid="{7DC952C7-5E54-469B-97E0-390B315C6033}"/>
    <cellStyle name="Comma 2 9 3 7" xfId="17678" xr:uid="{309814E3-DCF7-4C9E-8BF0-9FF992AB7529}"/>
    <cellStyle name="Comma 2 9 4" xfId="605" xr:uid="{8DFA2AF7-C23A-4D87-971E-B960186AE846}"/>
    <cellStyle name="Comma 2 9 4 2" xfId="1689" xr:uid="{1D2404D1-1F45-455C-9318-55D8B11DF5FA}"/>
    <cellStyle name="Comma 2 9 4 2 2" xfId="3857" xr:uid="{E804648B-D548-436C-8C5B-810A6DAF8E4E}"/>
    <cellStyle name="Comma 2 9 4 2 2 2" xfId="8193" xr:uid="{DFF6CC36-4F5C-424B-A43B-50527404A186}"/>
    <cellStyle name="Comma 2 9 4 2 2 2 2" xfId="16865" xr:uid="{221AF0D7-3A11-4F05-BAD1-47FA0614FBC3}"/>
    <cellStyle name="Comma 2 9 4 2 2 2 2 2" xfId="34209" xr:uid="{64A779C2-62C4-4A25-9302-E2F1A9F78911}"/>
    <cellStyle name="Comma 2 9 4 2 2 2 3" xfId="25537" xr:uid="{FCF45697-8BA7-4B42-91E3-3A27EBB67FBD}"/>
    <cellStyle name="Comma 2 9 4 2 2 3" xfId="12529" xr:uid="{D8FAA05A-9DAC-4609-8FEC-DE478F3F6C87}"/>
    <cellStyle name="Comma 2 9 4 2 2 3 2" xfId="29873" xr:uid="{84569DD8-8CF6-43FA-A90A-BCAE5F323907}"/>
    <cellStyle name="Comma 2 9 4 2 2 4" xfId="21201" xr:uid="{A8679E91-8A12-4B80-BBC8-CBCCC78001AB}"/>
    <cellStyle name="Comma 2 9 4 2 3" xfId="6025" xr:uid="{A4F07D3B-AFC9-4B2D-89A2-8F0AEE74AF40}"/>
    <cellStyle name="Comma 2 9 4 2 3 2" xfId="14697" xr:uid="{F5F8EB98-5F70-4D23-8531-14F38F87E944}"/>
    <cellStyle name="Comma 2 9 4 2 3 2 2" xfId="32041" xr:uid="{02BED838-6476-4D68-8A7A-B3C681AC50DC}"/>
    <cellStyle name="Comma 2 9 4 2 3 3" xfId="23369" xr:uid="{4F793358-2A4C-43C2-951D-8CF8CB6F67FD}"/>
    <cellStyle name="Comma 2 9 4 2 4" xfId="10361" xr:uid="{BA06A85B-51CE-432E-8B6A-6CA357619AF8}"/>
    <cellStyle name="Comma 2 9 4 2 4 2" xfId="27705" xr:uid="{087E4CBE-2903-4C75-8F6B-BEB406177747}"/>
    <cellStyle name="Comma 2 9 4 2 5" xfId="19033" xr:uid="{22C7DC16-3C4A-432A-8A06-9309C4F4ABD1}"/>
    <cellStyle name="Comma 2 9 4 3" xfId="2773" xr:uid="{764B1FB2-69B8-4690-AA5C-062E66CA490B}"/>
    <cellStyle name="Comma 2 9 4 3 2" xfId="7109" xr:uid="{75EC486A-483D-4187-86F2-CB9CADA2B237}"/>
    <cellStyle name="Comma 2 9 4 3 2 2" xfId="15781" xr:uid="{6628F7B7-549F-4D9A-B4BA-21992849F73D}"/>
    <cellStyle name="Comma 2 9 4 3 2 2 2" xfId="33125" xr:uid="{3D1401E0-2B80-4153-BBAF-BA91ED8EDA24}"/>
    <cellStyle name="Comma 2 9 4 3 2 3" xfId="24453" xr:uid="{FA2A6776-FAFD-425F-981A-01AF5BA1AC26}"/>
    <cellStyle name="Comma 2 9 4 3 3" xfId="11445" xr:uid="{C7B97AEB-09AF-4CD8-AE7A-A6EB74A02F74}"/>
    <cellStyle name="Comma 2 9 4 3 3 2" xfId="28789" xr:uid="{9F98B8C0-E480-4074-A17E-D9E3A5CC7DD7}"/>
    <cellStyle name="Comma 2 9 4 3 4" xfId="20117" xr:uid="{68405ACB-E932-4F29-8693-39DC19156723}"/>
    <cellStyle name="Comma 2 9 4 4" xfId="4941" xr:uid="{C672DDB5-FF5E-4277-8FE1-FCDF5B612062}"/>
    <cellStyle name="Comma 2 9 4 4 2" xfId="13613" xr:uid="{4B5D64DC-EB85-45B7-9EC2-04E59726BDD9}"/>
    <cellStyle name="Comma 2 9 4 4 2 2" xfId="30957" xr:uid="{E8187CA6-8E90-42CB-B4C4-CF9EBE31851A}"/>
    <cellStyle name="Comma 2 9 4 4 3" xfId="22285" xr:uid="{A2535A2D-8ED8-4131-9BA2-0DA7F173014A}"/>
    <cellStyle name="Comma 2 9 4 5" xfId="9277" xr:uid="{B87A5CCE-5787-48F9-A1C2-5806CF69258F}"/>
    <cellStyle name="Comma 2 9 4 5 2" xfId="26621" xr:uid="{4C7762C5-B318-475A-8879-87C2D5AFE3D8}"/>
    <cellStyle name="Comma 2 9 4 6" xfId="17949" xr:uid="{1592F4CF-97B6-4544-A017-82DC8EF8FC71}"/>
    <cellStyle name="Comma 2 9 5" xfId="1148" xr:uid="{D093FADD-8DEC-44DB-B959-6DDAA4C328A3}"/>
    <cellStyle name="Comma 2 9 5 2" xfId="3316" xr:uid="{1790F44B-4630-4048-B5E5-AEDB3711C0DE}"/>
    <cellStyle name="Comma 2 9 5 2 2" xfId="7652" xr:uid="{F5F82AD8-C8A4-4545-AF82-E7270F33450E}"/>
    <cellStyle name="Comma 2 9 5 2 2 2" xfId="16324" xr:uid="{820D3E9B-E270-4E5E-AA95-86C3DB1D866C}"/>
    <cellStyle name="Comma 2 9 5 2 2 2 2" xfId="33668" xr:uid="{72132D97-E854-492C-BA3E-9D7B26A0F2EB}"/>
    <cellStyle name="Comma 2 9 5 2 2 3" xfId="24996" xr:uid="{B3F0660C-AECA-49DD-9F7B-FB367732ECE7}"/>
    <cellStyle name="Comma 2 9 5 2 3" xfId="11988" xr:uid="{93302DFF-09B8-45F3-BD71-435323EF735D}"/>
    <cellStyle name="Comma 2 9 5 2 3 2" xfId="29332" xr:uid="{7845AE33-E357-45A7-8ABB-A44036BB1704}"/>
    <cellStyle name="Comma 2 9 5 2 4" xfId="20660" xr:uid="{E7F5ED02-8CA0-4AC4-8C20-85BEA6C4F396}"/>
    <cellStyle name="Comma 2 9 5 3" xfId="5484" xr:uid="{03897ECD-056A-47D9-B877-4C7852A3822F}"/>
    <cellStyle name="Comma 2 9 5 3 2" xfId="14156" xr:uid="{81B51D3C-0370-4742-88AB-DD933423479E}"/>
    <cellStyle name="Comma 2 9 5 3 2 2" xfId="31500" xr:uid="{04465E27-E7A3-4F13-8EF8-F5C88A75CEB9}"/>
    <cellStyle name="Comma 2 9 5 3 3" xfId="22828" xr:uid="{F9F6B805-5B49-4973-AF0C-D8371E858E48}"/>
    <cellStyle name="Comma 2 9 5 4" xfId="9820" xr:uid="{5EB4792E-E8D7-48B4-84EC-9466F54B6431}"/>
    <cellStyle name="Comma 2 9 5 4 2" xfId="27164" xr:uid="{6F6D66CC-DB54-48FB-99B8-85A904F71C65}"/>
    <cellStyle name="Comma 2 9 5 5" xfId="18492" xr:uid="{002579D9-496A-47EB-836F-BE551AA4A3C6}"/>
    <cellStyle name="Comma 2 9 6" xfId="2232" xr:uid="{69BB9395-C6F1-4BB8-A50E-B695B57728FD}"/>
    <cellStyle name="Comma 2 9 6 2" xfId="6568" xr:uid="{1F866194-DEE4-4C98-8F44-159FD74DF598}"/>
    <cellStyle name="Comma 2 9 6 2 2" xfId="15240" xr:uid="{D8A28300-1B07-4F8C-93B4-0093F6549942}"/>
    <cellStyle name="Comma 2 9 6 2 2 2" xfId="32584" xr:uid="{3E82ADCC-94D8-4650-AFD2-DDA02A0CA531}"/>
    <cellStyle name="Comma 2 9 6 2 3" xfId="23912" xr:uid="{BEF13773-AD4A-4EA5-9C0D-8105F36AD6DA}"/>
    <cellStyle name="Comma 2 9 6 3" xfId="10904" xr:uid="{D6339656-8803-4F06-BEB4-F1AEE6D59AA1}"/>
    <cellStyle name="Comma 2 9 6 3 2" xfId="28248" xr:uid="{F3DC1FA1-A567-422B-B0FC-6569FF543F8B}"/>
    <cellStyle name="Comma 2 9 6 4" xfId="19576" xr:uid="{3B1B8DB1-42B2-41B5-8A43-70E90FB7D60C}"/>
    <cellStyle name="Comma 2 9 7" xfId="4400" xr:uid="{46E404A5-C081-412E-95C9-9EE653621680}"/>
    <cellStyle name="Comma 2 9 7 2" xfId="13072" xr:uid="{EA04B815-0A19-4B1F-ABD3-6D1BCF5A6C05}"/>
    <cellStyle name="Comma 2 9 7 2 2" xfId="30416" xr:uid="{3610BB51-6BBA-4C67-A67F-FBDA5B250232}"/>
    <cellStyle name="Comma 2 9 7 3" xfId="21744" xr:uid="{48EBA973-F1AA-421F-960B-85773BF38DED}"/>
    <cellStyle name="Comma 2 9 8" xfId="8736" xr:uid="{722674A8-5EB6-4CD5-B32A-22152C5B7DDE}"/>
    <cellStyle name="Comma 2 9 8 2" xfId="26080" xr:uid="{C9FF5539-EC2E-4FDC-A945-6C6DC97802A8}"/>
    <cellStyle name="Comma 2 9 9" xfId="17408" xr:uid="{A34948DF-2D0A-4A73-BA56-4593C3109700}"/>
    <cellStyle name="Comma 20" xfId="1084" xr:uid="{AB3B19D4-7368-4A21-9995-C62DFC85145E}"/>
    <cellStyle name="Comma 20 2" xfId="2168" xr:uid="{A18656E9-926D-44C0-8839-879E32682D7B}"/>
    <cellStyle name="Comma 20 2 2" xfId="4336" xr:uid="{EF8FD9D6-1E0D-4067-ACB6-E594354AC16C}"/>
    <cellStyle name="Comma 20 2 2 2" xfId="8672" xr:uid="{624DC4D0-3FCB-40C5-8BFE-8BA9E98C97AF}"/>
    <cellStyle name="Comma 20 2 2 2 2" xfId="17344" xr:uid="{2500C415-E20D-41BE-A35E-6C491F799877}"/>
    <cellStyle name="Comma 20 2 2 2 2 2" xfId="34688" xr:uid="{8ED6B1D9-9C7A-4922-A9D7-926E81B51F00}"/>
    <cellStyle name="Comma 20 2 2 2 3" xfId="26016" xr:uid="{17CBA076-6CD3-45DB-B27D-A06429CD96F2}"/>
    <cellStyle name="Comma 20 2 2 3" xfId="13008" xr:uid="{FC560741-E31F-4A04-AA3E-9567340DE230}"/>
    <cellStyle name="Comma 20 2 2 3 2" xfId="30352" xr:uid="{27CC93F1-F062-4CFA-A9A9-3266254E00D5}"/>
    <cellStyle name="Comma 20 2 2 4" xfId="21680" xr:uid="{80ECC854-0DF2-4A13-A4EC-402BB6700E44}"/>
    <cellStyle name="Comma 20 2 3" xfId="6504" xr:uid="{107F62B0-F5D5-482D-9817-317C0FE042F1}"/>
    <cellStyle name="Comma 20 2 3 2" xfId="15176" xr:uid="{9671B53A-BB4A-4317-A957-2F7F71801493}"/>
    <cellStyle name="Comma 20 2 3 2 2" xfId="32520" xr:uid="{CBEB1AD6-8067-48D0-9AEC-93A04499E15D}"/>
    <cellStyle name="Comma 20 2 3 3" xfId="23848" xr:uid="{D97A5BBB-C3B5-4EFF-8922-B83299128D43}"/>
    <cellStyle name="Comma 20 2 4" xfId="10840" xr:uid="{0A580059-DC6A-4BF0-A7CF-A5E1809321C3}"/>
    <cellStyle name="Comma 20 2 4 2" xfId="28184" xr:uid="{2C6BB370-D2A7-4410-9280-25D62F96143C}"/>
    <cellStyle name="Comma 20 2 5" xfId="19512" xr:uid="{00E4191A-8234-4769-A5D4-3DFE5D9D5818}"/>
    <cellStyle name="Comma 20 3" xfId="3252" xr:uid="{57DBE2C7-2C9F-4220-A831-68FF466DF831}"/>
    <cellStyle name="Comma 20 3 2" xfId="7588" xr:uid="{C6EF7781-6F56-43C1-85CE-3FCC5A93B442}"/>
    <cellStyle name="Comma 20 3 2 2" xfId="16260" xr:uid="{CEA10142-D275-416D-B6B0-D232CB0C9E10}"/>
    <cellStyle name="Comma 20 3 2 2 2" xfId="33604" xr:uid="{AA7FF38A-C473-43FA-97EC-11771DF1FEDE}"/>
    <cellStyle name="Comma 20 3 2 3" xfId="24932" xr:uid="{92E9ED78-3C54-427C-9358-3C1988462996}"/>
    <cellStyle name="Comma 20 3 3" xfId="11924" xr:uid="{3E39D471-D1E5-4013-93B9-ADE156EAA10A}"/>
    <cellStyle name="Comma 20 3 3 2" xfId="29268" xr:uid="{5976D73A-CE32-4DFD-8D99-AB2EE3D1A349}"/>
    <cellStyle name="Comma 20 3 4" xfId="20596" xr:uid="{2D901649-2493-4E35-8BC1-E368A69892EB}"/>
    <cellStyle name="Comma 20 4" xfId="5420" xr:uid="{2B331683-2704-42ED-A97B-8E19928AAC2F}"/>
    <cellStyle name="Comma 20 4 2" xfId="14092" xr:uid="{9FA79E37-5AC7-44BA-8890-DFF91BABF145}"/>
    <cellStyle name="Comma 20 4 2 2" xfId="31436" xr:uid="{40589E13-713F-4C0C-B5B7-3BC9496A8B4A}"/>
    <cellStyle name="Comma 20 4 3" xfId="22764" xr:uid="{F665F6E8-E1FC-4CC6-BB1F-729066D61CA0}"/>
    <cellStyle name="Comma 20 5" xfId="9756" xr:uid="{4EEF661E-268A-407C-9789-813F484368C3}"/>
    <cellStyle name="Comma 20 5 2" xfId="27100" xr:uid="{FCD842B7-A3F3-4D69-9C0D-30F7E72E252C}"/>
    <cellStyle name="Comma 20 6" xfId="18428" xr:uid="{FC0DFC33-3E4F-41A0-824F-616523B5E2B6}"/>
    <cellStyle name="Comma 21" xfId="1086" xr:uid="{DB8C0BD9-1ED3-41D7-9D04-F80583E18CF6}"/>
    <cellStyle name="Comma 21 2" xfId="3254" xr:uid="{79803DA0-129B-4E9B-85A4-2A7D2A63CFE3}"/>
    <cellStyle name="Comma 21 2 2" xfId="7590" xr:uid="{39F78CBF-E5F2-40F8-83C5-ED56E28B0FC1}"/>
    <cellStyle name="Comma 21 2 2 2" xfId="16262" xr:uid="{33A9BD6B-64B7-498F-90C3-EACA0A5DA09A}"/>
    <cellStyle name="Comma 21 2 2 2 2" xfId="33606" xr:uid="{C60CBBC9-8BCB-4A85-AEFF-A743AD10594A}"/>
    <cellStyle name="Comma 21 2 2 3" xfId="24934" xr:uid="{72DB8C58-0432-4825-9409-B08C43FD9DBC}"/>
    <cellStyle name="Comma 21 2 3" xfId="11926" xr:uid="{FE490C5B-E12F-4D69-A562-769DABD2850D}"/>
    <cellStyle name="Comma 21 2 3 2" xfId="29270" xr:uid="{B1502E5E-4B8E-4A3F-8C09-993821FFC8E0}"/>
    <cellStyle name="Comma 21 2 4" xfId="20598" xr:uid="{6C3BB650-BC0A-4997-80B9-44AE449F1001}"/>
    <cellStyle name="Comma 21 3" xfId="5422" xr:uid="{A13E342C-3E98-4BF4-9D6D-6F355D7B37AA}"/>
    <cellStyle name="Comma 21 3 2" xfId="14094" xr:uid="{7BB05F12-2197-4E0B-892C-E066A0BD2076}"/>
    <cellStyle name="Comma 21 3 2 2" xfId="31438" xr:uid="{58094690-CBD8-4A61-A3DA-894C937D627F}"/>
    <cellStyle name="Comma 21 3 3" xfId="22766" xr:uid="{DE530988-007F-4E9E-8562-6EF205525E7F}"/>
    <cellStyle name="Comma 21 4" xfId="9758" xr:uid="{4D038D2B-B59E-44FA-BB79-6FCC2FCDDCF6}"/>
    <cellStyle name="Comma 21 4 2" xfId="27102" xr:uid="{3323FD64-A034-459A-AEA1-80EB0E9581CE}"/>
    <cellStyle name="Comma 21 5" xfId="18430" xr:uid="{F0ADB173-A6F1-4361-8568-13FA17749C10}"/>
    <cellStyle name="Comma 22" xfId="2170" xr:uid="{8F9F74DC-8B35-484E-AF79-6EFF1D5C2993}"/>
    <cellStyle name="Comma 22 2" xfId="6506" xr:uid="{EA63610A-16CF-4FA4-AC6C-90388E9ACC23}"/>
    <cellStyle name="Comma 22 2 2" xfId="15178" xr:uid="{19B3FE10-D7BF-4215-BD13-49A15E9AE19D}"/>
    <cellStyle name="Comma 22 2 2 2" xfId="32522" xr:uid="{DA42F9F4-F0CE-46BB-98A5-879539843A44}"/>
    <cellStyle name="Comma 22 2 3" xfId="23850" xr:uid="{6EC2CD78-8A57-45D0-B7C5-9C7C04CB03EB}"/>
    <cellStyle name="Comma 22 3" xfId="10842" xr:uid="{0A112618-7411-4FD1-BB3D-F98AF4C493DA}"/>
    <cellStyle name="Comma 22 3 2" xfId="28186" xr:uid="{268AD6F7-DBCB-435D-B4F4-4DA9F8F9E0B1}"/>
    <cellStyle name="Comma 22 4" xfId="19514" xr:uid="{1C829F46-6D87-4886-84C8-1CE9474664C5}"/>
    <cellStyle name="Comma 23" xfId="4338" xr:uid="{D7E6607A-D089-4E54-8C8E-D9DBA57D3398}"/>
    <cellStyle name="Comma 23 2" xfId="13010" xr:uid="{E5BCE0AC-B2F4-4F89-B892-A32711DA5B20}"/>
    <cellStyle name="Comma 23 2 2" xfId="30354" xr:uid="{FF75F49F-F196-4FD1-8FC4-F841891694BC}"/>
    <cellStyle name="Comma 23 3" xfId="21682" xr:uid="{12536719-2561-4015-872A-5BC7C9736463}"/>
    <cellStyle name="Comma 24" xfId="8674" xr:uid="{1DF1B266-C68B-424E-91AC-69BF9F81B666}"/>
    <cellStyle name="Comma 24 2" xfId="26018" xr:uid="{BF2CABA8-2115-42DD-A59F-F630D45E762C}"/>
    <cellStyle name="Comma 25" xfId="17346" xr:uid="{0A387FFD-CA17-482E-A33F-57389C529E01}"/>
    <cellStyle name="Comma 26" xfId="34690" xr:uid="{EC0B3D06-A61B-41C9-A012-70C3B4A00079}"/>
    <cellStyle name="Comma 27" xfId="34692" xr:uid="{C6E1E05C-453D-45CD-AAF9-6024898B5064}"/>
    <cellStyle name="Comma 28" xfId="34696" xr:uid="{7C22A3F0-918A-4765-8AE7-D4F27F5C8033}"/>
    <cellStyle name="Comma 3" xfId="4" xr:uid="{3C851F91-EB2F-4C0E-AD7B-87094FCC366C}"/>
    <cellStyle name="Comma 3 10" xfId="274" xr:uid="{0ED04539-66B8-4509-AE24-3A24F04B1B4C}"/>
    <cellStyle name="Comma 3 10 2" xfId="815" xr:uid="{65C8879D-43B1-48F1-A824-46C48134E2F5}"/>
    <cellStyle name="Comma 3 10 2 2" xfId="1899" xr:uid="{724EF748-31A1-48DD-83DD-9649BC1D8A02}"/>
    <cellStyle name="Comma 3 10 2 2 2" xfId="4067" xr:uid="{29B8E045-D93A-4EF6-BBDC-D8756A4611A6}"/>
    <cellStyle name="Comma 3 10 2 2 2 2" xfId="8403" xr:uid="{CAF3B848-BA7D-4446-BF94-646E94EF5DE1}"/>
    <cellStyle name="Comma 3 10 2 2 2 2 2" xfId="17075" xr:uid="{9498E8CC-A7EC-4D9F-B4F8-A98924763BE3}"/>
    <cellStyle name="Comma 3 10 2 2 2 2 2 2" xfId="34419" xr:uid="{54C99395-AC5B-47C2-BC85-A01DA8F5B1FD}"/>
    <cellStyle name="Comma 3 10 2 2 2 2 3" xfId="25747" xr:uid="{F41F5741-CE4F-444C-8CF8-31DCA77E5A6C}"/>
    <cellStyle name="Comma 3 10 2 2 2 3" xfId="12739" xr:uid="{5EDA91F1-7C49-4EC0-836C-917324DAA62E}"/>
    <cellStyle name="Comma 3 10 2 2 2 3 2" xfId="30083" xr:uid="{81184F5E-F94A-4FA6-A88E-4B1489953C3A}"/>
    <cellStyle name="Comma 3 10 2 2 2 4" xfId="21411" xr:uid="{1F559345-A8A5-4DA3-88AA-042BA7B2252E}"/>
    <cellStyle name="Comma 3 10 2 2 3" xfId="6235" xr:uid="{4C9CB765-DACD-4656-9179-5965CEED5351}"/>
    <cellStyle name="Comma 3 10 2 2 3 2" xfId="14907" xr:uid="{471D9DB4-73F6-4DFD-B446-924C0D0E2B20}"/>
    <cellStyle name="Comma 3 10 2 2 3 2 2" xfId="32251" xr:uid="{E2A5FBF1-2C68-4C1B-870E-521A654910E6}"/>
    <cellStyle name="Comma 3 10 2 2 3 3" xfId="23579" xr:uid="{F9EC6796-5AA1-44AC-9E6C-03D2242E0FAF}"/>
    <cellStyle name="Comma 3 10 2 2 4" xfId="10571" xr:uid="{3E14D809-4CC4-40A2-92B2-2343C96914CC}"/>
    <cellStyle name="Comma 3 10 2 2 4 2" xfId="27915" xr:uid="{DDA2D5D3-80E2-4386-B1D2-5099AD83E124}"/>
    <cellStyle name="Comma 3 10 2 2 5" xfId="19243" xr:uid="{E0A13C01-1A6B-4F8F-AB9D-799D035BF292}"/>
    <cellStyle name="Comma 3 10 2 3" xfId="2983" xr:uid="{5DB5C8BF-D33D-41C3-9C6C-EA81A9E6E69D}"/>
    <cellStyle name="Comma 3 10 2 3 2" xfId="7319" xr:uid="{2F5D9CA8-75C5-4058-B2CB-6FBE4CEA3EFB}"/>
    <cellStyle name="Comma 3 10 2 3 2 2" xfId="15991" xr:uid="{A6987B4E-CF3B-47CB-8D49-2CCB1FFBEBB7}"/>
    <cellStyle name="Comma 3 10 2 3 2 2 2" xfId="33335" xr:uid="{1EB8429E-32E1-48E4-B7F3-1BFFC2E12497}"/>
    <cellStyle name="Comma 3 10 2 3 2 3" xfId="24663" xr:uid="{0BB3B8B9-67C8-45A9-BC03-B49741ACB9E7}"/>
    <cellStyle name="Comma 3 10 2 3 3" xfId="11655" xr:uid="{120AB037-511D-4FB1-B32E-09563B4E9A70}"/>
    <cellStyle name="Comma 3 10 2 3 3 2" xfId="28999" xr:uid="{8EF7FD7C-2D14-48E1-920B-0EE163E22D88}"/>
    <cellStyle name="Comma 3 10 2 3 4" xfId="20327" xr:uid="{2B69762F-2BB8-42A9-B57D-9A218FDB69B3}"/>
    <cellStyle name="Comma 3 10 2 4" xfId="5151" xr:uid="{6E6BABDB-D094-4B7C-B2A0-445292702F47}"/>
    <cellStyle name="Comma 3 10 2 4 2" xfId="13823" xr:uid="{06EF79D3-98C3-4E69-AA26-A9C604460D3D}"/>
    <cellStyle name="Comma 3 10 2 4 2 2" xfId="31167" xr:uid="{4B87E7EC-EA50-4E59-9B26-3C31587AF3FA}"/>
    <cellStyle name="Comma 3 10 2 4 3" xfId="22495" xr:uid="{D4DAAED0-B2C0-4933-9841-60B8AC0FDB6D}"/>
    <cellStyle name="Comma 3 10 2 5" xfId="9487" xr:uid="{786B253A-CE4D-46A8-90A9-BAD963E9C5A8}"/>
    <cellStyle name="Comma 3 10 2 5 2" xfId="26831" xr:uid="{BBF7E682-86B4-4A95-B2FE-5DD9BCDB904F}"/>
    <cellStyle name="Comma 3 10 2 6" xfId="18159" xr:uid="{B946CA4A-70E6-4204-8FAA-75B2653CBEB9}"/>
    <cellStyle name="Comma 3 10 3" xfId="1358" xr:uid="{5BF79E50-2F44-47C4-B4F8-3D2756AFF74A}"/>
    <cellStyle name="Comma 3 10 3 2" xfId="3526" xr:uid="{DEB2F836-6ABF-41A6-968F-95EF4BA7F3C5}"/>
    <cellStyle name="Comma 3 10 3 2 2" xfId="7862" xr:uid="{7E060FAE-38C3-464E-842D-EBD845DE5018}"/>
    <cellStyle name="Comma 3 10 3 2 2 2" xfId="16534" xr:uid="{68A87BBC-F8E0-496C-9AAC-F64DC40767F8}"/>
    <cellStyle name="Comma 3 10 3 2 2 2 2" xfId="33878" xr:uid="{BBBF00E9-826C-41F6-AE4F-90662EB9D786}"/>
    <cellStyle name="Comma 3 10 3 2 2 3" xfId="25206" xr:uid="{63F8183A-64B4-479E-BBEE-B670654EBB6D}"/>
    <cellStyle name="Comma 3 10 3 2 3" xfId="12198" xr:uid="{F12C25CF-3414-49A7-966F-F24D4B4353CB}"/>
    <cellStyle name="Comma 3 10 3 2 3 2" xfId="29542" xr:uid="{690DA188-1AA4-4CFB-89A1-F9EB0EB56837}"/>
    <cellStyle name="Comma 3 10 3 2 4" xfId="20870" xr:uid="{7B89D4D7-4256-401E-9588-0C49023C9279}"/>
    <cellStyle name="Comma 3 10 3 3" xfId="5694" xr:uid="{E9E8539B-D609-4499-B3A0-9E3CEB48900B}"/>
    <cellStyle name="Comma 3 10 3 3 2" xfId="14366" xr:uid="{A1C987F9-D164-4D7D-AB42-F6CAE66AA2A9}"/>
    <cellStyle name="Comma 3 10 3 3 2 2" xfId="31710" xr:uid="{DC31BF74-B960-4DC2-B0E3-8846EC57EC9F}"/>
    <cellStyle name="Comma 3 10 3 3 3" xfId="23038" xr:uid="{49896D5C-2F05-47CA-B344-FF6365E82CF4}"/>
    <cellStyle name="Comma 3 10 3 4" xfId="10030" xr:uid="{36D4857F-8FD2-4D22-90FD-F8F9222CF7DC}"/>
    <cellStyle name="Comma 3 10 3 4 2" xfId="27374" xr:uid="{E7492EFB-81CD-49E5-9C08-B62D3A6F9831}"/>
    <cellStyle name="Comma 3 10 3 5" xfId="18702" xr:uid="{DA9C088E-3F79-4131-8F6C-D47436B799AB}"/>
    <cellStyle name="Comma 3 10 4" xfId="2442" xr:uid="{9E1AFC1A-3497-4414-BC1F-349853B6FCD2}"/>
    <cellStyle name="Comma 3 10 4 2" xfId="6778" xr:uid="{D78FDEFB-CAF1-4AAA-83A4-DCA6CAF8580B}"/>
    <cellStyle name="Comma 3 10 4 2 2" xfId="15450" xr:uid="{2BF50B9D-7E71-42E6-8984-5178AB70588E}"/>
    <cellStyle name="Comma 3 10 4 2 2 2" xfId="32794" xr:uid="{23F1B521-BEC0-4990-890E-9A502CFF8CD4}"/>
    <cellStyle name="Comma 3 10 4 2 3" xfId="24122" xr:uid="{57DFBCA1-50B6-4E97-B3AB-4D25250508BB}"/>
    <cellStyle name="Comma 3 10 4 3" xfId="11114" xr:uid="{0898D496-14AD-4A10-9298-29504187FDE3}"/>
    <cellStyle name="Comma 3 10 4 3 2" xfId="28458" xr:uid="{3C414240-7B60-4BB4-A681-FCB7F12ACF49}"/>
    <cellStyle name="Comma 3 10 4 4" xfId="19786" xr:uid="{80614E83-33AE-4CA9-9D62-BA40C5AE921C}"/>
    <cellStyle name="Comma 3 10 5" xfId="4610" xr:uid="{B08C70D9-8371-42CC-B3DA-C7BB7A1A0112}"/>
    <cellStyle name="Comma 3 10 5 2" xfId="13282" xr:uid="{1FE44FDD-A062-482F-963D-8414B78B11A2}"/>
    <cellStyle name="Comma 3 10 5 2 2" xfId="30626" xr:uid="{33BF534B-D11F-4B1C-9B47-A7C51A3FF9E0}"/>
    <cellStyle name="Comma 3 10 5 3" xfId="21954" xr:uid="{9C7608E8-2ECF-4D07-8487-95B029B65ADD}"/>
    <cellStyle name="Comma 3 10 6" xfId="8946" xr:uid="{83C67EC5-746F-4EDF-A2CC-2044E5441516}"/>
    <cellStyle name="Comma 3 10 6 2" xfId="26290" xr:uid="{78DF8523-76F7-44BC-88AA-5EE7AA6FB4AA}"/>
    <cellStyle name="Comma 3 10 7" xfId="17618" xr:uid="{20734CE5-7724-43F3-9138-5F8FBF7C0B0B}"/>
    <cellStyle name="Comma 3 11" xfId="545" xr:uid="{E6AB488F-C609-49A7-8FF0-C66BA3F2FF43}"/>
    <cellStyle name="Comma 3 11 2" xfId="1629" xr:uid="{38AE25B5-10C0-49B0-9E86-6B9C7B19FF0C}"/>
    <cellStyle name="Comma 3 11 2 2" xfId="3797" xr:uid="{06EEFC2B-9044-449E-AC45-2CE33F03B692}"/>
    <cellStyle name="Comma 3 11 2 2 2" xfId="8133" xr:uid="{DCF36E73-8B01-49A5-BDB6-B0578640153D}"/>
    <cellStyle name="Comma 3 11 2 2 2 2" xfId="16805" xr:uid="{1B3E8A5E-C628-47A7-A212-332183D66AC9}"/>
    <cellStyle name="Comma 3 11 2 2 2 2 2" xfId="34149" xr:uid="{617BF2A3-FFF1-4269-9CE8-AB8068342D9C}"/>
    <cellStyle name="Comma 3 11 2 2 2 3" xfId="25477" xr:uid="{3123A10F-8A2C-4A27-8A2B-C3609BDBA902}"/>
    <cellStyle name="Comma 3 11 2 2 3" xfId="12469" xr:uid="{71F916EC-658E-4F53-A5CD-A617790574C2}"/>
    <cellStyle name="Comma 3 11 2 2 3 2" xfId="29813" xr:uid="{0DEE008D-7929-4C4E-A1F3-9CD9A7A3B125}"/>
    <cellStyle name="Comma 3 11 2 2 4" xfId="21141" xr:uid="{EACDDB1F-9EA0-459C-A97C-F2EA3E37893A}"/>
    <cellStyle name="Comma 3 11 2 3" xfId="5965" xr:uid="{BE801E4C-59DD-4AEB-B933-20FEBF201E42}"/>
    <cellStyle name="Comma 3 11 2 3 2" xfId="14637" xr:uid="{3937D7C4-0E95-45BC-8797-AE990AD45FF2}"/>
    <cellStyle name="Comma 3 11 2 3 2 2" xfId="31981" xr:uid="{83DF9389-60D1-4FCD-A9AA-58534E9F7BF0}"/>
    <cellStyle name="Comma 3 11 2 3 3" xfId="23309" xr:uid="{3BE719AA-D596-476C-8EBD-1FB18143FA67}"/>
    <cellStyle name="Comma 3 11 2 4" xfId="10301" xr:uid="{39F1E1D9-D73D-443B-A2AE-D7569EF714A0}"/>
    <cellStyle name="Comma 3 11 2 4 2" xfId="27645" xr:uid="{74F6475F-0A4F-40E1-8308-BD361BDDD7BD}"/>
    <cellStyle name="Comma 3 11 2 5" xfId="18973" xr:uid="{D2210E33-4B82-4624-83CE-D9D803E91953}"/>
    <cellStyle name="Comma 3 11 3" xfId="2713" xr:uid="{22EFDA32-8202-4C1C-A32A-A42CE90F4D1E}"/>
    <cellStyle name="Comma 3 11 3 2" xfId="7049" xr:uid="{430E45D4-66BE-4989-A654-5347730C9994}"/>
    <cellStyle name="Comma 3 11 3 2 2" xfId="15721" xr:uid="{9D43CE31-32EF-4368-9979-9C8EB558BAEB}"/>
    <cellStyle name="Comma 3 11 3 2 2 2" xfId="33065" xr:uid="{281FF9D0-36CC-48DB-92AA-6DFAD004F61F}"/>
    <cellStyle name="Comma 3 11 3 2 3" xfId="24393" xr:uid="{EDE3FC7E-71AE-4638-9B17-CEFCB1E63E91}"/>
    <cellStyle name="Comma 3 11 3 3" xfId="11385" xr:uid="{4DDCFD1F-1382-47FB-9ADB-B9B66EFAC63B}"/>
    <cellStyle name="Comma 3 11 3 3 2" xfId="28729" xr:uid="{5F22E2F0-312C-4DCF-A83D-D61AACFABFA1}"/>
    <cellStyle name="Comma 3 11 3 4" xfId="20057" xr:uid="{8E88F08C-F082-4BD6-ACC4-94086DF17BF4}"/>
    <cellStyle name="Comma 3 11 4" xfId="4881" xr:uid="{B4C1A5A7-4EE4-4465-9C06-C0CC094B345B}"/>
    <cellStyle name="Comma 3 11 4 2" xfId="13553" xr:uid="{A39CCB32-93CB-41C8-B2DE-10FD6D2677ED}"/>
    <cellStyle name="Comma 3 11 4 2 2" xfId="30897" xr:uid="{C3B591FC-8C35-461B-974C-437A3567BC49}"/>
    <cellStyle name="Comma 3 11 4 3" xfId="22225" xr:uid="{B9791E57-3A84-4F69-8099-EE09712C028A}"/>
    <cellStyle name="Comma 3 11 5" xfId="9217" xr:uid="{C99AE3CA-7591-4C76-9750-AF582A9C2C2D}"/>
    <cellStyle name="Comma 3 11 5 2" xfId="26561" xr:uid="{BAA5EE9C-661D-47EF-9B00-5F2D8F48BD90}"/>
    <cellStyle name="Comma 3 11 6" xfId="17889" xr:uid="{4668E40B-BDD9-46B9-A69D-8C0CD9DB8654}"/>
    <cellStyle name="Comma 3 12" xfId="1088" xr:uid="{0121E76E-0C8C-457D-A802-06685936EBEA}"/>
    <cellStyle name="Comma 3 12 2" xfId="3256" xr:uid="{53DF8B1C-320E-4A13-A2CA-64580F2D289D}"/>
    <cellStyle name="Comma 3 12 2 2" xfId="7592" xr:uid="{079D0EE9-A96F-4AE9-BF14-37FA8AD621A7}"/>
    <cellStyle name="Comma 3 12 2 2 2" xfId="16264" xr:uid="{B88233CC-5BB2-4F7F-BFFD-824AD321910E}"/>
    <cellStyle name="Comma 3 12 2 2 2 2" xfId="33608" xr:uid="{A959D05B-25FE-408D-9B35-A3700CAF3AC4}"/>
    <cellStyle name="Comma 3 12 2 2 3" xfId="24936" xr:uid="{893F5CD4-F1B2-4871-8087-9EC08D142714}"/>
    <cellStyle name="Comma 3 12 2 3" xfId="11928" xr:uid="{81E99831-DFB4-4AA3-A995-23272B7574B9}"/>
    <cellStyle name="Comma 3 12 2 3 2" xfId="29272" xr:uid="{B3B5FD97-23BD-42EA-8BB6-8438F620B362}"/>
    <cellStyle name="Comma 3 12 2 4" xfId="20600" xr:uid="{98142793-CE44-475A-A75E-FE435737DA94}"/>
    <cellStyle name="Comma 3 12 3" xfId="5424" xr:uid="{AA84BF17-9D03-4154-A778-99600E1ABA4B}"/>
    <cellStyle name="Comma 3 12 3 2" xfId="14096" xr:uid="{622BCF26-DBAF-4D46-AAD3-74566CFC072B}"/>
    <cellStyle name="Comma 3 12 3 2 2" xfId="31440" xr:uid="{E5FC64B1-90AE-4FCD-A7A5-33C1420B1227}"/>
    <cellStyle name="Comma 3 12 3 3" xfId="22768" xr:uid="{416540BB-9292-4EB3-8D41-C4959599C250}"/>
    <cellStyle name="Comma 3 12 4" xfId="9760" xr:uid="{9AFE0459-44AC-493C-85F5-51470B7D9529}"/>
    <cellStyle name="Comma 3 12 4 2" xfId="27104" xr:uid="{3D104821-2B49-4153-B881-15AB6DE9BD86}"/>
    <cellStyle name="Comma 3 12 5" xfId="18432" xr:uid="{FF1A6704-5954-4B3C-85DD-2CAC9CBA0B2D}"/>
    <cellStyle name="Comma 3 13" xfId="2172" xr:uid="{6FD3F954-F896-42EC-8D6F-C08359A11283}"/>
    <cellStyle name="Comma 3 13 2" xfId="6508" xr:uid="{84953419-874F-4F32-89EC-B052D8C18105}"/>
    <cellStyle name="Comma 3 13 2 2" xfId="15180" xr:uid="{2BA87826-1445-483F-AA9E-CB6864E11B07}"/>
    <cellStyle name="Comma 3 13 2 2 2" xfId="32524" xr:uid="{46774BA4-8031-4D60-A064-8B002ECD248C}"/>
    <cellStyle name="Comma 3 13 2 3" xfId="23852" xr:uid="{7C4762D1-5C3A-40A9-A841-E250181D30DC}"/>
    <cellStyle name="Comma 3 13 3" xfId="10844" xr:uid="{177D648E-FD99-4D5D-83F3-816DF43318E6}"/>
    <cellStyle name="Comma 3 13 3 2" xfId="28188" xr:uid="{41DA472D-9D7D-48F1-BE09-2DE0C0D38C08}"/>
    <cellStyle name="Comma 3 13 4" xfId="19516" xr:uid="{DDC36913-5E54-4529-BD7D-9B4F37B7667A}"/>
    <cellStyle name="Comma 3 14" xfId="4340" xr:uid="{ED5C7836-4940-49D4-AA4D-3FD90B9C8B2D}"/>
    <cellStyle name="Comma 3 14 2" xfId="13012" xr:uid="{7D6C7F7E-0EEF-43EE-8E7D-7451FA2076E6}"/>
    <cellStyle name="Comma 3 14 2 2" xfId="30356" xr:uid="{881BE0FF-473D-4797-B22E-E736174D66F3}"/>
    <cellStyle name="Comma 3 14 3" xfId="21684" xr:uid="{C1B118AE-09FC-4126-8520-20667667F223}"/>
    <cellStyle name="Comma 3 15" xfId="8676" xr:uid="{D175AA5B-9B35-4386-A0D3-FA0233C88871}"/>
    <cellStyle name="Comma 3 15 2" xfId="26020" xr:uid="{D0B359B4-579C-4E6B-AE0F-C9C33EC25737}"/>
    <cellStyle name="Comma 3 16" xfId="17348" xr:uid="{84F792D9-43E6-471B-BAF3-E11D7FA047F4}"/>
    <cellStyle name="Comma 3 17" xfId="34694" xr:uid="{356D695D-A944-4B2E-ACF6-F9898B88DA68}"/>
    <cellStyle name="Comma 3 2" xfId="10" xr:uid="{37B2F274-232C-414F-AEB5-DA671B413E73}"/>
    <cellStyle name="Comma 3 2 10" xfId="2178" xr:uid="{5238FE9E-F50B-447A-8732-0790F532BA91}"/>
    <cellStyle name="Comma 3 2 10 2" xfId="6514" xr:uid="{98BB5923-CDD1-45DB-8589-76B8793C06B0}"/>
    <cellStyle name="Comma 3 2 10 2 2" xfId="15186" xr:uid="{DD0DFCC4-3DF4-4D31-B04B-F46567E8DCA0}"/>
    <cellStyle name="Comma 3 2 10 2 2 2" xfId="32530" xr:uid="{E5C43AB4-A0DC-4357-860A-1603437EDEBD}"/>
    <cellStyle name="Comma 3 2 10 2 3" xfId="23858" xr:uid="{C1BF8D75-873F-4C01-91C7-3094A1C0C851}"/>
    <cellStyle name="Comma 3 2 10 3" xfId="10850" xr:uid="{D2F388A5-D188-47A0-99F7-B9340A622A42}"/>
    <cellStyle name="Comma 3 2 10 3 2" xfId="28194" xr:uid="{8D886295-BD9F-46ED-90DA-B329EC85534F}"/>
    <cellStyle name="Comma 3 2 10 4" xfId="19522" xr:uid="{BF5C4293-78B6-49AB-BA65-58D6BDD6D2BC}"/>
    <cellStyle name="Comma 3 2 11" xfId="4346" xr:uid="{898692D6-BA5E-4424-A202-4433D9A05D84}"/>
    <cellStyle name="Comma 3 2 11 2" xfId="13018" xr:uid="{5356DCF3-5922-48A0-A8FB-F8FE57BD77FB}"/>
    <cellStyle name="Comma 3 2 11 2 2" xfId="30362" xr:uid="{4CA37DC9-73F8-461D-98CA-174D72305F38}"/>
    <cellStyle name="Comma 3 2 11 3" xfId="21690" xr:uid="{82E1FECE-9E9B-4B58-B994-437E80BCC3A7}"/>
    <cellStyle name="Comma 3 2 12" xfId="8682" xr:uid="{CFF9CD3D-2389-4DCD-95CB-0F54C433A18F}"/>
    <cellStyle name="Comma 3 2 12 2" xfId="26026" xr:uid="{0B95D01A-1E83-4343-96D2-B8D5D3F7DA17}"/>
    <cellStyle name="Comma 3 2 13" xfId="17354" xr:uid="{43F0B163-8459-4D4F-82FB-413458691594}"/>
    <cellStyle name="Comma 3 2 2" xfId="26" xr:uid="{0442770F-160A-4F92-B9A1-07A160B13BE9}"/>
    <cellStyle name="Comma 3 2 2 10" xfId="17370" xr:uid="{98B0C98D-F719-43A8-A7D8-66D40268D07E}"/>
    <cellStyle name="Comma 3 2 2 2" xfId="87" xr:uid="{E5318BBD-B33A-4126-B81F-63D44F2E8873}"/>
    <cellStyle name="Comma 3 2 2 2 2" xfId="209" xr:uid="{1D30C94E-EBB0-416F-B9C6-47483D3EE052}"/>
    <cellStyle name="Comma 3 2 2 2 2 2" xfId="479" xr:uid="{15D42E09-6EF5-41CF-96EB-CEBDBCD2A264}"/>
    <cellStyle name="Comma 3 2 2 2 2 2 2" xfId="1020" xr:uid="{F448C3F4-1BEF-4F6E-AF88-A359F657D54B}"/>
    <cellStyle name="Comma 3 2 2 2 2 2 2 2" xfId="2104" xr:uid="{F4338568-0B3E-4DDD-B77E-02A4A6DDE336}"/>
    <cellStyle name="Comma 3 2 2 2 2 2 2 2 2" xfId="4272" xr:uid="{7ADB88BE-609C-42B2-B64A-BE3D3C9F802C}"/>
    <cellStyle name="Comma 3 2 2 2 2 2 2 2 2 2" xfId="8608" xr:uid="{8BFE33DA-A5F3-4955-ADB5-68DCB79CBEBA}"/>
    <cellStyle name="Comma 3 2 2 2 2 2 2 2 2 2 2" xfId="17280" xr:uid="{53B0DE9D-84EA-4236-83B3-C628F6561FC6}"/>
    <cellStyle name="Comma 3 2 2 2 2 2 2 2 2 2 2 2" xfId="34624" xr:uid="{61D20B21-104C-496D-B3FA-330441D60558}"/>
    <cellStyle name="Comma 3 2 2 2 2 2 2 2 2 2 3" xfId="25952" xr:uid="{19C57ECB-8CB2-41AD-A2C6-3D77B9B7C10F}"/>
    <cellStyle name="Comma 3 2 2 2 2 2 2 2 2 3" xfId="12944" xr:uid="{440CB7CF-205F-4220-A124-40FE1B28CCE4}"/>
    <cellStyle name="Comma 3 2 2 2 2 2 2 2 2 3 2" xfId="30288" xr:uid="{6D55F0AC-F140-4545-B9B7-4369B4E5D3E2}"/>
    <cellStyle name="Comma 3 2 2 2 2 2 2 2 2 4" xfId="21616" xr:uid="{6B7D1CEC-5BD6-4791-B8E3-E08EF5E90E0E}"/>
    <cellStyle name="Comma 3 2 2 2 2 2 2 2 3" xfId="6440" xr:uid="{388AEA3D-0575-4D49-B3FE-A25052527B50}"/>
    <cellStyle name="Comma 3 2 2 2 2 2 2 2 3 2" xfId="15112" xr:uid="{CD3D5739-B606-450D-AB87-451C11D6AD72}"/>
    <cellStyle name="Comma 3 2 2 2 2 2 2 2 3 2 2" xfId="32456" xr:uid="{D3F670DF-229A-4EC8-9497-6C506AD9646A}"/>
    <cellStyle name="Comma 3 2 2 2 2 2 2 2 3 3" xfId="23784" xr:uid="{25F72196-2055-4E41-91CC-4939D87EE4FA}"/>
    <cellStyle name="Comma 3 2 2 2 2 2 2 2 4" xfId="10776" xr:uid="{78AEC402-227D-4F6F-ACAB-4356858C23AD}"/>
    <cellStyle name="Comma 3 2 2 2 2 2 2 2 4 2" xfId="28120" xr:uid="{9ECDC580-661D-4178-9D8D-2B2D8D60882B}"/>
    <cellStyle name="Comma 3 2 2 2 2 2 2 2 5" xfId="19448" xr:uid="{E580BC40-064B-4DDD-8DE4-623241051910}"/>
    <cellStyle name="Comma 3 2 2 2 2 2 2 3" xfId="3188" xr:uid="{186257E0-73D4-4405-B368-6448B966E135}"/>
    <cellStyle name="Comma 3 2 2 2 2 2 2 3 2" xfId="7524" xr:uid="{D704563B-F4AA-45D8-A9C9-9666E66BA11A}"/>
    <cellStyle name="Comma 3 2 2 2 2 2 2 3 2 2" xfId="16196" xr:uid="{DF545CBC-4B15-47C7-A651-B8B86F748E8A}"/>
    <cellStyle name="Comma 3 2 2 2 2 2 2 3 2 2 2" xfId="33540" xr:uid="{E57A2FE4-93C2-4CE5-B428-15607730E32E}"/>
    <cellStyle name="Comma 3 2 2 2 2 2 2 3 2 3" xfId="24868" xr:uid="{6800E46E-6C12-414D-A9CA-A5DC6E3D94FD}"/>
    <cellStyle name="Comma 3 2 2 2 2 2 2 3 3" xfId="11860" xr:uid="{1AE31E28-9B05-4C4E-BA84-A7A088B42E0F}"/>
    <cellStyle name="Comma 3 2 2 2 2 2 2 3 3 2" xfId="29204" xr:uid="{E1E75C75-0821-4B14-8E0A-CDA76D0D5441}"/>
    <cellStyle name="Comma 3 2 2 2 2 2 2 3 4" xfId="20532" xr:uid="{36E54209-3BA2-4A02-AFF8-FB1DC136606A}"/>
    <cellStyle name="Comma 3 2 2 2 2 2 2 4" xfId="5356" xr:uid="{106DA40D-19BA-4B95-9838-73E38318C0F2}"/>
    <cellStyle name="Comma 3 2 2 2 2 2 2 4 2" xfId="14028" xr:uid="{6872B45A-469A-453E-8461-A8CBE9BBC8C4}"/>
    <cellStyle name="Comma 3 2 2 2 2 2 2 4 2 2" xfId="31372" xr:uid="{3C47949A-7F93-4562-B0BF-84C5862E94DF}"/>
    <cellStyle name="Comma 3 2 2 2 2 2 2 4 3" xfId="22700" xr:uid="{AB613D52-8E74-4E2A-947E-F1D5C443C1C3}"/>
    <cellStyle name="Comma 3 2 2 2 2 2 2 5" xfId="9692" xr:uid="{7A7E14FC-B1A6-4ABD-8A41-52FFCC8A7958}"/>
    <cellStyle name="Comma 3 2 2 2 2 2 2 5 2" xfId="27036" xr:uid="{5A2F92AA-886E-43E7-B4AD-1BE56665DBCF}"/>
    <cellStyle name="Comma 3 2 2 2 2 2 2 6" xfId="18364" xr:uid="{0CBCF7F2-E6F4-45DA-840C-E5247F086A9B}"/>
    <cellStyle name="Comma 3 2 2 2 2 2 3" xfId="1563" xr:uid="{126B86EB-DB1F-43B1-A3BA-FB8DF445DBC4}"/>
    <cellStyle name="Comma 3 2 2 2 2 2 3 2" xfId="3731" xr:uid="{80853969-4AD6-44BA-AAA1-9D7A75C98644}"/>
    <cellStyle name="Comma 3 2 2 2 2 2 3 2 2" xfId="8067" xr:uid="{021703ED-2BBE-4553-809E-38D46F653751}"/>
    <cellStyle name="Comma 3 2 2 2 2 2 3 2 2 2" xfId="16739" xr:uid="{4BA5CCEB-25E0-4A53-BC70-995A5F03B1EB}"/>
    <cellStyle name="Comma 3 2 2 2 2 2 3 2 2 2 2" xfId="34083" xr:uid="{B66759B9-B147-4A0D-B94E-26E849509C04}"/>
    <cellStyle name="Comma 3 2 2 2 2 2 3 2 2 3" xfId="25411" xr:uid="{7E4395BB-1BB8-40EF-9103-DD0647B4247F}"/>
    <cellStyle name="Comma 3 2 2 2 2 2 3 2 3" xfId="12403" xr:uid="{6F9DF8CD-1631-45A2-A788-8C6B77BE5A54}"/>
    <cellStyle name="Comma 3 2 2 2 2 2 3 2 3 2" xfId="29747" xr:uid="{2B08A2B8-E2F4-4355-91D8-8D843AEF0936}"/>
    <cellStyle name="Comma 3 2 2 2 2 2 3 2 4" xfId="21075" xr:uid="{A28F53F0-FD92-47B1-88C9-E0CDBD62555C}"/>
    <cellStyle name="Comma 3 2 2 2 2 2 3 3" xfId="5899" xr:uid="{85C8AF6C-C881-456F-843C-3612196A40B5}"/>
    <cellStyle name="Comma 3 2 2 2 2 2 3 3 2" xfId="14571" xr:uid="{05F20B5C-38EE-4C7E-A193-4EDCDA2340D1}"/>
    <cellStyle name="Comma 3 2 2 2 2 2 3 3 2 2" xfId="31915" xr:uid="{078F1A2A-C16C-4E7C-9AFA-7F5F733EFA88}"/>
    <cellStyle name="Comma 3 2 2 2 2 2 3 3 3" xfId="23243" xr:uid="{E9901FF4-A4DE-4329-AC10-39A33C0D9340}"/>
    <cellStyle name="Comma 3 2 2 2 2 2 3 4" xfId="10235" xr:uid="{B675F677-1FE6-4AA4-A342-8F64B500F821}"/>
    <cellStyle name="Comma 3 2 2 2 2 2 3 4 2" xfId="27579" xr:uid="{8C33EDC7-51CC-4F2C-B63A-99B599A8623E}"/>
    <cellStyle name="Comma 3 2 2 2 2 2 3 5" xfId="18907" xr:uid="{31338506-1D27-4AC1-B7A5-6E6A9B7E82EA}"/>
    <cellStyle name="Comma 3 2 2 2 2 2 4" xfId="2647" xr:uid="{FD751083-2D49-4AD9-A905-18B071163681}"/>
    <cellStyle name="Comma 3 2 2 2 2 2 4 2" xfId="6983" xr:uid="{5FB81EA5-8D76-436E-AAFE-9BA26688F540}"/>
    <cellStyle name="Comma 3 2 2 2 2 2 4 2 2" xfId="15655" xr:uid="{6C1FF7E3-8660-4F1B-B012-C3555999DD2B}"/>
    <cellStyle name="Comma 3 2 2 2 2 2 4 2 2 2" xfId="32999" xr:uid="{D99D7AAD-BE61-40C0-B4AA-C2445809AC98}"/>
    <cellStyle name="Comma 3 2 2 2 2 2 4 2 3" xfId="24327" xr:uid="{BE6505AF-B6AB-498A-AFC5-022725748D64}"/>
    <cellStyle name="Comma 3 2 2 2 2 2 4 3" xfId="11319" xr:uid="{AF2DF53A-2ACA-4636-BF22-BCC36DE57A59}"/>
    <cellStyle name="Comma 3 2 2 2 2 2 4 3 2" xfId="28663" xr:uid="{92657351-F7DC-4E60-B3EF-8FF8F623A8CC}"/>
    <cellStyle name="Comma 3 2 2 2 2 2 4 4" xfId="19991" xr:uid="{AAE56BA0-7C8C-4D57-ADB7-4EBC01BA2B03}"/>
    <cellStyle name="Comma 3 2 2 2 2 2 5" xfId="4815" xr:uid="{BD874CB7-111B-49C7-A6EF-1699BC592356}"/>
    <cellStyle name="Comma 3 2 2 2 2 2 5 2" xfId="13487" xr:uid="{E2A0713D-DD8B-4084-B74F-531CDCBC16B9}"/>
    <cellStyle name="Comma 3 2 2 2 2 2 5 2 2" xfId="30831" xr:uid="{D61D9D86-540F-4B69-81BB-504695C88135}"/>
    <cellStyle name="Comma 3 2 2 2 2 2 5 3" xfId="22159" xr:uid="{0FF9E056-5DA8-46B2-9816-1743FB1F7DCA}"/>
    <cellStyle name="Comma 3 2 2 2 2 2 6" xfId="9151" xr:uid="{652E2856-F8D6-4360-BD3C-5A74C9CE200B}"/>
    <cellStyle name="Comma 3 2 2 2 2 2 6 2" xfId="26495" xr:uid="{E6121633-720D-461E-B178-CCBDD4E24431}"/>
    <cellStyle name="Comma 3 2 2 2 2 2 7" xfId="17823" xr:uid="{4A709C69-CD66-4559-91A4-34D7A784AE37}"/>
    <cellStyle name="Comma 3 2 2 2 2 3" xfId="750" xr:uid="{A6D7C319-8FEE-4FB5-94BB-FD2B885D9BF3}"/>
    <cellStyle name="Comma 3 2 2 2 2 3 2" xfId="1834" xr:uid="{B0F7C831-0F0B-4BD0-B08F-01962615C83E}"/>
    <cellStyle name="Comma 3 2 2 2 2 3 2 2" xfId="4002" xr:uid="{C8ED737C-0150-498F-831A-727EA961E2E5}"/>
    <cellStyle name="Comma 3 2 2 2 2 3 2 2 2" xfId="8338" xr:uid="{26316A73-F55D-4F0F-9A4B-7EB40BC65E42}"/>
    <cellStyle name="Comma 3 2 2 2 2 3 2 2 2 2" xfId="17010" xr:uid="{B293D25D-7F39-4D36-AF76-3CEAEC9C98F3}"/>
    <cellStyle name="Comma 3 2 2 2 2 3 2 2 2 2 2" xfId="34354" xr:uid="{8AF5E190-2296-41E7-93A2-8A45C9E60A05}"/>
    <cellStyle name="Comma 3 2 2 2 2 3 2 2 2 3" xfId="25682" xr:uid="{A5B35AC3-0883-45A4-B452-E7BA68ECCC39}"/>
    <cellStyle name="Comma 3 2 2 2 2 3 2 2 3" xfId="12674" xr:uid="{6D8CA1AD-2930-42D4-9B58-BFDA015326B5}"/>
    <cellStyle name="Comma 3 2 2 2 2 3 2 2 3 2" xfId="30018" xr:uid="{AD62B04D-8A67-4A88-9FA6-DFC841172B24}"/>
    <cellStyle name="Comma 3 2 2 2 2 3 2 2 4" xfId="21346" xr:uid="{33E92CEC-6C6D-44FC-8F99-10554E8AF4AD}"/>
    <cellStyle name="Comma 3 2 2 2 2 3 2 3" xfId="6170" xr:uid="{AD258C6F-A3C6-457B-847A-7F64204201E7}"/>
    <cellStyle name="Comma 3 2 2 2 2 3 2 3 2" xfId="14842" xr:uid="{289063F3-C736-4E05-8A2F-DA3838F436EE}"/>
    <cellStyle name="Comma 3 2 2 2 2 3 2 3 2 2" xfId="32186" xr:uid="{F586FAF8-A9E7-40EF-930C-5FF3FDE13171}"/>
    <cellStyle name="Comma 3 2 2 2 2 3 2 3 3" xfId="23514" xr:uid="{5147ED89-7559-4205-A334-A334B7B464D9}"/>
    <cellStyle name="Comma 3 2 2 2 2 3 2 4" xfId="10506" xr:uid="{D6717188-9FF7-40BE-8CD6-DC7F7F54F874}"/>
    <cellStyle name="Comma 3 2 2 2 2 3 2 4 2" xfId="27850" xr:uid="{8E052DC0-3EC1-43B1-BC01-E57CC3B4D52D}"/>
    <cellStyle name="Comma 3 2 2 2 2 3 2 5" xfId="19178" xr:uid="{7EC82DEF-EE09-4C3D-A5CB-A2BB65BDB870}"/>
    <cellStyle name="Comma 3 2 2 2 2 3 3" xfId="2918" xr:uid="{8C3B6BC4-F03C-4F73-A953-24D252FB752B}"/>
    <cellStyle name="Comma 3 2 2 2 2 3 3 2" xfId="7254" xr:uid="{8EA6DAF0-2FED-4399-92E3-9ED0959D7DAE}"/>
    <cellStyle name="Comma 3 2 2 2 2 3 3 2 2" xfId="15926" xr:uid="{87F2E455-518E-4E7E-90DD-F19050D35E20}"/>
    <cellStyle name="Comma 3 2 2 2 2 3 3 2 2 2" xfId="33270" xr:uid="{6496A575-689A-4AB0-A0A9-D9AE37DA83D7}"/>
    <cellStyle name="Comma 3 2 2 2 2 3 3 2 3" xfId="24598" xr:uid="{64FC59BC-AA44-4871-A424-8B5901EC0165}"/>
    <cellStyle name="Comma 3 2 2 2 2 3 3 3" xfId="11590" xr:uid="{769D6E40-D4A5-4B4A-83BE-457FF1774D59}"/>
    <cellStyle name="Comma 3 2 2 2 2 3 3 3 2" xfId="28934" xr:uid="{635BE3A0-08FE-44D1-AF4F-C28A4322AEDF}"/>
    <cellStyle name="Comma 3 2 2 2 2 3 3 4" xfId="20262" xr:uid="{B77877E8-D9AC-4894-9CFB-3D5FBC8D5F25}"/>
    <cellStyle name="Comma 3 2 2 2 2 3 4" xfId="5086" xr:uid="{D1AB005A-439D-4DCE-A754-DF1D189885CC}"/>
    <cellStyle name="Comma 3 2 2 2 2 3 4 2" xfId="13758" xr:uid="{D3CB70FC-1C09-4C16-B25D-0B9DCA73F0A4}"/>
    <cellStyle name="Comma 3 2 2 2 2 3 4 2 2" xfId="31102" xr:uid="{3815B8E7-AB75-448E-9686-87AC7C50E35F}"/>
    <cellStyle name="Comma 3 2 2 2 2 3 4 3" xfId="22430" xr:uid="{2B9D9FC7-F41B-441D-8078-5069662035D7}"/>
    <cellStyle name="Comma 3 2 2 2 2 3 5" xfId="9422" xr:uid="{CF48059A-658F-4F1C-8F01-3C7C3A056007}"/>
    <cellStyle name="Comma 3 2 2 2 2 3 5 2" xfId="26766" xr:uid="{9A5CDF2D-0BE1-40A6-9111-892963CC5CD2}"/>
    <cellStyle name="Comma 3 2 2 2 2 3 6" xfId="18094" xr:uid="{2DA8F7E4-3C56-4278-84CF-8891877A4604}"/>
    <cellStyle name="Comma 3 2 2 2 2 4" xfId="1293" xr:uid="{06AA1658-CC49-443E-831E-08C1C464B498}"/>
    <cellStyle name="Comma 3 2 2 2 2 4 2" xfId="3461" xr:uid="{BCC31C16-0F76-40D4-AE0E-AAA404AC76FE}"/>
    <cellStyle name="Comma 3 2 2 2 2 4 2 2" xfId="7797" xr:uid="{11C9735F-5291-4811-B8BA-846B4F1727EB}"/>
    <cellStyle name="Comma 3 2 2 2 2 4 2 2 2" xfId="16469" xr:uid="{B46B4F33-5218-435C-B8EB-41B08F017BD0}"/>
    <cellStyle name="Comma 3 2 2 2 2 4 2 2 2 2" xfId="33813" xr:uid="{74F9E195-C60E-4E07-919E-1B39F472B354}"/>
    <cellStyle name="Comma 3 2 2 2 2 4 2 2 3" xfId="25141" xr:uid="{A196D688-DFE6-49F6-AAF1-3D50FE23FBC8}"/>
    <cellStyle name="Comma 3 2 2 2 2 4 2 3" xfId="12133" xr:uid="{17E18828-17F3-4A44-8058-32369E83A4A7}"/>
    <cellStyle name="Comma 3 2 2 2 2 4 2 3 2" xfId="29477" xr:uid="{38BA260B-CD5F-4950-B21C-431978EF96CC}"/>
    <cellStyle name="Comma 3 2 2 2 2 4 2 4" xfId="20805" xr:uid="{2F4B0322-BC20-4F19-AA43-5F28BF222126}"/>
    <cellStyle name="Comma 3 2 2 2 2 4 3" xfId="5629" xr:uid="{05EB8853-663D-4380-AAC5-3BC6258F4A0C}"/>
    <cellStyle name="Comma 3 2 2 2 2 4 3 2" xfId="14301" xr:uid="{377175F2-B390-46B5-B8F3-38AE5C91EFB4}"/>
    <cellStyle name="Comma 3 2 2 2 2 4 3 2 2" xfId="31645" xr:uid="{8F35F745-28E0-4B6B-A4B5-A9BB18806933}"/>
    <cellStyle name="Comma 3 2 2 2 2 4 3 3" xfId="22973" xr:uid="{506283EC-71B4-4FE2-BABD-C6AEEA7DC8EF}"/>
    <cellStyle name="Comma 3 2 2 2 2 4 4" xfId="9965" xr:uid="{17F84068-6C2C-4852-9E81-38BB6028C245}"/>
    <cellStyle name="Comma 3 2 2 2 2 4 4 2" xfId="27309" xr:uid="{499DA1F4-EEA3-453E-8A6E-602BFDC353C8}"/>
    <cellStyle name="Comma 3 2 2 2 2 4 5" xfId="18637" xr:uid="{2B2DF8D2-2E2E-4EC8-945C-C3EE65D833AE}"/>
    <cellStyle name="Comma 3 2 2 2 2 5" xfId="2377" xr:uid="{0472D8EF-523D-41D5-83F7-4218873DA7A7}"/>
    <cellStyle name="Comma 3 2 2 2 2 5 2" xfId="6713" xr:uid="{49889297-41F4-4514-8872-788C4771E566}"/>
    <cellStyle name="Comma 3 2 2 2 2 5 2 2" xfId="15385" xr:uid="{0B54A93E-10AB-4F47-9B15-7FBE7AD08980}"/>
    <cellStyle name="Comma 3 2 2 2 2 5 2 2 2" xfId="32729" xr:uid="{0C3D1739-22E5-4F75-B472-7614DF3CBEB7}"/>
    <cellStyle name="Comma 3 2 2 2 2 5 2 3" xfId="24057" xr:uid="{191FA595-6071-4E43-8A16-CCA4B8CA3FE8}"/>
    <cellStyle name="Comma 3 2 2 2 2 5 3" xfId="11049" xr:uid="{E2F62CD0-68CF-4163-8492-940F7ECCA4E7}"/>
    <cellStyle name="Comma 3 2 2 2 2 5 3 2" xfId="28393" xr:uid="{2EF27DDA-1027-4C87-89B3-A7E9EB509F85}"/>
    <cellStyle name="Comma 3 2 2 2 2 5 4" xfId="19721" xr:uid="{16B724F9-C825-4F2D-ADBB-41993266DADC}"/>
    <cellStyle name="Comma 3 2 2 2 2 6" xfId="4545" xr:uid="{D69B180E-74F4-4FDF-9903-51BD2FFAB6DA}"/>
    <cellStyle name="Comma 3 2 2 2 2 6 2" xfId="13217" xr:uid="{15F06B5D-237E-4870-BA1B-9FE859F13BB5}"/>
    <cellStyle name="Comma 3 2 2 2 2 6 2 2" xfId="30561" xr:uid="{3F972752-59F7-4E7E-BF38-3118D789DB00}"/>
    <cellStyle name="Comma 3 2 2 2 2 6 3" xfId="21889" xr:uid="{116AD78B-FDC4-4730-9FE4-30529E3BC8F1}"/>
    <cellStyle name="Comma 3 2 2 2 2 7" xfId="8881" xr:uid="{41612289-D768-4207-A96A-409AB08BF6DA}"/>
    <cellStyle name="Comma 3 2 2 2 2 7 2" xfId="26225" xr:uid="{83B8A74D-8143-4A5D-A2A9-D61690765F45}"/>
    <cellStyle name="Comma 3 2 2 2 2 8" xfId="17553" xr:uid="{9DEF2543-B734-432E-A1CB-1F97D2271D9C}"/>
    <cellStyle name="Comma 3 2 2 2 3" xfId="357" xr:uid="{B2BD48EE-47D0-4CE6-AAF4-AB786758688D}"/>
    <cellStyle name="Comma 3 2 2 2 3 2" xfId="898" xr:uid="{8B2D9034-0199-4843-9D84-E742744D0ECC}"/>
    <cellStyle name="Comma 3 2 2 2 3 2 2" xfId="1982" xr:uid="{2A8A335B-8A57-4B4B-AA6D-980D33CD36CC}"/>
    <cellStyle name="Comma 3 2 2 2 3 2 2 2" xfId="4150" xr:uid="{E9E9B747-A6D3-4843-AF04-8525DC88C073}"/>
    <cellStyle name="Comma 3 2 2 2 3 2 2 2 2" xfId="8486" xr:uid="{50D50C07-EA09-43D7-9C2A-CCB97D6493F0}"/>
    <cellStyle name="Comma 3 2 2 2 3 2 2 2 2 2" xfId="17158" xr:uid="{F4BD6A80-9910-46C1-B78F-51DAA76708A5}"/>
    <cellStyle name="Comma 3 2 2 2 3 2 2 2 2 2 2" xfId="34502" xr:uid="{BC808D8F-1557-4F9C-887A-016BBF957FCB}"/>
    <cellStyle name="Comma 3 2 2 2 3 2 2 2 2 3" xfId="25830" xr:uid="{C792D2A0-1F72-4ECE-BCBA-BDD18DE33226}"/>
    <cellStyle name="Comma 3 2 2 2 3 2 2 2 3" xfId="12822" xr:uid="{10DC65FA-CF60-4B65-B7DD-CD989F802C6A}"/>
    <cellStyle name="Comma 3 2 2 2 3 2 2 2 3 2" xfId="30166" xr:uid="{B9549D07-4E48-4DC9-8721-116BE28B71F5}"/>
    <cellStyle name="Comma 3 2 2 2 3 2 2 2 4" xfId="21494" xr:uid="{7072AA19-6924-4720-8F01-380A312F950A}"/>
    <cellStyle name="Comma 3 2 2 2 3 2 2 3" xfId="6318" xr:uid="{E7398D0B-1153-4F53-8515-D5CB57EB96BC}"/>
    <cellStyle name="Comma 3 2 2 2 3 2 2 3 2" xfId="14990" xr:uid="{9EA9019D-E556-4C68-8A14-A868ED66EC51}"/>
    <cellStyle name="Comma 3 2 2 2 3 2 2 3 2 2" xfId="32334" xr:uid="{EF9D97E2-8D61-4DE9-BCF1-C52C3980D5F6}"/>
    <cellStyle name="Comma 3 2 2 2 3 2 2 3 3" xfId="23662" xr:uid="{0187EA81-7A41-4099-A45A-F5E82F9A7537}"/>
    <cellStyle name="Comma 3 2 2 2 3 2 2 4" xfId="10654" xr:uid="{2D79250F-6CCF-4F16-A75A-14EEA6EA2A7F}"/>
    <cellStyle name="Comma 3 2 2 2 3 2 2 4 2" xfId="27998" xr:uid="{560B90D1-290E-450B-8393-608AFBBB042A}"/>
    <cellStyle name="Comma 3 2 2 2 3 2 2 5" xfId="19326" xr:uid="{FF34F903-A0CE-44FB-A4B2-CAE4C8F1934A}"/>
    <cellStyle name="Comma 3 2 2 2 3 2 3" xfId="3066" xr:uid="{2451F019-7585-4B40-B741-626BC1326E5D}"/>
    <cellStyle name="Comma 3 2 2 2 3 2 3 2" xfId="7402" xr:uid="{AC66D721-8C0B-4F75-8807-4B4ADDD83B76}"/>
    <cellStyle name="Comma 3 2 2 2 3 2 3 2 2" xfId="16074" xr:uid="{ED0BE862-CF9E-41E2-943A-2D352A381B7D}"/>
    <cellStyle name="Comma 3 2 2 2 3 2 3 2 2 2" xfId="33418" xr:uid="{B1E282EC-BEF4-4E6B-BAFE-0F274D8E2192}"/>
    <cellStyle name="Comma 3 2 2 2 3 2 3 2 3" xfId="24746" xr:uid="{EFAC44C1-7B53-42F1-856D-727EA7E059F5}"/>
    <cellStyle name="Comma 3 2 2 2 3 2 3 3" xfId="11738" xr:uid="{7BD87E71-BCDC-42AA-8EB2-81E1037E6BC2}"/>
    <cellStyle name="Comma 3 2 2 2 3 2 3 3 2" xfId="29082" xr:uid="{95E85C10-96A5-4558-B7DB-A56367E3592F}"/>
    <cellStyle name="Comma 3 2 2 2 3 2 3 4" xfId="20410" xr:uid="{E7D07D79-D1A4-4FB7-A601-7F92C357C135}"/>
    <cellStyle name="Comma 3 2 2 2 3 2 4" xfId="5234" xr:uid="{B75FC361-8A4E-4FC1-AC74-B7DA2F2BBC2D}"/>
    <cellStyle name="Comma 3 2 2 2 3 2 4 2" xfId="13906" xr:uid="{8B220DDC-A192-4177-B073-504AE47D85B6}"/>
    <cellStyle name="Comma 3 2 2 2 3 2 4 2 2" xfId="31250" xr:uid="{DB2B939E-FBD9-4EED-9E57-99176D1E3C63}"/>
    <cellStyle name="Comma 3 2 2 2 3 2 4 3" xfId="22578" xr:uid="{FC103335-BF33-4782-810D-730F579EB071}"/>
    <cellStyle name="Comma 3 2 2 2 3 2 5" xfId="9570" xr:uid="{1B0F5CFF-96B7-44DE-BE29-CFB346DCD107}"/>
    <cellStyle name="Comma 3 2 2 2 3 2 5 2" xfId="26914" xr:uid="{5D97C961-30FA-46EE-AE00-21F9C286264B}"/>
    <cellStyle name="Comma 3 2 2 2 3 2 6" xfId="18242" xr:uid="{A6154847-BBAE-467F-87A2-A04C944284D8}"/>
    <cellStyle name="Comma 3 2 2 2 3 3" xfId="1441" xr:uid="{A3F8BDC8-7730-4829-A633-38FB2F0C13BB}"/>
    <cellStyle name="Comma 3 2 2 2 3 3 2" xfId="3609" xr:uid="{D5E27950-38B3-47D2-8E21-D9E5ACFA2E46}"/>
    <cellStyle name="Comma 3 2 2 2 3 3 2 2" xfId="7945" xr:uid="{AF831C75-E5E4-4DB6-9F57-053713ADA79C}"/>
    <cellStyle name="Comma 3 2 2 2 3 3 2 2 2" xfId="16617" xr:uid="{0981C676-5F7B-4E0F-9A3B-84DAE8440F9E}"/>
    <cellStyle name="Comma 3 2 2 2 3 3 2 2 2 2" xfId="33961" xr:uid="{356613D1-F651-4479-BD22-B03C79E0A7E5}"/>
    <cellStyle name="Comma 3 2 2 2 3 3 2 2 3" xfId="25289" xr:uid="{A9E043EA-3FE7-4FBB-B2BC-AC8242EA034C}"/>
    <cellStyle name="Comma 3 2 2 2 3 3 2 3" xfId="12281" xr:uid="{B970BBA8-1B13-4B99-8E75-A80101DD7703}"/>
    <cellStyle name="Comma 3 2 2 2 3 3 2 3 2" xfId="29625" xr:uid="{8EE569BF-DC91-4326-9E19-EED93C913DB0}"/>
    <cellStyle name="Comma 3 2 2 2 3 3 2 4" xfId="20953" xr:uid="{D9F117B7-B5A8-4C98-BE65-6436918B5886}"/>
    <cellStyle name="Comma 3 2 2 2 3 3 3" xfId="5777" xr:uid="{7C678616-DC3C-4708-B5C4-502522A97F2A}"/>
    <cellStyle name="Comma 3 2 2 2 3 3 3 2" xfId="14449" xr:uid="{E65B7708-618A-4C9E-B8CF-F648FCDBA7CD}"/>
    <cellStyle name="Comma 3 2 2 2 3 3 3 2 2" xfId="31793" xr:uid="{CD5A369F-EA38-417D-A573-8040A2247C0E}"/>
    <cellStyle name="Comma 3 2 2 2 3 3 3 3" xfId="23121" xr:uid="{A2FE31D0-7EC4-4645-B59D-8C97CE6320A0}"/>
    <cellStyle name="Comma 3 2 2 2 3 3 4" xfId="10113" xr:uid="{0E0476F8-566C-4E95-95FB-281D2AA1D0E9}"/>
    <cellStyle name="Comma 3 2 2 2 3 3 4 2" xfId="27457" xr:uid="{DED8DB32-CE9B-4F70-B496-3A95C001C322}"/>
    <cellStyle name="Comma 3 2 2 2 3 3 5" xfId="18785" xr:uid="{0CD61ED3-D7DE-41FD-8A76-F005792FFA54}"/>
    <cellStyle name="Comma 3 2 2 2 3 4" xfId="2525" xr:uid="{86CF6D20-C6F2-482A-AD7F-1F56489A8F8A}"/>
    <cellStyle name="Comma 3 2 2 2 3 4 2" xfId="6861" xr:uid="{DE754CB3-3EBA-4E23-BC1B-A2722F11BE21}"/>
    <cellStyle name="Comma 3 2 2 2 3 4 2 2" xfId="15533" xr:uid="{E480FF69-DDB3-4BF9-8B38-EF7B9DF04906}"/>
    <cellStyle name="Comma 3 2 2 2 3 4 2 2 2" xfId="32877" xr:uid="{B2B90871-282A-4D27-90CA-5A6BEEFD6108}"/>
    <cellStyle name="Comma 3 2 2 2 3 4 2 3" xfId="24205" xr:uid="{FD30BE8F-850D-4855-AB22-9D946DEA6853}"/>
    <cellStyle name="Comma 3 2 2 2 3 4 3" xfId="11197" xr:uid="{7CCD6305-B545-411F-A18C-F155CE4A50CE}"/>
    <cellStyle name="Comma 3 2 2 2 3 4 3 2" xfId="28541" xr:uid="{9D781B01-E1C1-4993-81C3-5C4120CCE3F5}"/>
    <cellStyle name="Comma 3 2 2 2 3 4 4" xfId="19869" xr:uid="{4939176F-FDA4-4EFF-8E8A-AC9F05215ABA}"/>
    <cellStyle name="Comma 3 2 2 2 3 5" xfId="4693" xr:uid="{2388839B-6C18-4960-853B-EF82346C84D7}"/>
    <cellStyle name="Comma 3 2 2 2 3 5 2" xfId="13365" xr:uid="{B69280F7-DCE5-4697-B0B2-06D2017DCE46}"/>
    <cellStyle name="Comma 3 2 2 2 3 5 2 2" xfId="30709" xr:uid="{1D2430CF-0EF4-40DE-9E02-3D0C2F020902}"/>
    <cellStyle name="Comma 3 2 2 2 3 5 3" xfId="22037" xr:uid="{C52A932F-BA48-4248-962E-135EB99B2BF9}"/>
    <cellStyle name="Comma 3 2 2 2 3 6" xfId="9029" xr:uid="{9B695217-49B8-480F-9B6A-4F18A389B128}"/>
    <cellStyle name="Comma 3 2 2 2 3 6 2" xfId="26373" xr:uid="{7AD691E7-16EA-4F35-B193-5740148209FE}"/>
    <cellStyle name="Comma 3 2 2 2 3 7" xfId="17701" xr:uid="{A8BFBD14-7660-4CE3-9DC5-E4A81290DED8}"/>
    <cellStyle name="Comma 3 2 2 2 4" xfId="628" xr:uid="{89855892-6022-4B13-A1F8-33A8D3AEBCCB}"/>
    <cellStyle name="Comma 3 2 2 2 4 2" xfId="1712" xr:uid="{A1756440-6947-4850-9F9A-7EBE276E3DF1}"/>
    <cellStyle name="Comma 3 2 2 2 4 2 2" xfId="3880" xr:uid="{F88D1C41-4909-46F6-BF9B-1212F21DC5C4}"/>
    <cellStyle name="Comma 3 2 2 2 4 2 2 2" xfId="8216" xr:uid="{27815C39-12B6-493D-9AC0-0F724714DEB7}"/>
    <cellStyle name="Comma 3 2 2 2 4 2 2 2 2" xfId="16888" xr:uid="{C71767AC-F05D-4BEF-A693-A15AEE8CF508}"/>
    <cellStyle name="Comma 3 2 2 2 4 2 2 2 2 2" xfId="34232" xr:uid="{729CE285-1BDC-4F40-886E-6DB53DB422EF}"/>
    <cellStyle name="Comma 3 2 2 2 4 2 2 2 3" xfId="25560" xr:uid="{AF21F2AF-4176-473D-A48C-451E65DC1D0B}"/>
    <cellStyle name="Comma 3 2 2 2 4 2 2 3" xfId="12552" xr:uid="{6DCEB112-565F-445B-8198-02CEB290AC1E}"/>
    <cellStyle name="Comma 3 2 2 2 4 2 2 3 2" xfId="29896" xr:uid="{E366CC06-3704-466B-9D7D-6E6C107D4E22}"/>
    <cellStyle name="Comma 3 2 2 2 4 2 2 4" xfId="21224" xr:uid="{C5922E60-96FF-4BD1-8293-5490E1EDA00F}"/>
    <cellStyle name="Comma 3 2 2 2 4 2 3" xfId="6048" xr:uid="{FAF72B84-2A81-4951-8CEC-B1383FF1A8C8}"/>
    <cellStyle name="Comma 3 2 2 2 4 2 3 2" xfId="14720" xr:uid="{4480CE9D-8008-4204-B78B-E3C0F9FA7DC1}"/>
    <cellStyle name="Comma 3 2 2 2 4 2 3 2 2" xfId="32064" xr:uid="{472A192F-7108-4B49-838B-A86B9A850931}"/>
    <cellStyle name="Comma 3 2 2 2 4 2 3 3" xfId="23392" xr:uid="{960F1066-C157-4C69-A3A3-6C4EB01A7433}"/>
    <cellStyle name="Comma 3 2 2 2 4 2 4" xfId="10384" xr:uid="{6211D29F-889F-4D2D-8CCF-EC733EFE9B11}"/>
    <cellStyle name="Comma 3 2 2 2 4 2 4 2" xfId="27728" xr:uid="{280F02C6-8059-47DD-A4F2-33FC8A72ABBE}"/>
    <cellStyle name="Comma 3 2 2 2 4 2 5" xfId="19056" xr:uid="{59F3119C-E32F-4D54-AAF0-FF0621D366F7}"/>
    <cellStyle name="Comma 3 2 2 2 4 3" xfId="2796" xr:uid="{97471D8E-3B24-437E-86FF-9863CEFCFA88}"/>
    <cellStyle name="Comma 3 2 2 2 4 3 2" xfId="7132" xr:uid="{5DD9E195-8724-4D0F-A2D9-0B6C618E763D}"/>
    <cellStyle name="Comma 3 2 2 2 4 3 2 2" xfId="15804" xr:uid="{285A74A3-ECCC-4A0B-8609-1C198329255F}"/>
    <cellStyle name="Comma 3 2 2 2 4 3 2 2 2" xfId="33148" xr:uid="{66E5B1BC-E1BC-4343-B052-A5A99CBD497C}"/>
    <cellStyle name="Comma 3 2 2 2 4 3 2 3" xfId="24476" xr:uid="{E845B1DF-02F5-42CA-9054-625EAD9E501A}"/>
    <cellStyle name="Comma 3 2 2 2 4 3 3" xfId="11468" xr:uid="{66B47924-C3FD-42CB-AA0A-F655FFE8B6DC}"/>
    <cellStyle name="Comma 3 2 2 2 4 3 3 2" xfId="28812" xr:uid="{4EA99F08-E560-4655-807C-F548CD550251}"/>
    <cellStyle name="Comma 3 2 2 2 4 3 4" xfId="20140" xr:uid="{12716DB3-210A-431D-86E2-946EF80BB63B}"/>
    <cellStyle name="Comma 3 2 2 2 4 4" xfId="4964" xr:uid="{0017B77D-3B05-464E-84BD-8B206B0A41A7}"/>
    <cellStyle name="Comma 3 2 2 2 4 4 2" xfId="13636" xr:uid="{37C129DA-6A79-4686-BCC9-677F103DF4D8}"/>
    <cellStyle name="Comma 3 2 2 2 4 4 2 2" xfId="30980" xr:uid="{1331CF4D-7EDD-42B2-B203-5B963C12890F}"/>
    <cellStyle name="Comma 3 2 2 2 4 4 3" xfId="22308" xr:uid="{7DD7DE5D-8F87-4E01-80BC-D0482ECF0A5B}"/>
    <cellStyle name="Comma 3 2 2 2 4 5" xfId="9300" xr:uid="{A484BC2F-1556-4E99-AD11-06EC8C936EF2}"/>
    <cellStyle name="Comma 3 2 2 2 4 5 2" xfId="26644" xr:uid="{56619820-8FA6-4D2C-A2BA-5DDE4B3E2760}"/>
    <cellStyle name="Comma 3 2 2 2 4 6" xfId="17972" xr:uid="{C0812CC9-5413-4482-86AB-F5787E4B05B8}"/>
    <cellStyle name="Comma 3 2 2 2 5" xfId="1171" xr:uid="{F5B957B3-CD17-43B2-8E31-40D6921A7599}"/>
    <cellStyle name="Comma 3 2 2 2 5 2" xfId="3339" xr:uid="{1A56648E-9BC0-4C89-BCB7-6B10B326B757}"/>
    <cellStyle name="Comma 3 2 2 2 5 2 2" xfId="7675" xr:uid="{E6461DC4-D6F1-4E64-9A62-8B8C4CDE6BDC}"/>
    <cellStyle name="Comma 3 2 2 2 5 2 2 2" xfId="16347" xr:uid="{34CBF9E9-7130-4A34-94A7-0C8E422EE06F}"/>
    <cellStyle name="Comma 3 2 2 2 5 2 2 2 2" xfId="33691" xr:uid="{14AA6559-3626-4041-8D04-727F6D71AA5D}"/>
    <cellStyle name="Comma 3 2 2 2 5 2 2 3" xfId="25019" xr:uid="{6F59810F-005B-4A6E-B354-ED282C49FB2F}"/>
    <cellStyle name="Comma 3 2 2 2 5 2 3" xfId="12011" xr:uid="{3DB053F4-0FB5-4949-8825-798A818E925B}"/>
    <cellStyle name="Comma 3 2 2 2 5 2 3 2" xfId="29355" xr:uid="{F8261749-CBB4-4CA6-9ECC-E97675B15A7E}"/>
    <cellStyle name="Comma 3 2 2 2 5 2 4" xfId="20683" xr:uid="{23BE1F0E-32C4-4FB3-AF64-B13D416C8F87}"/>
    <cellStyle name="Comma 3 2 2 2 5 3" xfId="5507" xr:uid="{29E173ED-50B9-4E7B-B2B6-47F4045BE497}"/>
    <cellStyle name="Comma 3 2 2 2 5 3 2" xfId="14179" xr:uid="{8B1DC026-58A0-471F-B523-901FEEC7C8D5}"/>
    <cellStyle name="Comma 3 2 2 2 5 3 2 2" xfId="31523" xr:uid="{3E581C31-A2EA-47A0-80FA-53918CE6510E}"/>
    <cellStyle name="Comma 3 2 2 2 5 3 3" xfId="22851" xr:uid="{03FBAB68-E983-471C-9CF5-898A3B8B488E}"/>
    <cellStyle name="Comma 3 2 2 2 5 4" xfId="9843" xr:uid="{3C06617F-96D6-4C57-8D8F-E99F6F68F265}"/>
    <cellStyle name="Comma 3 2 2 2 5 4 2" xfId="27187" xr:uid="{F26311C0-6289-4252-A8F5-707E8F966AE7}"/>
    <cellStyle name="Comma 3 2 2 2 5 5" xfId="18515" xr:uid="{9CA204E0-9ABB-4B10-959C-9FFC799915D7}"/>
    <cellStyle name="Comma 3 2 2 2 6" xfId="2255" xr:uid="{F4421366-4173-4379-9C4A-BC00D17AC4E1}"/>
    <cellStyle name="Comma 3 2 2 2 6 2" xfId="6591" xr:uid="{590A7C0F-B87E-4D31-A652-10C2F5944797}"/>
    <cellStyle name="Comma 3 2 2 2 6 2 2" xfId="15263" xr:uid="{469DA613-A0B1-45AC-B05C-14F11C9F7199}"/>
    <cellStyle name="Comma 3 2 2 2 6 2 2 2" xfId="32607" xr:uid="{E58B6A28-672F-4D64-801A-73EA96E54179}"/>
    <cellStyle name="Comma 3 2 2 2 6 2 3" xfId="23935" xr:uid="{217002FE-1217-49EF-AEDF-6803F18E75C9}"/>
    <cellStyle name="Comma 3 2 2 2 6 3" xfId="10927" xr:uid="{76EFB1AF-5EBF-4BB4-81DA-B629DD9E25DB}"/>
    <cellStyle name="Comma 3 2 2 2 6 3 2" xfId="28271" xr:uid="{CC9A11FE-71A7-4E81-936B-7ADEDBF950AF}"/>
    <cellStyle name="Comma 3 2 2 2 6 4" xfId="19599" xr:uid="{BAB9DA08-4870-4291-8B00-5076BEB20875}"/>
    <cellStyle name="Comma 3 2 2 2 7" xfId="4423" xr:uid="{6AB36607-010D-4CC5-BBA9-A0E38787093C}"/>
    <cellStyle name="Comma 3 2 2 2 7 2" xfId="13095" xr:uid="{A9E60D8A-1A31-4001-94E4-87FF66AD4BA3}"/>
    <cellStyle name="Comma 3 2 2 2 7 2 2" xfId="30439" xr:uid="{ED2DFBC0-F5A2-4C80-84EB-F91A40C1C59E}"/>
    <cellStyle name="Comma 3 2 2 2 7 3" xfId="21767" xr:uid="{0F0A5EE8-798E-4485-836F-0EBF797D68DC}"/>
    <cellStyle name="Comma 3 2 2 2 8" xfId="8759" xr:uid="{A823C0D9-F55E-40B9-AEFD-F04DA70AAE27}"/>
    <cellStyle name="Comma 3 2 2 2 8 2" xfId="26103" xr:uid="{1DEA28C5-3701-4563-A43C-97CD38676318}"/>
    <cellStyle name="Comma 3 2 2 2 9" xfId="17431" xr:uid="{9AA079BE-7E95-4A7F-A10D-87C756D57237}"/>
    <cellStyle name="Comma 3 2 2 3" xfId="148" xr:uid="{81A54FE3-AA98-4883-85D2-21FA9B93D7A7}"/>
    <cellStyle name="Comma 3 2 2 3 2" xfId="418" xr:uid="{43AF6953-8206-4F45-A25A-C2C7351E51FD}"/>
    <cellStyle name="Comma 3 2 2 3 2 2" xfId="959" xr:uid="{71D89E73-6429-4E79-9EC8-F519C1718EC0}"/>
    <cellStyle name="Comma 3 2 2 3 2 2 2" xfId="2043" xr:uid="{062B064A-21F7-4D51-A7F7-8B4C2F5E50C9}"/>
    <cellStyle name="Comma 3 2 2 3 2 2 2 2" xfId="4211" xr:uid="{337434C9-FC49-47E7-B8B0-DC2C1B45A831}"/>
    <cellStyle name="Comma 3 2 2 3 2 2 2 2 2" xfId="8547" xr:uid="{A0579381-40BE-4700-B234-AFD85EAA07A7}"/>
    <cellStyle name="Comma 3 2 2 3 2 2 2 2 2 2" xfId="17219" xr:uid="{BA9F6C62-1154-4E55-94A9-D61D55F2C473}"/>
    <cellStyle name="Comma 3 2 2 3 2 2 2 2 2 2 2" xfId="34563" xr:uid="{806050ED-041E-4F3F-A5B1-3A8EC42B4D98}"/>
    <cellStyle name="Comma 3 2 2 3 2 2 2 2 2 3" xfId="25891" xr:uid="{2639BC8E-373B-43E9-90E5-BAA771E4E2CA}"/>
    <cellStyle name="Comma 3 2 2 3 2 2 2 2 3" xfId="12883" xr:uid="{DCD0AEA8-46BF-409F-8E05-9EA9056277B4}"/>
    <cellStyle name="Comma 3 2 2 3 2 2 2 2 3 2" xfId="30227" xr:uid="{2DC927A2-56F7-4EFB-A49F-75550C3B851A}"/>
    <cellStyle name="Comma 3 2 2 3 2 2 2 2 4" xfId="21555" xr:uid="{C622A6B5-1141-4C52-97FF-2A7C65B33A6F}"/>
    <cellStyle name="Comma 3 2 2 3 2 2 2 3" xfId="6379" xr:uid="{9514745D-DFF2-4EAC-86AD-2B42B8A75A66}"/>
    <cellStyle name="Comma 3 2 2 3 2 2 2 3 2" xfId="15051" xr:uid="{F021E8F6-FC17-43C3-9E18-9B20D8F24184}"/>
    <cellStyle name="Comma 3 2 2 3 2 2 2 3 2 2" xfId="32395" xr:uid="{47DB0C11-74FB-432C-A808-FA5A131D2D0F}"/>
    <cellStyle name="Comma 3 2 2 3 2 2 2 3 3" xfId="23723" xr:uid="{7AC52EE5-3A4A-47E9-AC50-66B8EAE2D45E}"/>
    <cellStyle name="Comma 3 2 2 3 2 2 2 4" xfId="10715" xr:uid="{CBA8B03E-725C-4F6F-AC04-6C8632B00AD3}"/>
    <cellStyle name="Comma 3 2 2 3 2 2 2 4 2" xfId="28059" xr:uid="{777966DB-A4EB-4E43-AB09-8EF07BF561D2}"/>
    <cellStyle name="Comma 3 2 2 3 2 2 2 5" xfId="19387" xr:uid="{DA18E717-94AB-458E-8401-705167E8E861}"/>
    <cellStyle name="Comma 3 2 2 3 2 2 3" xfId="3127" xr:uid="{0E798D9C-4B72-454C-BF32-7C6F027B6097}"/>
    <cellStyle name="Comma 3 2 2 3 2 2 3 2" xfId="7463" xr:uid="{2A7912B8-5A88-4885-8668-A8F81BA8E9CC}"/>
    <cellStyle name="Comma 3 2 2 3 2 2 3 2 2" xfId="16135" xr:uid="{43EA0044-0162-49E2-8CFF-2C2EF628E796}"/>
    <cellStyle name="Comma 3 2 2 3 2 2 3 2 2 2" xfId="33479" xr:uid="{2D66BDEF-70A7-426D-8FA9-72BD644655B3}"/>
    <cellStyle name="Comma 3 2 2 3 2 2 3 2 3" xfId="24807" xr:uid="{816AE6AA-BD86-41CF-9022-FDC4E40D4FC5}"/>
    <cellStyle name="Comma 3 2 2 3 2 2 3 3" xfId="11799" xr:uid="{4F5B76FF-6651-4A09-91AE-F66B8FFA1F59}"/>
    <cellStyle name="Comma 3 2 2 3 2 2 3 3 2" xfId="29143" xr:uid="{3374A7C3-7C06-49DA-9CF3-15E7ED1509E5}"/>
    <cellStyle name="Comma 3 2 2 3 2 2 3 4" xfId="20471" xr:uid="{0EE8717E-7367-4171-8760-C639796EFB1C}"/>
    <cellStyle name="Comma 3 2 2 3 2 2 4" xfId="5295" xr:uid="{889A0D9B-AE54-430D-BD2D-3F2E585C37E0}"/>
    <cellStyle name="Comma 3 2 2 3 2 2 4 2" xfId="13967" xr:uid="{05F3E58E-8B64-48C3-9849-FF497C44CB4B}"/>
    <cellStyle name="Comma 3 2 2 3 2 2 4 2 2" xfId="31311" xr:uid="{2A1D3D6E-4FF3-4A93-B757-6C8A08431B1C}"/>
    <cellStyle name="Comma 3 2 2 3 2 2 4 3" xfId="22639" xr:uid="{DCCFB787-9411-451C-A352-DF4FEBAD813B}"/>
    <cellStyle name="Comma 3 2 2 3 2 2 5" xfId="9631" xr:uid="{5DFCB034-1439-46B6-9E2D-653FD919337D}"/>
    <cellStyle name="Comma 3 2 2 3 2 2 5 2" xfId="26975" xr:uid="{E346BAC3-F780-423D-B2EA-3D6FD37DC347}"/>
    <cellStyle name="Comma 3 2 2 3 2 2 6" xfId="18303" xr:uid="{0FC1AA26-78AC-470F-9EE6-C20400E87380}"/>
    <cellStyle name="Comma 3 2 2 3 2 3" xfId="1502" xr:uid="{196DBBEF-AB75-4AA8-843E-755131D800D8}"/>
    <cellStyle name="Comma 3 2 2 3 2 3 2" xfId="3670" xr:uid="{C0E73B49-29F3-44F3-A0B2-86D172F45F31}"/>
    <cellStyle name="Comma 3 2 2 3 2 3 2 2" xfId="8006" xr:uid="{9A35CC7E-BD64-4F84-B556-9D481510C68C}"/>
    <cellStyle name="Comma 3 2 2 3 2 3 2 2 2" xfId="16678" xr:uid="{F9831CAF-267F-49F2-B478-B113F6583C9F}"/>
    <cellStyle name="Comma 3 2 2 3 2 3 2 2 2 2" xfId="34022" xr:uid="{0CD1390B-B99F-409D-9CF6-B9D7013763B1}"/>
    <cellStyle name="Comma 3 2 2 3 2 3 2 2 3" xfId="25350" xr:uid="{AF4FC99E-E8A3-4043-96B9-DE4319DB6793}"/>
    <cellStyle name="Comma 3 2 2 3 2 3 2 3" xfId="12342" xr:uid="{B9355311-CD84-4F27-B800-410D5FD42C63}"/>
    <cellStyle name="Comma 3 2 2 3 2 3 2 3 2" xfId="29686" xr:uid="{70B07C74-38CC-4822-8BAC-DC21D89887AB}"/>
    <cellStyle name="Comma 3 2 2 3 2 3 2 4" xfId="21014" xr:uid="{28F88E9F-47D0-4E3E-9617-0B174C44EC82}"/>
    <cellStyle name="Comma 3 2 2 3 2 3 3" xfId="5838" xr:uid="{9E72AD08-16D0-4C92-814E-5969F5149801}"/>
    <cellStyle name="Comma 3 2 2 3 2 3 3 2" xfId="14510" xr:uid="{637C39F8-6768-48F6-BCED-58ED0A14CE16}"/>
    <cellStyle name="Comma 3 2 2 3 2 3 3 2 2" xfId="31854" xr:uid="{67423B50-6214-417F-8892-A0AE2D1AF461}"/>
    <cellStyle name="Comma 3 2 2 3 2 3 3 3" xfId="23182" xr:uid="{B39CD3E7-1B81-473A-B77F-6B0419BB4158}"/>
    <cellStyle name="Comma 3 2 2 3 2 3 4" xfId="10174" xr:uid="{797CCCBD-F4DD-4343-8A02-47C88CFB9106}"/>
    <cellStyle name="Comma 3 2 2 3 2 3 4 2" xfId="27518" xr:uid="{636611A2-1F35-441F-8F14-233C73AC4D63}"/>
    <cellStyle name="Comma 3 2 2 3 2 3 5" xfId="18846" xr:uid="{5764CF0F-EE4A-4FEC-85FF-3F4BCDB6F087}"/>
    <cellStyle name="Comma 3 2 2 3 2 4" xfId="2586" xr:uid="{1291EAA6-7806-4C71-A00E-702A6D466D18}"/>
    <cellStyle name="Comma 3 2 2 3 2 4 2" xfId="6922" xr:uid="{98C49B1C-98EA-47A6-9DBE-7613DC5709EB}"/>
    <cellStyle name="Comma 3 2 2 3 2 4 2 2" xfId="15594" xr:uid="{0564894A-1671-4E57-8761-7BBCBD73823B}"/>
    <cellStyle name="Comma 3 2 2 3 2 4 2 2 2" xfId="32938" xr:uid="{6F43B6EE-7C99-4F0C-8EB9-BBA523A35CBB}"/>
    <cellStyle name="Comma 3 2 2 3 2 4 2 3" xfId="24266" xr:uid="{B9B47036-2918-4761-87C8-5527B73470E9}"/>
    <cellStyle name="Comma 3 2 2 3 2 4 3" xfId="11258" xr:uid="{F484A9E6-6984-472A-96DC-1C1F7839B535}"/>
    <cellStyle name="Comma 3 2 2 3 2 4 3 2" xfId="28602" xr:uid="{7C5CD329-57C6-440F-A492-C35508755963}"/>
    <cellStyle name="Comma 3 2 2 3 2 4 4" xfId="19930" xr:uid="{2556EC19-9015-4AB6-B1D3-FF008CA2F9B7}"/>
    <cellStyle name="Comma 3 2 2 3 2 5" xfId="4754" xr:uid="{87A5A17C-8DF1-4CC8-98D4-1658982782CC}"/>
    <cellStyle name="Comma 3 2 2 3 2 5 2" xfId="13426" xr:uid="{9FF8A0B2-6C31-4F59-96E8-30CFBDD3D7E5}"/>
    <cellStyle name="Comma 3 2 2 3 2 5 2 2" xfId="30770" xr:uid="{030472D4-83A8-46EF-AAFC-381D4C75239B}"/>
    <cellStyle name="Comma 3 2 2 3 2 5 3" xfId="22098" xr:uid="{A459D66C-834B-4404-93D4-74CEC0644B15}"/>
    <cellStyle name="Comma 3 2 2 3 2 6" xfId="9090" xr:uid="{DC81F359-32FC-49AC-8D6F-24BD96D8C07D}"/>
    <cellStyle name="Comma 3 2 2 3 2 6 2" xfId="26434" xr:uid="{DD546B25-1526-482A-A631-EF018C0B5A64}"/>
    <cellStyle name="Comma 3 2 2 3 2 7" xfId="17762" xr:uid="{A67CD882-43D8-4E9A-91FC-15D74A8EB214}"/>
    <cellStyle name="Comma 3 2 2 3 3" xfId="689" xr:uid="{4060F89D-5124-4F83-85B1-1DEF589DA805}"/>
    <cellStyle name="Comma 3 2 2 3 3 2" xfId="1773" xr:uid="{61BC5670-A536-4F00-94DF-5A745280C5EC}"/>
    <cellStyle name="Comma 3 2 2 3 3 2 2" xfId="3941" xr:uid="{95C9A079-E91F-479A-9056-94E79F749F7E}"/>
    <cellStyle name="Comma 3 2 2 3 3 2 2 2" xfId="8277" xr:uid="{613FDC95-E4A3-45A8-97D7-ABDB284BDB9B}"/>
    <cellStyle name="Comma 3 2 2 3 3 2 2 2 2" xfId="16949" xr:uid="{2032BF3B-BD02-4FAE-A1A2-4C735E0AB4DD}"/>
    <cellStyle name="Comma 3 2 2 3 3 2 2 2 2 2" xfId="34293" xr:uid="{2D215C91-D7E2-48BD-8F35-A466C4312B80}"/>
    <cellStyle name="Comma 3 2 2 3 3 2 2 2 3" xfId="25621" xr:uid="{0999E81C-7769-4672-8A46-BDCA239067C0}"/>
    <cellStyle name="Comma 3 2 2 3 3 2 2 3" xfId="12613" xr:uid="{36F6AF27-9DE1-43FD-AFA5-0D5D8865DE68}"/>
    <cellStyle name="Comma 3 2 2 3 3 2 2 3 2" xfId="29957" xr:uid="{EF70DE3A-B5CC-44D5-8B31-68A56FB3F6EB}"/>
    <cellStyle name="Comma 3 2 2 3 3 2 2 4" xfId="21285" xr:uid="{A8B6139A-6AD5-462F-890C-55AC793F6626}"/>
    <cellStyle name="Comma 3 2 2 3 3 2 3" xfId="6109" xr:uid="{9395E706-E1C3-4F08-8010-97EAB159CB0E}"/>
    <cellStyle name="Comma 3 2 2 3 3 2 3 2" xfId="14781" xr:uid="{A63A3747-E36C-4DC1-8B43-C69DC411BCE2}"/>
    <cellStyle name="Comma 3 2 2 3 3 2 3 2 2" xfId="32125" xr:uid="{8A7DAD28-B560-4CFA-A0FE-1E1487FA1BA1}"/>
    <cellStyle name="Comma 3 2 2 3 3 2 3 3" xfId="23453" xr:uid="{FB1ABCA1-EE15-4C24-9EC1-FF5967F7BB7E}"/>
    <cellStyle name="Comma 3 2 2 3 3 2 4" xfId="10445" xr:uid="{8542A6FB-1B8E-4797-AEF5-B171E27DF8AC}"/>
    <cellStyle name="Comma 3 2 2 3 3 2 4 2" xfId="27789" xr:uid="{C08DE43D-D9CD-482F-9A05-5EBB54B9DB8E}"/>
    <cellStyle name="Comma 3 2 2 3 3 2 5" xfId="19117" xr:uid="{A87B926E-39E6-4160-8AEF-FB9D4A9FEFB4}"/>
    <cellStyle name="Comma 3 2 2 3 3 3" xfId="2857" xr:uid="{D186A040-9C49-4238-B054-7F9F227AEDF2}"/>
    <cellStyle name="Comma 3 2 2 3 3 3 2" xfId="7193" xr:uid="{A904CD43-0CEC-4810-9561-B2042B27A5DE}"/>
    <cellStyle name="Comma 3 2 2 3 3 3 2 2" xfId="15865" xr:uid="{184D4CBF-E374-42F4-AA8B-7A5560FAF56A}"/>
    <cellStyle name="Comma 3 2 2 3 3 3 2 2 2" xfId="33209" xr:uid="{3993486B-5A5E-41A0-9E2F-C6F1B6893DDD}"/>
    <cellStyle name="Comma 3 2 2 3 3 3 2 3" xfId="24537" xr:uid="{6C39A561-1DDD-46CF-95A7-BE8675EFF1EA}"/>
    <cellStyle name="Comma 3 2 2 3 3 3 3" xfId="11529" xr:uid="{FE306A5A-53DE-4E44-9B5C-0689460F4722}"/>
    <cellStyle name="Comma 3 2 2 3 3 3 3 2" xfId="28873" xr:uid="{8B01E2FA-BAFE-4472-92B2-FCA2EB41A3EE}"/>
    <cellStyle name="Comma 3 2 2 3 3 3 4" xfId="20201" xr:uid="{2225A315-4FF5-44B1-A9CD-85FB5CFC4C44}"/>
    <cellStyle name="Comma 3 2 2 3 3 4" xfId="5025" xr:uid="{9039EBDF-4FEE-41E4-8D50-0EA846644DA2}"/>
    <cellStyle name="Comma 3 2 2 3 3 4 2" xfId="13697" xr:uid="{61CDA156-AD11-4E01-8856-97ECF9CBC4D6}"/>
    <cellStyle name="Comma 3 2 2 3 3 4 2 2" xfId="31041" xr:uid="{2DEACE6C-D256-40B9-9E7B-81A378CB8BE8}"/>
    <cellStyle name="Comma 3 2 2 3 3 4 3" xfId="22369" xr:uid="{2F3C7E9D-1DBE-4A72-8BC8-3AE842511FEE}"/>
    <cellStyle name="Comma 3 2 2 3 3 5" xfId="9361" xr:uid="{272A9B9E-67AC-4092-B91B-C3E672627638}"/>
    <cellStyle name="Comma 3 2 2 3 3 5 2" xfId="26705" xr:uid="{394C64E7-8A9F-4BAB-8FF8-183BD73E92FF}"/>
    <cellStyle name="Comma 3 2 2 3 3 6" xfId="18033" xr:uid="{0C6AB5BF-C30D-4471-A04A-BB9973300917}"/>
    <cellStyle name="Comma 3 2 2 3 4" xfId="1232" xr:uid="{BD1D1270-54A5-473D-879A-A8B2406BF64F}"/>
    <cellStyle name="Comma 3 2 2 3 4 2" xfId="3400" xr:uid="{A1E0E9B8-4FE6-4E51-982E-D652CE9AA70E}"/>
    <cellStyle name="Comma 3 2 2 3 4 2 2" xfId="7736" xr:uid="{E69C8ED9-F681-44FE-8A03-5BEBE81CFB0D}"/>
    <cellStyle name="Comma 3 2 2 3 4 2 2 2" xfId="16408" xr:uid="{2227F40C-68EF-471E-9A14-9FC52EF7C705}"/>
    <cellStyle name="Comma 3 2 2 3 4 2 2 2 2" xfId="33752" xr:uid="{29FEEC34-40C6-41BF-B552-6C97DD367B34}"/>
    <cellStyle name="Comma 3 2 2 3 4 2 2 3" xfId="25080" xr:uid="{7B0F59CD-6B2F-4228-BE86-1532CE7B3FAB}"/>
    <cellStyle name="Comma 3 2 2 3 4 2 3" xfId="12072" xr:uid="{D5D1F55B-4334-46A3-96F3-805517ECF10B}"/>
    <cellStyle name="Comma 3 2 2 3 4 2 3 2" xfId="29416" xr:uid="{4D944062-C7D9-48A2-A312-78C781AC98C4}"/>
    <cellStyle name="Comma 3 2 2 3 4 2 4" xfId="20744" xr:uid="{E182D330-A466-49F9-AEAA-1D0E2FFA3EAD}"/>
    <cellStyle name="Comma 3 2 2 3 4 3" xfId="5568" xr:uid="{0EB8B2C7-D4F7-4069-8F46-4BED99273A67}"/>
    <cellStyle name="Comma 3 2 2 3 4 3 2" xfId="14240" xr:uid="{40E243C0-D976-4E4E-A2C3-A66EF78A35B5}"/>
    <cellStyle name="Comma 3 2 2 3 4 3 2 2" xfId="31584" xr:uid="{52F49716-14DF-4978-9D1F-5400DAFE1CBE}"/>
    <cellStyle name="Comma 3 2 2 3 4 3 3" xfId="22912" xr:uid="{61A05992-AE52-4E46-A9CD-8AAFFA9BAF1A}"/>
    <cellStyle name="Comma 3 2 2 3 4 4" xfId="9904" xr:uid="{825BE191-9818-4F34-91B1-F5B4B8B1E8AC}"/>
    <cellStyle name="Comma 3 2 2 3 4 4 2" xfId="27248" xr:uid="{7E95AD05-9D20-47FF-9082-728DC0A2459D}"/>
    <cellStyle name="Comma 3 2 2 3 4 5" xfId="18576" xr:uid="{804ED22C-4091-4727-AB4C-006F0E69DE7B}"/>
    <cellStyle name="Comma 3 2 2 3 5" xfId="2316" xr:uid="{49203720-880A-4D65-8DBC-B6609130C05F}"/>
    <cellStyle name="Comma 3 2 2 3 5 2" xfId="6652" xr:uid="{D22E0229-8179-4618-A749-2FFC3A25E488}"/>
    <cellStyle name="Comma 3 2 2 3 5 2 2" xfId="15324" xr:uid="{A264E1FA-6082-4E5F-96E4-7BC55E3A4FD4}"/>
    <cellStyle name="Comma 3 2 2 3 5 2 2 2" xfId="32668" xr:uid="{463F52A3-95D4-40DC-BC92-67697E7E2A47}"/>
    <cellStyle name="Comma 3 2 2 3 5 2 3" xfId="23996" xr:uid="{9B33E3AE-07F0-4546-A439-3E1E6C48C9A0}"/>
    <cellStyle name="Comma 3 2 2 3 5 3" xfId="10988" xr:uid="{D2477D96-F369-46EF-A5C5-173BDA96759B}"/>
    <cellStyle name="Comma 3 2 2 3 5 3 2" xfId="28332" xr:uid="{140CD127-0F0A-4B87-9BFD-1E27DC229380}"/>
    <cellStyle name="Comma 3 2 2 3 5 4" xfId="19660" xr:uid="{B006E5B9-9F49-4110-8C4F-2D0121BF1B05}"/>
    <cellStyle name="Comma 3 2 2 3 6" xfId="4484" xr:uid="{D965A5A1-5812-427A-B51F-CE4E4A2DE3F5}"/>
    <cellStyle name="Comma 3 2 2 3 6 2" xfId="13156" xr:uid="{FE4D219B-2D4D-450A-9D6A-BF05970C0B83}"/>
    <cellStyle name="Comma 3 2 2 3 6 2 2" xfId="30500" xr:uid="{AB17B84A-85C0-469B-9201-C0DBE7D68EBE}"/>
    <cellStyle name="Comma 3 2 2 3 6 3" xfId="21828" xr:uid="{BD9A61CE-6CC9-40FA-A26A-C08372741CC9}"/>
    <cellStyle name="Comma 3 2 2 3 7" xfId="8820" xr:uid="{1364C5D7-61C6-47D7-8CF4-43EE1D975C3B}"/>
    <cellStyle name="Comma 3 2 2 3 7 2" xfId="26164" xr:uid="{F721145B-FB5B-486E-AA69-D258F41A2003}"/>
    <cellStyle name="Comma 3 2 2 3 8" xfId="17492" xr:uid="{0D70FE52-709E-47CB-881D-FC890E2BBF6F}"/>
    <cellStyle name="Comma 3 2 2 4" xfId="296" xr:uid="{B8933A40-1707-42F1-908F-0EFC0CEE3D4A}"/>
    <cellStyle name="Comma 3 2 2 4 2" xfId="837" xr:uid="{BDAC7DD2-7932-45FB-92DF-4B3454C54BD4}"/>
    <cellStyle name="Comma 3 2 2 4 2 2" xfId="1921" xr:uid="{F8E56692-8743-4CC9-94BD-08EF9755FD40}"/>
    <cellStyle name="Comma 3 2 2 4 2 2 2" xfId="4089" xr:uid="{DBFCFB97-B525-474F-AA5C-B435B2F587CA}"/>
    <cellStyle name="Comma 3 2 2 4 2 2 2 2" xfId="8425" xr:uid="{0FAA1F30-E5D4-48CD-8372-C676C1A6198C}"/>
    <cellStyle name="Comma 3 2 2 4 2 2 2 2 2" xfId="17097" xr:uid="{54E47C22-841F-45BD-9A14-B26F27590269}"/>
    <cellStyle name="Comma 3 2 2 4 2 2 2 2 2 2" xfId="34441" xr:uid="{71A6A048-99E7-4C39-B5E0-EB6DF59A9A72}"/>
    <cellStyle name="Comma 3 2 2 4 2 2 2 2 3" xfId="25769" xr:uid="{1F8AA915-533F-4FE7-B73A-FAFC41465A31}"/>
    <cellStyle name="Comma 3 2 2 4 2 2 2 3" xfId="12761" xr:uid="{0036B714-E7ED-4BA5-873A-7ABD610F53FC}"/>
    <cellStyle name="Comma 3 2 2 4 2 2 2 3 2" xfId="30105" xr:uid="{C0352BA5-193E-4A5B-969E-88B5E7100DD2}"/>
    <cellStyle name="Comma 3 2 2 4 2 2 2 4" xfId="21433" xr:uid="{F803A192-99B3-45BC-8120-00D46B87C447}"/>
    <cellStyle name="Comma 3 2 2 4 2 2 3" xfId="6257" xr:uid="{9DB8895F-39FB-4885-BDB9-EF35ECC7ED99}"/>
    <cellStyle name="Comma 3 2 2 4 2 2 3 2" xfId="14929" xr:uid="{E524DA1D-7874-43F6-9535-58419F253511}"/>
    <cellStyle name="Comma 3 2 2 4 2 2 3 2 2" xfId="32273" xr:uid="{10352057-7CA3-4FDD-8FEB-B40D6DE8FBBD}"/>
    <cellStyle name="Comma 3 2 2 4 2 2 3 3" xfId="23601" xr:uid="{21BFA8FC-828B-43FE-8F4B-673595526D7F}"/>
    <cellStyle name="Comma 3 2 2 4 2 2 4" xfId="10593" xr:uid="{F55DC30A-CB4B-4C7E-A506-3A38801E01E3}"/>
    <cellStyle name="Comma 3 2 2 4 2 2 4 2" xfId="27937" xr:uid="{A5C97602-70D7-4696-A50A-7FF66B56E787}"/>
    <cellStyle name="Comma 3 2 2 4 2 2 5" xfId="19265" xr:uid="{6060FE33-545A-4653-B69F-21CB68499F5F}"/>
    <cellStyle name="Comma 3 2 2 4 2 3" xfId="3005" xr:uid="{24087453-88B2-4986-80CC-A58643FD9093}"/>
    <cellStyle name="Comma 3 2 2 4 2 3 2" xfId="7341" xr:uid="{9DC52166-FDCF-4AC1-BECA-042D73E4E0C9}"/>
    <cellStyle name="Comma 3 2 2 4 2 3 2 2" xfId="16013" xr:uid="{7A4BD921-0686-42CA-AE83-D4C0ADEFC7D2}"/>
    <cellStyle name="Comma 3 2 2 4 2 3 2 2 2" xfId="33357" xr:uid="{CBDD763B-691F-474E-8EF1-72F3BC92023A}"/>
    <cellStyle name="Comma 3 2 2 4 2 3 2 3" xfId="24685" xr:uid="{8B5500A1-873C-4E8B-9442-4A5CA2B470AB}"/>
    <cellStyle name="Comma 3 2 2 4 2 3 3" xfId="11677" xr:uid="{3766D7CD-514A-4779-84F2-6BA1352B8929}"/>
    <cellStyle name="Comma 3 2 2 4 2 3 3 2" xfId="29021" xr:uid="{87909861-8C65-49E2-BC45-0B4F4C3FBC1C}"/>
    <cellStyle name="Comma 3 2 2 4 2 3 4" xfId="20349" xr:uid="{4A305A16-6C0F-4B54-81E3-E4C67C0781D3}"/>
    <cellStyle name="Comma 3 2 2 4 2 4" xfId="5173" xr:uid="{CD7C83D8-1B32-4E4D-B7E5-005270AC54F3}"/>
    <cellStyle name="Comma 3 2 2 4 2 4 2" xfId="13845" xr:uid="{441303D4-DDD0-4E77-8505-92A9A13D204C}"/>
    <cellStyle name="Comma 3 2 2 4 2 4 2 2" xfId="31189" xr:uid="{4F3FA170-F19F-4E95-B983-E3E5CC8BD35B}"/>
    <cellStyle name="Comma 3 2 2 4 2 4 3" xfId="22517" xr:uid="{A1EB9721-61CD-4AEA-B722-9A748A937BA7}"/>
    <cellStyle name="Comma 3 2 2 4 2 5" xfId="9509" xr:uid="{89EF36C2-FC4B-4123-ACEB-AEB004A99274}"/>
    <cellStyle name="Comma 3 2 2 4 2 5 2" xfId="26853" xr:uid="{621F485C-CF6A-416F-AC9D-FB86E5C666A8}"/>
    <cellStyle name="Comma 3 2 2 4 2 6" xfId="18181" xr:uid="{239F90B7-3FF6-4D93-B7BE-C3F1FE67A404}"/>
    <cellStyle name="Comma 3 2 2 4 3" xfId="1380" xr:uid="{2A67CFB1-FA9A-4620-BFF6-096174C23EA8}"/>
    <cellStyle name="Comma 3 2 2 4 3 2" xfId="3548" xr:uid="{0A9890C2-1ACD-4824-A60C-99C3593C6730}"/>
    <cellStyle name="Comma 3 2 2 4 3 2 2" xfId="7884" xr:uid="{BE9A9D49-0556-4FB1-95FB-BB034A820C20}"/>
    <cellStyle name="Comma 3 2 2 4 3 2 2 2" xfId="16556" xr:uid="{2DF1A3F0-05D6-4D1B-9612-0D79BF8129DC}"/>
    <cellStyle name="Comma 3 2 2 4 3 2 2 2 2" xfId="33900" xr:uid="{8A4E619A-F118-46FF-93CF-C4FC010DAF9C}"/>
    <cellStyle name="Comma 3 2 2 4 3 2 2 3" xfId="25228" xr:uid="{97E36E0E-F79D-4B36-9835-CC4891959E63}"/>
    <cellStyle name="Comma 3 2 2 4 3 2 3" xfId="12220" xr:uid="{27C245E8-10A1-40BC-AAA6-AA21C00CCCFF}"/>
    <cellStyle name="Comma 3 2 2 4 3 2 3 2" xfId="29564" xr:uid="{BD8720B9-DC0F-49B9-BC78-A9865E3CE3B6}"/>
    <cellStyle name="Comma 3 2 2 4 3 2 4" xfId="20892" xr:uid="{9502CE8B-367B-4622-9A06-BD10A07EEB24}"/>
    <cellStyle name="Comma 3 2 2 4 3 3" xfId="5716" xr:uid="{55E6D766-5F5C-4852-A28F-6DC2E477FBFB}"/>
    <cellStyle name="Comma 3 2 2 4 3 3 2" xfId="14388" xr:uid="{4E7DF8BB-54A3-455E-84B3-D7E869DECDA6}"/>
    <cellStyle name="Comma 3 2 2 4 3 3 2 2" xfId="31732" xr:uid="{13A01E4C-9BC3-4B4C-A084-445C30B1DD9A}"/>
    <cellStyle name="Comma 3 2 2 4 3 3 3" xfId="23060" xr:uid="{CE620B07-D0C2-42CD-A0D6-FA9DB4236F77}"/>
    <cellStyle name="Comma 3 2 2 4 3 4" xfId="10052" xr:uid="{1AAFF789-2C82-4A7B-8604-BC9150006045}"/>
    <cellStyle name="Comma 3 2 2 4 3 4 2" xfId="27396" xr:uid="{02DC16F9-0269-4B7E-8D77-CA3A3AC69F49}"/>
    <cellStyle name="Comma 3 2 2 4 3 5" xfId="18724" xr:uid="{427B682A-5C89-469C-BCC2-1B62394855BF}"/>
    <cellStyle name="Comma 3 2 2 4 4" xfId="2464" xr:uid="{B835D7CD-F906-4228-A884-989E05273C5E}"/>
    <cellStyle name="Comma 3 2 2 4 4 2" xfId="6800" xr:uid="{BBC104AC-6892-48D1-90C9-35B0A2DFCD2C}"/>
    <cellStyle name="Comma 3 2 2 4 4 2 2" xfId="15472" xr:uid="{9D9EECFF-E262-4F5B-A73E-4B79E421B94E}"/>
    <cellStyle name="Comma 3 2 2 4 4 2 2 2" xfId="32816" xr:uid="{73BC4C80-C55B-41B5-BE2F-9CD7CF1DDF78}"/>
    <cellStyle name="Comma 3 2 2 4 4 2 3" xfId="24144" xr:uid="{3C8AD59D-857B-45F6-AF1E-F795C95D8859}"/>
    <cellStyle name="Comma 3 2 2 4 4 3" xfId="11136" xr:uid="{357A1DD7-F977-4A8E-B6F7-5DA328261BBC}"/>
    <cellStyle name="Comma 3 2 2 4 4 3 2" xfId="28480" xr:uid="{BDC12003-5ED0-466E-A211-51DE796E449A}"/>
    <cellStyle name="Comma 3 2 2 4 4 4" xfId="19808" xr:uid="{18A83999-2367-4114-B193-BE213187F097}"/>
    <cellStyle name="Comma 3 2 2 4 5" xfId="4632" xr:uid="{7894938A-16FB-4004-B95D-4C6D01655F99}"/>
    <cellStyle name="Comma 3 2 2 4 5 2" xfId="13304" xr:uid="{6FE4FB78-0BF2-44C1-8EB2-1BDD1D695EF2}"/>
    <cellStyle name="Comma 3 2 2 4 5 2 2" xfId="30648" xr:uid="{C618C628-0DAC-4FD0-B5AE-2A69A054BFA9}"/>
    <cellStyle name="Comma 3 2 2 4 5 3" xfId="21976" xr:uid="{919A075E-9B08-4073-9EFD-9C5C213B08EE}"/>
    <cellStyle name="Comma 3 2 2 4 6" xfId="8968" xr:uid="{4E5F9BDB-BF43-4BD8-8AC8-843ABA2BE5B3}"/>
    <cellStyle name="Comma 3 2 2 4 6 2" xfId="26312" xr:uid="{A19033BE-1B1C-4DBD-A476-C99C7E95B24D}"/>
    <cellStyle name="Comma 3 2 2 4 7" xfId="17640" xr:uid="{15B1907C-68EA-4CD5-BC58-6372AB3415DE}"/>
    <cellStyle name="Comma 3 2 2 5" xfId="567" xr:uid="{14031334-5E83-4D03-A66B-045FACBBD774}"/>
    <cellStyle name="Comma 3 2 2 5 2" xfId="1651" xr:uid="{59035AEF-B729-463E-BB37-8C26F67A03EA}"/>
    <cellStyle name="Comma 3 2 2 5 2 2" xfId="3819" xr:uid="{CC3F57C2-CFCB-45F2-A304-556F8E97C943}"/>
    <cellStyle name="Comma 3 2 2 5 2 2 2" xfId="8155" xr:uid="{D2C9DD10-EF17-4BD8-AD6C-F3DD97223937}"/>
    <cellStyle name="Comma 3 2 2 5 2 2 2 2" xfId="16827" xr:uid="{A561CFE2-4B8A-45A3-989F-FB386DA1AB92}"/>
    <cellStyle name="Comma 3 2 2 5 2 2 2 2 2" xfId="34171" xr:uid="{87AD77F9-1A3A-42BA-85ED-91997E9B456B}"/>
    <cellStyle name="Comma 3 2 2 5 2 2 2 3" xfId="25499" xr:uid="{0E30113C-C510-424C-B6D7-0E3FAF41990E}"/>
    <cellStyle name="Comma 3 2 2 5 2 2 3" xfId="12491" xr:uid="{F49989B1-A5E9-491D-AB88-C19048534611}"/>
    <cellStyle name="Comma 3 2 2 5 2 2 3 2" xfId="29835" xr:uid="{A478174E-873F-4665-947A-6822A79C50AC}"/>
    <cellStyle name="Comma 3 2 2 5 2 2 4" xfId="21163" xr:uid="{55DD1571-5252-4147-BAE3-13C6269C0615}"/>
    <cellStyle name="Comma 3 2 2 5 2 3" xfId="5987" xr:uid="{A20A9B52-6F61-4273-AB75-D1B898191C98}"/>
    <cellStyle name="Comma 3 2 2 5 2 3 2" xfId="14659" xr:uid="{6F404BD0-5131-4878-BB0A-6A32CCB85503}"/>
    <cellStyle name="Comma 3 2 2 5 2 3 2 2" xfId="32003" xr:uid="{8707EE28-E106-4ABE-9804-73451188426D}"/>
    <cellStyle name="Comma 3 2 2 5 2 3 3" xfId="23331" xr:uid="{A90C00CD-3680-4160-B47E-2224B53A3565}"/>
    <cellStyle name="Comma 3 2 2 5 2 4" xfId="10323" xr:uid="{0ADE2BD4-AE87-4B98-8BAB-1A0346760C0A}"/>
    <cellStyle name="Comma 3 2 2 5 2 4 2" xfId="27667" xr:uid="{0D830D9D-2AA7-43F0-B6A4-2F89A58980D5}"/>
    <cellStyle name="Comma 3 2 2 5 2 5" xfId="18995" xr:uid="{AF864637-3630-4186-89EE-93F8D881D065}"/>
    <cellStyle name="Comma 3 2 2 5 3" xfId="2735" xr:uid="{93A0F4EB-C9CD-4883-A5C2-DD973486C77C}"/>
    <cellStyle name="Comma 3 2 2 5 3 2" xfId="7071" xr:uid="{21A59EEC-FF12-45AD-97C9-603B8DF58403}"/>
    <cellStyle name="Comma 3 2 2 5 3 2 2" xfId="15743" xr:uid="{EB82340D-0649-4DBB-A847-384E9E408D23}"/>
    <cellStyle name="Comma 3 2 2 5 3 2 2 2" xfId="33087" xr:uid="{38140F4C-4FFE-4663-9849-4150CC833BBE}"/>
    <cellStyle name="Comma 3 2 2 5 3 2 3" xfId="24415" xr:uid="{A88BD0D9-CB80-4EE2-B466-953883D9DBD1}"/>
    <cellStyle name="Comma 3 2 2 5 3 3" xfId="11407" xr:uid="{CF34FF0F-5F61-41F4-AD7E-EA217D1BB541}"/>
    <cellStyle name="Comma 3 2 2 5 3 3 2" xfId="28751" xr:uid="{899FC561-DDA8-4081-8A46-B3D2E86BE56A}"/>
    <cellStyle name="Comma 3 2 2 5 3 4" xfId="20079" xr:uid="{DBC8626E-D902-42ED-A404-CAFFB9035A04}"/>
    <cellStyle name="Comma 3 2 2 5 4" xfId="4903" xr:uid="{B9976F49-0C1E-4D42-9DA4-BE178E9371C3}"/>
    <cellStyle name="Comma 3 2 2 5 4 2" xfId="13575" xr:uid="{623EB8BD-6CC8-4C41-934D-836D681B80EF}"/>
    <cellStyle name="Comma 3 2 2 5 4 2 2" xfId="30919" xr:uid="{CA142A77-FC12-4C68-B4E9-66488566FE69}"/>
    <cellStyle name="Comma 3 2 2 5 4 3" xfId="22247" xr:uid="{2F531400-377D-4EC8-AA0B-9EB2D88DCE46}"/>
    <cellStyle name="Comma 3 2 2 5 5" xfId="9239" xr:uid="{368ECD93-4EE9-4330-9AFA-A5BD2C00A248}"/>
    <cellStyle name="Comma 3 2 2 5 5 2" xfId="26583" xr:uid="{578C492C-7FE3-4DE3-A810-415615A4E298}"/>
    <cellStyle name="Comma 3 2 2 5 6" xfId="17911" xr:uid="{416985E5-856E-43E8-9767-05B38C743014}"/>
    <cellStyle name="Comma 3 2 2 6" xfId="1110" xr:uid="{2D00E1CA-6DA9-4B2C-8D25-CAAF085B5444}"/>
    <cellStyle name="Comma 3 2 2 6 2" xfId="3278" xr:uid="{0E42B5C4-C20A-481E-8FE9-C9068FFEF95B}"/>
    <cellStyle name="Comma 3 2 2 6 2 2" xfId="7614" xr:uid="{DD8FD152-2178-430C-B459-DAEFC4EA52CF}"/>
    <cellStyle name="Comma 3 2 2 6 2 2 2" xfId="16286" xr:uid="{5E97CFF6-3BE8-4EEC-B8DA-ADF4CA591D32}"/>
    <cellStyle name="Comma 3 2 2 6 2 2 2 2" xfId="33630" xr:uid="{028C6A27-5CFD-4AA8-9EBA-AC529F93A3AF}"/>
    <cellStyle name="Comma 3 2 2 6 2 2 3" xfId="24958" xr:uid="{36182AFB-4807-4A91-934F-1565EB51523E}"/>
    <cellStyle name="Comma 3 2 2 6 2 3" xfId="11950" xr:uid="{A472DE70-9B0D-4315-87D7-88B8EE739ACC}"/>
    <cellStyle name="Comma 3 2 2 6 2 3 2" xfId="29294" xr:uid="{45B9CCCF-01DC-49ED-B572-CE72E6000461}"/>
    <cellStyle name="Comma 3 2 2 6 2 4" xfId="20622" xr:uid="{172CF81B-4A53-47A9-AEAD-FDA73D8076D1}"/>
    <cellStyle name="Comma 3 2 2 6 3" xfId="5446" xr:uid="{6BA44EEC-88D2-4BEB-BF09-318426B61A24}"/>
    <cellStyle name="Comma 3 2 2 6 3 2" xfId="14118" xr:uid="{1CF21402-8C78-4BED-9D44-93F0423B558C}"/>
    <cellStyle name="Comma 3 2 2 6 3 2 2" xfId="31462" xr:uid="{0126A42D-F2D6-41FB-AB4A-F3CE7BED0430}"/>
    <cellStyle name="Comma 3 2 2 6 3 3" xfId="22790" xr:uid="{8C4DCE54-E391-4116-BFB0-CD4F44D37A23}"/>
    <cellStyle name="Comma 3 2 2 6 4" xfId="9782" xr:uid="{C3FCCDE1-877B-48DC-AE4B-D9BE9ECBE7E9}"/>
    <cellStyle name="Comma 3 2 2 6 4 2" xfId="27126" xr:uid="{4AE5203C-6CFA-4A48-B9ED-4A9C5E294DAC}"/>
    <cellStyle name="Comma 3 2 2 6 5" xfId="18454" xr:uid="{31B68153-9407-4E05-87F5-78177A30C199}"/>
    <cellStyle name="Comma 3 2 2 7" xfId="2194" xr:uid="{BEBDAA6E-3BC4-4809-A938-0AD746292492}"/>
    <cellStyle name="Comma 3 2 2 7 2" xfId="6530" xr:uid="{E026E5AE-08F8-4A47-BDD4-A4D425038C56}"/>
    <cellStyle name="Comma 3 2 2 7 2 2" xfId="15202" xr:uid="{4D4EA287-A7D4-4722-9566-DAC85974F73D}"/>
    <cellStyle name="Comma 3 2 2 7 2 2 2" xfId="32546" xr:uid="{E5EAE0D1-E6DE-48AA-8765-E43043FEBDD9}"/>
    <cellStyle name="Comma 3 2 2 7 2 3" xfId="23874" xr:uid="{F421D34D-BAC2-42C9-9427-876DDF673218}"/>
    <cellStyle name="Comma 3 2 2 7 3" xfId="10866" xr:uid="{51A93C55-2B00-4CFC-94FC-12850F8E5307}"/>
    <cellStyle name="Comma 3 2 2 7 3 2" xfId="28210" xr:uid="{54AB7A43-7D27-411E-A5DB-47EC594B9E80}"/>
    <cellStyle name="Comma 3 2 2 7 4" xfId="19538" xr:uid="{F5699046-7191-4238-BA19-FFE363FDDF26}"/>
    <cellStyle name="Comma 3 2 2 8" xfId="4362" xr:uid="{3500FA15-D0CC-45CE-BAC1-2C7633D59255}"/>
    <cellStyle name="Comma 3 2 2 8 2" xfId="13034" xr:uid="{97E2DF1D-ED10-47F3-9DD3-226F943EDBD7}"/>
    <cellStyle name="Comma 3 2 2 8 2 2" xfId="30378" xr:uid="{E291E372-7916-41F7-A246-4BF4ADDB7DE8}"/>
    <cellStyle name="Comma 3 2 2 8 3" xfId="21706" xr:uid="{821EC6D7-9956-462F-8E14-15E9439C5865}"/>
    <cellStyle name="Comma 3 2 2 9" xfId="8698" xr:uid="{DDBA257F-B4FE-46D2-A721-9CFC4AB59DF2}"/>
    <cellStyle name="Comma 3 2 2 9 2" xfId="26042" xr:uid="{DA799E08-1ECD-4984-BBE7-BA5B110CAFFD}"/>
    <cellStyle name="Comma 3 2 3" xfId="58" xr:uid="{776EA6C7-09B5-49F0-969A-054A740875F5}"/>
    <cellStyle name="Comma 3 2 3 10" xfId="17402" xr:uid="{20C6F96F-9597-43DC-8101-48A9F068DA56}"/>
    <cellStyle name="Comma 3 2 3 2" xfId="119" xr:uid="{BA3CE52E-CAAB-4583-A66E-E7BFCB47D5AF}"/>
    <cellStyle name="Comma 3 2 3 2 2" xfId="241" xr:uid="{3B331DD9-DBFE-40C8-92C5-902E62B6854A}"/>
    <cellStyle name="Comma 3 2 3 2 2 2" xfId="511" xr:uid="{C7EA6FE3-176A-4F8C-8715-DFB7F64604BB}"/>
    <cellStyle name="Comma 3 2 3 2 2 2 2" xfId="1052" xr:uid="{0A222980-1585-4930-8FEF-2DACA90CEB5E}"/>
    <cellStyle name="Comma 3 2 3 2 2 2 2 2" xfId="2136" xr:uid="{439CEE6C-BB82-4B4D-9862-5DD60C382C6E}"/>
    <cellStyle name="Comma 3 2 3 2 2 2 2 2 2" xfId="4304" xr:uid="{90EA3C7C-CC29-4C60-B67E-F482C8E9C712}"/>
    <cellStyle name="Comma 3 2 3 2 2 2 2 2 2 2" xfId="8640" xr:uid="{B2DFEF0B-3CB1-4AE2-B0C4-3A0CA93B6EF8}"/>
    <cellStyle name="Comma 3 2 3 2 2 2 2 2 2 2 2" xfId="17312" xr:uid="{50F7A161-2607-4BB2-8A0E-B57C599D0803}"/>
    <cellStyle name="Comma 3 2 3 2 2 2 2 2 2 2 2 2" xfId="34656" xr:uid="{DF3AFEFE-5E56-464A-9D04-04E32EB63FD7}"/>
    <cellStyle name="Comma 3 2 3 2 2 2 2 2 2 2 3" xfId="25984" xr:uid="{B8701C6D-F6E6-43A2-8050-34D8D3FB8B30}"/>
    <cellStyle name="Comma 3 2 3 2 2 2 2 2 2 3" xfId="12976" xr:uid="{48EDB92D-EBE8-48C2-8EB2-290A09E905A3}"/>
    <cellStyle name="Comma 3 2 3 2 2 2 2 2 2 3 2" xfId="30320" xr:uid="{8E631E09-44E9-477D-A424-018977E284EA}"/>
    <cellStyle name="Comma 3 2 3 2 2 2 2 2 2 4" xfId="21648" xr:uid="{4B6BBBD2-1887-4F0F-997D-16214813E3C1}"/>
    <cellStyle name="Comma 3 2 3 2 2 2 2 2 3" xfId="6472" xr:uid="{62DA0F47-9872-4CE8-B3E8-66B188439107}"/>
    <cellStyle name="Comma 3 2 3 2 2 2 2 2 3 2" xfId="15144" xr:uid="{B84AFD76-2491-492D-AB09-BD9E866CE550}"/>
    <cellStyle name="Comma 3 2 3 2 2 2 2 2 3 2 2" xfId="32488" xr:uid="{777915EC-9830-4134-86BB-C36B7C68FA7F}"/>
    <cellStyle name="Comma 3 2 3 2 2 2 2 2 3 3" xfId="23816" xr:uid="{6C78EA58-B909-4021-A3EB-92F95BB6A1E3}"/>
    <cellStyle name="Comma 3 2 3 2 2 2 2 2 4" xfId="10808" xr:uid="{6E0CAFD7-8374-44B7-8793-86B170794C30}"/>
    <cellStyle name="Comma 3 2 3 2 2 2 2 2 4 2" xfId="28152" xr:uid="{47B711C1-1EE7-4D35-BBFC-8290A7B3F349}"/>
    <cellStyle name="Comma 3 2 3 2 2 2 2 2 5" xfId="19480" xr:uid="{82724A09-9E9E-4508-B7EF-E20144035F23}"/>
    <cellStyle name="Comma 3 2 3 2 2 2 2 3" xfId="3220" xr:uid="{B25BAB94-B7DF-47EF-B0FF-7BB2D61964B1}"/>
    <cellStyle name="Comma 3 2 3 2 2 2 2 3 2" xfId="7556" xr:uid="{B5D80B6E-2F97-4CF0-A12D-54EC9273083A}"/>
    <cellStyle name="Comma 3 2 3 2 2 2 2 3 2 2" xfId="16228" xr:uid="{7E957469-FAD0-4E93-89C8-00B4D0BE1E28}"/>
    <cellStyle name="Comma 3 2 3 2 2 2 2 3 2 2 2" xfId="33572" xr:uid="{34BD307A-9C6E-411B-9329-1B95BFFAD61F}"/>
    <cellStyle name="Comma 3 2 3 2 2 2 2 3 2 3" xfId="24900" xr:uid="{8965DB4F-F957-4E63-964A-4FBDC5558513}"/>
    <cellStyle name="Comma 3 2 3 2 2 2 2 3 3" xfId="11892" xr:uid="{AF45C04D-07A1-42AD-9B2D-18612B7189A6}"/>
    <cellStyle name="Comma 3 2 3 2 2 2 2 3 3 2" xfId="29236" xr:uid="{B6FACA30-5BD7-4CB5-999F-7C716B97612A}"/>
    <cellStyle name="Comma 3 2 3 2 2 2 2 3 4" xfId="20564" xr:uid="{32F3F556-F663-46D5-B365-D39EECCEF528}"/>
    <cellStyle name="Comma 3 2 3 2 2 2 2 4" xfId="5388" xr:uid="{9071CF2E-F1BA-4AA6-8F9F-1C70136C99F1}"/>
    <cellStyle name="Comma 3 2 3 2 2 2 2 4 2" xfId="14060" xr:uid="{6F75E901-DCF9-48EC-8B35-B1FEAAF73289}"/>
    <cellStyle name="Comma 3 2 3 2 2 2 2 4 2 2" xfId="31404" xr:uid="{0302E129-9A37-4DAA-A18F-3977797F038F}"/>
    <cellStyle name="Comma 3 2 3 2 2 2 2 4 3" xfId="22732" xr:uid="{4304A40C-1F8C-4544-8F76-3B2708B5AB87}"/>
    <cellStyle name="Comma 3 2 3 2 2 2 2 5" xfId="9724" xr:uid="{E72EEAC3-7A74-44F8-B85C-15EE2B16359E}"/>
    <cellStyle name="Comma 3 2 3 2 2 2 2 5 2" xfId="27068" xr:uid="{B7E5ABFE-3712-428F-ACB0-2EFA35FDF6CB}"/>
    <cellStyle name="Comma 3 2 3 2 2 2 2 6" xfId="18396" xr:uid="{253978B8-7677-4BFA-91F1-5B06823BDB55}"/>
    <cellStyle name="Comma 3 2 3 2 2 2 3" xfId="1595" xr:uid="{69DC8DC4-68C0-466F-8F9E-0F9E685A2CB3}"/>
    <cellStyle name="Comma 3 2 3 2 2 2 3 2" xfId="3763" xr:uid="{9E480D3C-2FE1-4375-BF6D-FFF5C6FE8878}"/>
    <cellStyle name="Comma 3 2 3 2 2 2 3 2 2" xfId="8099" xr:uid="{46FFD399-3276-4E95-B7CC-D8E6CA3382B1}"/>
    <cellStyle name="Comma 3 2 3 2 2 2 3 2 2 2" xfId="16771" xr:uid="{D7C2CCE7-2503-46EC-9525-B75C7798C5AA}"/>
    <cellStyle name="Comma 3 2 3 2 2 2 3 2 2 2 2" xfId="34115" xr:uid="{CFB831D2-335F-4634-A708-0E11F92FBA1A}"/>
    <cellStyle name="Comma 3 2 3 2 2 2 3 2 2 3" xfId="25443" xr:uid="{7109E7CA-8601-4606-B269-A7CB16C3AF92}"/>
    <cellStyle name="Comma 3 2 3 2 2 2 3 2 3" xfId="12435" xr:uid="{0F56E970-78C9-450E-BB26-FB0B3E2E211A}"/>
    <cellStyle name="Comma 3 2 3 2 2 2 3 2 3 2" xfId="29779" xr:uid="{79F02ED4-DD82-4ECA-8260-75D3E9706954}"/>
    <cellStyle name="Comma 3 2 3 2 2 2 3 2 4" xfId="21107" xr:uid="{FDADEFFD-1C37-4E1D-A90A-16DC1C126CE6}"/>
    <cellStyle name="Comma 3 2 3 2 2 2 3 3" xfId="5931" xr:uid="{E111FAA6-8E33-4562-8A37-AE76286DD73F}"/>
    <cellStyle name="Comma 3 2 3 2 2 2 3 3 2" xfId="14603" xr:uid="{0BCA0E24-FD8B-4D62-8E9A-FEB621FAD59B}"/>
    <cellStyle name="Comma 3 2 3 2 2 2 3 3 2 2" xfId="31947" xr:uid="{0C968B1A-F4F6-4835-A795-1487653B1461}"/>
    <cellStyle name="Comma 3 2 3 2 2 2 3 3 3" xfId="23275" xr:uid="{41CC2B60-5170-4F25-89CE-9668840DF023}"/>
    <cellStyle name="Comma 3 2 3 2 2 2 3 4" xfId="10267" xr:uid="{BE5E7067-68C3-43D8-A083-20BFD95BC41E}"/>
    <cellStyle name="Comma 3 2 3 2 2 2 3 4 2" xfId="27611" xr:uid="{5817AFF8-14A0-49CF-B9CE-1BF882753D3D}"/>
    <cellStyle name="Comma 3 2 3 2 2 2 3 5" xfId="18939" xr:uid="{3E8615E3-F8F3-4983-8FDE-8E7983746B83}"/>
    <cellStyle name="Comma 3 2 3 2 2 2 4" xfId="2679" xr:uid="{948216E3-28ED-4137-A664-294E52C44A1A}"/>
    <cellStyle name="Comma 3 2 3 2 2 2 4 2" xfId="7015" xr:uid="{1E95F6FF-169E-43FE-B028-0EB1A39C2C1D}"/>
    <cellStyle name="Comma 3 2 3 2 2 2 4 2 2" xfId="15687" xr:uid="{73718B86-F0C2-4BF9-A129-64378780BFA7}"/>
    <cellStyle name="Comma 3 2 3 2 2 2 4 2 2 2" xfId="33031" xr:uid="{89F69EDB-9DB1-439A-A1C9-498A39B7C675}"/>
    <cellStyle name="Comma 3 2 3 2 2 2 4 2 3" xfId="24359" xr:uid="{59987E0B-F430-4C2C-B2BC-06B902D90E49}"/>
    <cellStyle name="Comma 3 2 3 2 2 2 4 3" xfId="11351" xr:uid="{74483275-AAC0-499E-B3AA-CDCA98E11AA2}"/>
    <cellStyle name="Comma 3 2 3 2 2 2 4 3 2" xfId="28695" xr:uid="{8AA42E87-1EDE-4A19-A114-73E767ED1570}"/>
    <cellStyle name="Comma 3 2 3 2 2 2 4 4" xfId="20023" xr:uid="{37982D2C-5BE4-402C-9DB3-F27B595601C1}"/>
    <cellStyle name="Comma 3 2 3 2 2 2 5" xfId="4847" xr:uid="{E1816918-BA3A-41B0-BBEC-A12A23C8C70F}"/>
    <cellStyle name="Comma 3 2 3 2 2 2 5 2" xfId="13519" xr:uid="{487603FA-9CCF-408C-BA29-C2F8310B054F}"/>
    <cellStyle name="Comma 3 2 3 2 2 2 5 2 2" xfId="30863" xr:uid="{F7382BFA-89AF-4FD1-A613-655EEA23103C}"/>
    <cellStyle name="Comma 3 2 3 2 2 2 5 3" xfId="22191" xr:uid="{EDA3F84C-3E66-4E27-AEAB-1773E685512A}"/>
    <cellStyle name="Comma 3 2 3 2 2 2 6" xfId="9183" xr:uid="{B5538D55-C2C0-4AA5-8F08-E10472C913EF}"/>
    <cellStyle name="Comma 3 2 3 2 2 2 6 2" xfId="26527" xr:uid="{9F1EBACC-CDA9-4DE7-A2E8-027537DEC264}"/>
    <cellStyle name="Comma 3 2 3 2 2 2 7" xfId="17855" xr:uid="{FF418497-CE09-4581-B75E-8C2D50E353C8}"/>
    <cellStyle name="Comma 3 2 3 2 2 3" xfId="782" xr:uid="{0CB4C104-9D2E-486C-AA99-DF0CC6C02714}"/>
    <cellStyle name="Comma 3 2 3 2 2 3 2" xfId="1866" xr:uid="{E924925C-F5F1-4A2E-B15C-E039BF62BF4F}"/>
    <cellStyle name="Comma 3 2 3 2 2 3 2 2" xfId="4034" xr:uid="{C7271F6A-9A5B-4B32-979E-6D804FB80FBD}"/>
    <cellStyle name="Comma 3 2 3 2 2 3 2 2 2" xfId="8370" xr:uid="{5F3A654C-51F9-4B7C-A0A0-F23CF4A1898B}"/>
    <cellStyle name="Comma 3 2 3 2 2 3 2 2 2 2" xfId="17042" xr:uid="{3F5AD7EB-3CF1-4886-A4AF-DFB3A2D453C9}"/>
    <cellStyle name="Comma 3 2 3 2 2 3 2 2 2 2 2" xfId="34386" xr:uid="{68A05940-4F54-4058-9FEB-38B8070168D9}"/>
    <cellStyle name="Comma 3 2 3 2 2 3 2 2 2 3" xfId="25714" xr:uid="{1342A5BC-1F9A-445E-8CBE-BDDC7BDD2AC8}"/>
    <cellStyle name="Comma 3 2 3 2 2 3 2 2 3" xfId="12706" xr:uid="{A99DF78D-B904-4DD1-B92B-4ABD891E674D}"/>
    <cellStyle name="Comma 3 2 3 2 2 3 2 2 3 2" xfId="30050" xr:uid="{BAA5B72D-3DC5-4BC5-A868-8E84D0B61654}"/>
    <cellStyle name="Comma 3 2 3 2 2 3 2 2 4" xfId="21378" xr:uid="{448D081E-6DF7-4F2D-A9EE-954D5CAA0A16}"/>
    <cellStyle name="Comma 3 2 3 2 2 3 2 3" xfId="6202" xr:uid="{197D4D31-98E2-480B-A4D6-9457F01FA2FA}"/>
    <cellStyle name="Comma 3 2 3 2 2 3 2 3 2" xfId="14874" xr:uid="{92AC0133-4B1B-466E-BADC-B43F973A3C30}"/>
    <cellStyle name="Comma 3 2 3 2 2 3 2 3 2 2" xfId="32218" xr:uid="{52288C64-079F-493E-8660-FC6DF1E22678}"/>
    <cellStyle name="Comma 3 2 3 2 2 3 2 3 3" xfId="23546" xr:uid="{130397C0-2B64-46E3-B170-89518590D149}"/>
    <cellStyle name="Comma 3 2 3 2 2 3 2 4" xfId="10538" xr:uid="{5086758D-75E9-4C52-BA15-1B6FBEC02C6E}"/>
    <cellStyle name="Comma 3 2 3 2 2 3 2 4 2" xfId="27882" xr:uid="{2779773B-DA57-4125-8815-A470C8F9F9AE}"/>
    <cellStyle name="Comma 3 2 3 2 2 3 2 5" xfId="19210" xr:uid="{3DDFB66B-0C1A-4A74-AFC4-4F45CEA1ECBD}"/>
    <cellStyle name="Comma 3 2 3 2 2 3 3" xfId="2950" xr:uid="{F18BA41B-E271-4187-8C7F-37588C7B52CF}"/>
    <cellStyle name="Comma 3 2 3 2 2 3 3 2" xfId="7286" xr:uid="{0A962788-0B89-488D-8A20-B32E60A0CBE8}"/>
    <cellStyle name="Comma 3 2 3 2 2 3 3 2 2" xfId="15958" xr:uid="{DF0C68A9-E282-4F18-907E-ECF07AB14BAA}"/>
    <cellStyle name="Comma 3 2 3 2 2 3 3 2 2 2" xfId="33302" xr:uid="{2AAA954A-912B-469B-975D-B259A81AB88A}"/>
    <cellStyle name="Comma 3 2 3 2 2 3 3 2 3" xfId="24630" xr:uid="{DD48942F-8237-4A31-ACE2-6FA415B238FB}"/>
    <cellStyle name="Comma 3 2 3 2 2 3 3 3" xfId="11622" xr:uid="{87BA110B-CC9E-4DF9-861E-1C308E9A1CBF}"/>
    <cellStyle name="Comma 3 2 3 2 2 3 3 3 2" xfId="28966" xr:uid="{B3D1B069-E293-4691-8D9C-89858BD304A9}"/>
    <cellStyle name="Comma 3 2 3 2 2 3 3 4" xfId="20294" xr:uid="{C9A5D39D-7E24-4475-B9C2-069DCB262804}"/>
    <cellStyle name="Comma 3 2 3 2 2 3 4" xfId="5118" xr:uid="{795E0BAB-00E0-41BB-AA43-6E6D9B5E3E2C}"/>
    <cellStyle name="Comma 3 2 3 2 2 3 4 2" xfId="13790" xr:uid="{3CA80C79-2B18-4F7F-B59B-11605ACFFBE7}"/>
    <cellStyle name="Comma 3 2 3 2 2 3 4 2 2" xfId="31134" xr:uid="{717C47BC-8E23-4CF4-AD36-B1617AE401C4}"/>
    <cellStyle name="Comma 3 2 3 2 2 3 4 3" xfId="22462" xr:uid="{8BA08CD8-F829-4E58-B6ED-2F1A66755A3E}"/>
    <cellStyle name="Comma 3 2 3 2 2 3 5" xfId="9454" xr:uid="{DC1F9A58-69B2-40CA-8DAE-971844C11557}"/>
    <cellStyle name="Comma 3 2 3 2 2 3 5 2" xfId="26798" xr:uid="{EB3CE36A-5175-4217-87A6-C0ADBD098DCA}"/>
    <cellStyle name="Comma 3 2 3 2 2 3 6" xfId="18126" xr:uid="{CB756D6C-46F5-473B-A88E-EE743362C98D}"/>
    <cellStyle name="Comma 3 2 3 2 2 4" xfId="1325" xr:uid="{2C3D1BE4-8973-4A64-880F-FEF8D0A4B66B}"/>
    <cellStyle name="Comma 3 2 3 2 2 4 2" xfId="3493" xr:uid="{419D61F3-A50C-4B3F-9E7D-4CFDB553A923}"/>
    <cellStyle name="Comma 3 2 3 2 2 4 2 2" xfId="7829" xr:uid="{F19BF384-A397-49AE-8F03-44ACE0856D6E}"/>
    <cellStyle name="Comma 3 2 3 2 2 4 2 2 2" xfId="16501" xr:uid="{DEEF6AE5-EC06-4C8F-BEED-5D61BB3F154D}"/>
    <cellStyle name="Comma 3 2 3 2 2 4 2 2 2 2" xfId="33845" xr:uid="{FA9F6E73-067F-45FB-A208-22A9978E8C53}"/>
    <cellStyle name="Comma 3 2 3 2 2 4 2 2 3" xfId="25173" xr:uid="{2AF89156-DF3F-460C-901B-F3E376141DC2}"/>
    <cellStyle name="Comma 3 2 3 2 2 4 2 3" xfId="12165" xr:uid="{0B4FFF61-17D2-48F8-B406-81F2E95C4E71}"/>
    <cellStyle name="Comma 3 2 3 2 2 4 2 3 2" xfId="29509" xr:uid="{9C7DF9EA-CD36-4295-931B-B37BF085BE4D}"/>
    <cellStyle name="Comma 3 2 3 2 2 4 2 4" xfId="20837" xr:uid="{70F645C6-968C-426A-AC91-BD9194307927}"/>
    <cellStyle name="Comma 3 2 3 2 2 4 3" xfId="5661" xr:uid="{AAC33C24-3D03-4BB8-9FCD-47D5A509EBC0}"/>
    <cellStyle name="Comma 3 2 3 2 2 4 3 2" xfId="14333" xr:uid="{79EB3FBE-173E-4ABA-982E-3D8BE3754E1F}"/>
    <cellStyle name="Comma 3 2 3 2 2 4 3 2 2" xfId="31677" xr:uid="{5F11A733-1494-47C4-8AC9-40DE0FF8580B}"/>
    <cellStyle name="Comma 3 2 3 2 2 4 3 3" xfId="23005" xr:uid="{0A62DF86-9CDC-4364-8DCC-D217E632EC42}"/>
    <cellStyle name="Comma 3 2 3 2 2 4 4" xfId="9997" xr:uid="{66FD2C30-91B1-4E20-BE11-A4F7CDDDE03B}"/>
    <cellStyle name="Comma 3 2 3 2 2 4 4 2" xfId="27341" xr:uid="{996E70C5-3D42-44A7-AC15-C6D08F86739F}"/>
    <cellStyle name="Comma 3 2 3 2 2 4 5" xfId="18669" xr:uid="{6F886DC0-3BD6-40DC-8508-F84AE57EFF2C}"/>
    <cellStyle name="Comma 3 2 3 2 2 5" xfId="2409" xr:uid="{3C129C6E-CDA6-4B25-A4A0-C073477D525C}"/>
    <cellStyle name="Comma 3 2 3 2 2 5 2" xfId="6745" xr:uid="{CB91BD97-4B43-4E8D-ACA8-B844DB8F8083}"/>
    <cellStyle name="Comma 3 2 3 2 2 5 2 2" xfId="15417" xr:uid="{203E11AE-68AE-4BBF-A39E-8DDCF65A1F46}"/>
    <cellStyle name="Comma 3 2 3 2 2 5 2 2 2" xfId="32761" xr:uid="{DBAF9669-5AEC-4E87-B504-778CDFC9E21F}"/>
    <cellStyle name="Comma 3 2 3 2 2 5 2 3" xfId="24089" xr:uid="{2C9C245B-842D-4953-832C-04A5FE1E65BD}"/>
    <cellStyle name="Comma 3 2 3 2 2 5 3" xfId="11081" xr:uid="{5FAFB748-ACF6-465E-BF73-7575AF1CFB97}"/>
    <cellStyle name="Comma 3 2 3 2 2 5 3 2" xfId="28425" xr:uid="{D40E499A-05E4-4065-AF8A-96E6E990E18E}"/>
    <cellStyle name="Comma 3 2 3 2 2 5 4" xfId="19753" xr:uid="{87D1C6D4-F4F5-49D2-B1AF-94E1AD60EBB6}"/>
    <cellStyle name="Comma 3 2 3 2 2 6" xfId="4577" xr:uid="{0E4671DC-5758-424B-BDE6-5571C805D322}"/>
    <cellStyle name="Comma 3 2 3 2 2 6 2" xfId="13249" xr:uid="{597084AA-07D6-4B86-9F06-3CE4D3F06D55}"/>
    <cellStyle name="Comma 3 2 3 2 2 6 2 2" xfId="30593" xr:uid="{427CB7FC-8B35-40A3-8FB3-0643315531F1}"/>
    <cellStyle name="Comma 3 2 3 2 2 6 3" xfId="21921" xr:uid="{F1A83B8D-27CD-4F55-BA53-631C08971B1D}"/>
    <cellStyle name="Comma 3 2 3 2 2 7" xfId="8913" xr:uid="{13E5DC13-91BE-4953-9396-3D73A1428420}"/>
    <cellStyle name="Comma 3 2 3 2 2 7 2" xfId="26257" xr:uid="{6A22DB03-43FD-46DC-9AA2-A9BC6D896F1D}"/>
    <cellStyle name="Comma 3 2 3 2 2 8" xfId="17585" xr:uid="{F8AF4732-57DD-4A7C-A853-14933FAAE617}"/>
    <cellStyle name="Comma 3 2 3 2 3" xfId="389" xr:uid="{DE683F75-A8F5-4AF1-B27E-25114E3D4BDA}"/>
    <cellStyle name="Comma 3 2 3 2 3 2" xfId="930" xr:uid="{11B20EC9-6A41-4C0A-9DFC-AF0BD98BAADC}"/>
    <cellStyle name="Comma 3 2 3 2 3 2 2" xfId="2014" xr:uid="{B82F03C9-0861-4ABE-BAE9-7847A0339059}"/>
    <cellStyle name="Comma 3 2 3 2 3 2 2 2" xfId="4182" xr:uid="{5C834769-C948-437D-A7C3-EEE0BADFAE47}"/>
    <cellStyle name="Comma 3 2 3 2 3 2 2 2 2" xfId="8518" xr:uid="{20D7F2EE-67AC-4B1B-B5C4-CF75BA843AA3}"/>
    <cellStyle name="Comma 3 2 3 2 3 2 2 2 2 2" xfId="17190" xr:uid="{F8CC62C8-C5CA-4702-AE5D-562123D82DDE}"/>
    <cellStyle name="Comma 3 2 3 2 3 2 2 2 2 2 2" xfId="34534" xr:uid="{C5421056-3440-4F29-A588-2647604D652B}"/>
    <cellStyle name="Comma 3 2 3 2 3 2 2 2 2 3" xfId="25862" xr:uid="{AF626541-FFD8-48B5-9825-171F78EBD979}"/>
    <cellStyle name="Comma 3 2 3 2 3 2 2 2 3" xfId="12854" xr:uid="{5B77810F-0807-4066-B2AF-40026EFA2EB0}"/>
    <cellStyle name="Comma 3 2 3 2 3 2 2 2 3 2" xfId="30198" xr:uid="{86E85D9B-FC30-40B4-B781-06875D5099D3}"/>
    <cellStyle name="Comma 3 2 3 2 3 2 2 2 4" xfId="21526" xr:uid="{404C851B-6E13-4582-9FB4-21432F9E5A99}"/>
    <cellStyle name="Comma 3 2 3 2 3 2 2 3" xfId="6350" xr:uid="{B48E28A1-DF1F-4797-9F76-81361704C9F9}"/>
    <cellStyle name="Comma 3 2 3 2 3 2 2 3 2" xfId="15022" xr:uid="{8479AB58-9641-4469-8ADF-3A385F27D070}"/>
    <cellStyle name="Comma 3 2 3 2 3 2 2 3 2 2" xfId="32366" xr:uid="{D766BBD0-EF47-4C83-ABCD-960659278BA9}"/>
    <cellStyle name="Comma 3 2 3 2 3 2 2 3 3" xfId="23694" xr:uid="{AFDF92E0-C38C-4135-BCF8-3889D640768D}"/>
    <cellStyle name="Comma 3 2 3 2 3 2 2 4" xfId="10686" xr:uid="{27B63B40-9710-4A02-9B48-7EDD734A7677}"/>
    <cellStyle name="Comma 3 2 3 2 3 2 2 4 2" xfId="28030" xr:uid="{16754FCF-029A-4AED-BCF1-F49DC93E41FB}"/>
    <cellStyle name="Comma 3 2 3 2 3 2 2 5" xfId="19358" xr:uid="{6B46B7E8-7784-45EC-AD30-8980A2B0DD98}"/>
    <cellStyle name="Comma 3 2 3 2 3 2 3" xfId="3098" xr:uid="{10206DC1-9CAF-42AA-BB16-B196D959475D}"/>
    <cellStyle name="Comma 3 2 3 2 3 2 3 2" xfId="7434" xr:uid="{18A13DBC-1A3B-4155-8B7E-3B354EB3B87E}"/>
    <cellStyle name="Comma 3 2 3 2 3 2 3 2 2" xfId="16106" xr:uid="{ADA911CC-5C48-4C0C-B15E-14F9A2F338CC}"/>
    <cellStyle name="Comma 3 2 3 2 3 2 3 2 2 2" xfId="33450" xr:uid="{8CB405E4-44AE-403D-A9C5-9AE12B06616E}"/>
    <cellStyle name="Comma 3 2 3 2 3 2 3 2 3" xfId="24778" xr:uid="{15A6AD9E-B292-437D-BCC6-21DAF8BBECCB}"/>
    <cellStyle name="Comma 3 2 3 2 3 2 3 3" xfId="11770" xr:uid="{3600F9D6-ED1B-486B-9231-F38AD50A5A29}"/>
    <cellStyle name="Comma 3 2 3 2 3 2 3 3 2" xfId="29114" xr:uid="{061AAC38-B3E0-4A10-94B4-804340614D02}"/>
    <cellStyle name="Comma 3 2 3 2 3 2 3 4" xfId="20442" xr:uid="{4DE9F26C-E350-432F-9ABB-B35CCB0FFEBE}"/>
    <cellStyle name="Comma 3 2 3 2 3 2 4" xfId="5266" xr:uid="{3032D9C0-7267-4728-9E35-DE127DC28D2F}"/>
    <cellStyle name="Comma 3 2 3 2 3 2 4 2" xfId="13938" xr:uid="{1F9D2FE9-A84C-4C31-A9D4-E27EA704231D}"/>
    <cellStyle name="Comma 3 2 3 2 3 2 4 2 2" xfId="31282" xr:uid="{DB8686D8-5804-4B46-B604-1E67DA1F24A0}"/>
    <cellStyle name="Comma 3 2 3 2 3 2 4 3" xfId="22610" xr:uid="{511F5C9C-86FB-4A8D-927A-43AE5EC5132E}"/>
    <cellStyle name="Comma 3 2 3 2 3 2 5" xfId="9602" xr:uid="{E36CFA76-BA3B-42F1-AEE9-7514365A96B2}"/>
    <cellStyle name="Comma 3 2 3 2 3 2 5 2" xfId="26946" xr:uid="{9FCB3E95-8261-4177-AFA4-1DBA67BD7BFD}"/>
    <cellStyle name="Comma 3 2 3 2 3 2 6" xfId="18274" xr:uid="{1BF2CF33-99A8-466D-A078-6C2F3D2894ED}"/>
    <cellStyle name="Comma 3 2 3 2 3 3" xfId="1473" xr:uid="{8E4CD70F-A81A-4378-8637-53040AAE0D20}"/>
    <cellStyle name="Comma 3 2 3 2 3 3 2" xfId="3641" xr:uid="{9C5A9F17-7D66-4889-B41F-CA98089746DE}"/>
    <cellStyle name="Comma 3 2 3 2 3 3 2 2" xfId="7977" xr:uid="{ABCF464F-B49C-4448-9AB6-980881BAA07D}"/>
    <cellStyle name="Comma 3 2 3 2 3 3 2 2 2" xfId="16649" xr:uid="{F8DCB1D8-702D-4503-BF55-9FC9DED4481D}"/>
    <cellStyle name="Comma 3 2 3 2 3 3 2 2 2 2" xfId="33993" xr:uid="{164EBEBB-16CD-4C40-B2BD-345FFFC41BCC}"/>
    <cellStyle name="Comma 3 2 3 2 3 3 2 2 3" xfId="25321" xr:uid="{3ADD6FF9-2553-4AA5-B313-1FF7F6A543A7}"/>
    <cellStyle name="Comma 3 2 3 2 3 3 2 3" xfId="12313" xr:uid="{98DD8B74-74D7-4108-A88E-D1B91B52D07F}"/>
    <cellStyle name="Comma 3 2 3 2 3 3 2 3 2" xfId="29657" xr:uid="{349C43EC-DF52-4495-A709-3CD94BE00C3F}"/>
    <cellStyle name="Comma 3 2 3 2 3 3 2 4" xfId="20985" xr:uid="{839B3354-9E80-4C15-B4F3-04106B9C7DA3}"/>
    <cellStyle name="Comma 3 2 3 2 3 3 3" xfId="5809" xr:uid="{8B427F30-FA70-400E-A920-ECDBA79DC6B6}"/>
    <cellStyle name="Comma 3 2 3 2 3 3 3 2" xfId="14481" xr:uid="{0C18418C-0928-47BF-8D53-BD15E822A80A}"/>
    <cellStyle name="Comma 3 2 3 2 3 3 3 2 2" xfId="31825" xr:uid="{4F3CBD57-AEE7-4A4B-AFD5-35907C6F9373}"/>
    <cellStyle name="Comma 3 2 3 2 3 3 3 3" xfId="23153" xr:uid="{78381327-8222-4AD1-B081-72392DC51883}"/>
    <cellStyle name="Comma 3 2 3 2 3 3 4" xfId="10145" xr:uid="{D768076E-0F12-49AC-88E4-9803DAC87D4B}"/>
    <cellStyle name="Comma 3 2 3 2 3 3 4 2" xfId="27489" xr:uid="{2E7AC762-BC81-4274-A03C-2520F7A4E120}"/>
    <cellStyle name="Comma 3 2 3 2 3 3 5" xfId="18817" xr:uid="{C829A3A1-45FC-40DE-BB38-68E06690F493}"/>
    <cellStyle name="Comma 3 2 3 2 3 4" xfId="2557" xr:uid="{8DFEACFC-C03E-477B-A9D9-D9EA67695B39}"/>
    <cellStyle name="Comma 3 2 3 2 3 4 2" xfId="6893" xr:uid="{8A30E138-B6BD-4445-8FD2-70FEE94159A5}"/>
    <cellStyle name="Comma 3 2 3 2 3 4 2 2" xfId="15565" xr:uid="{E03FE39D-FA95-4D8E-8028-F993B26AC5BA}"/>
    <cellStyle name="Comma 3 2 3 2 3 4 2 2 2" xfId="32909" xr:uid="{C7ABC9CE-83DE-4C7C-842F-FA461434974E}"/>
    <cellStyle name="Comma 3 2 3 2 3 4 2 3" xfId="24237" xr:uid="{DA58EAFD-04B0-4F78-BC95-69A70ECC5B89}"/>
    <cellStyle name="Comma 3 2 3 2 3 4 3" xfId="11229" xr:uid="{8D09646E-792A-4B2F-8104-C5C01137BD11}"/>
    <cellStyle name="Comma 3 2 3 2 3 4 3 2" xfId="28573" xr:uid="{DD392326-9A84-4346-876A-DA2EBFB92581}"/>
    <cellStyle name="Comma 3 2 3 2 3 4 4" xfId="19901" xr:uid="{CAB7EF33-16CF-4313-8CB8-99AD86719B88}"/>
    <cellStyle name="Comma 3 2 3 2 3 5" xfId="4725" xr:uid="{E6848D62-3ECE-4C8C-B187-FEF9705D720A}"/>
    <cellStyle name="Comma 3 2 3 2 3 5 2" xfId="13397" xr:uid="{C3BB04AB-C8FC-43A5-A434-A7BAAE2B6BF8}"/>
    <cellStyle name="Comma 3 2 3 2 3 5 2 2" xfId="30741" xr:uid="{E802FFEF-3C8D-410C-A5AC-F91D34323382}"/>
    <cellStyle name="Comma 3 2 3 2 3 5 3" xfId="22069" xr:uid="{C598BFD0-8CEC-40AD-AB98-9F9331B2E8B2}"/>
    <cellStyle name="Comma 3 2 3 2 3 6" xfId="9061" xr:uid="{91E91CF9-2AB4-4AC7-8D90-CFB33D9635CE}"/>
    <cellStyle name="Comma 3 2 3 2 3 6 2" xfId="26405" xr:uid="{85D5915B-F714-4D06-8F13-C54396E6A611}"/>
    <cellStyle name="Comma 3 2 3 2 3 7" xfId="17733" xr:uid="{154D07B9-A479-4DB5-96C4-1C197E7573A8}"/>
    <cellStyle name="Comma 3 2 3 2 4" xfId="660" xr:uid="{4C48B989-9DD2-4B7D-8A42-C6617E032B87}"/>
    <cellStyle name="Comma 3 2 3 2 4 2" xfId="1744" xr:uid="{4C4121BB-67DB-4050-A1BE-F97317E3DCE6}"/>
    <cellStyle name="Comma 3 2 3 2 4 2 2" xfId="3912" xr:uid="{94049773-9AC8-46F3-ABB7-34C73D0181A5}"/>
    <cellStyle name="Comma 3 2 3 2 4 2 2 2" xfId="8248" xr:uid="{10DADFB3-6F51-406A-9FCC-479D8817FC94}"/>
    <cellStyle name="Comma 3 2 3 2 4 2 2 2 2" xfId="16920" xr:uid="{0DFC77EF-8266-4A15-9EE1-35C81ECEF376}"/>
    <cellStyle name="Comma 3 2 3 2 4 2 2 2 2 2" xfId="34264" xr:uid="{276E7D7E-37AA-46D2-8530-69881E10A48B}"/>
    <cellStyle name="Comma 3 2 3 2 4 2 2 2 3" xfId="25592" xr:uid="{F8E932EE-2CD6-4D23-B64D-7D73C25CB873}"/>
    <cellStyle name="Comma 3 2 3 2 4 2 2 3" xfId="12584" xr:uid="{84B66D6E-7E4A-4F56-B24F-2C7B0AEC7F45}"/>
    <cellStyle name="Comma 3 2 3 2 4 2 2 3 2" xfId="29928" xr:uid="{100E9091-F556-4119-A8F1-9AB3AEF99021}"/>
    <cellStyle name="Comma 3 2 3 2 4 2 2 4" xfId="21256" xr:uid="{837AC416-9611-4BA4-BCF2-5D2E20506074}"/>
    <cellStyle name="Comma 3 2 3 2 4 2 3" xfId="6080" xr:uid="{13633BE8-6197-4838-BB79-DCF099E5816D}"/>
    <cellStyle name="Comma 3 2 3 2 4 2 3 2" xfId="14752" xr:uid="{BB06714C-F9DE-49D8-AB72-FE6CEBDAAA74}"/>
    <cellStyle name="Comma 3 2 3 2 4 2 3 2 2" xfId="32096" xr:uid="{735273C3-C9F4-42C6-A49A-A84081A9FBB3}"/>
    <cellStyle name="Comma 3 2 3 2 4 2 3 3" xfId="23424" xr:uid="{F9957459-A280-4AF5-9E0E-2FE7E9A32C16}"/>
    <cellStyle name="Comma 3 2 3 2 4 2 4" xfId="10416" xr:uid="{438D027A-96B9-476A-A4E1-AE06AB817D8B}"/>
    <cellStyle name="Comma 3 2 3 2 4 2 4 2" xfId="27760" xr:uid="{6C4960CB-2D2E-4B20-A827-07CF7648D7A5}"/>
    <cellStyle name="Comma 3 2 3 2 4 2 5" xfId="19088" xr:uid="{F69267E1-A208-41E2-94C4-99635B64419D}"/>
    <cellStyle name="Comma 3 2 3 2 4 3" xfId="2828" xr:uid="{01CD09FB-CF6B-4CEB-8415-477E92412B5B}"/>
    <cellStyle name="Comma 3 2 3 2 4 3 2" xfId="7164" xr:uid="{26CA8285-AF57-4A40-89A2-AE09B985C601}"/>
    <cellStyle name="Comma 3 2 3 2 4 3 2 2" xfId="15836" xr:uid="{598DEB2E-0EE8-452A-99AC-79811973A122}"/>
    <cellStyle name="Comma 3 2 3 2 4 3 2 2 2" xfId="33180" xr:uid="{B666AF28-A5AB-4B46-B279-9A4330E2A616}"/>
    <cellStyle name="Comma 3 2 3 2 4 3 2 3" xfId="24508" xr:uid="{0667A29E-92D6-41E5-A426-2BAB3A2E443F}"/>
    <cellStyle name="Comma 3 2 3 2 4 3 3" xfId="11500" xr:uid="{0902655E-254D-4268-A9D2-9DE47F66C9D0}"/>
    <cellStyle name="Comma 3 2 3 2 4 3 3 2" xfId="28844" xr:uid="{148AC653-4E59-4468-BFCD-217D35787B62}"/>
    <cellStyle name="Comma 3 2 3 2 4 3 4" xfId="20172" xr:uid="{8B57B7EA-4D99-4350-9ED1-5D0050A5FEA6}"/>
    <cellStyle name="Comma 3 2 3 2 4 4" xfId="4996" xr:uid="{06E1F9B6-784D-4ADC-9437-6ACD0BEA243E}"/>
    <cellStyle name="Comma 3 2 3 2 4 4 2" xfId="13668" xr:uid="{FD4A025E-5376-46E7-BF4E-F59E2A68565A}"/>
    <cellStyle name="Comma 3 2 3 2 4 4 2 2" xfId="31012" xr:uid="{630D1728-90F6-4747-8BD9-4A2F7A66F19D}"/>
    <cellStyle name="Comma 3 2 3 2 4 4 3" xfId="22340" xr:uid="{DBCD7395-7E74-4E9E-8C29-29138D45BBEA}"/>
    <cellStyle name="Comma 3 2 3 2 4 5" xfId="9332" xr:uid="{1D3860A2-EB14-4832-9977-50635EF5FA94}"/>
    <cellStyle name="Comma 3 2 3 2 4 5 2" xfId="26676" xr:uid="{870EF696-7381-4C9F-9BE6-EE25C5CF514E}"/>
    <cellStyle name="Comma 3 2 3 2 4 6" xfId="18004" xr:uid="{ED9B327E-6952-490D-BB4D-AD9D63B2C8F2}"/>
    <cellStyle name="Comma 3 2 3 2 5" xfId="1203" xr:uid="{2536C692-4360-4BA9-A518-046CAE0B2515}"/>
    <cellStyle name="Comma 3 2 3 2 5 2" xfId="3371" xr:uid="{02B74C51-7690-44E5-BB4A-E34445ECDBEE}"/>
    <cellStyle name="Comma 3 2 3 2 5 2 2" xfId="7707" xr:uid="{6A2CFB14-B04A-4954-8969-C37D4EE4DD42}"/>
    <cellStyle name="Comma 3 2 3 2 5 2 2 2" xfId="16379" xr:uid="{3DB6FB89-BF68-4CB5-87B4-40F71E41C757}"/>
    <cellStyle name="Comma 3 2 3 2 5 2 2 2 2" xfId="33723" xr:uid="{B743AF67-F19C-476A-90FA-43B9CC8866CB}"/>
    <cellStyle name="Comma 3 2 3 2 5 2 2 3" xfId="25051" xr:uid="{992336D0-852E-4E10-8E6F-34FD59F3C1EA}"/>
    <cellStyle name="Comma 3 2 3 2 5 2 3" xfId="12043" xr:uid="{51718012-6EC8-4C1B-8C2B-FEF7670F5F3C}"/>
    <cellStyle name="Comma 3 2 3 2 5 2 3 2" xfId="29387" xr:uid="{1AFFF41F-5B9C-48CC-B74C-CABC84941D5C}"/>
    <cellStyle name="Comma 3 2 3 2 5 2 4" xfId="20715" xr:uid="{A6598C4B-663E-417D-BA89-6BEB93631DE8}"/>
    <cellStyle name="Comma 3 2 3 2 5 3" xfId="5539" xr:uid="{0BD69062-5649-4BB8-82A9-A39B0EF72F48}"/>
    <cellStyle name="Comma 3 2 3 2 5 3 2" xfId="14211" xr:uid="{AC9077CA-45DF-46AF-B7DE-DBD408A13C64}"/>
    <cellStyle name="Comma 3 2 3 2 5 3 2 2" xfId="31555" xr:uid="{45465E7A-ABA7-4E34-BE90-756F079BCEB9}"/>
    <cellStyle name="Comma 3 2 3 2 5 3 3" xfId="22883" xr:uid="{084370AC-9A98-4165-88CA-5CF93AB8D287}"/>
    <cellStyle name="Comma 3 2 3 2 5 4" xfId="9875" xr:uid="{C846EEDE-A797-4B9F-863E-BCEF3FD28365}"/>
    <cellStyle name="Comma 3 2 3 2 5 4 2" xfId="27219" xr:uid="{04229838-3D91-46AB-88CF-B3C403679C43}"/>
    <cellStyle name="Comma 3 2 3 2 5 5" xfId="18547" xr:uid="{9FB38C6D-182A-493D-8B8C-E19D4DB1B1CB}"/>
    <cellStyle name="Comma 3 2 3 2 6" xfId="2287" xr:uid="{6292C3A6-D48D-46FF-AD57-75C4BD878766}"/>
    <cellStyle name="Comma 3 2 3 2 6 2" xfId="6623" xr:uid="{1F34894A-B415-498C-B796-DF2D4679BE3C}"/>
    <cellStyle name="Comma 3 2 3 2 6 2 2" xfId="15295" xr:uid="{435172CC-8AEE-4708-B60E-486122000C37}"/>
    <cellStyle name="Comma 3 2 3 2 6 2 2 2" xfId="32639" xr:uid="{B2EFE90C-EA3E-4258-9C1D-191848E922D6}"/>
    <cellStyle name="Comma 3 2 3 2 6 2 3" xfId="23967" xr:uid="{BC15BBD0-D085-4001-AED9-788300EDECC5}"/>
    <cellStyle name="Comma 3 2 3 2 6 3" xfId="10959" xr:uid="{4935D816-3613-4BA7-9C55-8142EB63F594}"/>
    <cellStyle name="Comma 3 2 3 2 6 3 2" xfId="28303" xr:uid="{55CEA5BF-4D51-4D1C-833E-71DD9D3775BE}"/>
    <cellStyle name="Comma 3 2 3 2 6 4" xfId="19631" xr:uid="{C88AB811-AD9A-4DDB-8E3E-CE20F7D5D552}"/>
    <cellStyle name="Comma 3 2 3 2 7" xfId="4455" xr:uid="{49004E88-7695-4BA8-95BA-1D259077CDBB}"/>
    <cellStyle name="Comma 3 2 3 2 7 2" xfId="13127" xr:uid="{765A9850-F042-4B11-96B0-5D515F1A3118}"/>
    <cellStyle name="Comma 3 2 3 2 7 2 2" xfId="30471" xr:uid="{A5631422-48A5-4380-B5F6-4AE448DBD789}"/>
    <cellStyle name="Comma 3 2 3 2 7 3" xfId="21799" xr:uid="{A2D3C40A-B7D8-483D-B2FC-C2815FB2A54A}"/>
    <cellStyle name="Comma 3 2 3 2 8" xfId="8791" xr:uid="{7FE6F4E3-D2D6-430B-8252-F37AD98813F7}"/>
    <cellStyle name="Comma 3 2 3 2 8 2" xfId="26135" xr:uid="{70B4DA1A-47C9-4040-8687-0A33CD739086}"/>
    <cellStyle name="Comma 3 2 3 2 9" xfId="17463" xr:uid="{713795E8-2953-44CB-840B-CDEEF83071C9}"/>
    <cellStyle name="Comma 3 2 3 3" xfId="180" xr:uid="{7D914014-8803-4466-9363-0DE38BDD5B60}"/>
    <cellStyle name="Comma 3 2 3 3 2" xfId="450" xr:uid="{3BC1C118-9AAF-470E-B6C2-9DE8271C0FCF}"/>
    <cellStyle name="Comma 3 2 3 3 2 2" xfId="991" xr:uid="{FB928175-5BCE-4D5D-AB49-DF9F6E25F8A2}"/>
    <cellStyle name="Comma 3 2 3 3 2 2 2" xfId="2075" xr:uid="{C2165032-697B-4C0C-A55D-0F7F7B2A8AA4}"/>
    <cellStyle name="Comma 3 2 3 3 2 2 2 2" xfId="4243" xr:uid="{EBFEE96C-FBCA-461D-9A8D-9927CE19C661}"/>
    <cellStyle name="Comma 3 2 3 3 2 2 2 2 2" xfId="8579" xr:uid="{436C5F95-8B4E-4A95-8BE8-7C56D7A56FD7}"/>
    <cellStyle name="Comma 3 2 3 3 2 2 2 2 2 2" xfId="17251" xr:uid="{9732EC96-B8FA-4502-95EC-BBEF6944DD6B}"/>
    <cellStyle name="Comma 3 2 3 3 2 2 2 2 2 2 2" xfId="34595" xr:uid="{143AADEF-882C-473B-A87E-CC838F91F254}"/>
    <cellStyle name="Comma 3 2 3 3 2 2 2 2 2 3" xfId="25923" xr:uid="{23424C97-9427-4B58-9937-909509C8A0F1}"/>
    <cellStyle name="Comma 3 2 3 3 2 2 2 2 3" xfId="12915" xr:uid="{3AB0BBCF-C9E5-4F6D-95D3-369811933B60}"/>
    <cellStyle name="Comma 3 2 3 3 2 2 2 2 3 2" xfId="30259" xr:uid="{EACD47DF-27FD-4851-BD62-BE3C6C42D396}"/>
    <cellStyle name="Comma 3 2 3 3 2 2 2 2 4" xfId="21587" xr:uid="{970CE68E-69BD-4D27-AD34-48F9AA9A1331}"/>
    <cellStyle name="Comma 3 2 3 3 2 2 2 3" xfId="6411" xr:uid="{50481142-1238-4A59-B695-80C2E301E7B6}"/>
    <cellStyle name="Comma 3 2 3 3 2 2 2 3 2" xfId="15083" xr:uid="{E152C71C-21F8-4A87-B0CF-A012B137F9B4}"/>
    <cellStyle name="Comma 3 2 3 3 2 2 2 3 2 2" xfId="32427" xr:uid="{70D94646-B0CF-4D9B-B142-2B54179A302C}"/>
    <cellStyle name="Comma 3 2 3 3 2 2 2 3 3" xfId="23755" xr:uid="{F0629A65-3DCD-4CDC-9D77-9A3D5418C615}"/>
    <cellStyle name="Comma 3 2 3 3 2 2 2 4" xfId="10747" xr:uid="{9FD46AFB-C407-4EA5-9F83-68BFF0FEFBFF}"/>
    <cellStyle name="Comma 3 2 3 3 2 2 2 4 2" xfId="28091" xr:uid="{7246E5D5-0358-41E9-9124-F0113B9A534D}"/>
    <cellStyle name="Comma 3 2 3 3 2 2 2 5" xfId="19419" xr:uid="{9114D831-5495-4220-BC42-0A6FDB954F52}"/>
    <cellStyle name="Comma 3 2 3 3 2 2 3" xfId="3159" xr:uid="{9DB285BF-77CF-4D05-8BB5-62E35E87E378}"/>
    <cellStyle name="Comma 3 2 3 3 2 2 3 2" xfId="7495" xr:uid="{A1777B83-C1FE-4999-A459-1FA4617D92A9}"/>
    <cellStyle name="Comma 3 2 3 3 2 2 3 2 2" xfId="16167" xr:uid="{F9AF1341-6CFA-47E6-86CD-8A31467C2EC3}"/>
    <cellStyle name="Comma 3 2 3 3 2 2 3 2 2 2" xfId="33511" xr:uid="{215DFDD5-D057-4D68-8736-B80E7772DFD5}"/>
    <cellStyle name="Comma 3 2 3 3 2 2 3 2 3" xfId="24839" xr:uid="{73D27581-73C3-4658-ABC0-80B5AAB3373F}"/>
    <cellStyle name="Comma 3 2 3 3 2 2 3 3" xfId="11831" xr:uid="{2F15B1FD-AA3E-498F-9BC0-6590E17CFA37}"/>
    <cellStyle name="Comma 3 2 3 3 2 2 3 3 2" xfId="29175" xr:uid="{66C0DF05-DE88-44DD-8AC7-76A320519E78}"/>
    <cellStyle name="Comma 3 2 3 3 2 2 3 4" xfId="20503" xr:uid="{5164D9CB-5950-4DE2-945E-F204DE1AD2C6}"/>
    <cellStyle name="Comma 3 2 3 3 2 2 4" xfId="5327" xr:uid="{4AC50874-7EE5-4655-B5BD-7ABC394CC134}"/>
    <cellStyle name="Comma 3 2 3 3 2 2 4 2" xfId="13999" xr:uid="{83B67030-8162-43CC-89FA-1D9CD9B37FFC}"/>
    <cellStyle name="Comma 3 2 3 3 2 2 4 2 2" xfId="31343" xr:uid="{E514E693-D272-489B-8C14-733552EB67B9}"/>
    <cellStyle name="Comma 3 2 3 3 2 2 4 3" xfId="22671" xr:uid="{66D5E768-7927-41D6-9514-23A9D4D1A593}"/>
    <cellStyle name="Comma 3 2 3 3 2 2 5" xfId="9663" xr:uid="{CEE9272D-D39F-46C1-B68A-9020F9212892}"/>
    <cellStyle name="Comma 3 2 3 3 2 2 5 2" xfId="27007" xr:uid="{E9C3D1C0-F676-4425-8BEE-612C7E008967}"/>
    <cellStyle name="Comma 3 2 3 3 2 2 6" xfId="18335" xr:uid="{D46A75F7-520E-47CE-B29F-E8C2612F6493}"/>
    <cellStyle name="Comma 3 2 3 3 2 3" xfId="1534" xr:uid="{A24E6DC7-132C-4589-A11B-00E3115399F7}"/>
    <cellStyle name="Comma 3 2 3 3 2 3 2" xfId="3702" xr:uid="{DEECC94D-857C-4F28-8E69-81CD3C859BB6}"/>
    <cellStyle name="Comma 3 2 3 3 2 3 2 2" xfId="8038" xr:uid="{B31D5C56-2EF6-42C9-86B1-C3BA06FD9B15}"/>
    <cellStyle name="Comma 3 2 3 3 2 3 2 2 2" xfId="16710" xr:uid="{4932BFD9-1E76-464B-B857-0382F76C0F88}"/>
    <cellStyle name="Comma 3 2 3 3 2 3 2 2 2 2" xfId="34054" xr:uid="{AABE9D61-7F7E-4997-B57F-79B3C3B1F18D}"/>
    <cellStyle name="Comma 3 2 3 3 2 3 2 2 3" xfId="25382" xr:uid="{1B46F5D4-2F95-4AE1-8AD3-C3254AE94268}"/>
    <cellStyle name="Comma 3 2 3 3 2 3 2 3" xfId="12374" xr:uid="{9DD26683-2C32-4D00-9F7F-D2A1A1408959}"/>
    <cellStyle name="Comma 3 2 3 3 2 3 2 3 2" xfId="29718" xr:uid="{3EBD02A7-7DFA-4127-B937-479839CCD9ED}"/>
    <cellStyle name="Comma 3 2 3 3 2 3 2 4" xfId="21046" xr:uid="{166EB2F4-E055-46E4-A704-0776D2301ECD}"/>
    <cellStyle name="Comma 3 2 3 3 2 3 3" xfId="5870" xr:uid="{2190E886-9C14-47AF-8BF6-8F3CF07FF4D7}"/>
    <cellStyle name="Comma 3 2 3 3 2 3 3 2" xfId="14542" xr:uid="{58CB22EC-34B0-46DA-B5AB-85068CC3F85F}"/>
    <cellStyle name="Comma 3 2 3 3 2 3 3 2 2" xfId="31886" xr:uid="{ACA4C890-6083-4B5A-B6DE-107A33440B72}"/>
    <cellStyle name="Comma 3 2 3 3 2 3 3 3" xfId="23214" xr:uid="{4EA80798-CC98-4861-8CF2-EAA3897EC327}"/>
    <cellStyle name="Comma 3 2 3 3 2 3 4" xfId="10206" xr:uid="{59EDA0D7-C7D1-4F0A-B8F1-1026C5126429}"/>
    <cellStyle name="Comma 3 2 3 3 2 3 4 2" xfId="27550" xr:uid="{55E70FFF-F7E6-442C-AFEB-593BD0EB973E}"/>
    <cellStyle name="Comma 3 2 3 3 2 3 5" xfId="18878" xr:uid="{68570AC8-DFE2-45B9-8FB3-A1DFD78E8A3C}"/>
    <cellStyle name="Comma 3 2 3 3 2 4" xfId="2618" xr:uid="{31B16C4A-413E-4D4F-B1A7-5ED34201B910}"/>
    <cellStyle name="Comma 3 2 3 3 2 4 2" xfId="6954" xr:uid="{4121ADC3-BD54-4B03-A2E5-15F2B4A6F0C3}"/>
    <cellStyle name="Comma 3 2 3 3 2 4 2 2" xfId="15626" xr:uid="{EC4666CA-7B89-449B-955C-F014997204BF}"/>
    <cellStyle name="Comma 3 2 3 3 2 4 2 2 2" xfId="32970" xr:uid="{78E0E940-DBD2-48CC-A193-B22434B5F1DA}"/>
    <cellStyle name="Comma 3 2 3 3 2 4 2 3" xfId="24298" xr:uid="{B858A200-2245-4A8D-B819-3559D5459EF9}"/>
    <cellStyle name="Comma 3 2 3 3 2 4 3" xfId="11290" xr:uid="{EAF71D3A-F6DE-44DC-8F6A-48EEFC98A939}"/>
    <cellStyle name="Comma 3 2 3 3 2 4 3 2" xfId="28634" xr:uid="{2CA706C8-7951-493E-B008-41EBC0E1A340}"/>
    <cellStyle name="Comma 3 2 3 3 2 4 4" xfId="19962" xr:uid="{EDA2EEA6-C915-4B64-9661-C69B4F1C9D5B}"/>
    <cellStyle name="Comma 3 2 3 3 2 5" xfId="4786" xr:uid="{BEB552B4-DCA5-421B-A5F3-0AAA5C02F8CB}"/>
    <cellStyle name="Comma 3 2 3 3 2 5 2" xfId="13458" xr:uid="{46E8C6A4-F155-4E46-BF7F-4CF54A809E62}"/>
    <cellStyle name="Comma 3 2 3 3 2 5 2 2" xfId="30802" xr:uid="{60663B55-869E-46FD-8367-8E108ED10AD2}"/>
    <cellStyle name="Comma 3 2 3 3 2 5 3" xfId="22130" xr:uid="{CE8FA899-9078-4843-9EEA-221C728E8495}"/>
    <cellStyle name="Comma 3 2 3 3 2 6" xfId="9122" xr:uid="{C48B07CB-D354-4FD3-8EFD-4C9E4386A102}"/>
    <cellStyle name="Comma 3 2 3 3 2 6 2" xfId="26466" xr:uid="{E384E99B-1BA7-4356-80B3-EFF877677312}"/>
    <cellStyle name="Comma 3 2 3 3 2 7" xfId="17794" xr:uid="{DB219130-C56D-4399-9CF2-AAF7B07AFAAC}"/>
    <cellStyle name="Comma 3 2 3 3 3" xfId="721" xr:uid="{B541B377-52D0-45B5-9E39-068475AEDF7C}"/>
    <cellStyle name="Comma 3 2 3 3 3 2" xfId="1805" xr:uid="{01841E6E-E845-4F8A-A462-6C63745CF0AA}"/>
    <cellStyle name="Comma 3 2 3 3 3 2 2" xfId="3973" xr:uid="{E355F460-2F7E-4109-825F-593E967DBA13}"/>
    <cellStyle name="Comma 3 2 3 3 3 2 2 2" xfId="8309" xr:uid="{B0D76529-8204-43E7-BFA6-B93B269C6F3D}"/>
    <cellStyle name="Comma 3 2 3 3 3 2 2 2 2" xfId="16981" xr:uid="{350142C0-D450-4696-8A0E-AB514B5E5D19}"/>
    <cellStyle name="Comma 3 2 3 3 3 2 2 2 2 2" xfId="34325" xr:uid="{B6DE70FA-47FD-46A0-8850-BBF4E5CA7EBC}"/>
    <cellStyle name="Comma 3 2 3 3 3 2 2 2 3" xfId="25653" xr:uid="{8E20233A-D662-40F0-85BF-4B3B255DE1FD}"/>
    <cellStyle name="Comma 3 2 3 3 3 2 2 3" xfId="12645" xr:uid="{94D2C1F4-107D-4898-BA27-D864F5624533}"/>
    <cellStyle name="Comma 3 2 3 3 3 2 2 3 2" xfId="29989" xr:uid="{FAD5C361-0C22-4889-9A8A-D50E03C692DC}"/>
    <cellStyle name="Comma 3 2 3 3 3 2 2 4" xfId="21317" xr:uid="{5C75AC5B-EF76-44CF-9812-CF49835DF13F}"/>
    <cellStyle name="Comma 3 2 3 3 3 2 3" xfId="6141" xr:uid="{59D8FFFF-BEEF-4E02-8991-88F49950B83C}"/>
    <cellStyle name="Comma 3 2 3 3 3 2 3 2" xfId="14813" xr:uid="{1498E79F-9192-4CBF-BBEE-D57D0542F2F7}"/>
    <cellStyle name="Comma 3 2 3 3 3 2 3 2 2" xfId="32157" xr:uid="{1D469814-3AE2-423A-8CB5-3C7CFAEBFB90}"/>
    <cellStyle name="Comma 3 2 3 3 3 2 3 3" xfId="23485" xr:uid="{643B1D70-89DA-4253-8A44-D8145978A231}"/>
    <cellStyle name="Comma 3 2 3 3 3 2 4" xfId="10477" xr:uid="{86255A40-0A45-4A7E-943B-A68E61D5F653}"/>
    <cellStyle name="Comma 3 2 3 3 3 2 4 2" xfId="27821" xr:uid="{9F346DB5-CFD1-4382-95C3-64DB1916FCC7}"/>
    <cellStyle name="Comma 3 2 3 3 3 2 5" xfId="19149" xr:uid="{86F1B9E5-0EEB-443E-8B93-37C11E90DEC4}"/>
    <cellStyle name="Comma 3 2 3 3 3 3" xfId="2889" xr:uid="{9C7BBC27-D3C7-41CC-B832-8FA0968F6492}"/>
    <cellStyle name="Comma 3 2 3 3 3 3 2" xfId="7225" xr:uid="{3EB794ED-1D42-476C-8CF1-51744F274591}"/>
    <cellStyle name="Comma 3 2 3 3 3 3 2 2" xfId="15897" xr:uid="{0C1EBA89-4CAC-4429-9C66-AADBB6979494}"/>
    <cellStyle name="Comma 3 2 3 3 3 3 2 2 2" xfId="33241" xr:uid="{A0D5D68A-DC46-4A16-B473-CDB43DB58F52}"/>
    <cellStyle name="Comma 3 2 3 3 3 3 2 3" xfId="24569" xr:uid="{B2E4B33C-987A-4855-A43C-D45F9AC643CF}"/>
    <cellStyle name="Comma 3 2 3 3 3 3 3" xfId="11561" xr:uid="{3D0196C6-56DD-4DF4-B42D-D13B37D587FF}"/>
    <cellStyle name="Comma 3 2 3 3 3 3 3 2" xfId="28905" xr:uid="{FCD74F36-1D1F-42DB-AC2E-BB272CBDCC51}"/>
    <cellStyle name="Comma 3 2 3 3 3 3 4" xfId="20233" xr:uid="{FCC2783A-5319-4E9F-A83D-2D13D97DDE2A}"/>
    <cellStyle name="Comma 3 2 3 3 3 4" xfId="5057" xr:uid="{3E866DDC-C22E-42DB-BCFA-1E5C5CD7962D}"/>
    <cellStyle name="Comma 3 2 3 3 3 4 2" xfId="13729" xr:uid="{DB61BC9F-ECDA-4385-8F04-1488B349A6F9}"/>
    <cellStyle name="Comma 3 2 3 3 3 4 2 2" xfId="31073" xr:uid="{B03C1DAD-F3D3-4517-A711-C7E6D37C1E5C}"/>
    <cellStyle name="Comma 3 2 3 3 3 4 3" xfId="22401" xr:uid="{54BAD34D-0D30-4840-9370-DE81FF77DC83}"/>
    <cellStyle name="Comma 3 2 3 3 3 5" xfId="9393" xr:uid="{3F94C709-0473-4144-B4D8-429E13E28B30}"/>
    <cellStyle name="Comma 3 2 3 3 3 5 2" xfId="26737" xr:uid="{551C6DC0-B769-4F9D-AA41-ADC3D7948C44}"/>
    <cellStyle name="Comma 3 2 3 3 3 6" xfId="18065" xr:uid="{9227BA7F-CE6F-432E-8122-92194FC03625}"/>
    <cellStyle name="Comma 3 2 3 3 4" xfId="1264" xr:uid="{13FCAE29-9CA9-41BF-9D1B-5A448BA1C3E9}"/>
    <cellStyle name="Comma 3 2 3 3 4 2" xfId="3432" xr:uid="{5B8523D0-4ADC-486C-9F1A-B171F885AFEC}"/>
    <cellStyle name="Comma 3 2 3 3 4 2 2" xfId="7768" xr:uid="{9F563A92-A63A-416D-BB37-BAC97411532C}"/>
    <cellStyle name="Comma 3 2 3 3 4 2 2 2" xfId="16440" xr:uid="{DAC706A1-4B86-426F-ABF9-25851C64FA68}"/>
    <cellStyle name="Comma 3 2 3 3 4 2 2 2 2" xfId="33784" xr:uid="{BF10F657-BB6E-41EC-A9F0-548B1C68778B}"/>
    <cellStyle name="Comma 3 2 3 3 4 2 2 3" xfId="25112" xr:uid="{288004FE-1B34-4C82-B3CF-0845743CC617}"/>
    <cellStyle name="Comma 3 2 3 3 4 2 3" xfId="12104" xr:uid="{F9FD0854-EA57-4371-A149-DE6E8D01CA26}"/>
    <cellStyle name="Comma 3 2 3 3 4 2 3 2" xfId="29448" xr:uid="{3A30BD5C-AC2C-4A85-8D63-A59797D9D83B}"/>
    <cellStyle name="Comma 3 2 3 3 4 2 4" xfId="20776" xr:uid="{68056222-49C3-4AC1-97F0-E3FEFC635587}"/>
    <cellStyle name="Comma 3 2 3 3 4 3" xfId="5600" xr:uid="{ADF92252-386C-42F2-9D12-B1B4EF795188}"/>
    <cellStyle name="Comma 3 2 3 3 4 3 2" xfId="14272" xr:uid="{B1A3DEFF-FD8C-4D08-977F-6C86C239FE66}"/>
    <cellStyle name="Comma 3 2 3 3 4 3 2 2" xfId="31616" xr:uid="{1E5CC3F2-6F89-42E8-AB38-F44DDC735372}"/>
    <cellStyle name="Comma 3 2 3 3 4 3 3" xfId="22944" xr:uid="{E8C4FEDC-5537-4FAB-9105-BD38F2B3A4DF}"/>
    <cellStyle name="Comma 3 2 3 3 4 4" xfId="9936" xr:uid="{E56F8814-2D52-4ABD-8FC6-DC88AFE5EDA1}"/>
    <cellStyle name="Comma 3 2 3 3 4 4 2" xfId="27280" xr:uid="{D975B4BC-4C3A-45D0-9A56-2424F8948F42}"/>
    <cellStyle name="Comma 3 2 3 3 4 5" xfId="18608" xr:uid="{B7367912-409D-4DF7-AD99-6DAD307C32DD}"/>
    <cellStyle name="Comma 3 2 3 3 5" xfId="2348" xr:uid="{FA214806-442C-4FA3-A5B0-562A2F2F3917}"/>
    <cellStyle name="Comma 3 2 3 3 5 2" xfId="6684" xr:uid="{521FD855-5650-4E69-B2CA-1ADDA51754F1}"/>
    <cellStyle name="Comma 3 2 3 3 5 2 2" xfId="15356" xr:uid="{2A48E45D-DD84-4781-8F1B-50068848D167}"/>
    <cellStyle name="Comma 3 2 3 3 5 2 2 2" xfId="32700" xr:uid="{6097F4CA-09AF-4F94-B95F-4374A1E5317F}"/>
    <cellStyle name="Comma 3 2 3 3 5 2 3" xfId="24028" xr:uid="{BFA66BAF-9D7D-4632-BAE8-A3A5D1251BF1}"/>
    <cellStyle name="Comma 3 2 3 3 5 3" xfId="11020" xr:uid="{6DA2CE34-6C47-464E-A830-2A8865B56463}"/>
    <cellStyle name="Comma 3 2 3 3 5 3 2" xfId="28364" xr:uid="{8626CA0C-2A57-4A5B-A587-2CC76D014065}"/>
    <cellStyle name="Comma 3 2 3 3 5 4" xfId="19692" xr:uid="{0BB2BD1A-A531-4209-B1EE-88CA888D635B}"/>
    <cellStyle name="Comma 3 2 3 3 6" xfId="4516" xr:uid="{A8188877-0A4A-40F1-AA6E-12BF2DE1E59F}"/>
    <cellStyle name="Comma 3 2 3 3 6 2" xfId="13188" xr:uid="{6729F4C5-018C-4A5A-A63F-5FD910762C11}"/>
    <cellStyle name="Comma 3 2 3 3 6 2 2" xfId="30532" xr:uid="{99F9BA39-4C7C-43C3-A64F-544DDEEF1512}"/>
    <cellStyle name="Comma 3 2 3 3 6 3" xfId="21860" xr:uid="{54E15629-D0DE-47A2-B920-8AB4366B36EE}"/>
    <cellStyle name="Comma 3 2 3 3 7" xfId="8852" xr:uid="{0D1A1D0B-7107-4645-A8E1-4DC533AF120E}"/>
    <cellStyle name="Comma 3 2 3 3 7 2" xfId="26196" xr:uid="{964FE9C0-3552-4C75-A93F-1CCD8D84F23F}"/>
    <cellStyle name="Comma 3 2 3 3 8" xfId="17524" xr:uid="{2C866EB2-2C70-48D4-87FD-943283E44DCA}"/>
    <cellStyle name="Comma 3 2 3 4" xfId="328" xr:uid="{7914665F-E136-4735-8979-3E662800D406}"/>
    <cellStyle name="Comma 3 2 3 4 2" xfId="869" xr:uid="{A03387A4-E16C-4302-B666-591BAF98BF2F}"/>
    <cellStyle name="Comma 3 2 3 4 2 2" xfId="1953" xr:uid="{1B3C64D3-4296-4BC4-AF37-D34B7E376173}"/>
    <cellStyle name="Comma 3 2 3 4 2 2 2" xfId="4121" xr:uid="{9BDADA07-C602-4E02-9769-B0F982D2AE03}"/>
    <cellStyle name="Comma 3 2 3 4 2 2 2 2" xfId="8457" xr:uid="{15CA98B0-8AB7-449B-A215-BBA7E95F0DED}"/>
    <cellStyle name="Comma 3 2 3 4 2 2 2 2 2" xfId="17129" xr:uid="{F240E496-20D2-4BDA-ABDD-554958712402}"/>
    <cellStyle name="Comma 3 2 3 4 2 2 2 2 2 2" xfId="34473" xr:uid="{3A66289E-42F7-43E3-A6AF-C7F4F6EB3AD6}"/>
    <cellStyle name="Comma 3 2 3 4 2 2 2 2 3" xfId="25801" xr:uid="{D3661006-F886-4A75-861E-DB0FE4A5CD26}"/>
    <cellStyle name="Comma 3 2 3 4 2 2 2 3" xfId="12793" xr:uid="{60BCCE73-64A0-4ED4-A4F2-7AE4B7F5FE15}"/>
    <cellStyle name="Comma 3 2 3 4 2 2 2 3 2" xfId="30137" xr:uid="{C8044039-A9C9-40E5-B447-75CB1CF66AFE}"/>
    <cellStyle name="Comma 3 2 3 4 2 2 2 4" xfId="21465" xr:uid="{2192A71C-6190-41CE-9351-63BFD1E80799}"/>
    <cellStyle name="Comma 3 2 3 4 2 2 3" xfId="6289" xr:uid="{FD31F7F7-63EC-420F-8999-8D7465704A07}"/>
    <cellStyle name="Comma 3 2 3 4 2 2 3 2" xfId="14961" xr:uid="{34222486-1BB0-476B-AF31-3ABB37405C82}"/>
    <cellStyle name="Comma 3 2 3 4 2 2 3 2 2" xfId="32305" xr:uid="{1A0164AB-6218-4980-A7EF-36F33E301987}"/>
    <cellStyle name="Comma 3 2 3 4 2 2 3 3" xfId="23633" xr:uid="{A3B489FD-F45B-426B-89D0-7E43F9D9BDB2}"/>
    <cellStyle name="Comma 3 2 3 4 2 2 4" xfId="10625" xr:uid="{A22A6603-0491-4D18-B741-CF7DDE570E82}"/>
    <cellStyle name="Comma 3 2 3 4 2 2 4 2" xfId="27969" xr:uid="{542DD53B-1A49-40A6-AC00-444F25302DB9}"/>
    <cellStyle name="Comma 3 2 3 4 2 2 5" xfId="19297" xr:uid="{B8C39A5D-C63B-4326-8E8E-60E1BD6D29CE}"/>
    <cellStyle name="Comma 3 2 3 4 2 3" xfId="3037" xr:uid="{9AF956DE-32F7-4C0E-AE3F-0593D39218EC}"/>
    <cellStyle name="Comma 3 2 3 4 2 3 2" xfId="7373" xr:uid="{A25674AC-DE08-49CE-89BF-3355C67F855B}"/>
    <cellStyle name="Comma 3 2 3 4 2 3 2 2" xfId="16045" xr:uid="{CBE893BD-2E00-40F8-AAFE-E6A9E6D1E0CF}"/>
    <cellStyle name="Comma 3 2 3 4 2 3 2 2 2" xfId="33389" xr:uid="{AD8966D5-0E39-4FB8-9D13-5C1DF42483D5}"/>
    <cellStyle name="Comma 3 2 3 4 2 3 2 3" xfId="24717" xr:uid="{96DA4B3F-063E-4A04-9EED-8C3736718381}"/>
    <cellStyle name="Comma 3 2 3 4 2 3 3" xfId="11709" xr:uid="{92B46F84-7216-4CDA-93E4-1D2AE50F0DE2}"/>
    <cellStyle name="Comma 3 2 3 4 2 3 3 2" xfId="29053" xr:uid="{C4AB0A41-BCA1-4954-A299-F014474B721D}"/>
    <cellStyle name="Comma 3 2 3 4 2 3 4" xfId="20381" xr:uid="{F540CB32-85DA-46E0-9FA0-7998879B94FA}"/>
    <cellStyle name="Comma 3 2 3 4 2 4" xfId="5205" xr:uid="{35767AF0-2DBD-4D6A-A25F-3D5ED4547B5F}"/>
    <cellStyle name="Comma 3 2 3 4 2 4 2" xfId="13877" xr:uid="{3BBF61B6-D36D-4F88-90A0-301917063617}"/>
    <cellStyle name="Comma 3 2 3 4 2 4 2 2" xfId="31221" xr:uid="{E826CCB0-484E-4CED-8A47-60F249804EEE}"/>
    <cellStyle name="Comma 3 2 3 4 2 4 3" xfId="22549" xr:uid="{CF3753BB-A018-4267-81A7-2846E7755BCE}"/>
    <cellStyle name="Comma 3 2 3 4 2 5" xfId="9541" xr:uid="{A192C924-3494-41F3-B22D-611344854AFD}"/>
    <cellStyle name="Comma 3 2 3 4 2 5 2" xfId="26885" xr:uid="{A3130C87-21DD-48D0-B324-57A56C4B39FE}"/>
    <cellStyle name="Comma 3 2 3 4 2 6" xfId="18213" xr:uid="{B7603016-C102-4BAD-AAD0-CEABF217A65F}"/>
    <cellStyle name="Comma 3 2 3 4 3" xfId="1412" xr:uid="{3D44F478-54CC-4A9C-A60F-5EC397FFA2C7}"/>
    <cellStyle name="Comma 3 2 3 4 3 2" xfId="3580" xr:uid="{FB0D354B-2523-4B3B-84DA-0707AD6F52BB}"/>
    <cellStyle name="Comma 3 2 3 4 3 2 2" xfId="7916" xr:uid="{7B0D706F-2BDC-4F63-90BF-3A682B974F83}"/>
    <cellStyle name="Comma 3 2 3 4 3 2 2 2" xfId="16588" xr:uid="{EC2E720C-CA18-4BEA-9F03-25AD18F3D686}"/>
    <cellStyle name="Comma 3 2 3 4 3 2 2 2 2" xfId="33932" xr:uid="{3D2DACA3-D880-49A5-BF0F-1AE83F287180}"/>
    <cellStyle name="Comma 3 2 3 4 3 2 2 3" xfId="25260" xr:uid="{01E92AC2-B404-4878-BE68-F65441B5A776}"/>
    <cellStyle name="Comma 3 2 3 4 3 2 3" xfId="12252" xr:uid="{75FC140E-222B-4B73-9340-FE0B63AE9174}"/>
    <cellStyle name="Comma 3 2 3 4 3 2 3 2" xfId="29596" xr:uid="{53AD56B2-6E2F-4A05-A373-2783D05784C9}"/>
    <cellStyle name="Comma 3 2 3 4 3 2 4" xfId="20924" xr:uid="{8D1477BA-89F4-4088-9025-477EB3D9B8F5}"/>
    <cellStyle name="Comma 3 2 3 4 3 3" xfId="5748" xr:uid="{62F1C49A-7A6B-4A2B-AB61-0740C4072AF5}"/>
    <cellStyle name="Comma 3 2 3 4 3 3 2" xfId="14420" xr:uid="{7A558F12-7093-4553-9696-3492987EEFB0}"/>
    <cellStyle name="Comma 3 2 3 4 3 3 2 2" xfId="31764" xr:uid="{40D72300-04E5-43A5-9920-086D14145557}"/>
    <cellStyle name="Comma 3 2 3 4 3 3 3" xfId="23092" xr:uid="{88C1B423-F5EB-4FDC-9B99-7EAF381BCF82}"/>
    <cellStyle name="Comma 3 2 3 4 3 4" xfId="10084" xr:uid="{0BC72963-6B70-4655-B6E4-4C175618DEE5}"/>
    <cellStyle name="Comma 3 2 3 4 3 4 2" xfId="27428" xr:uid="{561544AF-5159-4E91-AFCF-CAC67542183F}"/>
    <cellStyle name="Comma 3 2 3 4 3 5" xfId="18756" xr:uid="{740F38CE-5A7B-4E48-8429-864D9ED22558}"/>
    <cellStyle name="Comma 3 2 3 4 4" xfId="2496" xr:uid="{11926D46-D695-4673-A409-85E801EFCD6B}"/>
    <cellStyle name="Comma 3 2 3 4 4 2" xfId="6832" xr:uid="{7FB7DCB9-A13F-4ECD-8B8D-9A1B02A8724B}"/>
    <cellStyle name="Comma 3 2 3 4 4 2 2" xfId="15504" xr:uid="{5B005290-9246-4879-AE6B-85C1C16E9E9C}"/>
    <cellStyle name="Comma 3 2 3 4 4 2 2 2" xfId="32848" xr:uid="{D36265D9-BDA1-4B3B-BC38-93F180DE4166}"/>
    <cellStyle name="Comma 3 2 3 4 4 2 3" xfId="24176" xr:uid="{6895FE69-92DD-4B6A-965C-615F7E8E35BD}"/>
    <cellStyle name="Comma 3 2 3 4 4 3" xfId="11168" xr:uid="{80EF8E6A-F93D-4A91-9F6C-271098915C05}"/>
    <cellStyle name="Comma 3 2 3 4 4 3 2" xfId="28512" xr:uid="{033C261C-B0BF-4AD1-B241-3E00CE018688}"/>
    <cellStyle name="Comma 3 2 3 4 4 4" xfId="19840" xr:uid="{583D5D8B-ABEC-4044-B719-77C22FCD1EC3}"/>
    <cellStyle name="Comma 3 2 3 4 5" xfId="4664" xr:uid="{A18BC0E1-CEB5-49B0-B98A-1C473ED0C744}"/>
    <cellStyle name="Comma 3 2 3 4 5 2" xfId="13336" xr:uid="{E914E744-CDD1-4561-913A-A7242868F995}"/>
    <cellStyle name="Comma 3 2 3 4 5 2 2" xfId="30680" xr:uid="{77347AB9-B888-432A-9579-66DC08171378}"/>
    <cellStyle name="Comma 3 2 3 4 5 3" xfId="22008" xr:uid="{452996D7-146B-49E1-827D-AA5DB701E877}"/>
    <cellStyle name="Comma 3 2 3 4 6" xfId="9000" xr:uid="{C729DBD7-B0F0-4854-8E71-3268118E271F}"/>
    <cellStyle name="Comma 3 2 3 4 6 2" xfId="26344" xr:uid="{C6A3B8E1-D376-4418-AB1C-2C84FA21A8A1}"/>
    <cellStyle name="Comma 3 2 3 4 7" xfId="17672" xr:uid="{DE4B70B1-CF3C-4438-83AE-C0F857048C27}"/>
    <cellStyle name="Comma 3 2 3 5" xfId="599" xr:uid="{3851E0DB-5A74-4F07-9E3B-E63D439E7DBF}"/>
    <cellStyle name="Comma 3 2 3 5 2" xfId="1683" xr:uid="{C3405002-E508-42D1-9DD8-1027F558A345}"/>
    <cellStyle name="Comma 3 2 3 5 2 2" xfId="3851" xr:uid="{102C65B8-6BCF-41D6-A88C-6FFEEB948DF0}"/>
    <cellStyle name="Comma 3 2 3 5 2 2 2" xfId="8187" xr:uid="{CF64899D-4CB0-456A-B5E5-EA4F24A9BDFB}"/>
    <cellStyle name="Comma 3 2 3 5 2 2 2 2" xfId="16859" xr:uid="{C4CCC4E8-1DC0-4DAF-A798-226D0F84AF90}"/>
    <cellStyle name="Comma 3 2 3 5 2 2 2 2 2" xfId="34203" xr:uid="{4667836E-C4F9-4227-A4AA-7E71EE44B8B1}"/>
    <cellStyle name="Comma 3 2 3 5 2 2 2 3" xfId="25531" xr:uid="{D4122838-2D1A-4680-9DDF-D0088CD07F65}"/>
    <cellStyle name="Comma 3 2 3 5 2 2 3" xfId="12523" xr:uid="{9C6BF5A6-C40B-4B41-94D5-F5EEEAD7E16D}"/>
    <cellStyle name="Comma 3 2 3 5 2 2 3 2" xfId="29867" xr:uid="{624B62DE-B895-4CA1-8BF2-0C7BBD89A525}"/>
    <cellStyle name="Comma 3 2 3 5 2 2 4" xfId="21195" xr:uid="{3F84E17E-4F50-4A06-B36B-6A9C437A5DBB}"/>
    <cellStyle name="Comma 3 2 3 5 2 3" xfId="6019" xr:uid="{61FF5D30-70EB-42D0-89A5-28C5E2AE5B96}"/>
    <cellStyle name="Comma 3 2 3 5 2 3 2" xfId="14691" xr:uid="{FF123953-577E-43D8-9D08-9A8382BA8C60}"/>
    <cellStyle name="Comma 3 2 3 5 2 3 2 2" xfId="32035" xr:uid="{AD638E7B-5C7D-4DA6-9523-4048994E5195}"/>
    <cellStyle name="Comma 3 2 3 5 2 3 3" xfId="23363" xr:uid="{500D6BDB-D3BF-416C-B0BE-1C2261323B3F}"/>
    <cellStyle name="Comma 3 2 3 5 2 4" xfId="10355" xr:uid="{1655FDBF-F158-4930-9B2C-B536C0BD7A82}"/>
    <cellStyle name="Comma 3 2 3 5 2 4 2" xfId="27699" xr:uid="{DEA6C6A4-2F4C-4AAB-AB0F-F8F84195D21C}"/>
    <cellStyle name="Comma 3 2 3 5 2 5" xfId="19027" xr:uid="{33BB97F6-9553-4221-B18C-A34DE334ACB9}"/>
    <cellStyle name="Comma 3 2 3 5 3" xfId="2767" xr:uid="{C9A2272D-5BD8-400A-8DFF-0B34BD1BC61E}"/>
    <cellStyle name="Comma 3 2 3 5 3 2" xfId="7103" xr:uid="{7F8C3EEF-3770-4B84-9C30-B101DB7598ED}"/>
    <cellStyle name="Comma 3 2 3 5 3 2 2" xfId="15775" xr:uid="{43A76274-5F82-4A5E-9565-D110AFC2936A}"/>
    <cellStyle name="Comma 3 2 3 5 3 2 2 2" xfId="33119" xr:uid="{E883305D-E76F-4378-8120-DF5E7CF2012A}"/>
    <cellStyle name="Comma 3 2 3 5 3 2 3" xfId="24447" xr:uid="{D69B623F-5233-4A8D-B8E3-02CA2DD3CA9E}"/>
    <cellStyle name="Comma 3 2 3 5 3 3" xfId="11439" xr:uid="{58AB6BD5-B8D3-498A-875E-81D38D96E01C}"/>
    <cellStyle name="Comma 3 2 3 5 3 3 2" xfId="28783" xr:uid="{5F7A1371-349A-43D9-95BA-5DD5B4623E63}"/>
    <cellStyle name="Comma 3 2 3 5 3 4" xfId="20111" xr:uid="{73827CDF-952C-4ECD-B63A-062C0F8387C7}"/>
    <cellStyle name="Comma 3 2 3 5 4" xfId="4935" xr:uid="{17BA5BA1-08D0-4B0A-9AF4-383013E132DA}"/>
    <cellStyle name="Comma 3 2 3 5 4 2" xfId="13607" xr:uid="{A6452C05-CCEB-4B59-86D8-0BD196462B67}"/>
    <cellStyle name="Comma 3 2 3 5 4 2 2" xfId="30951" xr:uid="{8BCF4D38-34B5-41A7-81EB-00F854174A34}"/>
    <cellStyle name="Comma 3 2 3 5 4 3" xfId="22279" xr:uid="{877D72C1-5978-4E12-B745-2FFAB27EFECF}"/>
    <cellStyle name="Comma 3 2 3 5 5" xfId="9271" xr:uid="{E3991288-33C0-4F81-BE69-A4E16243A18C}"/>
    <cellStyle name="Comma 3 2 3 5 5 2" xfId="26615" xr:uid="{DB97F9D6-379D-4158-B27A-77801ADEE7EF}"/>
    <cellStyle name="Comma 3 2 3 5 6" xfId="17943" xr:uid="{5FA55305-1830-451D-8A3E-11FC23951609}"/>
    <cellStyle name="Comma 3 2 3 6" xfId="1142" xr:uid="{737D4E4E-2D2D-4357-AEB9-FEEF32A93B7D}"/>
    <cellStyle name="Comma 3 2 3 6 2" xfId="3310" xr:uid="{ED9B38BE-74DF-4C0F-AC59-1E11A15677EE}"/>
    <cellStyle name="Comma 3 2 3 6 2 2" xfId="7646" xr:uid="{56990B5A-8FF1-4300-B83A-CF81E9ED440C}"/>
    <cellStyle name="Comma 3 2 3 6 2 2 2" xfId="16318" xr:uid="{FB347524-7951-4E6D-B5A3-78604CD1747C}"/>
    <cellStyle name="Comma 3 2 3 6 2 2 2 2" xfId="33662" xr:uid="{798588AC-EA5B-4529-8772-00719767D9A1}"/>
    <cellStyle name="Comma 3 2 3 6 2 2 3" xfId="24990" xr:uid="{9319CF80-141C-42AF-8C6E-85E70222158B}"/>
    <cellStyle name="Comma 3 2 3 6 2 3" xfId="11982" xr:uid="{AE11C38C-5B98-4E2A-A91B-D2962BD9DA58}"/>
    <cellStyle name="Comma 3 2 3 6 2 3 2" xfId="29326" xr:uid="{59FECBC8-8B66-4C5E-B6C1-343A073E2850}"/>
    <cellStyle name="Comma 3 2 3 6 2 4" xfId="20654" xr:uid="{24C59655-4BF5-4B15-BD8A-4BC87EFE664D}"/>
    <cellStyle name="Comma 3 2 3 6 3" xfId="5478" xr:uid="{D7E27714-F373-425F-AC43-3436BD8D582A}"/>
    <cellStyle name="Comma 3 2 3 6 3 2" xfId="14150" xr:uid="{EACA6711-D646-4663-95FE-9343D26BC2AC}"/>
    <cellStyle name="Comma 3 2 3 6 3 2 2" xfId="31494" xr:uid="{EE1F7940-85C6-41AA-AB96-A2C943C4012B}"/>
    <cellStyle name="Comma 3 2 3 6 3 3" xfId="22822" xr:uid="{0B2C91FF-CEA9-4E65-BF33-71B4089CFE23}"/>
    <cellStyle name="Comma 3 2 3 6 4" xfId="9814" xr:uid="{0C5F9820-D0B0-4A70-85F1-1A8EB42CECA5}"/>
    <cellStyle name="Comma 3 2 3 6 4 2" xfId="27158" xr:uid="{B2554F1F-DBF9-4033-8D40-889D2AD5F9C5}"/>
    <cellStyle name="Comma 3 2 3 6 5" xfId="18486" xr:uid="{3B82A6E5-9930-430F-BE63-F84EEFFB7212}"/>
    <cellStyle name="Comma 3 2 3 7" xfId="2226" xr:uid="{EC685331-44A3-4A90-8EF5-C190E26C9202}"/>
    <cellStyle name="Comma 3 2 3 7 2" xfId="6562" xr:uid="{3E203B40-BE25-448E-B3EF-5B311AA223F4}"/>
    <cellStyle name="Comma 3 2 3 7 2 2" xfId="15234" xr:uid="{81C6BE4C-68DE-494E-A637-74ED0302086C}"/>
    <cellStyle name="Comma 3 2 3 7 2 2 2" xfId="32578" xr:uid="{633E338C-FF04-42AC-972A-577FE6792406}"/>
    <cellStyle name="Comma 3 2 3 7 2 3" xfId="23906" xr:uid="{6B568B36-D062-4B84-B216-06C9F485607D}"/>
    <cellStyle name="Comma 3 2 3 7 3" xfId="10898" xr:uid="{9C862236-0041-4B62-B8D9-7314B31BEB7B}"/>
    <cellStyle name="Comma 3 2 3 7 3 2" xfId="28242" xr:uid="{01267C96-2032-4FA5-9B6A-F8B3EF83183C}"/>
    <cellStyle name="Comma 3 2 3 7 4" xfId="19570" xr:uid="{0D961C64-6B1C-471F-9F25-FCCC9BE3DC74}"/>
    <cellStyle name="Comma 3 2 3 8" xfId="4394" xr:uid="{3380092F-9846-4DFB-B3B9-B69AE7BBB9A0}"/>
    <cellStyle name="Comma 3 2 3 8 2" xfId="13066" xr:uid="{E2AFDFD5-483B-4986-A5D6-65EEDB30CDE8}"/>
    <cellStyle name="Comma 3 2 3 8 2 2" xfId="30410" xr:uid="{5BD38F10-D267-4D95-8C55-3572B8C1818A}"/>
    <cellStyle name="Comma 3 2 3 8 3" xfId="21738" xr:uid="{2055A53E-6136-4BA8-B2D3-F4781E9340B1}"/>
    <cellStyle name="Comma 3 2 3 9" xfId="8730" xr:uid="{DE1BB930-CE36-4BEA-A1CD-EE81C764D8E2}"/>
    <cellStyle name="Comma 3 2 3 9 2" xfId="26074" xr:uid="{5776C66B-F92B-45C4-9373-0B07BE2639C8}"/>
    <cellStyle name="Comma 3 2 4" xfId="71" xr:uid="{F1DC09AD-1587-423F-9D68-C862B914A2C6}"/>
    <cellStyle name="Comma 3 2 4 2" xfId="193" xr:uid="{19DE76BB-E819-4BBD-AA71-8B952FB02866}"/>
    <cellStyle name="Comma 3 2 4 2 2" xfId="463" xr:uid="{0CE49FB4-0438-4F79-9D6A-51BF9EFCD404}"/>
    <cellStyle name="Comma 3 2 4 2 2 2" xfId="1004" xr:uid="{0A8B0966-9743-420B-8654-D9AED70600B5}"/>
    <cellStyle name="Comma 3 2 4 2 2 2 2" xfId="2088" xr:uid="{1B7238E3-34B2-4BA1-9B8E-A1992117BECA}"/>
    <cellStyle name="Comma 3 2 4 2 2 2 2 2" xfId="4256" xr:uid="{1A0062DB-137D-4032-87D2-AD046A2D3039}"/>
    <cellStyle name="Comma 3 2 4 2 2 2 2 2 2" xfId="8592" xr:uid="{E839DF43-942B-42A1-BD08-6834115167A3}"/>
    <cellStyle name="Comma 3 2 4 2 2 2 2 2 2 2" xfId="17264" xr:uid="{66343C8E-13BC-4BFF-A88C-FA5B63113BDF}"/>
    <cellStyle name="Comma 3 2 4 2 2 2 2 2 2 2 2" xfId="34608" xr:uid="{CFFD0919-4BD3-4541-89A3-C641962E163C}"/>
    <cellStyle name="Comma 3 2 4 2 2 2 2 2 2 3" xfId="25936" xr:uid="{B6CB30AF-AAF5-4AE5-B2B2-750DA863A9DE}"/>
    <cellStyle name="Comma 3 2 4 2 2 2 2 2 3" xfId="12928" xr:uid="{D88F46DA-D948-4F05-9BE3-E8F84D28CDB1}"/>
    <cellStyle name="Comma 3 2 4 2 2 2 2 2 3 2" xfId="30272" xr:uid="{811BB6DA-923A-4E7E-80A0-D61DB2FE4F37}"/>
    <cellStyle name="Comma 3 2 4 2 2 2 2 2 4" xfId="21600" xr:uid="{CB1642A2-8E42-4263-9E22-7B430670BDB5}"/>
    <cellStyle name="Comma 3 2 4 2 2 2 2 3" xfId="6424" xr:uid="{DFB28BF6-9C7C-4153-A776-ED4795741442}"/>
    <cellStyle name="Comma 3 2 4 2 2 2 2 3 2" xfId="15096" xr:uid="{FEEA4D73-8FE3-4F87-9CA9-08E51C36C7F7}"/>
    <cellStyle name="Comma 3 2 4 2 2 2 2 3 2 2" xfId="32440" xr:uid="{BB5C6F6E-C980-4699-95F6-A9D4E9687312}"/>
    <cellStyle name="Comma 3 2 4 2 2 2 2 3 3" xfId="23768" xr:uid="{90E9D209-D2E5-4E66-8CD2-A7BBDB549F55}"/>
    <cellStyle name="Comma 3 2 4 2 2 2 2 4" xfId="10760" xr:uid="{FBF9332D-E023-4BCD-B539-7B1CA1E35F31}"/>
    <cellStyle name="Comma 3 2 4 2 2 2 2 4 2" xfId="28104" xr:uid="{45D3F86B-36DB-4936-8DFD-71AD12641D65}"/>
    <cellStyle name="Comma 3 2 4 2 2 2 2 5" xfId="19432" xr:uid="{16120F9A-4FAE-4E07-AF81-A3D9EEF1B445}"/>
    <cellStyle name="Comma 3 2 4 2 2 2 3" xfId="3172" xr:uid="{A9488E84-2E72-4DE5-B080-2978C57ECF42}"/>
    <cellStyle name="Comma 3 2 4 2 2 2 3 2" xfId="7508" xr:uid="{A5871D98-3166-41B1-BDA9-C15863675131}"/>
    <cellStyle name="Comma 3 2 4 2 2 2 3 2 2" xfId="16180" xr:uid="{DDB775C1-F4F4-491E-ABE6-2DCCE0AF9A37}"/>
    <cellStyle name="Comma 3 2 4 2 2 2 3 2 2 2" xfId="33524" xr:uid="{CCDCEDB9-0283-46DE-B746-4860BE13D48A}"/>
    <cellStyle name="Comma 3 2 4 2 2 2 3 2 3" xfId="24852" xr:uid="{93D8064C-5CB9-45C4-B61F-77D5D22CC908}"/>
    <cellStyle name="Comma 3 2 4 2 2 2 3 3" xfId="11844" xr:uid="{7996547C-B8E3-463B-A629-69D4885B60A5}"/>
    <cellStyle name="Comma 3 2 4 2 2 2 3 3 2" xfId="29188" xr:uid="{BBA06C4E-D83A-47A9-A007-49AE62C9A06C}"/>
    <cellStyle name="Comma 3 2 4 2 2 2 3 4" xfId="20516" xr:uid="{62F4E277-DA24-47CC-A59E-FDC88DE6A8EC}"/>
    <cellStyle name="Comma 3 2 4 2 2 2 4" xfId="5340" xr:uid="{227F2689-4580-464F-9042-07213694C23F}"/>
    <cellStyle name="Comma 3 2 4 2 2 2 4 2" xfId="14012" xr:uid="{C7CC4F3A-F863-46BD-BA46-F7B7FD911DED}"/>
    <cellStyle name="Comma 3 2 4 2 2 2 4 2 2" xfId="31356" xr:uid="{0D0E1059-2839-4249-952A-75400E7DEF0F}"/>
    <cellStyle name="Comma 3 2 4 2 2 2 4 3" xfId="22684" xr:uid="{82CC86D3-285E-467B-81A1-9482D86C2BB7}"/>
    <cellStyle name="Comma 3 2 4 2 2 2 5" xfId="9676" xr:uid="{E661C25E-2B7B-45D7-8671-0B67EA15C68E}"/>
    <cellStyle name="Comma 3 2 4 2 2 2 5 2" xfId="27020" xr:uid="{66C14743-4E52-4F43-8C68-B33F264E3202}"/>
    <cellStyle name="Comma 3 2 4 2 2 2 6" xfId="18348" xr:uid="{B3817845-4D26-40D5-8B7A-F7C529A37F06}"/>
    <cellStyle name="Comma 3 2 4 2 2 3" xfId="1547" xr:uid="{9DBCEDA4-7AF1-4601-A7DE-C87EAD271A4C}"/>
    <cellStyle name="Comma 3 2 4 2 2 3 2" xfId="3715" xr:uid="{109F66CF-1852-47C9-921F-8E3B1EC9634D}"/>
    <cellStyle name="Comma 3 2 4 2 2 3 2 2" xfId="8051" xr:uid="{AC0F0158-411B-46D7-B1A6-AA01A47CF949}"/>
    <cellStyle name="Comma 3 2 4 2 2 3 2 2 2" xfId="16723" xr:uid="{5F15A1F6-592E-4CFD-917A-9C5914F8AC25}"/>
    <cellStyle name="Comma 3 2 4 2 2 3 2 2 2 2" xfId="34067" xr:uid="{4A4D5D7F-274F-4982-88FD-7B286E563581}"/>
    <cellStyle name="Comma 3 2 4 2 2 3 2 2 3" xfId="25395" xr:uid="{2E65B166-A288-4CE6-9053-002AC91DCE54}"/>
    <cellStyle name="Comma 3 2 4 2 2 3 2 3" xfId="12387" xr:uid="{ABE97088-5B48-4A38-9857-54DA2269A7B8}"/>
    <cellStyle name="Comma 3 2 4 2 2 3 2 3 2" xfId="29731" xr:uid="{EE00579F-41A1-4A46-9CC1-71121B6D4F56}"/>
    <cellStyle name="Comma 3 2 4 2 2 3 2 4" xfId="21059" xr:uid="{3D93D143-07FF-435C-994D-67AE31E63BAB}"/>
    <cellStyle name="Comma 3 2 4 2 2 3 3" xfId="5883" xr:uid="{FC2B14D4-63DB-45E9-A794-D82059498BE7}"/>
    <cellStyle name="Comma 3 2 4 2 2 3 3 2" xfId="14555" xr:uid="{7A2774E6-CECF-4181-8756-346331FB4828}"/>
    <cellStyle name="Comma 3 2 4 2 2 3 3 2 2" xfId="31899" xr:uid="{E0B33FE9-296E-411D-B15E-C38170CD15EE}"/>
    <cellStyle name="Comma 3 2 4 2 2 3 3 3" xfId="23227" xr:uid="{0DF99D23-0EEE-4F6B-AE68-521D052AF932}"/>
    <cellStyle name="Comma 3 2 4 2 2 3 4" xfId="10219" xr:uid="{7BEF95A0-E873-4C83-B754-12AB949993EE}"/>
    <cellStyle name="Comma 3 2 4 2 2 3 4 2" xfId="27563" xr:uid="{CD107277-0CE1-424B-8D7A-A55B2E4109BE}"/>
    <cellStyle name="Comma 3 2 4 2 2 3 5" xfId="18891" xr:uid="{6FC663BB-97E8-4F54-8A07-925F23D13B63}"/>
    <cellStyle name="Comma 3 2 4 2 2 4" xfId="2631" xr:uid="{48E799EC-F0D6-4EAA-B8D6-8C15879CC72E}"/>
    <cellStyle name="Comma 3 2 4 2 2 4 2" xfId="6967" xr:uid="{C290914D-FEEE-4EE8-97FE-0FF3E0661341}"/>
    <cellStyle name="Comma 3 2 4 2 2 4 2 2" xfId="15639" xr:uid="{F9B1BC11-0241-434E-991E-6395910C2AD5}"/>
    <cellStyle name="Comma 3 2 4 2 2 4 2 2 2" xfId="32983" xr:uid="{E7909755-C5EC-49AC-9C9B-B6C5B277DD5D}"/>
    <cellStyle name="Comma 3 2 4 2 2 4 2 3" xfId="24311" xr:uid="{067F2525-6819-4465-BFFB-FE999BD533B4}"/>
    <cellStyle name="Comma 3 2 4 2 2 4 3" xfId="11303" xr:uid="{816E687A-4785-4A1E-A6E6-2037142854AF}"/>
    <cellStyle name="Comma 3 2 4 2 2 4 3 2" xfId="28647" xr:uid="{CEFDC627-8556-441A-972B-0F62A025287A}"/>
    <cellStyle name="Comma 3 2 4 2 2 4 4" xfId="19975" xr:uid="{A3C0B2DF-BEE8-4FBD-966E-F47B047F7A90}"/>
    <cellStyle name="Comma 3 2 4 2 2 5" xfId="4799" xr:uid="{4B731D3E-47C3-4451-B3B5-AF6AD3878DA6}"/>
    <cellStyle name="Comma 3 2 4 2 2 5 2" xfId="13471" xr:uid="{56690D2F-7E50-47EB-9221-1390739FBB21}"/>
    <cellStyle name="Comma 3 2 4 2 2 5 2 2" xfId="30815" xr:uid="{E79C9F97-9ABB-4751-9D47-75C3F42B80AB}"/>
    <cellStyle name="Comma 3 2 4 2 2 5 3" xfId="22143" xr:uid="{BA1C66C8-C620-4E5F-81E1-5FAE6CD0C9FF}"/>
    <cellStyle name="Comma 3 2 4 2 2 6" xfId="9135" xr:uid="{997C0295-C59B-486B-9D29-C0CFE8D75A53}"/>
    <cellStyle name="Comma 3 2 4 2 2 6 2" xfId="26479" xr:uid="{BAC0E6CE-2877-45FB-BD89-06B5C3C6D772}"/>
    <cellStyle name="Comma 3 2 4 2 2 7" xfId="17807" xr:uid="{C418C296-D07B-445B-BFAD-46E496839EC3}"/>
    <cellStyle name="Comma 3 2 4 2 3" xfId="734" xr:uid="{85EAE1F6-B3F4-4D2F-A265-7571F8692FD8}"/>
    <cellStyle name="Comma 3 2 4 2 3 2" xfId="1818" xr:uid="{F42EFD31-2B0A-4D9E-9731-47A4223BA9DF}"/>
    <cellStyle name="Comma 3 2 4 2 3 2 2" xfId="3986" xr:uid="{5DB7402C-FABE-4613-A6D9-666E89D326A9}"/>
    <cellStyle name="Comma 3 2 4 2 3 2 2 2" xfId="8322" xr:uid="{03140022-CE71-469C-923D-01DFE5853B2C}"/>
    <cellStyle name="Comma 3 2 4 2 3 2 2 2 2" xfId="16994" xr:uid="{0929689E-C20E-4103-AC64-00EC90B5D3E6}"/>
    <cellStyle name="Comma 3 2 4 2 3 2 2 2 2 2" xfId="34338" xr:uid="{B7B3E4C1-A302-45F4-BAEA-E185D5371F36}"/>
    <cellStyle name="Comma 3 2 4 2 3 2 2 2 3" xfId="25666" xr:uid="{A31508C5-3481-4544-8FB8-DCFC81C9CBB6}"/>
    <cellStyle name="Comma 3 2 4 2 3 2 2 3" xfId="12658" xr:uid="{3A13C956-F872-40B4-8407-3AA976306542}"/>
    <cellStyle name="Comma 3 2 4 2 3 2 2 3 2" xfId="30002" xr:uid="{528301E6-B7AF-43A3-8AC7-0880096B669C}"/>
    <cellStyle name="Comma 3 2 4 2 3 2 2 4" xfId="21330" xr:uid="{92E45010-F8B5-4110-A5BE-EB0B748E011A}"/>
    <cellStyle name="Comma 3 2 4 2 3 2 3" xfId="6154" xr:uid="{0532CE46-B1B4-4569-9550-03DF15D3E816}"/>
    <cellStyle name="Comma 3 2 4 2 3 2 3 2" xfId="14826" xr:uid="{88507246-4B07-481F-B78C-A06C70E1119B}"/>
    <cellStyle name="Comma 3 2 4 2 3 2 3 2 2" xfId="32170" xr:uid="{E64B115F-C354-4E2C-80AD-FCB058F3B410}"/>
    <cellStyle name="Comma 3 2 4 2 3 2 3 3" xfId="23498" xr:uid="{63CB5B00-A524-4E1A-AF51-8E1C2D409D83}"/>
    <cellStyle name="Comma 3 2 4 2 3 2 4" xfId="10490" xr:uid="{65BCBD70-F78E-4B95-A331-E5AD29BBD4AE}"/>
    <cellStyle name="Comma 3 2 4 2 3 2 4 2" xfId="27834" xr:uid="{DB2159C7-7EE1-4591-B90E-87F82B040A75}"/>
    <cellStyle name="Comma 3 2 4 2 3 2 5" xfId="19162" xr:uid="{9794EA23-D401-49E5-B92B-7A5408A77B36}"/>
    <cellStyle name="Comma 3 2 4 2 3 3" xfId="2902" xr:uid="{42B017B9-2557-48E4-9B1D-5D647524DA3E}"/>
    <cellStyle name="Comma 3 2 4 2 3 3 2" xfId="7238" xr:uid="{7B8E2C98-77B8-47A0-933D-E3CB3AAFDE4E}"/>
    <cellStyle name="Comma 3 2 4 2 3 3 2 2" xfId="15910" xr:uid="{16B12345-6AD6-4511-A497-B5E00AB2B055}"/>
    <cellStyle name="Comma 3 2 4 2 3 3 2 2 2" xfId="33254" xr:uid="{33416F59-8F99-4E85-8C8C-D99342356153}"/>
    <cellStyle name="Comma 3 2 4 2 3 3 2 3" xfId="24582" xr:uid="{A79B23EA-D507-408F-885C-A431F1C9A93E}"/>
    <cellStyle name="Comma 3 2 4 2 3 3 3" xfId="11574" xr:uid="{22A83D18-8200-4890-974B-BAE4B8166B76}"/>
    <cellStyle name="Comma 3 2 4 2 3 3 3 2" xfId="28918" xr:uid="{4BF48FC0-C309-4ED2-84AE-EAE50F8D1376}"/>
    <cellStyle name="Comma 3 2 4 2 3 3 4" xfId="20246" xr:uid="{63BEAED7-DDFB-4FA5-BB52-C6E87FC4DEB7}"/>
    <cellStyle name="Comma 3 2 4 2 3 4" xfId="5070" xr:uid="{88781D8E-5449-4AA1-9E06-3E952DE023DD}"/>
    <cellStyle name="Comma 3 2 4 2 3 4 2" xfId="13742" xr:uid="{D3DCC9D1-CC70-479E-82B3-A55C0E3B315D}"/>
    <cellStyle name="Comma 3 2 4 2 3 4 2 2" xfId="31086" xr:uid="{0005890C-E3B6-461D-A7D1-8BCF6387B93C}"/>
    <cellStyle name="Comma 3 2 4 2 3 4 3" xfId="22414" xr:uid="{B675CB0A-069B-42D5-8A5D-174BDC948C5B}"/>
    <cellStyle name="Comma 3 2 4 2 3 5" xfId="9406" xr:uid="{B3F83C78-55FE-4F74-96D9-F2641E0CA319}"/>
    <cellStyle name="Comma 3 2 4 2 3 5 2" xfId="26750" xr:uid="{C0B1AB80-AE13-4657-A24E-5135AC471CF1}"/>
    <cellStyle name="Comma 3 2 4 2 3 6" xfId="18078" xr:uid="{6098BF55-84E3-45EC-A903-0BBFAC8749D3}"/>
    <cellStyle name="Comma 3 2 4 2 4" xfId="1277" xr:uid="{68BFF204-CA9C-4B46-9265-E429E0866686}"/>
    <cellStyle name="Comma 3 2 4 2 4 2" xfId="3445" xr:uid="{405BC5A5-EFDC-49B1-AE6A-4DB76F5D81AB}"/>
    <cellStyle name="Comma 3 2 4 2 4 2 2" xfId="7781" xr:uid="{8FB0B603-F825-4A85-A170-DFBE44660B13}"/>
    <cellStyle name="Comma 3 2 4 2 4 2 2 2" xfId="16453" xr:uid="{68C57277-FAE0-45C0-A8C3-8F752C886EDF}"/>
    <cellStyle name="Comma 3 2 4 2 4 2 2 2 2" xfId="33797" xr:uid="{840EAC23-3EFF-4F57-A5E6-CADB0CD9CEB0}"/>
    <cellStyle name="Comma 3 2 4 2 4 2 2 3" xfId="25125" xr:uid="{7BB4B401-D632-46EE-A63B-194EF247FCBC}"/>
    <cellStyle name="Comma 3 2 4 2 4 2 3" xfId="12117" xr:uid="{A9726C77-FA03-4379-B1C6-A2E39F24EFB8}"/>
    <cellStyle name="Comma 3 2 4 2 4 2 3 2" xfId="29461" xr:uid="{609E1034-AD6A-499D-AEC4-CD8CECFF7450}"/>
    <cellStyle name="Comma 3 2 4 2 4 2 4" xfId="20789" xr:uid="{11D0FE99-C6AD-4603-977B-2D5C719B2030}"/>
    <cellStyle name="Comma 3 2 4 2 4 3" xfId="5613" xr:uid="{991226BE-82BB-46A1-8584-A5EDCC6A1C68}"/>
    <cellStyle name="Comma 3 2 4 2 4 3 2" xfId="14285" xr:uid="{D22073F5-9ECE-4ED1-B666-618F1CDB7F46}"/>
    <cellStyle name="Comma 3 2 4 2 4 3 2 2" xfId="31629" xr:uid="{8C0904DD-C088-46DE-AB02-8DBC9D730DAF}"/>
    <cellStyle name="Comma 3 2 4 2 4 3 3" xfId="22957" xr:uid="{4BDA6930-48FB-424D-917C-8947332A01AC}"/>
    <cellStyle name="Comma 3 2 4 2 4 4" xfId="9949" xr:uid="{9654AC3D-DA45-42E1-AA61-ECA80098CF7C}"/>
    <cellStyle name="Comma 3 2 4 2 4 4 2" xfId="27293" xr:uid="{3C016082-2875-4E6B-A147-67E38B3A8374}"/>
    <cellStyle name="Comma 3 2 4 2 4 5" xfId="18621" xr:uid="{3C57DD32-7B49-459D-A3B6-D6BA7DB336DD}"/>
    <cellStyle name="Comma 3 2 4 2 5" xfId="2361" xr:uid="{C8E78B4F-6E85-48CD-BE56-8FF5B0FE6193}"/>
    <cellStyle name="Comma 3 2 4 2 5 2" xfId="6697" xr:uid="{B0409F59-6BC2-4E45-AEB3-E4830EC7F521}"/>
    <cellStyle name="Comma 3 2 4 2 5 2 2" xfId="15369" xr:uid="{EB845EC0-15B4-4F3D-BD3C-2A76AE3C13F3}"/>
    <cellStyle name="Comma 3 2 4 2 5 2 2 2" xfId="32713" xr:uid="{A357AC43-CDEB-47CD-BE1E-5BFED029EE64}"/>
    <cellStyle name="Comma 3 2 4 2 5 2 3" xfId="24041" xr:uid="{378DC5D7-6A84-4A39-B135-1EE031B97FBB}"/>
    <cellStyle name="Comma 3 2 4 2 5 3" xfId="11033" xr:uid="{92B5556D-85BC-46FB-B155-33D36E571D09}"/>
    <cellStyle name="Comma 3 2 4 2 5 3 2" xfId="28377" xr:uid="{1CAA8CF5-FE28-4812-B831-51F75D5814C7}"/>
    <cellStyle name="Comma 3 2 4 2 5 4" xfId="19705" xr:uid="{7215FF60-AB64-4124-AB04-ACF2779E7E26}"/>
    <cellStyle name="Comma 3 2 4 2 6" xfId="4529" xr:uid="{A80B631F-72FB-4686-9743-A02A4AA547E0}"/>
    <cellStyle name="Comma 3 2 4 2 6 2" xfId="13201" xr:uid="{D9DB8F97-ECCD-410D-BD1B-45E405051CD2}"/>
    <cellStyle name="Comma 3 2 4 2 6 2 2" xfId="30545" xr:uid="{386AD68C-2B8F-4213-A560-56AD92646F61}"/>
    <cellStyle name="Comma 3 2 4 2 6 3" xfId="21873" xr:uid="{AE3E530A-9201-44FF-9741-153DCFF1FA98}"/>
    <cellStyle name="Comma 3 2 4 2 7" xfId="8865" xr:uid="{D0415E7E-0802-41A9-BF99-41A26B4D53A7}"/>
    <cellStyle name="Comma 3 2 4 2 7 2" xfId="26209" xr:uid="{FC9A329D-7FCA-4BFD-AC88-005796B565FF}"/>
    <cellStyle name="Comma 3 2 4 2 8" xfId="17537" xr:uid="{AE8F9E0F-CAF4-425B-8A5F-05406596560E}"/>
    <cellStyle name="Comma 3 2 4 3" xfId="341" xr:uid="{5B6684DC-E27C-4DF5-B0A8-955439002DF1}"/>
    <cellStyle name="Comma 3 2 4 3 2" xfId="882" xr:uid="{2214DDC7-1148-4567-A37D-68A6BB4A7705}"/>
    <cellStyle name="Comma 3 2 4 3 2 2" xfId="1966" xr:uid="{60270C28-AC6B-4FE2-8C0C-98BD3E7C9F66}"/>
    <cellStyle name="Comma 3 2 4 3 2 2 2" xfId="4134" xr:uid="{F1DF8328-CC8E-4E9D-8D3C-46FB48490961}"/>
    <cellStyle name="Comma 3 2 4 3 2 2 2 2" xfId="8470" xr:uid="{00C3A8B0-6C30-44F5-9F4C-52BE68133712}"/>
    <cellStyle name="Comma 3 2 4 3 2 2 2 2 2" xfId="17142" xr:uid="{7989237A-1F49-4D8E-AC60-411348BD9E9D}"/>
    <cellStyle name="Comma 3 2 4 3 2 2 2 2 2 2" xfId="34486" xr:uid="{2EE09FE1-47E2-4672-8880-F3B5C6355F1C}"/>
    <cellStyle name="Comma 3 2 4 3 2 2 2 2 3" xfId="25814" xr:uid="{1A4FA9B0-6AA3-4EDE-AE32-0FABD6761B04}"/>
    <cellStyle name="Comma 3 2 4 3 2 2 2 3" xfId="12806" xr:uid="{894CB9F0-B326-4FB0-B905-26D214F67637}"/>
    <cellStyle name="Comma 3 2 4 3 2 2 2 3 2" xfId="30150" xr:uid="{5F8285E3-3E8C-43A9-846C-9F48767F3E0D}"/>
    <cellStyle name="Comma 3 2 4 3 2 2 2 4" xfId="21478" xr:uid="{70FDF109-4EA5-4980-BDCF-A39E3D4EB830}"/>
    <cellStyle name="Comma 3 2 4 3 2 2 3" xfId="6302" xr:uid="{783E0EBA-08E0-4632-87E9-0A924D4BF7F7}"/>
    <cellStyle name="Comma 3 2 4 3 2 2 3 2" xfId="14974" xr:uid="{C507E1B5-3712-42B8-9DA7-1AAED0B97C00}"/>
    <cellStyle name="Comma 3 2 4 3 2 2 3 2 2" xfId="32318" xr:uid="{F2DD3AE4-31E6-4927-A64E-859B8648AA5E}"/>
    <cellStyle name="Comma 3 2 4 3 2 2 3 3" xfId="23646" xr:uid="{E4CF7C12-6E7A-4B60-94C5-BA4B3E9FAB34}"/>
    <cellStyle name="Comma 3 2 4 3 2 2 4" xfId="10638" xr:uid="{38D140DB-52BE-4AFF-99AB-16699F4AA250}"/>
    <cellStyle name="Comma 3 2 4 3 2 2 4 2" xfId="27982" xr:uid="{7484BF63-3823-4495-A61D-1A83B2A5CE34}"/>
    <cellStyle name="Comma 3 2 4 3 2 2 5" xfId="19310" xr:uid="{E2F0BFBB-854A-4D6F-9924-2ADD12DAAB80}"/>
    <cellStyle name="Comma 3 2 4 3 2 3" xfId="3050" xr:uid="{C37365D5-B97C-4799-BEE3-43A0DFC092F5}"/>
    <cellStyle name="Comma 3 2 4 3 2 3 2" xfId="7386" xr:uid="{691D02B9-CEB9-4772-AFE1-71610D7E2FB9}"/>
    <cellStyle name="Comma 3 2 4 3 2 3 2 2" xfId="16058" xr:uid="{558416CF-622C-43A5-B873-7A0B8AEF8F6D}"/>
    <cellStyle name="Comma 3 2 4 3 2 3 2 2 2" xfId="33402" xr:uid="{BD8BCD32-E4A0-411D-8A53-0AA7E2DD95D2}"/>
    <cellStyle name="Comma 3 2 4 3 2 3 2 3" xfId="24730" xr:uid="{6DEAAA6E-F968-4609-B225-70524344A444}"/>
    <cellStyle name="Comma 3 2 4 3 2 3 3" xfId="11722" xr:uid="{9CF0C896-53BC-422E-907B-20BCB2957111}"/>
    <cellStyle name="Comma 3 2 4 3 2 3 3 2" xfId="29066" xr:uid="{00012A03-3B11-446E-82D0-0BA6C96DA24F}"/>
    <cellStyle name="Comma 3 2 4 3 2 3 4" xfId="20394" xr:uid="{750C7C39-9316-4976-8963-39EE6422C331}"/>
    <cellStyle name="Comma 3 2 4 3 2 4" xfId="5218" xr:uid="{7C32578F-519C-4BB0-A45A-9B4436056670}"/>
    <cellStyle name="Comma 3 2 4 3 2 4 2" xfId="13890" xr:uid="{4C9899F9-4A4C-4BE2-B717-9C86556219EA}"/>
    <cellStyle name="Comma 3 2 4 3 2 4 2 2" xfId="31234" xr:uid="{35DC2366-6A8F-4C28-BB9A-8C9DCBE68BE0}"/>
    <cellStyle name="Comma 3 2 4 3 2 4 3" xfId="22562" xr:uid="{B83E6F3B-547E-4CFD-9F41-F0F7B750EC05}"/>
    <cellStyle name="Comma 3 2 4 3 2 5" xfId="9554" xr:uid="{5D369C29-642A-4396-B7E7-68BF171651FE}"/>
    <cellStyle name="Comma 3 2 4 3 2 5 2" xfId="26898" xr:uid="{0186F2DC-FB8E-41E5-8520-9492AC64DDC9}"/>
    <cellStyle name="Comma 3 2 4 3 2 6" xfId="18226" xr:uid="{BB0FE97C-3C30-43AA-9E24-F99536E37EF9}"/>
    <cellStyle name="Comma 3 2 4 3 3" xfId="1425" xr:uid="{33B90E99-F0F9-4873-A2FF-8901BDC9D11E}"/>
    <cellStyle name="Comma 3 2 4 3 3 2" xfId="3593" xr:uid="{EF51BD2C-0B90-4EAC-BC4E-5AB2CF179B6E}"/>
    <cellStyle name="Comma 3 2 4 3 3 2 2" xfId="7929" xr:uid="{F617FE1F-E255-46A1-BFF7-12B09B512246}"/>
    <cellStyle name="Comma 3 2 4 3 3 2 2 2" xfId="16601" xr:uid="{6A86124B-41AA-49BB-A19C-17E846F829CC}"/>
    <cellStyle name="Comma 3 2 4 3 3 2 2 2 2" xfId="33945" xr:uid="{565878D7-3442-47F3-A68F-907E0AF134C2}"/>
    <cellStyle name="Comma 3 2 4 3 3 2 2 3" xfId="25273" xr:uid="{D8DDF0FA-60E6-42EE-A41D-4A9B4584A0F8}"/>
    <cellStyle name="Comma 3 2 4 3 3 2 3" xfId="12265" xr:uid="{17298B7B-C01C-490B-B615-D25E35CB5C0D}"/>
    <cellStyle name="Comma 3 2 4 3 3 2 3 2" xfId="29609" xr:uid="{CD80CF1F-7B16-4E93-8B33-F0CF597E7F87}"/>
    <cellStyle name="Comma 3 2 4 3 3 2 4" xfId="20937" xr:uid="{724DD64E-9F4C-422E-AEEF-205B9260AB16}"/>
    <cellStyle name="Comma 3 2 4 3 3 3" xfId="5761" xr:uid="{04528F41-0457-4DB8-916C-86A6E08E49BF}"/>
    <cellStyle name="Comma 3 2 4 3 3 3 2" xfId="14433" xr:uid="{21306455-B460-478E-8F27-D78AE3A8B89F}"/>
    <cellStyle name="Comma 3 2 4 3 3 3 2 2" xfId="31777" xr:uid="{D643D78B-4279-432B-AE53-6992A6D03E03}"/>
    <cellStyle name="Comma 3 2 4 3 3 3 3" xfId="23105" xr:uid="{41FE6C23-E203-47BF-ACFE-A2DB89A6DA79}"/>
    <cellStyle name="Comma 3 2 4 3 3 4" xfId="10097" xr:uid="{87528C16-0182-4B4E-9E57-AAC70F7114F1}"/>
    <cellStyle name="Comma 3 2 4 3 3 4 2" xfId="27441" xr:uid="{EE3D55B0-A283-425B-B8A3-5DD1717B44C6}"/>
    <cellStyle name="Comma 3 2 4 3 3 5" xfId="18769" xr:uid="{6EB2CAB6-30E9-4E89-877F-2B76DDFA3E18}"/>
    <cellStyle name="Comma 3 2 4 3 4" xfId="2509" xr:uid="{4ECB9C0A-B1DE-4317-85D7-B189DEE80D14}"/>
    <cellStyle name="Comma 3 2 4 3 4 2" xfId="6845" xr:uid="{387F69D7-9CD3-4505-B1EB-4D8F753AAB16}"/>
    <cellStyle name="Comma 3 2 4 3 4 2 2" xfId="15517" xr:uid="{73E043B9-63CF-4D91-B8F1-2624A10F77E5}"/>
    <cellStyle name="Comma 3 2 4 3 4 2 2 2" xfId="32861" xr:uid="{C0D84F75-813E-4149-9666-A4E3343DFE1C}"/>
    <cellStyle name="Comma 3 2 4 3 4 2 3" xfId="24189" xr:uid="{B1A6A6D6-F210-4294-9EE0-A52F12F9CD1F}"/>
    <cellStyle name="Comma 3 2 4 3 4 3" xfId="11181" xr:uid="{A42D14DA-9E27-4CF9-8B8E-BA8A1CDDD5D0}"/>
    <cellStyle name="Comma 3 2 4 3 4 3 2" xfId="28525" xr:uid="{D9F63AA8-5DD1-4027-AEBA-8581658AD6DA}"/>
    <cellStyle name="Comma 3 2 4 3 4 4" xfId="19853" xr:uid="{FF199ACC-0F18-443E-BF82-ED4337683D7A}"/>
    <cellStyle name="Comma 3 2 4 3 5" xfId="4677" xr:uid="{24A9899D-D963-42B0-9D11-8D34D62E7877}"/>
    <cellStyle name="Comma 3 2 4 3 5 2" xfId="13349" xr:uid="{76F01136-2581-49D8-A752-9B950AC22AF2}"/>
    <cellStyle name="Comma 3 2 4 3 5 2 2" xfId="30693" xr:uid="{39863170-6848-4A67-A159-604C48E71595}"/>
    <cellStyle name="Comma 3 2 4 3 5 3" xfId="22021" xr:uid="{1853E940-9514-43E1-838F-54C78EB362B5}"/>
    <cellStyle name="Comma 3 2 4 3 6" xfId="9013" xr:uid="{ECF1A473-DEEC-4419-BC74-447DF5DCCC8C}"/>
    <cellStyle name="Comma 3 2 4 3 6 2" xfId="26357" xr:uid="{D1E3385F-09C4-40AD-8B93-08D50E45219D}"/>
    <cellStyle name="Comma 3 2 4 3 7" xfId="17685" xr:uid="{BEDBB6C6-FB6F-4B0F-A28F-99C1F5A80F13}"/>
    <cellStyle name="Comma 3 2 4 4" xfId="612" xr:uid="{16F5D773-D8D8-4EB3-BC05-B6C92ED119CB}"/>
    <cellStyle name="Comma 3 2 4 4 2" xfId="1696" xr:uid="{3ECF852E-3DB6-4F9C-A4DE-21FED6945D32}"/>
    <cellStyle name="Comma 3 2 4 4 2 2" xfId="3864" xr:uid="{F43A3F08-62F3-4E28-B2ED-460A2C6C4346}"/>
    <cellStyle name="Comma 3 2 4 4 2 2 2" xfId="8200" xr:uid="{D675483A-616F-48B8-8A2D-530DF4E15548}"/>
    <cellStyle name="Comma 3 2 4 4 2 2 2 2" xfId="16872" xr:uid="{D27AEC9F-CDE6-4481-BE7F-2C4CF03DB13E}"/>
    <cellStyle name="Comma 3 2 4 4 2 2 2 2 2" xfId="34216" xr:uid="{F3DF07CB-31E7-45AC-8766-B66F4F32F858}"/>
    <cellStyle name="Comma 3 2 4 4 2 2 2 3" xfId="25544" xr:uid="{D94A84FE-7528-4812-9EAB-1E2319CBC912}"/>
    <cellStyle name="Comma 3 2 4 4 2 2 3" xfId="12536" xr:uid="{CC93247E-6225-4D1E-AB95-E3F3C076080A}"/>
    <cellStyle name="Comma 3 2 4 4 2 2 3 2" xfId="29880" xr:uid="{93852DA4-D260-433B-BEFF-4EA03AC7968E}"/>
    <cellStyle name="Comma 3 2 4 4 2 2 4" xfId="21208" xr:uid="{2B358D3A-2CB4-42FC-963F-E80A3936B2AF}"/>
    <cellStyle name="Comma 3 2 4 4 2 3" xfId="6032" xr:uid="{2CB63C0F-4AB1-4F90-9498-D826ACC32FE8}"/>
    <cellStyle name="Comma 3 2 4 4 2 3 2" xfId="14704" xr:uid="{2378043E-D428-4450-9FDF-9662B6D0963E}"/>
    <cellStyle name="Comma 3 2 4 4 2 3 2 2" xfId="32048" xr:uid="{31FC09BC-72B2-40D0-B5A5-01CC326BFAA9}"/>
    <cellStyle name="Comma 3 2 4 4 2 3 3" xfId="23376" xr:uid="{0388652D-4861-46FD-BC6C-3C082437EE9C}"/>
    <cellStyle name="Comma 3 2 4 4 2 4" xfId="10368" xr:uid="{6291ADA6-D7CE-4AB5-BD38-2EA74020E5D1}"/>
    <cellStyle name="Comma 3 2 4 4 2 4 2" xfId="27712" xr:uid="{2F7CFE8F-15C7-4C55-BFF8-B47CE8A536AE}"/>
    <cellStyle name="Comma 3 2 4 4 2 5" xfId="19040" xr:uid="{8BB55323-0CDC-46B9-9FC8-617921F58CDD}"/>
    <cellStyle name="Comma 3 2 4 4 3" xfId="2780" xr:uid="{FE91AFDB-E523-4446-983D-70CEFB4D3CFB}"/>
    <cellStyle name="Comma 3 2 4 4 3 2" xfId="7116" xr:uid="{A27B3999-86B6-48FD-AA41-D77FDAF9B84C}"/>
    <cellStyle name="Comma 3 2 4 4 3 2 2" xfId="15788" xr:uid="{17523D91-31AD-4526-B4CD-85A4DA540EBA}"/>
    <cellStyle name="Comma 3 2 4 4 3 2 2 2" xfId="33132" xr:uid="{6227D6A6-C719-4707-87F7-697E705255D2}"/>
    <cellStyle name="Comma 3 2 4 4 3 2 3" xfId="24460" xr:uid="{7EE4EA80-4E76-44BF-BEF1-3CDC844C2E58}"/>
    <cellStyle name="Comma 3 2 4 4 3 3" xfId="11452" xr:uid="{9457700C-DDBF-4A45-A187-A0EA8FA91AF1}"/>
    <cellStyle name="Comma 3 2 4 4 3 3 2" xfId="28796" xr:uid="{93D13FF8-099F-4CD7-9E96-7F8835015501}"/>
    <cellStyle name="Comma 3 2 4 4 3 4" xfId="20124" xr:uid="{AF4FA7ED-AFF6-4F48-8DDD-738B949B533B}"/>
    <cellStyle name="Comma 3 2 4 4 4" xfId="4948" xr:uid="{27F59AC3-278C-44BE-B3BA-9B3544A26ACE}"/>
    <cellStyle name="Comma 3 2 4 4 4 2" xfId="13620" xr:uid="{4E01C386-D05A-4CDF-8D8D-4E6EA02C6A05}"/>
    <cellStyle name="Comma 3 2 4 4 4 2 2" xfId="30964" xr:uid="{846F2FC8-9FF3-496E-B423-28C0D75A1290}"/>
    <cellStyle name="Comma 3 2 4 4 4 3" xfId="22292" xr:uid="{2F72FC7E-00EE-4CD9-A4A1-90D2A4E407EC}"/>
    <cellStyle name="Comma 3 2 4 4 5" xfId="9284" xr:uid="{91AB4F8D-6BBE-4009-A617-746A644CE99C}"/>
    <cellStyle name="Comma 3 2 4 4 5 2" xfId="26628" xr:uid="{F83162CB-AFAC-4231-B453-0D7FCA232575}"/>
    <cellStyle name="Comma 3 2 4 4 6" xfId="17956" xr:uid="{35D9E8EE-4A41-45B6-A5FF-9A21DE62AAAF}"/>
    <cellStyle name="Comma 3 2 4 5" xfId="1155" xr:uid="{7170FBBE-E860-4694-A49E-80CC0334DD06}"/>
    <cellStyle name="Comma 3 2 4 5 2" xfId="3323" xr:uid="{F0DABA84-5D87-45D2-84E7-9EE16CDD0415}"/>
    <cellStyle name="Comma 3 2 4 5 2 2" xfId="7659" xr:uid="{091B214B-F9D5-4343-942A-AD0A0040234C}"/>
    <cellStyle name="Comma 3 2 4 5 2 2 2" xfId="16331" xr:uid="{908987E8-55B3-4E6D-804A-62D27917DC9F}"/>
    <cellStyle name="Comma 3 2 4 5 2 2 2 2" xfId="33675" xr:uid="{3778E3A2-E82C-44A8-BDF4-B7F8B41E7905}"/>
    <cellStyle name="Comma 3 2 4 5 2 2 3" xfId="25003" xr:uid="{F3ED4155-FDBC-437D-95BB-3C1A1BB56019}"/>
    <cellStyle name="Comma 3 2 4 5 2 3" xfId="11995" xr:uid="{9A163BC2-183C-49B5-AECE-AC623CD4AF3F}"/>
    <cellStyle name="Comma 3 2 4 5 2 3 2" xfId="29339" xr:uid="{B16C6D25-11AF-486B-80F9-6DF9C598348C}"/>
    <cellStyle name="Comma 3 2 4 5 2 4" xfId="20667" xr:uid="{44F44E92-1C14-42A3-A25D-1839D9043E6C}"/>
    <cellStyle name="Comma 3 2 4 5 3" xfId="5491" xr:uid="{34D61894-D8C6-4F6A-A56B-2AC205C6267D}"/>
    <cellStyle name="Comma 3 2 4 5 3 2" xfId="14163" xr:uid="{5EB56B36-C208-497F-92E4-1EA732B25449}"/>
    <cellStyle name="Comma 3 2 4 5 3 2 2" xfId="31507" xr:uid="{8682155F-E8B2-48AA-BDFD-1938538339C4}"/>
    <cellStyle name="Comma 3 2 4 5 3 3" xfId="22835" xr:uid="{7F01917C-9122-4805-A191-583E1FEEBC2F}"/>
    <cellStyle name="Comma 3 2 4 5 4" xfId="9827" xr:uid="{E9E5E9AB-5E6B-4E1E-ADFF-AE98E5BC0879}"/>
    <cellStyle name="Comma 3 2 4 5 4 2" xfId="27171" xr:uid="{AAF82E98-6174-494F-BFD5-EC8F60165A87}"/>
    <cellStyle name="Comma 3 2 4 5 5" xfId="18499" xr:uid="{0975E137-3795-4FB2-A928-7A4EC98F7D2B}"/>
    <cellStyle name="Comma 3 2 4 6" xfId="2239" xr:uid="{DD36B02C-D1CD-496C-A912-F9CBDDA917BC}"/>
    <cellStyle name="Comma 3 2 4 6 2" xfId="6575" xr:uid="{2CF8B7A8-C0DD-4295-8AAC-BC46F2BF7892}"/>
    <cellStyle name="Comma 3 2 4 6 2 2" xfId="15247" xr:uid="{5477B038-DB11-45B6-87F8-C8AF5484FDE2}"/>
    <cellStyle name="Comma 3 2 4 6 2 2 2" xfId="32591" xr:uid="{F08F7083-AEA3-4BDC-84FD-BC946BAB3A2C}"/>
    <cellStyle name="Comma 3 2 4 6 2 3" xfId="23919" xr:uid="{21E08881-D7C5-4167-800A-964D82051E39}"/>
    <cellStyle name="Comma 3 2 4 6 3" xfId="10911" xr:uid="{CBB68EC8-E943-4066-BA5B-FF4EC6F1A458}"/>
    <cellStyle name="Comma 3 2 4 6 3 2" xfId="28255" xr:uid="{2CC80721-FFB9-423D-A3E9-08796EF52781}"/>
    <cellStyle name="Comma 3 2 4 6 4" xfId="19583" xr:uid="{4471B5D1-E4BC-49E0-B83E-95084373AF64}"/>
    <cellStyle name="Comma 3 2 4 7" xfId="4407" xr:uid="{958CDB36-1841-4617-AEAD-5716FC3E325F}"/>
    <cellStyle name="Comma 3 2 4 7 2" xfId="13079" xr:uid="{213F5B08-40A6-47D2-A834-AD1C2AFD2091}"/>
    <cellStyle name="Comma 3 2 4 7 2 2" xfId="30423" xr:uid="{B1ECE8BA-04D2-413D-9811-D131FDEA8E04}"/>
    <cellStyle name="Comma 3 2 4 7 3" xfId="21751" xr:uid="{B679DA0F-4508-4941-B274-742E89BBD60F}"/>
    <cellStyle name="Comma 3 2 4 8" xfId="8743" xr:uid="{11B5CCF5-9301-4D58-AA4D-A49FA6DCF198}"/>
    <cellStyle name="Comma 3 2 4 8 2" xfId="26087" xr:uid="{BBE40885-F54F-4A99-9BE9-381A8000A10A}"/>
    <cellStyle name="Comma 3 2 4 9" xfId="17415" xr:uid="{9F11BC4C-5CB0-4072-BD94-FC1BA14FD18F}"/>
    <cellStyle name="Comma 3 2 5" xfId="132" xr:uid="{D5EE218D-7C8F-4EC8-AA24-8E2EE07C1E4E}"/>
    <cellStyle name="Comma 3 2 5 2" xfId="402" xr:uid="{3E40BCD4-28BD-46B7-93D3-671089D0EFE5}"/>
    <cellStyle name="Comma 3 2 5 2 2" xfId="943" xr:uid="{C37488B6-ACC8-49C9-9684-2C8919A5B5AD}"/>
    <cellStyle name="Comma 3 2 5 2 2 2" xfId="2027" xr:uid="{C21D00C7-A4F9-4F78-B5B4-0FCB9C62DA79}"/>
    <cellStyle name="Comma 3 2 5 2 2 2 2" xfId="4195" xr:uid="{33D1B6B8-F84D-4D1F-9A11-4D00C40771FE}"/>
    <cellStyle name="Comma 3 2 5 2 2 2 2 2" xfId="8531" xr:uid="{61F420FA-6D78-4DA3-AC83-3A734ACCAED3}"/>
    <cellStyle name="Comma 3 2 5 2 2 2 2 2 2" xfId="17203" xr:uid="{B14C5279-B29E-4A8E-9FDB-0261528CA2F7}"/>
    <cellStyle name="Comma 3 2 5 2 2 2 2 2 2 2" xfId="34547" xr:uid="{AE5A8B9F-A1B5-48DC-8FBF-37C8C84BA19E}"/>
    <cellStyle name="Comma 3 2 5 2 2 2 2 2 3" xfId="25875" xr:uid="{B8404573-DA76-4D63-8CFC-B855A6B8A72B}"/>
    <cellStyle name="Comma 3 2 5 2 2 2 2 3" xfId="12867" xr:uid="{54756144-97D8-4BCA-9441-ACFA60B84574}"/>
    <cellStyle name="Comma 3 2 5 2 2 2 2 3 2" xfId="30211" xr:uid="{F907AD43-9F8E-4D29-94A2-0021FC80EBD2}"/>
    <cellStyle name="Comma 3 2 5 2 2 2 2 4" xfId="21539" xr:uid="{B4BFCD06-7937-439E-8E54-8CE25AD40C8F}"/>
    <cellStyle name="Comma 3 2 5 2 2 2 3" xfId="6363" xr:uid="{4A51287B-1CB5-4104-90A3-6678C309E50F}"/>
    <cellStyle name="Comma 3 2 5 2 2 2 3 2" xfId="15035" xr:uid="{3CD00B56-45B0-431A-993D-AF2B8FC8F1A0}"/>
    <cellStyle name="Comma 3 2 5 2 2 2 3 2 2" xfId="32379" xr:uid="{467F0A88-B26E-430B-8B29-B9D4723988DA}"/>
    <cellStyle name="Comma 3 2 5 2 2 2 3 3" xfId="23707" xr:uid="{F3861D0D-0963-4D4E-9CDD-A158E4245D42}"/>
    <cellStyle name="Comma 3 2 5 2 2 2 4" xfId="10699" xr:uid="{97526C0C-3E7E-489C-8C5D-C95B379FD786}"/>
    <cellStyle name="Comma 3 2 5 2 2 2 4 2" xfId="28043" xr:uid="{D082A54B-DC74-4A02-93D3-34614097F41A}"/>
    <cellStyle name="Comma 3 2 5 2 2 2 5" xfId="19371" xr:uid="{6A26FCA7-FE02-456C-90FD-A583AB56B538}"/>
    <cellStyle name="Comma 3 2 5 2 2 3" xfId="3111" xr:uid="{04325C34-C115-4720-B533-E73D28E92185}"/>
    <cellStyle name="Comma 3 2 5 2 2 3 2" xfId="7447" xr:uid="{3107E057-2D0D-4F92-B3F1-BF0A4BA88123}"/>
    <cellStyle name="Comma 3 2 5 2 2 3 2 2" xfId="16119" xr:uid="{2DD3DA33-3EC8-4E8D-AE72-DBE8DAB5B1D7}"/>
    <cellStyle name="Comma 3 2 5 2 2 3 2 2 2" xfId="33463" xr:uid="{F1F19DAA-4859-4F30-9F89-C491BCEC5DB4}"/>
    <cellStyle name="Comma 3 2 5 2 2 3 2 3" xfId="24791" xr:uid="{8150352B-A843-4FA6-940B-9DF750B5322E}"/>
    <cellStyle name="Comma 3 2 5 2 2 3 3" xfId="11783" xr:uid="{AF258078-E238-4CC0-9A63-0E7B145CFF27}"/>
    <cellStyle name="Comma 3 2 5 2 2 3 3 2" xfId="29127" xr:uid="{6D8732E8-1D50-4CFA-98B0-DA3C0DAF659C}"/>
    <cellStyle name="Comma 3 2 5 2 2 3 4" xfId="20455" xr:uid="{3BCD8FC0-2140-43C4-B3C1-ECB41B7530BA}"/>
    <cellStyle name="Comma 3 2 5 2 2 4" xfId="5279" xr:uid="{9F33A423-F5A5-4E34-8D3C-D1778D09D25E}"/>
    <cellStyle name="Comma 3 2 5 2 2 4 2" xfId="13951" xr:uid="{6FB4BE1E-7849-4B11-90BB-6723DEFAA71E}"/>
    <cellStyle name="Comma 3 2 5 2 2 4 2 2" xfId="31295" xr:uid="{02C78F9D-CC47-4205-9748-D67518A0D90A}"/>
    <cellStyle name="Comma 3 2 5 2 2 4 3" xfId="22623" xr:uid="{661E9051-6333-463C-A2B9-FB3374A76F85}"/>
    <cellStyle name="Comma 3 2 5 2 2 5" xfId="9615" xr:uid="{36B30481-72DA-46FD-98D5-F16B7799237A}"/>
    <cellStyle name="Comma 3 2 5 2 2 5 2" xfId="26959" xr:uid="{192FD4D0-1B94-44D3-A380-112AB37CA3FE}"/>
    <cellStyle name="Comma 3 2 5 2 2 6" xfId="18287" xr:uid="{0B9FB87B-F49F-4C7A-8040-BA0C8F249043}"/>
    <cellStyle name="Comma 3 2 5 2 3" xfId="1486" xr:uid="{594E694D-C207-4CFA-BE92-9C85B3277D0F}"/>
    <cellStyle name="Comma 3 2 5 2 3 2" xfId="3654" xr:uid="{C5907BB4-2085-452F-BAF0-3DE3AAB04008}"/>
    <cellStyle name="Comma 3 2 5 2 3 2 2" xfId="7990" xr:uid="{D0215A2C-13C0-42B6-B036-4BA9AF159C6B}"/>
    <cellStyle name="Comma 3 2 5 2 3 2 2 2" xfId="16662" xr:uid="{36634AE8-03BA-4803-BA44-B0D4D9AFF00D}"/>
    <cellStyle name="Comma 3 2 5 2 3 2 2 2 2" xfId="34006" xr:uid="{91B0F8B0-C4F7-4711-B211-341544FB3E65}"/>
    <cellStyle name="Comma 3 2 5 2 3 2 2 3" xfId="25334" xr:uid="{4B987AAA-2FD6-47B3-88C3-0954D4AD4319}"/>
    <cellStyle name="Comma 3 2 5 2 3 2 3" xfId="12326" xr:uid="{D174C28B-3209-4FBB-8205-EDEEAA718302}"/>
    <cellStyle name="Comma 3 2 5 2 3 2 3 2" xfId="29670" xr:uid="{B7D5F3AF-09C1-46C1-85CC-4BD7644C9D57}"/>
    <cellStyle name="Comma 3 2 5 2 3 2 4" xfId="20998" xr:uid="{C86EDADC-8CE7-4E79-9A6C-0C9D38E0AE18}"/>
    <cellStyle name="Comma 3 2 5 2 3 3" xfId="5822" xr:uid="{8C3E403A-C124-4EC1-A4B6-09BA6BA2BF30}"/>
    <cellStyle name="Comma 3 2 5 2 3 3 2" xfId="14494" xr:uid="{D8331F6C-8FBA-4403-AA67-D7B087B18037}"/>
    <cellStyle name="Comma 3 2 5 2 3 3 2 2" xfId="31838" xr:uid="{4E033EFF-E171-4B22-AB61-441A8F002717}"/>
    <cellStyle name="Comma 3 2 5 2 3 3 3" xfId="23166" xr:uid="{CD791CC2-C367-4A9D-B78F-E4F4F4F5DD93}"/>
    <cellStyle name="Comma 3 2 5 2 3 4" xfId="10158" xr:uid="{FD00DF46-E669-4E84-A444-9EB9D06A3B60}"/>
    <cellStyle name="Comma 3 2 5 2 3 4 2" xfId="27502" xr:uid="{FC70BA26-62A4-4A3E-B6AD-BF0C39F074C6}"/>
    <cellStyle name="Comma 3 2 5 2 3 5" xfId="18830" xr:uid="{43E88427-A05D-464F-8DB9-C8B55756F3EE}"/>
    <cellStyle name="Comma 3 2 5 2 4" xfId="2570" xr:uid="{41F39180-5B5A-4A07-938B-B6E089817895}"/>
    <cellStyle name="Comma 3 2 5 2 4 2" xfId="6906" xr:uid="{1D5E2ECB-8F58-4ECB-800A-B865DE47EC8B}"/>
    <cellStyle name="Comma 3 2 5 2 4 2 2" xfId="15578" xr:uid="{EF1E5F02-D8C5-487C-90CE-82CDBAA64030}"/>
    <cellStyle name="Comma 3 2 5 2 4 2 2 2" xfId="32922" xr:uid="{B3FB934F-2724-4BD5-A118-989CBDE1A7D3}"/>
    <cellStyle name="Comma 3 2 5 2 4 2 3" xfId="24250" xr:uid="{9A097BDF-59EA-4214-B19F-B7A960F278C2}"/>
    <cellStyle name="Comma 3 2 5 2 4 3" xfId="11242" xr:uid="{6622012E-8884-4A0F-90A5-164D5DFDED88}"/>
    <cellStyle name="Comma 3 2 5 2 4 3 2" xfId="28586" xr:uid="{07B19BB9-075E-4C26-A627-17A4870A91D8}"/>
    <cellStyle name="Comma 3 2 5 2 4 4" xfId="19914" xr:uid="{2F7066F8-183E-42E4-B262-52D051833D2F}"/>
    <cellStyle name="Comma 3 2 5 2 5" xfId="4738" xr:uid="{72220742-68E3-4703-88E9-90B03D1D5FA5}"/>
    <cellStyle name="Comma 3 2 5 2 5 2" xfId="13410" xr:uid="{9EA2B3C9-F8F1-47EB-901B-510FD2A9DCA1}"/>
    <cellStyle name="Comma 3 2 5 2 5 2 2" xfId="30754" xr:uid="{7673A27A-7649-43F6-92DD-684A116977D1}"/>
    <cellStyle name="Comma 3 2 5 2 5 3" xfId="22082" xr:uid="{1C3DB9F8-EA0A-4A61-B6D8-BE27705484AA}"/>
    <cellStyle name="Comma 3 2 5 2 6" xfId="9074" xr:uid="{C6B9AA21-BA20-48E5-9B18-263C0B2487BC}"/>
    <cellStyle name="Comma 3 2 5 2 6 2" xfId="26418" xr:uid="{88CCBB5A-A138-4938-A449-565DF079C2A2}"/>
    <cellStyle name="Comma 3 2 5 2 7" xfId="17746" xr:uid="{CF39FD35-D6DC-4899-8A4C-D726E9964A84}"/>
    <cellStyle name="Comma 3 2 5 3" xfId="673" xr:uid="{8AC4BF2D-414B-4AB7-9B4D-2C9386519E7E}"/>
    <cellStyle name="Comma 3 2 5 3 2" xfId="1757" xr:uid="{5F7AD7EA-0891-4E0F-B087-884ABB96F097}"/>
    <cellStyle name="Comma 3 2 5 3 2 2" xfId="3925" xr:uid="{FA1FBCDB-C804-4A56-A8EE-FB8A4673F478}"/>
    <cellStyle name="Comma 3 2 5 3 2 2 2" xfId="8261" xr:uid="{BAE3F0D0-CDEC-4110-BDD8-62A90058ED52}"/>
    <cellStyle name="Comma 3 2 5 3 2 2 2 2" xfId="16933" xr:uid="{B16DCFE4-1837-4521-9671-9FD2D38BE309}"/>
    <cellStyle name="Comma 3 2 5 3 2 2 2 2 2" xfId="34277" xr:uid="{C7F4921B-8EB2-4DF0-BB53-B1E7C0D75C41}"/>
    <cellStyle name="Comma 3 2 5 3 2 2 2 3" xfId="25605" xr:uid="{85895C52-AA4A-4A32-BDB0-A6044F37D1E4}"/>
    <cellStyle name="Comma 3 2 5 3 2 2 3" xfId="12597" xr:uid="{ED84B592-2968-45F2-B631-220E4C8E8B14}"/>
    <cellStyle name="Comma 3 2 5 3 2 2 3 2" xfId="29941" xr:uid="{0DA5B8F5-6761-428B-8D1E-6D8D33870C0E}"/>
    <cellStyle name="Comma 3 2 5 3 2 2 4" xfId="21269" xr:uid="{7C446370-A1DE-4D38-B87E-ECCCD3B7FDDD}"/>
    <cellStyle name="Comma 3 2 5 3 2 3" xfId="6093" xr:uid="{41D0A719-BA14-4639-9995-BFED67BC016A}"/>
    <cellStyle name="Comma 3 2 5 3 2 3 2" xfId="14765" xr:uid="{09AE8A7D-4FC1-4DD1-BB9F-06C01E173D16}"/>
    <cellStyle name="Comma 3 2 5 3 2 3 2 2" xfId="32109" xr:uid="{6DF15379-B36F-4692-AE99-3D0BCDE335D8}"/>
    <cellStyle name="Comma 3 2 5 3 2 3 3" xfId="23437" xr:uid="{B467D150-866A-4CF0-B7D6-F9733996DD21}"/>
    <cellStyle name="Comma 3 2 5 3 2 4" xfId="10429" xr:uid="{95FE9A62-DBA5-4EAA-BEF6-225B9492E6D9}"/>
    <cellStyle name="Comma 3 2 5 3 2 4 2" xfId="27773" xr:uid="{7DEAAE0B-F048-4350-9F06-64AC4C29FD0B}"/>
    <cellStyle name="Comma 3 2 5 3 2 5" xfId="19101" xr:uid="{6ACDC33D-2D81-4B5F-B1F0-264085F6B36E}"/>
    <cellStyle name="Comma 3 2 5 3 3" xfId="2841" xr:uid="{DE7D67D7-4EAF-4F92-840A-F5F3E9D96D04}"/>
    <cellStyle name="Comma 3 2 5 3 3 2" xfId="7177" xr:uid="{A97398EF-CAFF-4973-9CD7-B27BEB952905}"/>
    <cellStyle name="Comma 3 2 5 3 3 2 2" xfId="15849" xr:uid="{FB81496F-25CE-4537-AE00-A1DB2A991A90}"/>
    <cellStyle name="Comma 3 2 5 3 3 2 2 2" xfId="33193" xr:uid="{8E7AA40F-7CA2-48C4-964F-F027C693BC60}"/>
    <cellStyle name="Comma 3 2 5 3 3 2 3" xfId="24521" xr:uid="{EB9D9E85-D0DA-471A-BC60-24F6DEF9454B}"/>
    <cellStyle name="Comma 3 2 5 3 3 3" xfId="11513" xr:uid="{1174F6AC-E79A-4DC5-841A-5B1427959797}"/>
    <cellStyle name="Comma 3 2 5 3 3 3 2" xfId="28857" xr:uid="{E08BE904-3CBD-4235-80E0-9102464D1796}"/>
    <cellStyle name="Comma 3 2 5 3 3 4" xfId="20185" xr:uid="{70721AAB-0B06-4DB4-B7A9-BFB926D6ECF2}"/>
    <cellStyle name="Comma 3 2 5 3 4" xfId="5009" xr:uid="{693D4080-80F3-4163-92D6-8BDF7E3ECF41}"/>
    <cellStyle name="Comma 3 2 5 3 4 2" xfId="13681" xr:uid="{FA454403-F4A5-4100-9FD0-61EF4E1C8553}"/>
    <cellStyle name="Comma 3 2 5 3 4 2 2" xfId="31025" xr:uid="{1EE70BA3-3F6B-40C7-96F6-3EF33F09AE06}"/>
    <cellStyle name="Comma 3 2 5 3 4 3" xfId="22353" xr:uid="{A1DB1C9D-277A-4253-922F-82D04BCD1AAB}"/>
    <cellStyle name="Comma 3 2 5 3 5" xfId="9345" xr:uid="{5F3E9347-1C53-48C9-96B8-8E8D0165FE09}"/>
    <cellStyle name="Comma 3 2 5 3 5 2" xfId="26689" xr:uid="{150CFF6F-5D5D-4789-B813-66AE27CA724D}"/>
    <cellStyle name="Comma 3 2 5 3 6" xfId="18017" xr:uid="{3F1BD16A-53A6-4022-99AF-E6928D326748}"/>
    <cellStyle name="Comma 3 2 5 4" xfId="1216" xr:uid="{FBF0859B-7362-420B-B670-5825E1F6ED2F}"/>
    <cellStyle name="Comma 3 2 5 4 2" xfId="3384" xr:uid="{72079F53-A6CF-495C-9D38-05D3AD1E86EB}"/>
    <cellStyle name="Comma 3 2 5 4 2 2" xfId="7720" xr:uid="{79185C14-7AA2-42E8-94BD-3512F5D9E704}"/>
    <cellStyle name="Comma 3 2 5 4 2 2 2" xfId="16392" xr:uid="{C9FB0FEC-56A6-4BEC-9414-5DAD38679DF8}"/>
    <cellStyle name="Comma 3 2 5 4 2 2 2 2" xfId="33736" xr:uid="{8BCB2E43-9B0F-43FD-B3E7-D663C19FB96D}"/>
    <cellStyle name="Comma 3 2 5 4 2 2 3" xfId="25064" xr:uid="{F6465FD9-4F80-42C5-B911-D373AF4AE82F}"/>
    <cellStyle name="Comma 3 2 5 4 2 3" xfId="12056" xr:uid="{CC836AAF-BB3A-4712-9A5E-77AD86B12193}"/>
    <cellStyle name="Comma 3 2 5 4 2 3 2" xfId="29400" xr:uid="{E004E021-2721-4D00-A90A-733D56F8FAB5}"/>
    <cellStyle name="Comma 3 2 5 4 2 4" xfId="20728" xr:uid="{3C5F4A0B-57A1-4093-946E-44C37CF9C91F}"/>
    <cellStyle name="Comma 3 2 5 4 3" xfId="5552" xr:uid="{0C4D7A88-002F-4C7E-AA13-3D29834AAC80}"/>
    <cellStyle name="Comma 3 2 5 4 3 2" xfId="14224" xr:uid="{D39E5B8A-9FF4-47BA-9CC5-2777BC069911}"/>
    <cellStyle name="Comma 3 2 5 4 3 2 2" xfId="31568" xr:uid="{676B3F5E-5876-41BC-AAE0-D4EFC3E3A186}"/>
    <cellStyle name="Comma 3 2 5 4 3 3" xfId="22896" xr:uid="{1AA2AFA1-D0F6-472D-9EE4-582001C8C6CA}"/>
    <cellStyle name="Comma 3 2 5 4 4" xfId="9888" xr:uid="{95A81B7A-D721-403A-A6BC-BEB4502E6BD5}"/>
    <cellStyle name="Comma 3 2 5 4 4 2" xfId="27232" xr:uid="{9080E719-D2B5-4AD9-BFC0-8F495969BF19}"/>
    <cellStyle name="Comma 3 2 5 4 5" xfId="18560" xr:uid="{28BD15A9-BC0D-484E-ABAF-18E2503EF37D}"/>
    <cellStyle name="Comma 3 2 5 5" xfId="2300" xr:uid="{1E17952E-C822-422D-9632-D5AA6DFA031A}"/>
    <cellStyle name="Comma 3 2 5 5 2" xfId="6636" xr:uid="{24A8CFA5-91B4-4397-AE5F-0AE6954BADD2}"/>
    <cellStyle name="Comma 3 2 5 5 2 2" xfId="15308" xr:uid="{E2BA6192-5D25-4A7A-8711-7E392FB1D31E}"/>
    <cellStyle name="Comma 3 2 5 5 2 2 2" xfId="32652" xr:uid="{11AF8FCA-1C51-4BC4-B457-B309C2E9A614}"/>
    <cellStyle name="Comma 3 2 5 5 2 3" xfId="23980" xr:uid="{E37C98B9-AEC3-41BD-B80E-89F5E6DEEE5A}"/>
    <cellStyle name="Comma 3 2 5 5 3" xfId="10972" xr:uid="{75C2FDFA-1358-4E8B-BFFE-E4EBF0044C0F}"/>
    <cellStyle name="Comma 3 2 5 5 3 2" xfId="28316" xr:uid="{93DDCC5E-E32F-4AF8-9436-D4A799579B1F}"/>
    <cellStyle name="Comma 3 2 5 5 4" xfId="19644" xr:uid="{D1E72D27-46D6-4385-8189-C87CE007AD39}"/>
    <cellStyle name="Comma 3 2 5 6" xfId="4468" xr:uid="{D68D430D-B6DA-4DD6-9475-8B28DC9EF23C}"/>
    <cellStyle name="Comma 3 2 5 6 2" xfId="13140" xr:uid="{74302F93-5910-4F32-A430-30C8747F9534}"/>
    <cellStyle name="Comma 3 2 5 6 2 2" xfId="30484" xr:uid="{2A50F8A8-E2FD-4985-9BBE-8BCE025D3D68}"/>
    <cellStyle name="Comma 3 2 5 6 3" xfId="21812" xr:uid="{BED80029-F184-4A9E-B680-8CBF384A218C}"/>
    <cellStyle name="Comma 3 2 5 7" xfId="8804" xr:uid="{0724BCC9-1C82-465D-8B06-4DF45B30C767}"/>
    <cellStyle name="Comma 3 2 5 7 2" xfId="26148" xr:uid="{82B12640-1D47-4362-BD19-DD34EEF022E5}"/>
    <cellStyle name="Comma 3 2 5 8" xfId="17476" xr:uid="{F07A9F7D-9933-4408-9A2A-C206B96A2726}"/>
    <cellStyle name="Comma 3 2 6" xfId="258" xr:uid="{310ADD37-AF6E-4363-9C8C-BE2F0825D897}"/>
    <cellStyle name="Comma 3 2 6 2" xfId="528" xr:uid="{08E5D743-ADF1-45A9-831F-350953528ADC}"/>
    <cellStyle name="Comma 3 2 6 2 2" xfId="1069" xr:uid="{F4EC815C-E795-42EF-83FA-39B9AD02B539}"/>
    <cellStyle name="Comma 3 2 6 2 2 2" xfId="2153" xr:uid="{2BD08F8C-1B94-4CF5-9861-1ED58ACDF8C2}"/>
    <cellStyle name="Comma 3 2 6 2 2 2 2" xfId="4321" xr:uid="{27D3A299-EAD6-4E79-978F-A420C19D63B5}"/>
    <cellStyle name="Comma 3 2 6 2 2 2 2 2" xfId="8657" xr:uid="{501526E0-A662-4782-9D36-FB7654B39D68}"/>
    <cellStyle name="Comma 3 2 6 2 2 2 2 2 2" xfId="17329" xr:uid="{03A89E9B-5CD3-4364-84C6-4C512AA729AC}"/>
    <cellStyle name="Comma 3 2 6 2 2 2 2 2 2 2" xfId="34673" xr:uid="{4EA1EB76-CED4-43C9-812A-F9E0E3CBB9CA}"/>
    <cellStyle name="Comma 3 2 6 2 2 2 2 2 3" xfId="26001" xr:uid="{0A5CEFFE-C4BF-4A38-87AF-CDAB2C5995A7}"/>
    <cellStyle name="Comma 3 2 6 2 2 2 2 3" xfId="12993" xr:uid="{0CB18230-A915-40BB-AFF2-E84407E4C1B7}"/>
    <cellStyle name="Comma 3 2 6 2 2 2 2 3 2" xfId="30337" xr:uid="{A1D6C9CD-6C26-49A3-9C74-8CBC8B2ACDEE}"/>
    <cellStyle name="Comma 3 2 6 2 2 2 2 4" xfId="21665" xr:uid="{8A386CA9-93A7-4046-AAA5-AD1557D6E569}"/>
    <cellStyle name="Comma 3 2 6 2 2 2 3" xfId="6489" xr:uid="{717A590B-43CA-49D3-A334-499052D1DC76}"/>
    <cellStyle name="Comma 3 2 6 2 2 2 3 2" xfId="15161" xr:uid="{CB5A3978-7487-4323-ABD1-3684FB8E5370}"/>
    <cellStyle name="Comma 3 2 6 2 2 2 3 2 2" xfId="32505" xr:uid="{6F19CC0C-A5AA-4523-A784-7FC8897F1797}"/>
    <cellStyle name="Comma 3 2 6 2 2 2 3 3" xfId="23833" xr:uid="{3BB1AF46-064E-4980-8B3F-3281ADD3AB9F}"/>
    <cellStyle name="Comma 3 2 6 2 2 2 4" xfId="10825" xr:uid="{B7F7E4BE-36F7-4CC1-924A-17A9D93D8BFD}"/>
    <cellStyle name="Comma 3 2 6 2 2 2 4 2" xfId="28169" xr:uid="{98390D6A-8590-4C55-934B-FEA1729B409D}"/>
    <cellStyle name="Comma 3 2 6 2 2 2 5" xfId="19497" xr:uid="{14891174-4578-4A58-8454-4D8E55C3125F}"/>
    <cellStyle name="Comma 3 2 6 2 2 3" xfId="3237" xr:uid="{0E35CAD3-68AF-45A4-99E9-A626687BC715}"/>
    <cellStyle name="Comma 3 2 6 2 2 3 2" xfId="7573" xr:uid="{DDB22CCD-DBDC-4385-8C41-5E224393CE99}"/>
    <cellStyle name="Comma 3 2 6 2 2 3 2 2" xfId="16245" xr:uid="{C5A8A005-05DC-4FAC-BE8E-8F4A81BE04AE}"/>
    <cellStyle name="Comma 3 2 6 2 2 3 2 2 2" xfId="33589" xr:uid="{B1EB7F11-6473-4E8E-A04C-93E276AB775E}"/>
    <cellStyle name="Comma 3 2 6 2 2 3 2 3" xfId="24917" xr:uid="{E7D97A14-C739-4631-BE7E-2B7B108BAD15}"/>
    <cellStyle name="Comma 3 2 6 2 2 3 3" xfId="11909" xr:uid="{11A6EE7D-5DA4-491A-A5AF-11DB1AA84899}"/>
    <cellStyle name="Comma 3 2 6 2 2 3 3 2" xfId="29253" xr:uid="{CD110B09-6CFF-44EB-A9FA-B2E2704D5E2E}"/>
    <cellStyle name="Comma 3 2 6 2 2 3 4" xfId="20581" xr:uid="{5FC7A145-94D3-490C-83C9-5CDDFD74F953}"/>
    <cellStyle name="Comma 3 2 6 2 2 4" xfId="5405" xr:uid="{EF909D78-FC0F-47CD-BD0A-47FF2BB0FC13}"/>
    <cellStyle name="Comma 3 2 6 2 2 4 2" xfId="14077" xr:uid="{2AB63511-8BB6-487C-B992-A45F6A1E5872}"/>
    <cellStyle name="Comma 3 2 6 2 2 4 2 2" xfId="31421" xr:uid="{5B09958C-5AD1-409E-AF29-2D17300DB3DE}"/>
    <cellStyle name="Comma 3 2 6 2 2 4 3" xfId="22749" xr:uid="{8781E51E-33C8-41D3-AA66-FEFF72DB9DB7}"/>
    <cellStyle name="Comma 3 2 6 2 2 5" xfId="9741" xr:uid="{063AF93A-9F62-48D7-90CD-9222EE0A1376}"/>
    <cellStyle name="Comma 3 2 6 2 2 5 2" xfId="27085" xr:uid="{F5D84999-45F0-49CB-A1FC-9ADF16C6ABAB}"/>
    <cellStyle name="Comma 3 2 6 2 2 6" xfId="18413" xr:uid="{15F6F99A-BDB3-4646-8768-4C1F9E70F962}"/>
    <cellStyle name="Comma 3 2 6 2 3" xfId="1612" xr:uid="{52767F7F-C108-45C5-946F-E96838B32C37}"/>
    <cellStyle name="Comma 3 2 6 2 3 2" xfId="3780" xr:uid="{72002167-56B4-487E-99D1-8F24F9189C8E}"/>
    <cellStyle name="Comma 3 2 6 2 3 2 2" xfId="8116" xr:uid="{0182565F-A5FA-4A5C-B35C-0B28AE58A0D9}"/>
    <cellStyle name="Comma 3 2 6 2 3 2 2 2" xfId="16788" xr:uid="{1F55D32C-041A-44E7-8007-AAD522385DD6}"/>
    <cellStyle name="Comma 3 2 6 2 3 2 2 2 2" xfId="34132" xr:uid="{1DD2E405-433B-4058-A90D-E0F420F5E14B}"/>
    <cellStyle name="Comma 3 2 6 2 3 2 2 3" xfId="25460" xr:uid="{551D3C15-D43D-4F50-AE7B-2472CCEA2A57}"/>
    <cellStyle name="Comma 3 2 6 2 3 2 3" xfId="12452" xr:uid="{B059359B-72E2-469A-A1B4-881BFF7B0D1A}"/>
    <cellStyle name="Comma 3 2 6 2 3 2 3 2" xfId="29796" xr:uid="{1A56F298-5FCC-4284-A88D-F3A7A3762A32}"/>
    <cellStyle name="Comma 3 2 6 2 3 2 4" xfId="21124" xr:uid="{FF784562-579D-4956-9A51-04FA1DEBC21E}"/>
    <cellStyle name="Comma 3 2 6 2 3 3" xfId="5948" xr:uid="{EC7A751C-B75E-4642-8D07-84C606DFD086}"/>
    <cellStyle name="Comma 3 2 6 2 3 3 2" xfId="14620" xr:uid="{375DFE8D-7259-4343-BC48-16E3486499D6}"/>
    <cellStyle name="Comma 3 2 6 2 3 3 2 2" xfId="31964" xr:uid="{D347D250-646D-4DBA-96F1-23E6142061C1}"/>
    <cellStyle name="Comma 3 2 6 2 3 3 3" xfId="23292" xr:uid="{812925D7-117C-4646-ADAA-6CAB12C3CD20}"/>
    <cellStyle name="Comma 3 2 6 2 3 4" xfId="10284" xr:uid="{83A674F6-E17B-4CF1-B174-D6EF1FAC2280}"/>
    <cellStyle name="Comma 3 2 6 2 3 4 2" xfId="27628" xr:uid="{BB891F79-1E4C-434B-A55C-DCDF9DE67173}"/>
    <cellStyle name="Comma 3 2 6 2 3 5" xfId="18956" xr:uid="{0A081CA5-4593-4A5D-B30A-2A34A2EDEF8C}"/>
    <cellStyle name="Comma 3 2 6 2 4" xfId="2696" xr:uid="{14EDAC95-D226-4810-87B1-1BAF8BDEBCED}"/>
    <cellStyle name="Comma 3 2 6 2 4 2" xfId="7032" xr:uid="{57E73671-1462-426F-8350-E61819762669}"/>
    <cellStyle name="Comma 3 2 6 2 4 2 2" xfId="15704" xr:uid="{2D8F7A23-7482-408C-B852-2E652C91EEF8}"/>
    <cellStyle name="Comma 3 2 6 2 4 2 2 2" xfId="33048" xr:uid="{271F8F96-500C-4581-8607-4C64857528A3}"/>
    <cellStyle name="Comma 3 2 6 2 4 2 3" xfId="24376" xr:uid="{E5043C75-854A-4415-8E85-F6689E79DB6D}"/>
    <cellStyle name="Comma 3 2 6 2 4 3" xfId="11368" xr:uid="{8BA0B103-6C01-42DD-92E2-CBE7B4954F78}"/>
    <cellStyle name="Comma 3 2 6 2 4 3 2" xfId="28712" xr:uid="{39618677-2BE2-4BCC-8970-4BEC479A7037}"/>
    <cellStyle name="Comma 3 2 6 2 4 4" xfId="20040" xr:uid="{149875B3-C227-4FA7-8ED4-9C95A8B225F6}"/>
    <cellStyle name="Comma 3 2 6 2 5" xfId="4864" xr:uid="{0A4B1432-8371-4712-A5DD-8C2F99857DF2}"/>
    <cellStyle name="Comma 3 2 6 2 5 2" xfId="13536" xr:uid="{D72B1C9A-91C7-41C5-9DED-D567E86AA8FA}"/>
    <cellStyle name="Comma 3 2 6 2 5 2 2" xfId="30880" xr:uid="{7473961B-CEE9-4D97-A96D-9E7E4D70458C}"/>
    <cellStyle name="Comma 3 2 6 2 5 3" xfId="22208" xr:uid="{4499F67B-0136-430B-BF34-F0CF181F3AC2}"/>
    <cellStyle name="Comma 3 2 6 2 6" xfId="9200" xr:uid="{CD9B4CBE-7444-4AB6-9D82-4D4B76BBDEBE}"/>
    <cellStyle name="Comma 3 2 6 2 6 2" xfId="26544" xr:uid="{7E663003-09D9-46B0-900B-953EAD1468D1}"/>
    <cellStyle name="Comma 3 2 6 2 7" xfId="17872" xr:uid="{1628614F-85A4-44B7-8967-90A2064D945E}"/>
    <cellStyle name="Comma 3 2 6 3" xfId="799" xr:uid="{2237B338-7EFB-4EAA-9161-389B1EE88A38}"/>
    <cellStyle name="Comma 3 2 6 3 2" xfId="1883" xr:uid="{932E8C72-117B-4FD9-9FB0-5514D90AF126}"/>
    <cellStyle name="Comma 3 2 6 3 2 2" xfId="4051" xr:uid="{269476C6-4700-49DE-B5EB-E4B657153097}"/>
    <cellStyle name="Comma 3 2 6 3 2 2 2" xfId="8387" xr:uid="{B11FFB47-0387-4F1F-983B-578C527E0CC6}"/>
    <cellStyle name="Comma 3 2 6 3 2 2 2 2" xfId="17059" xr:uid="{D08FF834-4AA2-43DC-B377-06156DBB56A9}"/>
    <cellStyle name="Comma 3 2 6 3 2 2 2 2 2" xfId="34403" xr:uid="{72438F1C-77E5-44B8-B255-4FDA5A9E2B2B}"/>
    <cellStyle name="Comma 3 2 6 3 2 2 2 3" xfId="25731" xr:uid="{AAD65774-F847-4805-BF91-33C98C0DC63A}"/>
    <cellStyle name="Comma 3 2 6 3 2 2 3" xfId="12723" xr:uid="{574B03D4-DBD9-44B1-9208-8E1C69523E25}"/>
    <cellStyle name="Comma 3 2 6 3 2 2 3 2" xfId="30067" xr:uid="{9CB41E4D-43C0-4134-9966-CB6D8DA15A8D}"/>
    <cellStyle name="Comma 3 2 6 3 2 2 4" xfId="21395" xr:uid="{EE47D3F5-A15B-420C-904F-9771CE049535}"/>
    <cellStyle name="Comma 3 2 6 3 2 3" xfId="6219" xr:uid="{6AD2098F-F29D-4CA7-90A4-1C869AED3F42}"/>
    <cellStyle name="Comma 3 2 6 3 2 3 2" xfId="14891" xr:uid="{8BE28DFC-89A4-4C9C-92ED-01CB5BCB2F8A}"/>
    <cellStyle name="Comma 3 2 6 3 2 3 2 2" xfId="32235" xr:uid="{D58F4C28-D03B-4BA2-991B-269DD6F3755F}"/>
    <cellStyle name="Comma 3 2 6 3 2 3 3" xfId="23563" xr:uid="{E777383F-A776-4C41-8E8C-E7A083CCA9EF}"/>
    <cellStyle name="Comma 3 2 6 3 2 4" xfId="10555" xr:uid="{EA698B63-29B1-4FD3-BCF7-0BC7ECD22034}"/>
    <cellStyle name="Comma 3 2 6 3 2 4 2" xfId="27899" xr:uid="{643C8C07-FD1C-43D5-AE4E-75652A68BA42}"/>
    <cellStyle name="Comma 3 2 6 3 2 5" xfId="19227" xr:uid="{E152EA6D-F6E3-4D33-8113-60BB319E577B}"/>
    <cellStyle name="Comma 3 2 6 3 3" xfId="2967" xr:uid="{3B8D389D-F76F-48EF-9867-54919A3687A2}"/>
    <cellStyle name="Comma 3 2 6 3 3 2" xfId="7303" xr:uid="{49660895-F51D-4E3A-A6E2-1EE4724C6A18}"/>
    <cellStyle name="Comma 3 2 6 3 3 2 2" xfId="15975" xr:uid="{038FBC53-42D4-47A2-8778-381025692A0B}"/>
    <cellStyle name="Comma 3 2 6 3 3 2 2 2" xfId="33319" xr:uid="{052506C9-3696-4713-AD4E-CB23780071F4}"/>
    <cellStyle name="Comma 3 2 6 3 3 2 3" xfId="24647" xr:uid="{584164CC-F690-40BC-8DB9-D93AB218B1F1}"/>
    <cellStyle name="Comma 3 2 6 3 3 3" xfId="11639" xr:uid="{BA229CCF-653D-47F5-A49A-A0D94C340D94}"/>
    <cellStyle name="Comma 3 2 6 3 3 3 2" xfId="28983" xr:uid="{4AB4F0E7-B029-45E0-A39F-E05533B30453}"/>
    <cellStyle name="Comma 3 2 6 3 3 4" xfId="20311" xr:uid="{8BB7F8FE-6965-4A03-A0CD-BFDAC0ACFCF8}"/>
    <cellStyle name="Comma 3 2 6 3 4" xfId="5135" xr:uid="{C86CA949-CB61-4201-A640-C8FF13D8ADFC}"/>
    <cellStyle name="Comma 3 2 6 3 4 2" xfId="13807" xr:uid="{2DA03C13-99FB-4198-9F51-32498FE9D2F8}"/>
    <cellStyle name="Comma 3 2 6 3 4 2 2" xfId="31151" xr:uid="{2AE3B1EC-9FE4-4383-B1B0-745166ABC984}"/>
    <cellStyle name="Comma 3 2 6 3 4 3" xfId="22479" xr:uid="{7C2E9DB6-D54A-4C0B-8AE8-C0B0ED9EF97C}"/>
    <cellStyle name="Comma 3 2 6 3 5" xfId="9471" xr:uid="{07921E62-E2B7-4BDD-B3F4-EE410983AD85}"/>
    <cellStyle name="Comma 3 2 6 3 5 2" xfId="26815" xr:uid="{49A8BCDE-4EC8-4EE4-94D3-C34CCD26F42D}"/>
    <cellStyle name="Comma 3 2 6 3 6" xfId="18143" xr:uid="{CAFD1887-145C-41D4-8F04-9533C8770571}"/>
    <cellStyle name="Comma 3 2 6 4" xfId="1342" xr:uid="{18D3F453-9E47-4A55-BA6F-0851ED5AEC76}"/>
    <cellStyle name="Comma 3 2 6 4 2" xfId="3510" xr:uid="{A182D9B2-03FA-4213-AF36-4A09DCD09B3F}"/>
    <cellStyle name="Comma 3 2 6 4 2 2" xfId="7846" xr:uid="{EB781ADD-B27D-4B2A-9532-6106985B36BA}"/>
    <cellStyle name="Comma 3 2 6 4 2 2 2" xfId="16518" xr:uid="{78F441A6-4B2D-4C4B-8529-F415FA7BAD4B}"/>
    <cellStyle name="Comma 3 2 6 4 2 2 2 2" xfId="33862" xr:uid="{0FF49F42-C408-4814-A8F7-EF7905E3538A}"/>
    <cellStyle name="Comma 3 2 6 4 2 2 3" xfId="25190" xr:uid="{C8800044-E0F5-4999-90FB-800F40E2C022}"/>
    <cellStyle name="Comma 3 2 6 4 2 3" xfId="12182" xr:uid="{2A6789A8-A2FC-4CAE-BFBB-B9E804558EE7}"/>
    <cellStyle name="Comma 3 2 6 4 2 3 2" xfId="29526" xr:uid="{3EED9850-D936-484E-82F3-AD80E22D56F0}"/>
    <cellStyle name="Comma 3 2 6 4 2 4" xfId="20854" xr:uid="{62AB5CC4-A939-4BA8-AA51-2C65702E05CB}"/>
    <cellStyle name="Comma 3 2 6 4 3" xfId="5678" xr:uid="{C81B6797-577F-4CC2-BCCB-C9C2E3AB8C08}"/>
    <cellStyle name="Comma 3 2 6 4 3 2" xfId="14350" xr:uid="{958CFAA5-0F72-4D77-8848-7369274E708B}"/>
    <cellStyle name="Comma 3 2 6 4 3 2 2" xfId="31694" xr:uid="{E57607F0-C7F6-4F30-94EB-ACAC634D4996}"/>
    <cellStyle name="Comma 3 2 6 4 3 3" xfId="23022" xr:uid="{0E2832A8-B32D-4271-859B-E7F5FB420B54}"/>
    <cellStyle name="Comma 3 2 6 4 4" xfId="10014" xr:uid="{B48409AA-E295-4DE1-A062-8CEE5C5854D4}"/>
    <cellStyle name="Comma 3 2 6 4 4 2" xfId="27358" xr:uid="{3B52ADB9-93D9-4FA2-BBEA-81B6F239476E}"/>
    <cellStyle name="Comma 3 2 6 4 5" xfId="18686" xr:uid="{547059A6-A89A-405D-8B1C-898A3A944EA7}"/>
    <cellStyle name="Comma 3 2 6 5" xfId="2426" xr:uid="{1DCA76F1-B9BF-4A77-937A-9F982B0CEB9F}"/>
    <cellStyle name="Comma 3 2 6 5 2" xfId="6762" xr:uid="{D9E034DE-7675-4192-9EF7-FE0837FC9E46}"/>
    <cellStyle name="Comma 3 2 6 5 2 2" xfId="15434" xr:uid="{1C8EA898-045F-428F-A4FC-806C771370C1}"/>
    <cellStyle name="Comma 3 2 6 5 2 2 2" xfId="32778" xr:uid="{336F356A-24F6-4AC4-9F2A-4506CEC256E1}"/>
    <cellStyle name="Comma 3 2 6 5 2 3" xfId="24106" xr:uid="{A958EDD4-895C-4646-80BE-F9F81C756BD0}"/>
    <cellStyle name="Comma 3 2 6 5 3" xfId="11098" xr:uid="{B73E256C-B035-4297-9423-1B98E6FE9F45}"/>
    <cellStyle name="Comma 3 2 6 5 3 2" xfId="28442" xr:uid="{84985CA1-0C4C-4D85-984F-1D0C9F7A216E}"/>
    <cellStyle name="Comma 3 2 6 5 4" xfId="19770" xr:uid="{F1408B84-EC58-428A-98D2-3D3C3EB304A9}"/>
    <cellStyle name="Comma 3 2 6 6" xfId="4594" xr:uid="{4D019A0F-29A0-4905-9D48-E4F0B5FFA60E}"/>
    <cellStyle name="Comma 3 2 6 6 2" xfId="13266" xr:uid="{1A4F60E4-07F0-4862-B267-1A321533C545}"/>
    <cellStyle name="Comma 3 2 6 6 2 2" xfId="30610" xr:uid="{405604C7-A742-4070-9302-5ABA6552314E}"/>
    <cellStyle name="Comma 3 2 6 6 3" xfId="21938" xr:uid="{A16AB60C-C372-4E79-AF6B-CE8BB0842050}"/>
    <cellStyle name="Comma 3 2 6 7" xfId="8930" xr:uid="{FCF0F6CB-9C18-4104-A4DC-1F6702019654}"/>
    <cellStyle name="Comma 3 2 6 7 2" xfId="26274" xr:uid="{27CFED42-5B8A-4B49-A57A-608C2B4B80B6}"/>
    <cellStyle name="Comma 3 2 6 8" xfId="17602" xr:uid="{306B6FF2-B3ED-4722-AB77-0C178A24D354}"/>
    <cellStyle name="Comma 3 2 7" xfId="280" xr:uid="{42C13EC7-A5AF-4CA6-AB6F-88215CB57E95}"/>
    <cellStyle name="Comma 3 2 7 2" xfId="821" xr:uid="{388B27EA-E8F5-495D-8CF9-7B25CD756642}"/>
    <cellStyle name="Comma 3 2 7 2 2" xfId="1905" xr:uid="{F4941902-1664-4098-80E1-5D15ED97F74E}"/>
    <cellStyle name="Comma 3 2 7 2 2 2" xfId="4073" xr:uid="{BACC4830-2D28-4260-9ABE-950C599D2402}"/>
    <cellStyle name="Comma 3 2 7 2 2 2 2" xfId="8409" xr:uid="{B124EB4E-B1C5-41AF-8347-7D01B9DF864A}"/>
    <cellStyle name="Comma 3 2 7 2 2 2 2 2" xfId="17081" xr:uid="{093FC5B4-982F-47A0-A46B-BDD93AA601D5}"/>
    <cellStyle name="Comma 3 2 7 2 2 2 2 2 2" xfId="34425" xr:uid="{271FED45-8253-4DAD-8040-F25CD83640EF}"/>
    <cellStyle name="Comma 3 2 7 2 2 2 2 3" xfId="25753" xr:uid="{3BE4B982-E72B-41FA-8D40-DEC77925AD39}"/>
    <cellStyle name="Comma 3 2 7 2 2 2 3" xfId="12745" xr:uid="{9FA5F482-381F-4A4C-96B9-4161D4194B39}"/>
    <cellStyle name="Comma 3 2 7 2 2 2 3 2" xfId="30089" xr:uid="{0E9A3DA1-CB6E-46B1-B4AB-3A7AF2B6044D}"/>
    <cellStyle name="Comma 3 2 7 2 2 2 4" xfId="21417" xr:uid="{EE0F4CA7-38AB-435B-869F-57D8A5827393}"/>
    <cellStyle name="Comma 3 2 7 2 2 3" xfId="6241" xr:uid="{11C4B096-71CE-43CF-B54C-432E578B7151}"/>
    <cellStyle name="Comma 3 2 7 2 2 3 2" xfId="14913" xr:uid="{9BBD3CD6-8210-4C90-B52C-A046595872F3}"/>
    <cellStyle name="Comma 3 2 7 2 2 3 2 2" xfId="32257" xr:uid="{64E2F7EA-8F13-46E9-8897-3A3BFF33EFB9}"/>
    <cellStyle name="Comma 3 2 7 2 2 3 3" xfId="23585" xr:uid="{AD462751-7B91-4103-8F0C-0E3212E833BD}"/>
    <cellStyle name="Comma 3 2 7 2 2 4" xfId="10577" xr:uid="{73C59ABA-0C41-44A0-97A7-0049EAE95B8A}"/>
    <cellStyle name="Comma 3 2 7 2 2 4 2" xfId="27921" xr:uid="{88689C08-076B-414B-A24C-BCF2FF6B3FDD}"/>
    <cellStyle name="Comma 3 2 7 2 2 5" xfId="19249" xr:uid="{F9ABBE39-CEE5-4D97-915D-7A7DD0056816}"/>
    <cellStyle name="Comma 3 2 7 2 3" xfId="2989" xr:uid="{1E665AD5-A0BF-4A8B-8C43-30B06D8771C0}"/>
    <cellStyle name="Comma 3 2 7 2 3 2" xfId="7325" xr:uid="{2046F9F9-CF3F-493A-A965-564156E7B7A1}"/>
    <cellStyle name="Comma 3 2 7 2 3 2 2" xfId="15997" xr:uid="{D115D93A-7C76-49B4-BE14-944A97A7FED2}"/>
    <cellStyle name="Comma 3 2 7 2 3 2 2 2" xfId="33341" xr:uid="{F8A03F5B-1ED5-45E1-A957-737879E75AF8}"/>
    <cellStyle name="Comma 3 2 7 2 3 2 3" xfId="24669" xr:uid="{1315D630-9C96-4623-A674-BF6BC991636E}"/>
    <cellStyle name="Comma 3 2 7 2 3 3" xfId="11661" xr:uid="{B70BAF05-CB1D-43E0-BCE8-CD777FF8D7C2}"/>
    <cellStyle name="Comma 3 2 7 2 3 3 2" xfId="29005" xr:uid="{9DF6F19B-F01B-4D98-9E4D-C785E83C7708}"/>
    <cellStyle name="Comma 3 2 7 2 3 4" xfId="20333" xr:uid="{DF005744-6568-43B9-BB54-18D7A9A767DF}"/>
    <cellStyle name="Comma 3 2 7 2 4" xfId="5157" xr:uid="{4A7BBAF9-969F-47BE-8A5F-609B6CB3010C}"/>
    <cellStyle name="Comma 3 2 7 2 4 2" xfId="13829" xr:uid="{A9004D46-2EB1-4F0C-BAB6-483BC337F0C5}"/>
    <cellStyle name="Comma 3 2 7 2 4 2 2" xfId="31173" xr:uid="{8BF764FA-D076-4ACA-A76D-00B429412700}"/>
    <cellStyle name="Comma 3 2 7 2 4 3" xfId="22501" xr:uid="{B69BBB33-D7BF-404A-9423-7DC9DF93B037}"/>
    <cellStyle name="Comma 3 2 7 2 5" xfId="9493" xr:uid="{8EF01837-FBBB-48FB-BDDD-2018EE7130E4}"/>
    <cellStyle name="Comma 3 2 7 2 5 2" xfId="26837" xr:uid="{67346F74-06A7-4759-ADA3-7DE20F8F0583}"/>
    <cellStyle name="Comma 3 2 7 2 6" xfId="18165" xr:uid="{1B078DA4-839C-409C-BF53-E7FA2A18B9FC}"/>
    <cellStyle name="Comma 3 2 7 3" xfId="1364" xr:uid="{B4053252-1AED-4433-9665-DEEE287C4970}"/>
    <cellStyle name="Comma 3 2 7 3 2" xfId="3532" xr:uid="{76E8EDBB-C68E-4766-AC4F-EA7639C6315A}"/>
    <cellStyle name="Comma 3 2 7 3 2 2" xfId="7868" xr:uid="{0FEF49B3-2E5F-48CC-ABC2-84293F86890B}"/>
    <cellStyle name="Comma 3 2 7 3 2 2 2" xfId="16540" xr:uid="{A29B4C1A-7F98-4351-83FF-89B5DE03E512}"/>
    <cellStyle name="Comma 3 2 7 3 2 2 2 2" xfId="33884" xr:uid="{89E24F60-23DB-4D0D-8385-675A5066A208}"/>
    <cellStyle name="Comma 3 2 7 3 2 2 3" xfId="25212" xr:uid="{30275B90-B7E0-4F90-AB82-666151CF75C9}"/>
    <cellStyle name="Comma 3 2 7 3 2 3" xfId="12204" xr:uid="{96601618-F4B9-4641-BB43-9788C2A45191}"/>
    <cellStyle name="Comma 3 2 7 3 2 3 2" xfId="29548" xr:uid="{D3924B96-92DE-48B1-ACE9-25D8DFFFA82B}"/>
    <cellStyle name="Comma 3 2 7 3 2 4" xfId="20876" xr:uid="{56B5C5F5-AB79-43FD-8D92-6E6BE2873FE1}"/>
    <cellStyle name="Comma 3 2 7 3 3" xfId="5700" xr:uid="{B73ED4C8-C907-4B09-B953-F123F5312677}"/>
    <cellStyle name="Comma 3 2 7 3 3 2" xfId="14372" xr:uid="{05EC93AF-1CB3-4681-9BFB-658E7F2D99AB}"/>
    <cellStyle name="Comma 3 2 7 3 3 2 2" xfId="31716" xr:uid="{59C01E05-D4F3-4138-BE94-27994CD6651E}"/>
    <cellStyle name="Comma 3 2 7 3 3 3" xfId="23044" xr:uid="{E8230BE0-7080-42EF-83DC-0CA6ECF1F4A5}"/>
    <cellStyle name="Comma 3 2 7 3 4" xfId="10036" xr:uid="{16264984-B6EB-40A4-BB31-7A02734351A5}"/>
    <cellStyle name="Comma 3 2 7 3 4 2" xfId="27380" xr:uid="{13C2EF29-E8FB-404B-AFF7-160229E59116}"/>
    <cellStyle name="Comma 3 2 7 3 5" xfId="18708" xr:uid="{9B04AE6A-A6A4-4D92-AA51-7B2A2B5B73A7}"/>
    <cellStyle name="Comma 3 2 7 4" xfId="2448" xr:uid="{868BDD1E-FE93-4695-982E-1D81C2D195B4}"/>
    <cellStyle name="Comma 3 2 7 4 2" xfId="6784" xr:uid="{84900BF5-72D7-4C7E-94C5-8F3F81ABFE86}"/>
    <cellStyle name="Comma 3 2 7 4 2 2" xfId="15456" xr:uid="{76FBEE60-1CAE-4D25-8173-821D521CA80C}"/>
    <cellStyle name="Comma 3 2 7 4 2 2 2" xfId="32800" xr:uid="{DFC5F022-1494-4A58-A52C-23FB3432CD6C}"/>
    <cellStyle name="Comma 3 2 7 4 2 3" xfId="24128" xr:uid="{16E82C37-4D00-448D-9EC9-DF4B45DECAB6}"/>
    <cellStyle name="Comma 3 2 7 4 3" xfId="11120" xr:uid="{7EACE8E8-2D3D-4E28-B3EA-781F6625D7A8}"/>
    <cellStyle name="Comma 3 2 7 4 3 2" xfId="28464" xr:uid="{9044C726-C436-4E7C-A3CA-E4297B694C07}"/>
    <cellStyle name="Comma 3 2 7 4 4" xfId="19792" xr:uid="{A4174938-F1C8-4E63-B675-A07213CD8385}"/>
    <cellStyle name="Comma 3 2 7 5" xfId="4616" xr:uid="{4CCF24D9-424E-401B-89E9-2941DA2C4D6B}"/>
    <cellStyle name="Comma 3 2 7 5 2" xfId="13288" xr:uid="{2B131C39-648A-4AF6-BEF6-89FA641BAB01}"/>
    <cellStyle name="Comma 3 2 7 5 2 2" xfId="30632" xr:uid="{E5DA0A3D-06D4-4E38-8327-1AA01746CC4F}"/>
    <cellStyle name="Comma 3 2 7 5 3" xfId="21960" xr:uid="{F7D3AB1B-6B21-4A31-B5F3-FAE8459CCD88}"/>
    <cellStyle name="Comma 3 2 7 6" xfId="8952" xr:uid="{99B59A57-FD33-4B00-A4F8-A8BC212E9E7F}"/>
    <cellStyle name="Comma 3 2 7 6 2" xfId="26296" xr:uid="{4BF5E266-5A9C-45FC-B6E2-93988E0ABA6A}"/>
    <cellStyle name="Comma 3 2 7 7" xfId="17624" xr:uid="{4FF4886F-B300-46ED-99E0-FC7B350A28CD}"/>
    <cellStyle name="Comma 3 2 8" xfId="551" xr:uid="{FCC51A2F-FAE3-4A99-B518-47F4B590B482}"/>
    <cellStyle name="Comma 3 2 8 2" xfId="1635" xr:uid="{B7454924-96FF-4BA7-A2A9-0A813DFFFD9D}"/>
    <cellStyle name="Comma 3 2 8 2 2" xfId="3803" xr:uid="{EA5D60DE-8FE1-4EB0-9987-10C36D0903B6}"/>
    <cellStyle name="Comma 3 2 8 2 2 2" xfId="8139" xr:uid="{8096C98F-7431-4FEC-BC9F-2D193B24AF7D}"/>
    <cellStyle name="Comma 3 2 8 2 2 2 2" xfId="16811" xr:uid="{5F37F822-BE0A-4573-A9C7-E94931295430}"/>
    <cellStyle name="Comma 3 2 8 2 2 2 2 2" xfId="34155" xr:uid="{7B3C2D99-50DA-4362-9189-C466A5E31494}"/>
    <cellStyle name="Comma 3 2 8 2 2 2 3" xfId="25483" xr:uid="{7BE9FD48-91D2-4B45-9062-76618EA295C1}"/>
    <cellStyle name="Comma 3 2 8 2 2 3" xfId="12475" xr:uid="{DB3D58A4-F5FB-4D59-A27B-7C5F35D32B3C}"/>
    <cellStyle name="Comma 3 2 8 2 2 3 2" xfId="29819" xr:uid="{329F2BC8-F9B0-419F-B617-6217D752EE68}"/>
    <cellStyle name="Comma 3 2 8 2 2 4" xfId="21147" xr:uid="{AC228AAF-0A07-4F84-9B0B-1A7855CB7987}"/>
    <cellStyle name="Comma 3 2 8 2 3" xfId="5971" xr:uid="{80BDD33E-5B0A-46BB-9E8F-69F9D8305FC3}"/>
    <cellStyle name="Comma 3 2 8 2 3 2" xfId="14643" xr:uid="{3510F6C3-E410-47E8-9205-E977CC92DF79}"/>
    <cellStyle name="Comma 3 2 8 2 3 2 2" xfId="31987" xr:uid="{4752071C-445F-4913-A98E-B53B9DC17F3B}"/>
    <cellStyle name="Comma 3 2 8 2 3 3" xfId="23315" xr:uid="{0D765E22-9D69-434F-8E88-11DD6DE0C607}"/>
    <cellStyle name="Comma 3 2 8 2 4" xfId="10307" xr:uid="{0BD8BE1C-BBEB-493F-ADCD-9AE14588020A}"/>
    <cellStyle name="Comma 3 2 8 2 4 2" xfId="27651" xr:uid="{00B5DFE7-0A42-4764-A553-5290FA69B964}"/>
    <cellStyle name="Comma 3 2 8 2 5" xfId="18979" xr:uid="{1DFD3A98-71FA-4F47-8848-517E8466D379}"/>
    <cellStyle name="Comma 3 2 8 3" xfId="2719" xr:uid="{22CB797C-779F-4467-A2D5-84FBB2AC13AA}"/>
    <cellStyle name="Comma 3 2 8 3 2" xfId="7055" xr:uid="{0BE25088-3F8D-47C2-82D0-3E3AFE8838DC}"/>
    <cellStyle name="Comma 3 2 8 3 2 2" xfId="15727" xr:uid="{72E3F4B7-8E62-4683-8A51-8D37981E7EF5}"/>
    <cellStyle name="Comma 3 2 8 3 2 2 2" xfId="33071" xr:uid="{B41452B1-0D8B-4914-AF80-E07D63748F7D}"/>
    <cellStyle name="Comma 3 2 8 3 2 3" xfId="24399" xr:uid="{E9AC1F9E-A6FB-48A7-859C-2AB402DFD4A6}"/>
    <cellStyle name="Comma 3 2 8 3 3" xfId="11391" xr:uid="{9D52F4A4-4299-4C99-836C-C2A95DD12AF9}"/>
    <cellStyle name="Comma 3 2 8 3 3 2" xfId="28735" xr:uid="{2DDBE575-58A7-46D4-A358-78A156707BBA}"/>
    <cellStyle name="Comma 3 2 8 3 4" xfId="20063" xr:uid="{025464B7-47B6-4056-929C-0C732FF4EA3C}"/>
    <cellStyle name="Comma 3 2 8 4" xfId="4887" xr:uid="{DFD57C80-A5BC-44D6-81C3-BEBB67285821}"/>
    <cellStyle name="Comma 3 2 8 4 2" xfId="13559" xr:uid="{7D0BCB4A-14FC-4AB2-B78E-EAB3CBCECA9D}"/>
    <cellStyle name="Comma 3 2 8 4 2 2" xfId="30903" xr:uid="{FEEA03C3-CD0A-45AE-8173-F50832AEF09E}"/>
    <cellStyle name="Comma 3 2 8 4 3" xfId="22231" xr:uid="{9579BA1F-F49C-419E-86CA-2C23DA7C29D5}"/>
    <cellStyle name="Comma 3 2 8 5" xfId="9223" xr:uid="{99C80C17-2779-4FA0-BB86-1E15DA6F217E}"/>
    <cellStyle name="Comma 3 2 8 5 2" xfId="26567" xr:uid="{2A09D5DB-BA08-4F3F-B03C-19006D3EED1B}"/>
    <cellStyle name="Comma 3 2 8 6" xfId="17895" xr:uid="{83726111-0C18-4FE9-844B-13B5AD717CEF}"/>
    <cellStyle name="Comma 3 2 9" xfId="1094" xr:uid="{55D8428C-0B79-4540-A849-42B29D4A8676}"/>
    <cellStyle name="Comma 3 2 9 2" xfId="3262" xr:uid="{8A93F9FE-46AB-4653-9C38-A9F0F6DAA356}"/>
    <cellStyle name="Comma 3 2 9 2 2" xfId="7598" xr:uid="{C7F95E4F-9636-4A90-BA86-4C1000F3582A}"/>
    <cellStyle name="Comma 3 2 9 2 2 2" xfId="16270" xr:uid="{FBD0D0A2-AB9E-4719-B20D-FF0FDC2290A2}"/>
    <cellStyle name="Comma 3 2 9 2 2 2 2" xfId="33614" xr:uid="{8DD0D6E4-5273-4834-94F5-A2843FBE7BA5}"/>
    <cellStyle name="Comma 3 2 9 2 2 3" xfId="24942" xr:uid="{57CF6A38-0D95-4FE8-ACB3-DFEF9C15C40C}"/>
    <cellStyle name="Comma 3 2 9 2 3" xfId="11934" xr:uid="{9C4AE035-EB5C-4667-AF99-3BE8E9D92782}"/>
    <cellStyle name="Comma 3 2 9 2 3 2" xfId="29278" xr:uid="{13D0D6A5-013D-43F2-8A6D-6B6D57EE0888}"/>
    <cellStyle name="Comma 3 2 9 2 4" xfId="20606" xr:uid="{23345B98-A8E5-40DC-99E1-031F6C111782}"/>
    <cellStyle name="Comma 3 2 9 3" xfId="5430" xr:uid="{A6DD02E9-AAFC-463B-AAFB-37A5525418B3}"/>
    <cellStyle name="Comma 3 2 9 3 2" xfId="14102" xr:uid="{F6397D56-3601-4A0A-8D78-0038DB5EE1F6}"/>
    <cellStyle name="Comma 3 2 9 3 2 2" xfId="31446" xr:uid="{6D69A96A-622F-44AB-8D89-96D48A04021D}"/>
    <cellStyle name="Comma 3 2 9 3 3" xfId="22774" xr:uid="{C12883F3-19B9-40C5-8088-9BCA51A0D4D1}"/>
    <cellStyle name="Comma 3 2 9 4" xfId="9766" xr:uid="{0B374964-6B19-4414-9209-E3FF08F0CD19}"/>
    <cellStyle name="Comma 3 2 9 4 2" xfId="27110" xr:uid="{5D34F254-6454-4EFC-A0B2-97DBDB7431EC}"/>
    <cellStyle name="Comma 3 2 9 5" xfId="18438" xr:uid="{A9F56BC9-175F-474D-9082-422DC3F87165}"/>
    <cellStyle name="Comma 3 3" xfId="20" xr:uid="{F8F9CEF9-83AE-438C-A8C2-BA416AA78C82}"/>
    <cellStyle name="Comma 3 3 10" xfId="8692" xr:uid="{C4D6FAE4-EDA7-486C-AA7D-CEF9B571718A}"/>
    <cellStyle name="Comma 3 3 10 2" xfId="26036" xr:uid="{CA8FDE14-CD41-4447-848A-DF9C06223A4D}"/>
    <cellStyle name="Comma 3 3 11" xfId="17364" xr:uid="{B00D2884-9CE6-4550-AC0F-7BC044B10304}"/>
    <cellStyle name="Comma 3 3 2" xfId="81" xr:uid="{458F3EAA-A7AE-4809-8900-639C95924D9D}"/>
    <cellStyle name="Comma 3 3 2 2" xfId="203" xr:uid="{D60B0A92-D5D0-4AA1-907B-60255BD68CEC}"/>
    <cellStyle name="Comma 3 3 2 2 2" xfId="473" xr:uid="{D708A166-1BCD-470A-8544-AA8BA0843475}"/>
    <cellStyle name="Comma 3 3 2 2 2 2" xfId="1014" xr:uid="{465828F8-233D-45B1-90AC-71C9070B08FA}"/>
    <cellStyle name="Comma 3 3 2 2 2 2 2" xfId="2098" xr:uid="{3FE4B625-AA94-4289-A8FE-3AE96B8D5A5E}"/>
    <cellStyle name="Comma 3 3 2 2 2 2 2 2" xfId="4266" xr:uid="{57FF2D8C-4B83-436F-8FD5-54698CA54861}"/>
    <cellStyle name="Comma 3 3 2 2 2 2 2 2 2" xfId="8602" xr:uid="{9251486B-4C6A-408B-9012-C2685061C11B}"/>
    <cellStyle name="Comma 3 3 2 2 2 2 2 2 2 2" xfId="17274" xr:uid="{D953F899-4FBA-405D-8FD8-333D318382CA}"/>
    <cellStyle name="Comma 3 3 2 2 2 2 2 2 2 2 2" xfId="34618" xr:uid="{F5D5BC22-6858-4EAA-AE5A-BAA20ED53FB3}"/>
    <cellStyle name="Comma 3 3 2 2 2 2 2 2 2 3" xfId="25946" xr:uid="{E2EE0788-3FD9-44A2-8931-743400754501}"/>
    <cellStyle name="Comma 3 3 2 2 2 2 2 2 3" xfId="12938" xr:uid="{4C4762BD-1C86-4FCD-B3EF-0B3C2C58CEEA}"/>
    <cellStyle name="Comma 3 3 2 2 2 2 2 2 3 2" xfId="30282" xr:uid="{6C54641C-CCB3-451D-81A7-BAD83498F3DE}"/>
    <cellStyle name="Comma 3 3 2 2 2 2 2 2 4" xfId="21610" xr:uid="{E354746D-0454-4E85-A6A9-16E61EC11E98}"/>
    <cellStyle name="Comma 3 3 2 2 2 2 2 3" xfId="6434" xr:uid="{921E23B9-8577-48FB-966B-23F23AE8FE5B}"/>
    <cellStyle name="Comma 3 3 2 2 2 2 2 3 2" xfId="15106" xr:uid="{32836C2F-FA35-4ACD-BC70-7B076CCDDC4A}"/>
    <cellStyle name="Comma 3 3 2 2 2 2 2 3 2 2" xfId="32450" xr:uid="{808872F2-F301-4AB4-8B46-3DF2E2CEA568}"/>
    <cellStyle name="Comma 3 3 2 2 2 2 2 3 3" xfId="23778" xr:uid="{E0A11218-BD09-450B-8401-D8120C66CF77}"/>
    <cellStyle name="Comma 3 3 2 2 2 2 2 4" xfId="10770" xr:uid="{8EDDBC21-E58A-408A-BBFE-984579527DAF}"/>
    <cellStyle name="Comma 3 3 2 2 2 2 2 4 2" xfId="28114" xr:uid="{90082756-9533-46CD-8CAD-FD2843AF01B9}"/>
    <cellStyle name="Comma 3 3 2 2 2 2 2 5" xfId="19442" xr:uid="{7F69C238-CDB1-44B9-A116-E1A6BE59DE05}"/>
    <cellStyle name="Comma 3 3 2 2 2 2 3" xfId="3182" xr:uid="{76E65CEE-B122-4E9F-8D29-9E7A7B410320}"/>
    <cellStyle name="Comma 3 3 2 2 2 2 3 2" xfId="7518" xr:uid="{C0A4B2F0-8FDE-45A7-9E6D-2D55F1B28B16}"/>
    <cellStyle name="Comma 3 3 2 2 2 2 3 2 2" xfId="16190" xr:uid="{833A393B-179C-41AA-A5A0-A52F5DE093C2}"/>
    <cellStyle name="Comma 3 3 2 2 2 2 3 2 2 2" xfId="33534" xr:uid="{B5F3A3FF-F3C4-43A7-B8DE-CF1FEDC35522}"/>
    <cellStyle name="Comma 3 3 2 2 2 2 3 2 3" xfId="24862" xr:uid="{90DDA8B9-6AE5-45FB-ADFC-F657119B30DB}"/>
    <cellStyle name="Comma 3 3 2 2 2 2 3 3" xfId="11854" xr:uid="{71ABA12B-CE7A-46F9-A300-65B3BCD66716}"/>
    <cellStyle name="Comma 3 3 2 2 2 2 3 3 2" xfId="29198" xr:uid="{D8B51E73-A031-430B-99FD-E0B181C01BBC}"/>
    <cellStyle name="Comma 3 3 2 2 2 2 3 4" xfId="20526" xr:uid="{8FA9320C-C4FA-4E52-AFE2-A19C551D602D}"/>
    <cellStyle name="Comma 3 3 2 2 2 2 4" xfId="5350" xr:uid="{0A1D7F8B-BC15-4B80-BD8D-938FC281039A}"/>
    <cellStyle name="Comma 3 3 2 2 2 2 4 2" xfId="14022" xr:uid="{8042F9B4-8013-4994-B05C-208CA6B6161D}"/>
    <cellStyle name="Comma 3 3 2 2 2 2 4 2 2" xfId="31366" xr:uid="{02D3DC69-E8C7-400F-BA01-E817545AB47A}"/>
    <cellStyle name="Comma 3 3 2 2 2 2 4 3" xfId="22694" xr:uid="{42ACC213-7EE7-4165-9864-FEA2F93603A9}"/>
    <cellStyle name="Comma 3 3 2 2 2 2 5" xfId="9686" xr:uid="{28460D11-29AD-43E2-B285-F5870412322F}"/>
    <cellStyle name="Comma 3 3 2 2 2 2 5 2" xfId="27030" xr:uid="{019F7566-11E5-49A2-8030-55446D486682}"/>
    <cellStyle name="Comma 3 3 2 2 2 2 6" xfId="18358" xr:uid="{4A91254B-33FE-49E9-B96B-E6C8970A290B}"/>
    <cellStyle name="Comma 3 3 2 2 2 3" xfId="1557" xr:uid="{7FC294AE-86AD-4B99-8063-AEA7A1CD99EB}"/>
    <cellStyle name="Comma 3 3 2 2 2 3 2" xfId="3725" xr:uid="{E736F8C5-E440-405B-9391-3FF8C1AFE95F}"/>
    <cellStyle name="Comma 3 3 2 2 2 3 2 2" xfId="8061" xr:uid="{D1FE8514-6958-4F56-B14B-432D2CCF3ED5}"/>
    <cellStyle name="Comma 3 3 2 2 2 3 2 2 2" xfId="16733" xr:uid="{5F4076BC-9D3A-497E-83D0-3443DE10B0F3}"/>
    <cellStyle name="Comma 3 3 2 2 2 3 2 2 2 2" xfId="34077" xr:uid="{F24E1692-93DB-44FC-9B7F-E3D43C3BACB1}"/>
    <cellStyle name="Comma 3 3 2 2 2 3 2 2 3" xfId="25405" xr:uid="{F5CE616B-298B-4593-85BF-62045B8D957B}"/>
    <cellStyle name="Comma 3 3 2 2 2 3 2 3" xfId="12397" xr:uid="{092C8B3B-8E94-4156-9819-9800BE1A022F}"/>
    <cellStyle name="Comma 3 3 2 2 2 3 2 3 2" xfId="29741" xr:uid="{4AF5A3A4-7D71-4245-8F0E-7D7113E67DE4}"/>
    <cellStyle name="Comma 3 3 2 2 2 3 2 4" xfId="21069" xr:uid="{E5F89250-72E5-4258-AFF5-3BE45F7F3077}"/>
    <cellStyle name="Comma 3 3 2 2 2 3 3" xfId="5893" xr:uid="{14449B78-AB86-4C8C-9A86-C557CE1F3227}"/>
    <cellStyle name="Comma 3 3 2 2 2 3 3 2" xfId="14565" xr:uid="{0EB9EDDB-27F5-4896-8C66-2FF326389BDB}"/>
    <cellStyle name="Comma 3 3 2 2 2 3 3 2 2" xfId="31909" xr:uid="{BD15B920-2C8F-4F11-ADE5-DE1A57B9F7CE}"/>
    <cellStyle name="Comma 3 3 2 2 2 3 3 3" xfId="23237" xr:uid="{F0D5C97B-AB75-4DD8-892F-182E15F9FE00}"/>
    <cellStyle name="Comma 3 3 2 2 2 3 4" xfId="10229" xr:uid="{65DED178-F0AE-4B53-94A8-69C0ECB1927F}"/>
    <cellStyle name="Comma 3 3 2 2 2 3 4 2" xfId="27573" xr:uid="{EC395F36-EC08-4BB7-ACD2-D96E83CB8BF1}"/>
    <cellStyle name="Comma 3 3 2 2 2 3 5" xfId="18901" xr:uid="{A1783FE5-906F-4FBC-BCC0-E700457D67AB}"/>
    <cellStyle name="Comma 3 3 2 2 2 4" xfId="2641" xr:uid="{E5FA762C-331D-4E5E-87AB-1136A7C98076}"/>
    <cellStyle name="Comma 3 3 2 2 2 4 2" xfId="6977" xr:uid="{30CDE257-1AFC-4702-8FAA-89CCFB152AD4}"/>
    <cellStyle name="Comma 3 3 2 2 2 4 2 2" xfId="15649" xr:uid="{969166FF-A2F1-4418-82F6-F64D9B60467B}"/>
    <cellStyle name="Comma 3 3 2 2 2 4 2 2 2" xfId="32993" xr:uid="{9D841AB3-38F6-429E-96E6-4BC38B83C02A}"/>
    <cellStyle name="Comma 3 3 2 2 2 4 2 3" xfId="24321" xr:uid="{CD2A29A0-259B-41F1-852D-2CDCC21DA372}"/>
    <cellStyle name="Comma 3 3 2 2 2 4 3" xfId="11313" xr:uid="{C4292937-9A37-413D-93F8-71AEF1DBDE1E}"/>
    <cellStyle name="Comma 3 3 2 2 2 4 3 2" xfId="28657" xr:uid="{20E6F917-7778-4338-BFFF-234CDA245CEC}"/>
    <cellStyle name="Comma 3 3 2 2 2 4 4" xfId="19985" xr:uid="{38E342A3-B8B7-4080-AC8A-B7F1048D9D8B}"/>
    <cellStyle name="Comma 3 3 2 2 2 5" xfId="4809" xr:uid="{2A1F4FEA-1620-42DE-9249-D5F149C2851C}"/>
    <cellStyle name="Comma 3 3 2 2 2 5 2" xfId="13481" xr:uid="{B2238D39-034F-4AD3-9B74-E79453EDCAB8}"/>
    <cellStyle name="Comma 3 3 2 2 2 5 2 2" xfId="30825" xr:uid="{FD145D66-6757-42F8-8A76-E42979AC784B}"/>
    <cellStyle name="Comma 3 3 2 2 2 5 3" xfId="22153" xr:uid="{1AB9C8F5-7C1F-4A07-B34F-6F957593CFA9}"/>
    <cellStyle name="Comma 3 3 2 2 2 6" xfId="9145" xr:uid="{99A6D803-31B7-46A0-851D-EDAE18B18B98}"/>
    <cellStyle name="Comma 3 3 2 2 2 6 2" xfId="26489" xr:uid="{7A314B46-C6C7-41BF-A4C3-B5DBE192D170}"/>
    <cellStyle name="Comma 3 3 2 2 2 7" xfId="17817" xr:uid="{75538978-1FBB-4E71-9F74-AC38C756441F}"/>
    <cellStyle name="Comma 3 3 2 2 3" xfId="744" xr:uid="{424B4FEF-1F23-4A4C-8B03-CC1F2AB31D23}"/>
    <cellStyle name="Comma 3 3 2 2 3 2" xfId="1828" xr:uid="{FD2B311B-F84B-4F52-9455-3A604A229CF1}"/>
    <cellStyle name="Comma 3 3 2 2 3 2 2" xfId="3996" xr:uid="{F104E28A-6416-4F73-8561-CA35C3FCDC23}"/>
    <cellStyle name="Comma 3 3 2 2 3 2 2 2" xfId="8332" xr:uid="{B43C8145-CBB4-4E83-8F77-33ECB9978C6B}"/>
    <cellStyle name="Comma 3 3 2 2 3 2 2 2 2" xfId="17004" xr:uid="{6364BF5C-1826-4688-A6DB-594AEEDA32DD}"/>
    <cellStyle name="Comma 3 3 2 2 3 2 2 2 2 2" xfId="34348" xr:uid="{1D0C023F-427A-4185-A885-CE268AC127B4}"/>
    <cellStyle name="Comma 3 3 2 2 3 2 2 2 3" xfId="25676" xr:uid="{3D960E9E-9327-4C53-9F82-38D67A3C8284}"/>
    <cellStyle name="Comma 3 3 2 2 3 2 2 3" xfId="12668" xr:uid="{4DCEB079-3F5F-4670-A4DC-4AB096959038}"/>
    <cellStyle name="Comma 3 3 2 2 3 2 2 3 2" xfId="30012" xr:uid="{CB91B0E7-C80A-44C5-B1B3-404490617D08}"/>
    <cellStyle name="Comma 3 3 2 2 3 2 2 4" xfId="21340" xr:uid="{74B7094F-7C87-4E76-B9F4-B9683DF04FD7}"/>
    <cellStyle name="Comma 3 3 2 2 3 2 3" xfId="6164" xr:uid="{C41DE1FC-8BB0-498A-A6C8-228A24F56F6C}"/>
    <cellStyle name="Comma 3 3 2 2 3 2 3 2" xfId="14836" xr:uid="{A344E413-1DB8-4ADA-850C-33F1CDC0EC5C}"/>
    <cellStyle name="Comma 3 3 2 2 3 2 3 2 2" xfId="32180" xr:uid="{265EE88A-0038-4D75-9C3A-A4CED933FFC2}"/>
    <cellStyle name="Comma 3 3 2 2 3 2 3 3" xfId="23508" xr:uid="{43100AC5-F35A-48D3-9ECE-4A341DD7D2EF}"/>
    <cellStyle name="Comma 3 3 2 2 3 2 4" xfId="10500" xr:uid="{5E247FFB-185F-47BB-BCE0-BD6C5414C802}"/>
    <cellStyle name="Comma 3 3 2 2 3 2 4 2" xfId="27844" xr:uid="{FE3302D3-FA76-4D6D-B1F3-266876250EBB}"/>
    <cellStyle name="Comma 3 3 2 2 3 2 5" xfId="19172" xr:uid="{34A070A2-818C-402B-A93A-9AED316334AC}"/>
    <cellStyle name="Comma 3 3 2 2 3 3" xfId="2912" xr:uid="{159DBECA-B493-48A3-B976-59C37A0B9889}"/>
    <cellStyle name="Comma 3 3 2 2 3 3 2" xfId="7248" xr:uid="{AD72D9D5-B7A9-4335-9ED6-F39AF43A712F}"/>
    <cellStyle name="Comma 3 3 2 2 3 3 2 2" xfId="15920" xr:uid="{86F8A024-40B5-4B2A-B4DA-61717AF2B92C}"/>
    <cellStyle name="Comma 3 3 2 2 3 3 2 2 2" xfId="33264" xr:uid="{EC8A445D-5753-40B1-B35C-BAEDA8FA44F7}"/>
    <cellStyle name="Comma 3 3 2 2 3 3 2 3" xfId="24592" xr:uid="{D5D9BCCC-A1CC-43D8-BA3B-709E0BB5FDDF}"/>
    <cellStyle name="Comma 3 3 2 2 3 3 3" xfId="11584" xr:uid="{3C6C6D3D-FF18-431B-BF34-5A21553E29F6}"/>
    <cellStyle name="Comma 3 3 2 2 3 3 3 2" xfId="28928" xr:uid="{CCD33591-EC88-4025-8322-01F1F218E997}"/>
    <cellStyle name="Comma 3 3 2 2 3 3 4" xfId="20256" xr:uid="{7C9DA3C5-E290-4121-B258-94B969862F99}"/>
    <cellStyle name="Comma 3 3 2 2 3 4" xfId="5080" xr:uid="{D04BF15C-F6F6-4BCF-ABDD-BD1B56AF0E99}"/>
    <cellStyle name="Comma 3 3 2 2 3 4 2" xfId="13752" xr:uid="{2E4C90EB-2A89-4A46-A43E-618D4844C552}"/>
    <cellStyle name="Comma 3 3 2 2 3 4 2 2" xfId="31096" xr:uid="{A40B6F95-D130-4585-AE6A-B3775D375246}"/>
    <cellStyle name="Comma 3 3 2 2 3 4 3" xfId="22424" xr:uid="{ECB84CAE-BB8C-4D88-9DBD-B2F29989694D}"/>
    <cellStyle name="Comma 3 3 2 2 3 5" xfId="9416" xr:uid="{2F28CA17-76AE-442B-A9FB-967A3C7667A1}"/>
    <cellStyle name="Comma 3 3 2 2 3 5 2" xfId="26760" xr:uid="{4EA781A7-8CAD-4927-B32D-D1E3D0FB14C1}"/>
    <cellStyle name="Comma 3 3 2 2 3 6" xfId="18088" xr:uid="{55FF8787-764F-4275-BB6E-86469A301940}"/>
    <cellStyle name="Comma 3 3 2 2 4" xfId="1287" xr:uid="{F5F32BEA-4D40-468A-B9AC-70802C8DE287}"/>
    <cellStyle name="Comma 3 3 2 2 4 2" xfId="3455" xr:uid="{8A2903B1-0B1E-4692-A469-5182BC1C3126}"/>
    <cellStyle name="Comma 3 3 2 2 4 2 2" xfId="7791" xr:uid="{36CF4851-A9D9-439C-B090-25C5D0417B8A}"/>
    <cellStyle name="Comma 3 3 2 2 4 2 2 2" xfId="16463" xr:uid="{27A6D57F-05C3-4CD0-8E44-ADD830FF1E61}"/>
    <cellStyle name="Comma 3 3 2 2 4 2 2 2 2" xfId="33807" xr:uid="{BFA442A4-DCB3-4A39-994F-DAB8E4A013E6}"/>
    <cellStyle name="Comma 3 3 2 2 4 2 2 3" xfId="25135" xr:uid="{43227C36-36F4-4530-9722-C1D03269A4FD}"/>
    <cellStyle name="Comma 3 3 2 2 4 2 3" xfId="12127" xr:uid="{1155ED4B-93D9-4073-9CFD-BB7E45D41943}"/>
    <cellStyle name="Comma 3 3 2 2 4 2 3 2" xfId="29471" xr:uid="{20CB7602-274D-4400-82C8-078E0D95453C}"/>
    <cellStyle name="Comma 3 3 2 2 4 2 4" xfId="20799" xr:uid="{86388311-B59A-4DEA-B69C-B08F13022B57}"/>
    <cellStyle name="Comma 3 3 2 2 4 3" xfId="5623" xr:uid="{4ABE5378-36AE-4A67-B98B-61F95ED62B22}"/>
    <cellStyle name="Comma 3 3 2 2 4 3 2" xfId="14295" xr:uid="{B1B7F172-05A7-47B8-86E7-9DF3F7F9D165}"/>
    <cellStyle name="Comma 3 3 2 2 4 3 2 2" xfId="31639" xr:uid="{D550F972-F332-4801-804E-75BF96F3BB0F}"/>
    <cellStyle name="Comma 3 3 2 2 4 3 3" xfId="22967" xr:uid="{33851C3D-5FC6-411F-AF39-62D89D257EDC}"/>
    <cellStyle name="Comma 3 3 2 2 4 4" xfId="9959" xr:uid="{B4469F3E-FC25-4B3D-BE66-4A6F41DFE9C2}"/>
    <cellStyle name="Comma 3 3 2 2 4 4 2" xfId="27303" xr:uid="{1CD58B02-C96E-44AA-8E10-5E827BF1D3F8}"/>
    <cellStyle name="Comma 3 3 2 2 4 5" xfId="18631" xr:uid="{42A4855F-74B0-45B9-BE0F-F0AF8EC76E14}"/>
    <cellStyle name="Comma 3 3 2 2 5" xfId="2371" xr:uid="{A5F9E2D9-2A10-4E16-88B1-0DD4E5627F6F}"/>
    <cellStyle name="Comma 3 3 2 2 5 2" xfId="6707" xr:uid="{8907DB74-D6E0-414C-A4DB-2FDF0154D323}"/>
    <cellStyle name="Comma 3 3 2 2 5 2 2" xfId="15379" xr:uid="{C0A2CC5E-0991-422E-9E06-3A2BFD952758}"/>
    <cellStyle name="Comma 3 3 2 2 5 2 2 2" xfId="32723" xr:uid="{38A1EBD2-E571-4CFC-AE3C-8CD1D584D888}"/>
    <cellStyle name="Comma 3 3 2 2 5 2 3" xfId="24051" xr:uid="{D0A303C7-021B-4E74-8F50-04D95EC4C7B2}"/>
    <cellStyle name="Comma 3 3 2 2 5 3" xfId="11043" xr:uid="{3E3ABE64-DEB1-4216-8A5F-69A662BFA703}"/>
    <cellStyle name="Comma 3 3 2 2 5 3 2" xfId="28387" xr:uid="{B0F3C14C-5647-418B-839B-4DD9F4BFCA55}"/>
    <cellStyle name="Comma 3 3 2 2 5 4" xfId="19715" xr:uid="{1A5EF24F-DF95-43D5-9655-5188406EC00A}"/>
    <cellStyle name="Comma 3 3 2 2 6" xfId="4539" xr:uid="{5ADC87FB-F4FF-4DF3-A308-F57B94B8D131}"/>
    <cellStyle name="Comma 3 3 2 2 6 2" xfId="13211" xr:uid="{8787C604-8357-4B26-992E-4C4BB99AF557}"/>
    <cellStyle name="Comma 3 3 2 2 6 2 2" xfId="30555" xr:uid="{B9951B1D-592B-4E63-B315-A4FF1E3EF85F}"/>
    <cellStyle name="Comma 3 3 2 2 6 3" xfId="21883" xr:uid="{6DA4BAA4-2E74-4991-8B3E-039D4923C0DA}"/>
    <cellStyle name="Comma 3 3 2 2 7" xfId="8875" xr:uid="{76D164DD-81B1-44A5-8451-BB67D571D7A6}"/>
    <cellStyle name="Comma 3 3 2 2 7 2" xfId="26219" xr:uid="{DAFC41C1-B234-440A-A252-71ACB1E5D431}"/>
    <cellStyle name="Comma 3 3 2 2 8" xfId="17547" xr:uid="{F3C18D5D-F7C7-4BD3-90EE-135A6060333F}"/>
    <cellStyle name="Comma 3 3 2 3" xfId="351" xr:uid="{11E2CC6A-4597-4248-80E4-4D9CC823B824}"/>
    <cellStyle name="Comma 3 3 2 3 2" xfId="892" xr:uid="{9A4E1CC4-18D0-4BDC-93B5-78519A88475E}"/>
    <cellStyle name="Comma 3 3 2 3 2 2" xfId="1976" xr:uid="{ED3F17D0-FDA5-4E07-A2BA-1D6B2505992B}"/>
    <cellStyle name="Comma 3 3 2 3 2 2 2" xfId="4144" xr:uid="{BEF4EE80-BB1F-401F-AE23-966AC5239657}"/>
    <cellStyle name="Comma 3 3 2 3 2 2 2 2" xfId="8480" xr:uid="{92144FDC-1049-4964-BD0E-8AA5CD6DE6BD}"/>
    <cellStyle name="Comma 3 3 2 3 2 2 2 2 2" xfId="17152" xr:uid="{D0474706-035C-4F7B-A00F-D9CC09445332}"/>
    <cellStyle name="Comma 3 3 2 3 2 2 2 2 2 2" xfId="34496" xr:uid="{2BB7FA54-775A-4D01-8F81-3F27D578D7A1}"/>
    <cellStyle name="Comma 3 3 2 3 2 2 2 2 3" xfId="25824" xr:uid="{DEE39A88-0965-42A6-B65B-475A9CE030EC}"/>
    <cellStyle name="Comma 3 3 2 3 2 2 2 3" xfId="12816" xr:uid="{9174C8C3-FFA7-4800-83CB-C65D73814B54}"/>
    <cellStyle name="Comma 3 3 2 3 2 2 2 3 2" xfId="30160" xr:uid="{83CB9F38-1211-4FBE-82F7-A28E8D3AC3B4}"/>
    <cellStyle name="Comma 3 3 2 3 2 2 2 4" xfId="21488" xr:uid="{96501CAE-70E5-4DC6-A2E7-0456C888FD43}"/>
    <cellStyle name="Comma 3 3 2 3 2 2 3" xfId="6312" xr:uid="{0A778EE6-F80B-403D-ADBA-90D405B8CC55}"/>
    <cellStyle name="Comma 3 3 2 3 2 2 3 2" xfId="14984" xr:uid="{6495B2DC-5D09-4078-80EB-7967887F4A80}"/>
    <cellStyle name="Comma 3 3 2 3 2 2 3 2 2" xfId="32328" xr:uid="{5EEEFF2D-0401-4B8E-9984-65632AC290E2}"/>
    <cellStyle name="Comma 3 3 2 3 2 2 3 3" xfId="23656" xr:uid="{45629952-AA0D-4D9A-B4E5-698B5886CC4B}"/>
    <cellStyle name="Comma 3 3 2 3 2 2 4" xfId="10648" xr:uid="{B15869FB-33B0-4F44-A380-225623B16D20}"/>
    <cellStyle name="Comma 3 3 2 3 2 2 4 2" xfId="27992" xr:uid="{9488BC1D-C4EC-477A-9CD5-C65EEDE55BFC}"/>
    <cellStyle name="Comma 3 3 2 3 2 2 5" xfId="19320" xr:uid="{D38C2A76-CD04-4809-940C-B04EE3FB1210}"/>
    <cellStyle name="Comma 3 3 2 3 2 3" xfId="3060" xr:uid="{9AC8C29D-1129-482B-8996-17564B21D0DF}"/>
    <cellStyle name="Comma 3 3 2 3 2 3 2" xfId="7396" xr:uid="{F9A22F81-E1F7-4B83-8B4A-7336AB888EC4}"/>
    <cellStyle name="Comma 3 3 2 3 2 3 2 2" xfId="16068" xr:uid="{29177271-72B0-4003-8D23-141E5A8DC645}"/>
    <cellStyle name="Comma 3 3 2 3 2 3 2 2 2" xfId="33412" xr:uid="{7BF9F4F2-2C13-4A1A-880F-31651CC6B43F}"/>
    <cellStyle name="Comma 3 3 2 3 2 3 2 3" xfId="24740" xr:uid="{C09AB85A-8E32-4B63-9951-8D8D6DEFBD46}"/>
    <cellStyle name="Comma 3 3 2 3 2 3 3" xfId="11732" xr:uid="{C5418217-A242-4607-A78F-7C50261BB8F8}"/>
    <cellStyle name="Comma 3 3 2 3 2 3 3 2" xfId="29076" xr:uid="{3C3B2A44-5A1C-41D3-B732-D21F7ED32EAC}"/>
    <cellStyle name="Comma 3 3 2 3 2 3 4" xfId="20404" xr:uid="{7D185A35-3C9A-4CDB-BC1A-925AF3086166}"/>
    <cellStyle name="Comma 3 3 2 3 2 4" xfId="5228" xr:uid="{61B7F993-1F2E-4DE2-84E8-3D009AA43B49}"/>
    <cellStyle name="Comma 3 3 2 3 2 4 2" xfId="13900" xr:uid="{EF2328B4-32D7-478A-944E-EC17BCD6D87D}"/>
    <cellStyle name="Comma 3 3 2 3 2 4 2 2" xfId="31244" xr:uid="{27E33ECB-1E9F-4A90-9ECD-BC52649C186F}"/>
    <cellStyle name="Comma 3 3 2 3 2 4 3" xfId="22572" xr:uid="{5F64DFF3-E3B3-4E92-A147-35F1127E76AC}"/>
    <cellStyle name="Comma 3 3 2 3 2 5" xfId="9564" xr:uid="{58FF832D-DEE0-4A3F-AF2F-E22B90ED7AF0}"/>
    <cellStyle name="Comma 3 3 2 3 2 5 2" xfId="26908" xr:uid="{F57AEB17-2CE0-4121-909E-51223C18365E}"/>
    <cellStyle name="Comma 3 3 2 3 2 6" xfId="18236" xr:uid="{CA44A595-DC37-438F-8EF2-14008CD0D821}"/>
    <cellStyle name="Comma 3 3 2 3 3" xfId="1435" xr:uid="{6AB414DA-F429-4AB1-B566-360C78F65066}"/>
    <cellStyle name="Comma 3 3 2 3 3 2" xfId="3603" xr:uid="{1C464FC0-AB05-4B80-B741-4454F6F0515C}"/>
    <cellStyle name="Comma 3 3 2 3 3 2 2" xfId="7939" xr:uid="{265B584F-A0D2-4819-B013-E90418644033}"/>
    <cellStyle name="Comma 3 3 2 3 3 2 2 2" xfId="16611" xr:uid="{7C47814C-5C47-4145-8509-0A5C177B27F2}"/>
    <cellStyle name="Comma 3 3 2 3 3 2 2 2 2" xfId="33955" xr:uid="{90E9B5D4-BAA9-46C1-A8E8-8CDD7E9661EC}"/>
    <cellStyle name="Comma 3 3 2 3 3 2 2 3" xfId="25283" xr:uid="{53926A0B-3111-4039-8111-739CA6FB73B7}"/>
    <cellStyle name="Comma 3 3 2 3 3 2 3" xfId="12275" xr:uid="{FC5C82C7-EB1E-469C-B02F-8E59076609E4}"/>
    <cellStyle name="Comma 3 3 2 3 3 2 3 2" xfId="29619" xr:uid="{8C7C647D-7543-46D9-B4A3-52900B2A7CA4}"/>
    <cellStyle name="Comma 3 3 2 3 3 2 4" xfId="20947" xr:uid="{DD28854B-F90C-40D9-BA6F-9D032C1C3360}"/>
    <cellStyle name="Comma 3 3 2 3 3 3" xfId="5771" xr:uid="{DEB7950F-F4B3-4035-8319-79FEBCD62BEA}"/>
    <cellStyle name="Comma 3 3 2 3 3 3 2" xfId="14443" xr:uid="{2DC198CB-EC5A-42D9-A8EE-B8A7B92AB860}"/>
    <cellStyle name="Comma 3 3 2 3 3 3 2 2" xfId="31787" xr:uid="{463A6D47-020D-4E7E-AE2C-AE46A13F3E22}"/>
    <cellStyle name="Comma 3 3 2 3 3 3 3" xfId="23115" xr:uid="{01FE0EAA-8D58-441A-9A11-CA2D79DC2986}"/>
    <cellStyle name="Comma 3 3 2 3 3 4" xfId="10107" xr:uid="{2381ABBE-2DBB-4A7C-92E0-49FF9C53D1ED}"/>
    <cellStyle name="Comma 3 3 2 3 3 4 2" xfId="27451" xr:uid="{270B6431-2E29-4DD2-952C-79BA76BD8C5F}"/>
    <cellStyle name="Comma 3 3 2 3 3 5" xfId="18779" xr:uid="{55A2E8DA-5F76-4A0B-B454-3A062C256B2F}"/>
    <cellStyle name="Comma 3 3 2 3 4" xfId="2519" xr:uid="{C709F884-0A38-4995-B0F2-DABE75D05B96}"/>
    <cellStyle name="Comma 3 3 2 3 4 2" xfId="6855" xr:uid="{8D2FBCF8-BCAF-42F3-AD4D-C4AD9FFA1009}"/>
    <cellStyle name="Comma 3 3 2 3 4 2 2" xfId="15527" xr:uid="{A83769FC-7164-437C-91A1-8167B06C4D48}"/>
    <cellStyle name="Comma 3 3 2 3 4 2 2 2" xfId="32871" xr:uid="{B6EC1793-2049-426E-A2B9-D5F555533844}"/>
    <cellStyle name="Comma 3 3 2 3 4 2 3" xfId="24199" xr:uid="{2F62D4BC-5D79-46AF-963E-01B3BCDD40BF}"/>
    <cellStyle name="Comma 3 3 2 3 4 3" xfId="11191" xr:uid="{A0457239-22CF-4D5D-8F60-80A64C5A69DF}"/>
    <cellStyle name="Comma 3 3 2 3 4 3 2" xfId="28535" xr:uid="{1BF08338-4725-46F4-BA4D-C7E72B0FB62C}"/>
    <cellStyle name="Comma 3 3 2 3 4 4" xfId="19863" xr:uid="{8B7CBA8D-9C8E-4741-BC68-1F08C652EBCA}"/>
    <cellStyle name="Comma 3 3 2 3 5" xfId="4687" xr:uid="{3235D5CB-EA48-406D-8B41-9B0467D52A45}"/>
    <cellStyle name="Comma 3 3 2 3 5 2" xfId="13359" xr:uid="{04A5C8CF-B172-442E-993C-F2E83BA88150}"/>
    <cellStyle name="Comma 3 3 2 3 5 2 2" xfId="30703" xr:uid="{FE02943E-45A9-4F17-BC8A-94BEEBED7728}"/>
    <cellStyle name="Comma 3 3 2 3 5 3" xfId="22031" xr:uid="{C079A5BD-7FAB-4A1D-98B2-EB4156C66DA7}"/>
    <cellStyle name="Comma 3 3 2 3 6" xfId="9023" xr:uid="{5F7B130F-5B96-466B-A1A2-9CED267BE5C7}"/>
    <cellStyle name="Comma 3 3 2 3 6 2" xfId="26367" xr:uid="{9613610F-2577-40E8-A457-FAA29E51DC54}"/>
    <cellStyle name="Comma 3 3 2 3 7" xfId="17695" xr:uid="{C60188B1-3A54-4F79-A1B4-0D9ADE082914}"/>
    <cellStyle name="Comma 3 3 2 4" xfId="622" xr:uid="{8EE325AD-3DBE-425B-8D87-A514F969D2F4}"/>
    <cellStyle name="Comma 3 3 2 4 2" xfId="1706" xr:uid="{4CBEC3B0-8D70-4F7C-B94B-CCE49B605866}"/>
    <cellStyle name="Comma 3 3 2 4 2 2" xfId="3874" xr:uid="{2E7AF961-9B4C-479C-BED4-1C720988F996}"/>
    <cellStyle name="Comma 3 3 2 4 2 2 2" xfId="8210" xr:uid="{D1BF7CF2-1827-4D8E-9BDC-02237EC5DE90}"/>
    <cellStyle name="Comma 3 3 2 4 2 2 2 2" xfId="16882" xr:uid="{8EDA8EAC-37E5-4C14-BC87-B7BE8FD2CF85}"/>
    <cellStyle name="Comma 3 3 2 4 2 2 2 2 2" xfId="34226" xr:uid="{AC454CB4-9F6D-4EFC-BE78-711A1C44E0D5}"/>
    <cellStyle name="Comma 3 3 2 4 2 2 2 3" xfId="25554" xr:uid="{F2E67799-7C94-41E6-8B29-E8841EE36857}"/>
    <cellStyle name="Comma 3 3 2 4 2 2 3" xfId="12546" xr:uid="{1D7EDCDD-C4C6-4973-A2C9-81B4F8F33146}"/>
    <cellStyle name="Comma 3 3 2 4 2 2 3 2" xfId="29890" xr:uid="{43762DCD-24AA-4A9B-BE9B-DE2AC41DAD7F}"/>
    <cellStyle name="Comma 3 3 2 4 2 2 4" xfId="21218" xr:uid="{E66A520F-02CB-42F4-98A0-A48FA9F72DB5}"/>
    <cellStyle name="Comma 3 3 2 4 2 3" xfId="6042" xr:uid="{881795C2-78A0-4F8D-9277-A3511E918259}"/>
    <cellStyle name="Comma 3 3 2 4 2 3 2" xfId="14714" xr:uid="{B79C56C6-C14E-4F2D-BD54-ED892BC8E931}"/>
    <cellStyle name="Comma 3 3 2 4 2 3 2 2" xfId="32058" xr:uid="{A441C67F-EDE6-4D23-9EBE-E42CF0924F88}"/>
    <cellStyle name="Comma 3 3 2 4 2 3 3" xfId="23386" xr:uid="{A7902D4C-DA32-48D9-B046-26B708D1CB2E}"/>
    <cellStyle name="Comma 3 3 2 4 2 4" xfId="10378" xr:uid="{84A9519D-B5C6-4DD5-9EAA-2B93CCDC3D7C}"/>
    <cellStyle name="Comma 3 3 2 4 2 4 2" xfId="27722" xr:uid="{037F71B3-4F61-4185-A9A5-D8AE1D59E728}"/>
    <cellStyle name="Comma 3 3 2 4 2 5" xfId="19050" xr:uid="{6DD3511B-9162-4D71-AA76-6A521FDBEC31}"/>
    <cellStyle name="Comma 3 3 2 4 3" xfId="2790" xr:uid="{BAE95284-5965-4AE5-9613-F4CE446E6F38}"/>
    <cellStyle name="Comma 3 3 2 4 3 2" xfId="7126" xr:uid="{CE0D0DA3-8C9E-4CE7-95EC-CE35D72B7857}"/>
    <cellStyle name="Comma 3 3 2 4 3 2 2" xfId="15798" xr:uid="{BF75F46A-C2D6-4C0C-B8C3-72774912C29D}"/>
    <cellStyle name="Comma 3 3 2 4 3 2 2 2" xfId="33142" xr:uid="{3E042FF7-DD2C-48F5-A708-096006881CEE}"/>
    <cellStyle name="Comma 3 3 2 4 3 2 3" xfId="24470" xr:uid="{DAF81D5E-4084-4B70-9A86-B17E6E648773}"/>
    <cellStyle name="Comma 3 3 2 4 3 3" xfId="11462" xr:uid="{C234B1EC-C7A7-4458-9D33-B2E35AFAFCE9}"/>
    <cellStyle name="Comma 3 3 2 4 3 3 2" xfId="28806" xr:uid="{E4CBFDFE-F1EE-41B3-B578-29EEADF95E1B}"/>
    <cellStyle name="Comma 3 3 2 4 3 4" xfId="20134" xr:uid="{7B18AEA0-9B04-4FE5-ABDA-30D4A7EFE6AC}"/>
    <cellStyle name="Comma 3 3 2 4 4" xfId="4958" xr:uid="{66D3B5C6-C3BB-4110-81DB-C0604FC8FCF1}"/>
    <cellStyle name="Comma 3 3 2 4 4 2" xfId="13630" xr:uid="{79ABE752-8486-4096-B056-4D9598F4BA30}"/>
    <cellStyle name="Comma 3 3 2 4 4 2 2" xfId="30974" xr:uid="{268B3823-5CAB-468C-B6E2-7A3C96656152}"/>
    <cellStyle name="Comma 3 3 2 4 4 3" xfId="22302" xr:uid="{0A4DC09C-F82F-466E-A2DA-E7C518A6A3BC}"/>
    <cellStyle name="Comma 3 3 2 4 5" xfId="9294" xr:uid="{DFF4E076-6834-47A6-8967-EA4E6284E41D}"/>
    <cellStyle name="Comma 3 3 2 4 5 2" xfId="26638" xr:uid="{49EB9A1A-3BE0-40B7-9B10-AD2BA277C517}"/>
    <cellStyle name="Comma 3 3 2 4 6" xfId="17966" xr:uid="{76545E16-C777-424A-BB83-85EA4366099B}"/>
    <cellStyle name="Comma 3 3 2 5" xfId="1165" xr:uid="{32DCB31B-9DBC-42CD-868B-CBE3DC1ADAAD}"/>
    <cellStyle name="Comma 3 3 2 5 2" xfId="3333" xr:uid="{C9395798-0BB0-4606-88C5-F12C9852D5D5}"/>
    <cellStyle name="Comma 3 3 2 5 2 2" xfId="7669" xr:uid="{BD9BCF3A-2C11-4563-889F-EEBC7A0E3E93}"/>
    <cellStyle name="Comma 3 3 2 5 2 2 2" xfId="16341" xr:uid="{BFCF09CA-711E-4520-9A2A-5677F79A9C41}"/>
    <cellStyle name="Comma 3 3 2 5 2 2 2 2" xfId="33685" xr:uid="{F1A561D7-8980-493B-95AA-D052AEFDC1EE}"/>
    <cellStyle name="Comma 3 3 2 5 2 2 3" xfId="25013" xr:uid="{A3ECC480-9B3B-4678-A924-34E62311A8A2}"/>
    <cellStyle name="Comma 3 3 2 5 2 3" xfId="12005" xr:uid="{B02C7201-DAC3-484F-B633-39F8E87AFD5A}"/>
    <cellStyle name="Comma 3 3 2 5 2 3 2" xfId="29349" xr:uid="{7A9E814F-7B88-4427-979E-69EC954397FC}"/>
    <cellStyle name="Comma 3 3 2 5 2 4" xfId="20677" xr:uid="{F33A7400-44F6-4C1B-AAA8-59B8E0859A25}"/>
    <cellStyle name="Comma 3 3 2 5 3" xfId="5501" xr:uid="{93B0D538-764C-4096-A388-6C0AEA3E2EC4}"/>
    <cellStyle name="Comma 3 3 2 5 3 2" xfId="14173" xr:uid="{455B8715-EFBE-4433-846F-4AE736C533E6}"/>
    <cellStyle name="Comma 3 3 2 5 3 2 2" xfId="31517" xr:uid="{498AB213-157D-4626-96FC-6E906FDFAA40}"/>
    <cellStyle name="Comma 3 3 2 5 3 3" xfId="22845" xr:uid="{9253DDE5-18F1-45D8-BABC-AF9D069A1573}"/>
    <cellStyle name="Comma 3 3 2 5 4" xfId="9837" xr:uid="{8B5B74D0-9001-4928-8947-EB3A58364418}"/>
    <cellStyle name="Comma 3 3 2 5 4 2" xfId="27181" xr:uid="{1742F003-B040-46C2-AE8B-BD5637173725}"/>
    <cellStyle name="Comma 3 3 2 5 5" xfId="18509" xr:uid="{B77BBDCC-69ED-4952-976A-9F88F418525C}"/>
    <cellStyle name="Comma 3 3 2 6" xfId="2249" xr:uid="{F06D7821-84E1-4017-9DA9-4074B887D8AE}"/>
    <cellStyle name="Comma 3 3 2 6 2" xfId="6585" xr:uid="{DC54C3F3-2E04-4F74-9EDB-325E9EB47FCD}"/>
    <cellStyle name="Comma 3 3 2 6 2 2" xfId="15257" xr:uid="{9F989409-AA18-4E2D-AA2B-D8E47F5525C8}"/>
    <cellStyle name="Comma 3 3 2 6 2 2 2" xfId="32601" xr:uid="{C2636C4B-4B23-4001-93D6-939D081A7D9A}"/>
    <cellStyle name="Comma 3 3 2 6 2 3" xfId="23929" xr:uid="{6107AEED-9933-41FF-9E3D-270816795830}"/>
    <cellStyle name="Comma 3 3 2 6 3" xfId="10921" xr:uid="{AA638D42-D9BB-4ABC-9502-A212D280E14C}"/>
    <cellStyle name="Comma 3 3 2 6 3 2" xfId="28265" xr:uid="{5F686B1E-D720-4436-81B4-FE9567912126}"/>
    <cellStyle name="Comma 3 3 2 6 4" xfId="19593" xr:uid="{10653AC5-7C9C-40C5-BC0E-002DD5243F00}"/>
    <cellStyle name="Comma 3 3 2 7" xfId="4417" xr:uid="{2B6FB040-06D9-4D38-B8B6-28E2B6CA803C}"/>
    <cellStyle name="Comma 3 3 2 7 2" xfId="13089" xr:uid="{1C8DE700-9B35-48D3-8155-CE7D5C515320}"/>
    <cellStyle name="Comma 3 3 2 7 2 2" xfId="30433" xr:uid="{63A0B548-F1EC-4E40-822A-BD83EA629B04}"/>
    <cellStyle name="Comma 3 3 2 7 3" xfId="21761" xr:uid="{411ECBF8-5D91-497D-B5F3-76046104155A}"/>
    <cellStyle name="Comma 3 3 2 8" xfId="8753" xr:uid="{2840AF0D-5C19-40FD-BAF4-198CD0C749A7}"/>
    <cellStyle name="Comma 3 3 2 8 2" xfId="26097" xr:uid="{A9C81D8B-0C94-4508-A93D-94522FD7BE59}"/>
    <cellStyle name="Comma 3 3 2 9" xfId="17425" xr:uid="{BFB3B9D7-D747-48BD-90CD-1E3868E83FD8}"/>
    <cellStyle name="Comma 3 3 3" xfId="142" xr:uid="{E89C0257-FAF2-4C0C-91DD-864950B78CFA}"/>
    <cellStyle name="Comma 3 3 3 2" xfId="412" xr:uid="{DA1F1958-8E94-42D9-AE8F-14A253552331}"/>
    <cellStyle name="Comma 3 3 3 2 2" xfId="953" xr:uid="{09719419-7A1D-4CC4-9DD9-C6DF0806F12A}"/>
    <cellStyle name="Comma 3 3 3 2 2 2" xfId="2037" xr:uid="{42272DD5-B14F-4AF4-8BDF-BE789383743A}"/>
    <cellStyle name="Comma 3 3 3 2 2 2 2" xfId="4205" xr:uid="{1AB5F713-9345-4C16-B882-5C98A32AA4D4}"/>
    <cellStyle name="Comma 3 3 3 2 2 2 2 2" xfId="8541" xr:uid="{A5A9510D-5652-4481-AF50-DA2E96734539}"/>
    <cellStyle name="Comma 3 3 3 2 2 2 2 2 2" xfId="17213" xr:uid="{307438DA-D447-4309-998E-197CAF433E27}"/>
    <cellStyle name="Comma 3 3 3 2 2 2 2 2 2 2" xfId="34557" xr:uid="{0C60DD8E-DCA0-4BC4-BE78-9CCCB21BF506}"/>
    <cellStyle name="Comma 3 3 3 2 2 2 2 2 3" xfId="25885" xr:uid="{A98E2FE2-618A-4A5F-9F94-702662FE5C2F}"/>
    <cellStyle name="Comma 3 3 3 2 2 2 2 3" xfId="12877" xr:uid="{4DAC9724-27F5-420A-931A-07ED663BEAA8}"/>
    <cellStyle name="Comma 3 3 3 2 2 2 2 3 2" xfId="30221" xr:uid="{06A393AF-956B-4DBA-A6D7-8C150E2E70D7}"/>
    <cellStyle name="Comma 3 3 3 2 2 2 2 4" xfId="21549" xr:uid="{AB982EDA-239D-45AC-9EF4-414C407F37A4}"/>
    <cellStyle name="Comma 3 3 3 2 2 2 3" xfId="6373" xr:uid="{DED5E87C-CD3C-43C1-8A51-4E1A776A8039}"/>
    <cellStyle name="Comma 3 3 3 2 2 2 3 2" xfId="15045" xr:uid="{9DA91234-37A1-40AF-83E4-CCD0EBF14D1C}"/>
    <cellStyle name="Comma 3 3 3 2 2 2 3 2 2" xfId="32389" xr:uid="{67402110-022B-41E6-9FFF-27161A6B3DDF}"/>
    <cellStyle name="Comma 3 3 3 2 2 2 3 3" xfId="23717" xr:uid="{5ACB8393-24CF-48DA-BFAE-2F060964E02F}"/>
    <cellStyle name="Comma 3 3 3 2 2 2 4" xfId="10709" xr:uid="{90B75527-3945-4F11-B5CD-B6269D262AE1}"/>
    <cellStyle name="Comma 3 3 3 2 2 2 4 2" xfId="28053" xr:uid="{5C2FC23D-F793-4D20-8511-334A3D447862}"/>
    <cellStyle name="Comma 3 3 3 2 2 2 5" xfId="19381" xr:uid="{B4BD1002-F489-4144-BF4D-5E6FE1C33222}"/>
    <cellStyle name="Comma 3 3 3 2 2 3" xfId="3121" xr:uid="{819A7CBD-EC37-47CD-A181-9E94F03ACB7B}"/>
    <cellStyle name="Comma 3 3 3 2 2 3 2" xfId="7457" xr:uid="{D57ADDE3-70DA-4542-B6D2-6A744C49ED8C}"/>
    <cellStyle name="Comma 3 3 3 2 2 3 2 2" xfId="16129" xr:uid="{818D52F9-1B98-49DB-BC50-A7BD95751303}"/>
    <cellStyle name="Comma 3 3 3 2 2 3 2 2 2" xfId="33473" xr:uid="{F93DBCE7-A91F-4524-96B7-7A16DD68C0CD}"/>
    <cellStyle name="Comma 3 3 3 2 2 3 2 3" xfId="24801" xr:uid="{681814BE-CD49-4E8C-9978-B4B72704C6BE}"/>
    <cellStyle name="Comma 3 3 3 2 2 3 3" xfId="11793" xr:uid="{033609EB-D6E3-486C-B6A5-897A7C7BEE8B}"/>
    <cellStyle name="Comma 3 3 3 2 2 3 3 2" xfId="29137" xr:uid="{3D1C959E-EA4E-4C4C-9BB4-CC7C29D5BF58}"/>
    <cellStyle name="Comma 3 3 3 2 2 3 4" xfId="20465" xr:uid="{3AF96A96-DD0E-4C5B-9C7F-4C3B0DBE6DA7}"/>
    <cellStyle name="Comma 3 3 3 2 2 4" xfId="5289" xr:uid="{500AE966-9F56-4227-B7BB-2295449A82E7}"/>
    <cellStyle name="Comma 3 3 3 2 2 4 2" xfId="13961" xr:uid="{90573C68-D1EF-4FF7-8A26-1A39AFE2EF7B}"/>
    <cellStyle name="Comma 3 3 3 2 2 4 2 2" xfId="31305" xr:uid="{B217A1CA-74BD-44CE-AFD4-3200C4B6E71F}"/>
    <cellStyle name="Comma 3 3 3 2 2 4 3" xfId="22633" xr:uid="{3A0C41FC-F842-4EA9-9DB8-D31F722C9B0D}"/>
    <cellStyle name="Comma 3 3 3 2 2 5" xfId="9625" xr:uid="{00DF8B02-5369-4344-A397-EF78E89FC06E}"/>
    <cellStyle name="Comma 3 3 3 2 2 5 2" xfId="26969" xr:uid="{93B3F743-9F38-4E12-A20A-556FE25B92C1}"/>
    <cellStyle name="Comma 3 3 3 2 2 6" xfId="18297" xr:uid="{6FED9B04-BA2C-4BCC-951F-020F27A281EB}"/>
    <cellStyle name="Comma 3 3 3 2 3" xfId="1496" xr:uid="{1A98EABB-C15C-4CA7-80F8-C140709D3508}"/>
    <cellStyle name="Comma 3 3 3 2 3 2" xfId="3664" xr:uid="{DBDF6FA2-B506-4D10-A6E8-32665468A2BA}"/>
    <cellStyle name="Comma 3 3 3 2 3 2 2" xfId="8000" xr:uid="{E97062B1-AC8C-4D32-A065-4F0D514DEC02}"/>
    <cellStyle name="Comma 3 3 3 2 3 2 2 2" xfId="16672" xr:uid="{E1D4AC27-36C6-4C4B-A3B4-83595551CC84}"/>
    <cellStyle name="Comma 3 3 3 2 3 2 2 2 2" xfId="34016" xr:uid="{9C2600A0-96BB-4FCC-8778-2044CC5FE827}"/>
    <cellStyle name="Comma 3 3 3 2 3 2 2 3" xfId="25344" xr:uid="{6033394A-16B4-441E-B5C4-B423D4F582D2}"/>
    <cellStyle name="Comma 3 3 3 2 3 2 3" xfId="12336" xr:uid="{71CB841D-6862-46AD-AD61-D666E3698686}"/>
    <cellStyle name="Comma 3 3 3 2 3 2 3 2" xfId="29680" xr:uid="{CD138DEA-A34D-4817-B38B-046E9857461F}"/>
    <cellStyle name="Comma 3 3 3 2 3 2 4" xfId="21008" xr:uid="{146C0624-D48A-4CAC-8E50-0DEC1255E566}"/>
    <cellStyle name="Comma 3 3 3 2 3 3" xfId="5832" xr:uid="{592CD051-3B9A-44BB-845A-494D615B5D83}"/>
    <cellStyle name="Comma 3 3 3 2 3 3 2" xfId="14504" xr:uid="{C7B4AE2A-951C-41AD-8532-AE2AD23C68C5}"/>
    <cellStyle name="Comma 3 3 3 2 3 3 2 2" xfId="31848" xr:uid="{FA6245EF-C77A-41AB-949B-1C930FB428EF}"/>
    <cellStyle name="Comma 3 3 3 2 3 3 3" xfId="23176" xr:uid="{7D4A0AE5-E478-47AE-9141-5473C99673D0}"/>
    <cellStyle name="Comma 3 3 3 2 3 4" xfId="10168" xr:uid="{3862010E-0EDD-4378-B4C2-9182984235CE}"/>
    <cellStyle name="Comma 3 3 3 2 3 4 2" xfId="27512" xr:uid="{A8CBDE5C-54F6-4BEC-90BE-895CB1161882}"/>
    <cellStyle name="Comma 3 3 3 2 3 5" xfId="18840" xr:uid="{B59874F5-A910-4100-902A-C68EC18DB3FB}"/>
    <cellStyle name="Comma 3 3 3 2 4" xfId="2580" xr:uid="{D640D3E9-05E1-45BB-879A-D680C98E5FAC}"/>
    <cellStyle name="Comma 3 3 3 2 4 2" xfId="6916" xr:uid="{AE0E3E83-27DB-4C2E-97EE-0D5943D62D14}"/>
    <cellStyle name="Comma 3 3 3 2 4 2 2" xfId="15588" xr:uid="{9BC3768B-2DF6-433F-9A49-84D055863CEC}"/>
    <cellStyle name="Comma 3 3 3 2 4 2 2 2" xfId="32932" xr:uid="{43181874-4EF2-45B7-8B25-A4D24C66F4A9}"/>
    <cellStyle name="Comma 3 3 3 2 4 2 3" xfId="24260" xr:uid="{3F351B4C-44A6-4EAB-A4ED-DE85034B9008}"/>
    <cellStyle name="Comma 3 3 3 2 4 3" xfId="11252" xr:uid="{5B2EAA93-8D4E-48DF-8664-E2B1A190E1C8}"/>
    <cellStyle name="Comma 3 3 3 2 4 3 2" xfId="28596" xr:uid="{1F5C50FF-4891-416B-88B0-274F097679D2}"/>
    <cellStyle name="Comma 3 3 3 2 4 4" xfId="19924" xr:uid="{8C010304-5873-4CF7-9C4B-5FC740255E00}"/>
    <cellStyle name="Comma 3 3 3 2 5" xfId="4748" xr:uid="{0C4CC249-D85F-4C3D-81A2-0FEF9B578425}"/>
    <cellStyle name="Comma 3 3 3 2 5 2" xfId="13420" xr:uid="{616EE66A-B505-4188-9201-06716F7C54F1}"/>
    <cellStyle name="Comma 3 3 3 2 5 2 2" xfId="30764" xr:uid="{3874CA22-5FA4-4A6A-95B6-F6828A89111C}"/>
    <cellStyle name="Comma 3 3 3 2 5 3" xfId="22092" xr:uid="{55CB1DAB-F573-48BD-96B4-21A9E1919B5A}"/>
    <cellStyle name="Comma 3 3 3 2 6" xfId="9084" xr:uid="{B5695617-B4B8-4D39-B0FE-2E58CDEF8C79}"/>
    <cellStyle name="Comma 3 3 3 2 6 2" xfId="26428" xr:uid="{8A36529F-11AE-46CE-9DF7-00B445AB297C}"/>
    <cellStyle name="Comma 3 3 3 2 7" xfId="17756" xr:uid="{F26EDA39-3B1A-410F-BDF4-CEDCCE907362}"/>
    <cellStyle name="Comma 3 3 3 3" xfId="683" xr:uid="{3E1D51E2-0352-4AB6-B29B-33C82626A262}"/>
    <cellStyle name="Comma 3 3 3 3 2" xfId="1767" xr:uid="{F95E01D2-2E1A-4F21-AA93-F2BBCAAC2A6D}"/>
    <cellStyle name="Comma 3 3 3 3 2 2" xfId="3935" xr:uid="{7DCBD95A-A850-456A-81A8-62E637BB9797}"/>
    <cellStyle name="Comma 3 3 3 3 2 2 2" xfId="8271" xr:uid="{4187C70D-BA19-4F9F-A86D-160EA2F5990A}"/>
    <cellStyle name="Comma 3 3 3 3 2 2 2 2" xfId="16943" xr:uid="{C8F29BA2-E925-4D17-83A2-9A29BBB50C52}"/>
    <cellStyle name="Comma 3 3 3 3 2 2 2 2 2" xfId="34287" xr:uid="{941BBCBC-BBC4-40DB-97DB-EECE67210462}"/>
    <cellStyle name="Comma 3 3 3 3 2 2 2 3" xfId="25615" xr:uid="{BBE17F5F-6377-478C-BDCB-E7075974EE61}"/>
    <cellStyle name="Comma 3 3 3 3 2 2 3" xfId="12607" xr:uid="{B9402A47-72CA-4057-ABBC-25F9746B77F9}"/>
    <cellStyle name="Comma 3 3 3 3 2 2 3 2" xfId="29951" xr:uid="{5071124A-B4DF-42E8-89D7-1DCD7C2BA0A2}"/>
    <cellStyle name="Comma 3 3 3 3 2 2 4" xfId="21279" xr:uid="{C6852AFF-FE5A-4B17-B7B6-8C879871EC53}"/>
    <cellStyle name="Comma 3 3 3 3 2 3" xfId="6103" xr:uid="{8CC49269-06B9-4F83-8E5C-3AFA8E6974C4}"/>
    <cellStyle name="Comma 3 3 3 3 2 3 2" xfId="14775" xr:uid="{E46913FB-1E1B-484F-80B8-42D4F49069E5}"/>
    <cellStyle name="Comma 3 3 3 3 2 3 2 2" xfId="32119" xr:uid="{698B6C92-E8E8-44C9-A7EE-6F39D904F5DC}"/>
    <cellStyle name="Comma 3 3 3 3 2 3 3" xfId="23447" xr:uid="{67510481-E946-4D59-84AA-D45A3B701F00}"/>
    <cellStyle name="Comma 3 3 3 3 2 4" xfId="10439" xr:uid="{0A01D59E-1D64-486E-A2ED-24A0E02A62AB}"/>
    <cellStyle name="Comma 3 3 3 3 2 4 2" xfId="27783" xr:uid="{17664CA5-5A88-426F-8187-1D7019691CE8}"/>
    <cellStyle name="Comma 3 3 3 3 2 5" xfId="19111" xr:uid="{76B9FA04-C545-49C7-B76A-42CB5D8A6E0D}"/>
    <cellStyle name="Comma 3 3 3 3 3" xfId="2851" xr:uid="{A8D78C90-927A-4795-B5CB-72857D9DB93A}"/>
    <cellStyle name="Comma 3 3 3 3 3 2" xfId="7187" xr:uid="{9BD67961-9373-4556-8506-738FBF52AE4D}"/>
    <cellStyle name="Comma 3 3 3 3 3 2 2" xfId="15859" xr:uid="{FC0F4B3C-79DD-425D-8A98-13A8B3FAF431}"/>
    <cellStyle name="Comma 3 3 3 3 3 2 2 2" xfId="33203" xr:uid="{54BC0FD9-83C9-4557-B2E6-6DF1303156BA}"/>
    <cellStyle name="Comma 3 3 3 3 3 2 3" xfId="24531" xr:uid="{0ADE6F03-66AE-455F-9485-1D8FD05FCB82}"/>
    <cellStyle name="Comma 3 3 3 3 3 3" xfId="11523" xr:uid="{0FF5A2AF-C2CD-485B-AB18-E6C6B28472DF}"/>
    <cellStyle name="Comma 3 3 3 3 3 3 2" xfId="28867" xr:uid="{37162778-2227-468C-8257-DE4DEEC306D0}"/>
    <cellStyle name="Comma 3 3 3 3 3 4" xfId="20195" xr:uid="{1FAC7ADC-0A08-412F-9E59-BFD365113A99}"/>
    <cellStyle name="Comma 3 3 3 3 4" xfId="5019" xr:uid="{42AD4267-D36D-4D38-86D3-9BECD77EF662}"/>
    <cellStyle name="Comma 3 3 3 3 4 2" xfId="13691" xr:uid="{B470C406-6E03-4E97-A126-1D2661889E71}"/>
    <cellStyle name="Comma 3 3 3 3 4 2 2" xfId="31035" xr:uid="{FDC2958D-E739-4721-BF69-73832593FE1C}"/>
    <cellStyle name="Comma 3 3 3 3 4 3" xfId="22363" xr:uid="{E926F668-29EA-4A1E-A0EB-EDF5F20E4F7D}"/>
    <cellStyle name="Comma 3 3 3 3 5" xfId="9355" xr:uid="{3954ECC2-66C4-4974-A38F-2F71EE62468D}"/>
    <cellStyle name="Comma 3 3 3 3 5 2" xfId="26699" xr:uid="{FBFEEA15-3174-4AC3-B983-3F73E51AA0FB}"/>
    <cellStyle name="Comma 3 3 3 3 6" xfId="18027" xr:uid="{E59DB4FD-8971-4859-94DC-64B0135D211E}"/>
    <cellStyle name="Comma 3 3 3 4" xfId="1226" xr:uid="{89B5E8F6-CDD6-4974-B1AF-7F0F95EF8AC6}"/>
    <cellStyle name="Comma 3 3 3 4 2" xfId="3394" xr:uid="{C6EAA926-415F-448B-9E7A-87CCD834286E}"/>
    <cellStyle name="Comma 3 3 3 4 2 2" xfId="7730" xr:uid="{9DB2ECB8-DE07-40BA-9A0A-D8A89A189193}"/>
    <cellStyle name="Comma 3 3 3 4 2 2 2" xfId="16402" xr:uid="{BCFE8D6C-FB7E-411D-B333-8B7FDC50F2A2}"/>
    <cellStyle name="Comma 3 3 3 4 2 2 2 2" xfId="33746" xr:uid="{11DDD531-7237-4709-BED5-6F6CDF3B6A48}"/>
    <cellStyle name="Comma 3 3 3 4 2 2 3" xfId="25074" xr:uid="{4DA9024E-F2DA-42DA-934F-494170BADEB5}"/>
    <cellStyle name="Comma 3 3 3 4 2 3" xfId="12066" xr:uid="{150D398A-0967-4A9C-A276-6DF9D5A84C65}"/>
    <cellStyle name="Comma 3 3 3 4 2 3 2" xfId="29410" xr:uid="{528D2210-87A2-454E-95A9-A10D2408162C}"/>
    <cellStyle name="Comma 3 3 3 4 2 4" xfId="20738" xr:uid="{1F127CFC-F626-40F8-A671-AD3725C86E61}"/>
    <cellStyle name="Comma 3 3 3 4 3" xfId="5562" xr:uid="{7C93A72B-3AED-44FA-A8A2-A479D53BD82F}"/>
    <cellStyle name="Comma 3 3 3 4 3 2" xfId="14234" xr:uid="{3D68A816-26CB-4EB8-977D-E52F102E3AA6}"/>
    <cellStyle name="Comma 3 3 3 4 3 2 2" xfId="31578" xr:uid="{C5ECF375-FC31-4D2C-8B38-9D86F0E773B5}"/>
    <cellStyle name="Comma 3 3 3 4 3 3" xfId="22906" xr:uid="{F9EE211E-B532-406F-AABE-E3B1ADE1E715}"/>
    <cellStyle name="Comma 3 3 3 4 4" xfId="9898" xr:uid="{F715F2D5-6A7B-4939-BAFC-1CC5AB6882F3}"/>
    <cellStyle name="Comma 3 3 3 4 4 2" xfId="27242" xr:uid="{ED7B93F0-2F1D-4C80-AC04-C8D48D5EBE86}"/>
    <cellStyle name="Comma 3 3 3 4 5" xfId="18570" xr:uid="{2308ED59-44C4-4565-8087-806547CF9DF4}"/>
    <cellStyle name="Comma 3 3 3 5" xfId="2310" xr:uid="{2797BAEE-FD7E-4D3A-A619-6B72D49B3793}"/>
    <cellStyle name="Comma 3 3 3 5 2" xfId="6646" xr:uid="{D92E1F8F-75CB-488D-B730-6ABB835D169B}"/>
    <cellStyle name="Comma 3 3 3 5 2 2" xfId="15318" xr:uid="{95EA3321-3E8B-4E7A-B3D2-3AFE6EF09575}"/>
    <cellStyle name="Comma 3 3 3 5 2 2 2" xfId="32662" xr:uid="{268CF171-809D-4E07-9F32-F693A32EE638}"/>
    <cellStyle name="Comma 3 3 3 5 2 3" xfId="23990" xr:uid="{B1E592C5-403A-432A-822A-3CA2AF14FF80}"/>
    <cellStyle name="Comma 3 3 3 5 3" xfId="10982" xr:uid="{613D24A5-5D49-4FE4-82BB-FFF146E62C97}"/>
    <cellStyle name="Comma 3 3 3 5 3 2" xfId="28326" xr:uid="{EF4C6A58-B9BF-4705-B954-D046AF2B1039}"/>
    <cellStyle name="Comma 3 3 3 5 4" xfId="19654" xr:uid="{9D31F5D0-1B1B-4773-9030-8A593468CEED}"/>
    <cellStyle name="Comma 3 3 3 6" xfId="4478" xr:uid="{B127BC28-859F-429B-92CC-0F0BAAB39E3A}"/>
    <cellStyle name="Comma 3 3 3 6 2" xfId="13150" xr:uid="{1A16CC63-206B-4C45-A301-E1A6298EBB0F}"/>
    <cellStyle name="Comma 3 3 3 6 2 2" xfId="30494" xr:uid="{B9553BB7-D055-49FA-888A-EB8CA0D7598A}"/>
    <cellStyle name="Comma 3 3 3 6 3" xfId="21822" xr:uid="{B3C11E25-26F9-4A01-9B36-38AA77F64BFD}"/>
    <cellStyle name="Comma 3 3 3 7" xfId="8814" xr:uid="{03749BFA-D1AA-464A-9A5C-BBFD94445AA3}"/>
    <cellStyle name="Comma 3 3 3 7 2" xfId="26158" xr:uid="{C6A945DF-000C-4B8B-B0AD-E45DB1CD9C15}"/>
    <cellStyle name="Comma 3 3 3 8" xfId="17486" xr:uid="{0673E0D0-1CB1-4655-A42B-555705DE5427}"/>
    <cellStyle name="Comma 3 3 4" xfId="266" xr:uid="{4DE63217-FF79-47C1-A1C0-79ABBCF3DD1A}"/>
    <cellStyle name="Comma 3 3 4 2" xfId="536" xr:uid="{2B0CB7F9-FEE4-49BB-9CBD-8B63227CE114}"/>
    <cellStyle name="Comma 3 3 4 2 2" xfId="1077" xr:uid="{1661D30B-29A7-4836-A81D-99DA945AD765}"/>
    <cellStyle name="Comma 3 3 4 2 2 2" xfId="2161" xr:uid="{ED01110D-EE07-4C87-B90B-784E0557380B}"/>
    <cellStyle name="Comma 3 3 4 2 2 2 2" xfId="4329" xr:uid="{160467AB-62C0-4014-B1CD-D942F4177160}"/>
    <cellStyle name="Comma 3 3 4 2 2 2 2 2" xfId="8665" xr:uid="{1B36EAC4-DED9-468E-A5A9-F16D45E5AF01}"/>
    <cellStyle name="Comma 3 3 4 2 2 2 2 2 2" xfId="17337" xr:uid="{969DFF5F-F26A-4ACD-B552-807912832F0A}"/>
    <cellStyle name="Comma 3 3 4 2 2 2 2 2 2 2" xfId="34681" xr:uid="{59D99ACE-7AF4-4EB5-84A5-AAF685456B80}"/>
    <cellStyle name="Comma 3 3 4 2 2 2 2 2 3" xfId="26009" xr:uid="{F15E978E-0718-4018-B0CE-A25E46BE7EA5}"/>
    <cellStyle name="Comma 3 3 4 2 2 2 2 3" xfId="13001" xr:uid="{E8035303-A147-4CB8-907B-BA4A6E577443}"/>
    <cellStyle name="Comma 3 3 4 2 2 2 2 3 2" xfId="30345" xr:uid="{4BB6008B-AF82-448B-B793-7EB7C9894E69}"/>
    <cellStyle name="Comma 3 3 4 2 2 2 2 4" xfId="21673" xr:uid="{95B18668-F6D9-4150-8CC6-17BFAE6AC105}"/>
    <cellStyle name="Comma 3 3 4 2 2 2 3" xfId="6497" xr:uid="{4CC59EDB-970E-493E-935F-C814C44D558D}"/>
    <cellStyle name="Comma 3 3 4 2 2 2 3 2" xfId="15169" xr:uid="{3D148AC6-97E7-4A69-8EDE-EFE8B7EAA09B}"/>
    <cellStyle name="Comma 3 3 4 2 2 2 3 2 2" xfId="32513" xr:uid="{E89B6B8A-40CF-40BC-872E-1817E79B19F1}"/>
    <cellStyle name="Comma 3 3 4 2 2 2 3 3" xfId="23841" xr:uid="{858027B6-7BD0-4656-9ACD-1CFB7398822F}"/>
    <cellStyle name="Comma 3 3 4 2 2 2 4" xfId="10833" xr:uid="{378F9456-939F-4FFC-9FD0-58AD6AAB42EF}"/>
    <cellStyle name="Comma 3 3 4 2 2 2 4 2" xfId="28177" xr:uid="{13989E0C-C99F-434D-B19C-4FFE4C20D78D}"/>
    <cellStyle name="Comma 3 3 4 2 2 2 5" xfId="19505" xr:uid="{B412B40F-FE96-4976-86AF-119B74DA0D11}"/>
    <cellStyle name="Comma 3 3 4 2 2 3" xfId="3245" xr:uid="{8F906D74-FC33-4A1E-A9CA-96C8761AA7B8}"/>
    <cellStyle name="Comma 3 3 4 2 2 3 2" xfId="7581" xr:uid="{4732BA7D-0AD2-480F-8402-2936F1513EA4}"/>
    <cellStyle name="Comma 3 3 4 2 2 3 2 2" xfId="16253" xr:uid="{00F4A1F8-5A56-4B64-920B-56CEB3330911}"/>
    <cellStyle name="Comma 3 3 4 2 2 3 2 2 2" xfId="33597" xr:uid="{3F56BCE5-EB73-413E-8653-B4DE0712A79A}"/>
    <cellStyle name="Comma 3 3 4 2 2 3 2 3" xfId="24925" xr:uid="{CE31083E-CF1A-4BAA-BB95-50B1D17E541A}"/>
    <cellStyle name="Comma 3 3 4 2 2 3 3" xfId="11917" xr:uid="{C76B0841-494C-446B-93DD-F3EF10E70B18}"/>
    <cellStyle name="Comma 3 3 4 2 2 3 3 2" xfId="29261" xr:uid="{E539B223-3008-409E-9341-37BD5C9C1350}"/>
    <cellStyle name="Comma 3 3 4 2 2 3 4" xfId="20589" xr:uid="{07DAECF2-9B80-4E51-92E0-A2715B523A5D}"/>
    <cellStyle name="Comma 3 3 4 2 2 4" xfId="5413" xr:uid="{A70727ED-A956-472E-BC57-3ACC5423C5AC}"/>
    <cellStyle name="Comma 3 3 4 2 2 4 2" xfId="14085" xr:uid="{C8809E50-E1DE-4EC2-AAD6-1CE827330E73}"/>
    <cellStyle name="Comma 3 3 4 2 2 4 2 2" xfId="31429" xr:uid="{D76E3F77-DCAA-46CF-BA65-770AB3A4E451}"/>
    <cellStyle name="Comma 3 3 4 2 2 4 3" xfId="22757" xr:uid="{B3537CBB-AF5B-40EE-A273-B3D62BBC06D4}"/>
    <cellStyle name="Comma 3 3 4 2 2 5" xfId="9749" xr:uid="{6C283D32-F54D-4A5E-989A-A4812C57A3A4}"/>
    <cellStyle name="Comma 3 3 4 2 2 5 2" xfId="27093" xr:uid="{57C53425-5B57-4555-8CA5-1367B0CB5BA5}"/>
    <cellStyle name="Comma 3 3 4 2 2 6" xfId="18421" xr:uid="{6FC6F6ED-F3A8-489B-8729-047DF31B981F}"/>
    <cellStyle name="Comma 3 3 4 2 3" xfId="1620" xr:uid="{494CC7B3-BB9C-439E-B919-237E4A0476E5}"/>
    <cellStyle name="Comma 3 3 4 2 3 2" xfId="3788" xr:uid="{85F31EB1-4F58-4612-8493-E3F729F040DA}"/>
    <cellStyle name="Comma 3 3 4 2 3 2 2" xfId="8124" xr:uid="{E5693AE2-84FE-4AE4-8825-68AC5838D3F6}"/>
    <cellStyle name="Comma 3 3 4 2 3 2 2 2" xfId="16796" xr:uid="{AB3756D0-6354-4761-A26F-C8064576B807}"/>
    <cellStyle name="Comma 3 3 4 2 3 2 2 2 2" xfId="34140" xr:uid="{3561B06E-78F5-4617-8E3D-A4EE550D3587}"/>
    <cellStyle name="Comma 3 3 4 2 3 2 2 3" xfId="25468" xr:uid="{2194DF08-7839-4087-B3C1-25B1ACA5C5FE}"/>
    <cellStyle name="Comma 3 3 4 2 3 2 3" xfId="12460" xr:uid="{04859771-FBF6-49A7-ADC4-682BAD74D366}"/>
    <cellStyle name="Comma 3 3 4 2 3 2 3 2" xfId="29804" xr:uid="{7ADBF154-2762-410C-8FC2-9F8ED41A9517}"/>
    <cellStyle name="Comma 3 3 4 2 3 2 4" xfId="21132" xr:uid="{26FF8EBF-8E90-479B-AA8F-351BDAED30AC}"/>
    <cellStyle name="Comma 3 3 4 2 3 3" xfId="5956" xr:uid="{1BF0B31D-C5E7-4F33-B4ED-5E37BFBCDBD1}"/>
    <cellStyle name="Comma 3 3 4 2 3 3 2" xfId="14628" xr:uid="{541A31A2-7A38-4E2C-A50E-0A2D3B8FD243}"/>
    <cellStyle name="Comma 3 3 4 2 3 3 2 2" xfId="31972" xr:uid="{5B153955-A18C-468E-A6A3-CFF99E48BCAA}"/>
    <cellStyle name="Comma 3 3 4 2 3 3 3" xfId="23300" xr:uid="{441F9B63-9D67-406C-86A9-7733FBFF3007}"/>
    <cellStyle name="Comma 3 3 4 2 3 4" xfId="10292" xr:uid="{0249BD7D-BD3F-4F0A-AED7-EFB58757E416}"/>
    <cellStyle name="Comma 3 3 4 2 3 4 2" xfId="27636" xr:uid="{A09AC76D-FC48-4ACC-935E-30A369374B78}"/>
    <cellStyle name="Comma 3 3 4 2 3 5" xfId="18964" xr:uid="{4C45AF89-BE70-4AF4-86D2-D2CC5A2C290B}"/>
    <cellStyle name="Comma 3 3 4 2 4" xfId="2704" xr:uid="{F0C97DE6-05ED-4793-8F5C-74D2B1F828FA}"/>
    <cellStyle name="Comma 3 3 4 2 4 2" xfId="7040" xr:uid="{D72B8F1B-21EF-47D0-A6FE-545FA9CD9877}"/>
    <cellStyle name="Comma 3 3 4 2 4 2 2" xfId="15712" xr:uid="{F40A8A28-BEAD-4784-90B9-864B4DA77825}"/>
    <cellStyle name="Comma 3 3 4 2 4 2 2 2" xfId="33056" xr:uid="{B060D040-931D-46BC-9EF5-6A21C80842C5}"/>
    <cellStyle name="Comma 3 3 4 2 4 2 3" xfId="24384" xr:uid="{45039C3D-7E2E-48C3-BCF6-22DEFDF58F98}"/>
    <cellStyle name="Comma 3 3 4 2 4 3" xfId="11376" xr:uid="{420EB882-42DE-474A-93CF-63712AD4D286}"/>
    <cellStyle name="Comma 3 3 4 2 4 3 2" xfId="28720" xr:uid="{E7F59E88-A05C-44F8-A6E7-FF872BDB5546}"/>
    <cellStyle name="Comma 3 3 4 2 4 4" xfId="20048" xr:uid="{68063A8B-D6CF-4BCF-9B0D-AE4626278084}"/>
    <cellStyle name="Comma 3 3 4 2 5" xfId="4872" xr:uid="{B6B6FAFA-364E-450A-8456-08B30523605D}"/>
    <cellStyle name="Comma 3 3 4 2 5 2" xfId="13544" xr:uid="{E08DFC96-D3A5-4EE7-B625-7A46C8EDDB73}"/>
    <cellStyle name="Comma 3 3 4 2 5 2 2" xfId="30888" xr:uid="{394A2672-17ED-430A-A833-15D3AD25A3EF}"/>
    <cellStyle name="Comma 3 3 4 2 5 3" xfId="22216" xr:uid="{3A5EDC0E-28EC-4DF4-AC46-8E8E172842FB}"/>
    <cellStyle name="Comma 3 3 4 2 6" xfId="9208" xr:uid="{BD5B4384-EABB-4564-860A-15EEDC9C6E1B}"/>
    <cellStyle name="Comma 3 3 4 2 6 2" xfId="26552" xr:uid="{4CC71740-EFE3-410A-94B3-DCCD605FDF1D}"/>
    <cellStyle name="Comma 3 3 4 2 7" xfId="17880" xr:uid="{E5C4B054-0747-45AB-8871-169426FB8FED}"/>
    <cellStyle name="Comma 3 3 4 3" xfId="807" xr:uid="{8FB98C2D-2D43-4450-886A-D2145D793F39}"/>
    <cellStyle name="Comma 3 3 4 3 2" xfId="1891" xr:uid="{F14874F9-6238-4F37-B1B1-F9959BF0883F}"/>
    <cellStyle name="Comma 3 3 4 3 2 2" xfId="4059" xr:uid="{6DEEFABB-E989-4DCC-AE18-B40E212666E9}"/>
    <cellStyle name="Comma 3 3 4 3 2 2 2" xfId="8395" xr:uid="{1AC44706-E4DB-4964-BBD9-0982D8B63D41}"/>
    <cellStyle name="Comma 3 3 4 3 2 2 2 2" xfId="17067" xr:uid="{F72FDA32-4C3D-47DF-950A-9D3F72C0181E}"/>
    <cellStyle name="Comma 3 3 4 3 2 2 2 2 2" xfId="34411" xr:uid="{28591A8F-76FE-4699-83F1-11FDAF82449B}"/>
    <cellStyle name="Comma 3 3 4 3 2 2 2 3" xfId="25739" xr:uid="{D67DB1C9-2D19-4222-BEBF-4227A60B8B06}"/>
    <cellStyle name="Comma 3 3 4 3 2 2 3" xfId="12731" xr:uid="{B404318B-EBED-4167-BA4C-44844FD97C84}"/>
    <cellStyle name="Comma 3 3 4 3 2 2 3 2" xfId="30075" xr:uid="{3119A21B-E587-4067-9E6B-300F64C7A94C}"/>
    <cellStyle name="Comma 3 3 4 3 2 2 4" xfId="21403" xr:uid="{17E2A1AD-BB13-4155-AC72-8EA893A0437E}"/>
    <cellStyle name="Comma 3 3 4 3 2 3" xfId="6227" xr:uid="{A569561B-8A81-45E2-A680-0666E099B33E}"/>
    <cellStyle name="Comma 3 3 4 3 2 3 2" xfId="14899" xr:uid="{BE296B81-3FC9-44A8-BFC2-B51BA68C653C}"/>
    <cellStyle name="Comma 3 3 4 3 2 3 2 2" xfId="32243" xr:uid="{E65EA307-C328-4B63-B024-91AF89A764D6}"/>
    <cellStyle name="Comma 3 3 4 3 2 3 3" xfId="23571" xr:uid="{C51D6B7C-0420-484C-BE5F-9B056E9EB058}"/>
    <cellStyle name="Comma 3 3 4 3 2 4" xfId="10563" xr:uid="{8B1BA1A8-560C-4244-9048-458CF54E6EB0}"/>
    <cellStyle name="Comma 3 3 4 3 2 4 2" xfId="27907" xr:uid="{B770A1D8-A1F2-4FA7-BB77-70DA8D171CDA}"/>
    <cellStyle name="Comma 3 3 4 3 2 5" xfId="19235" xr:uid="{D0EE8969-9512-43C3-919D-658AA7AC24BB}"/>
    <cellStyle name="Comma 3 3 4 3 3" xfId="2975" xr:uid="{E2A3057E-2729-4248-BD6D-26B756894AC3}"/>
    <cellStyle name="Comma 3 3 4 3 3 2" xfId="7311" xr:uid="{522EC591-39C7-4587-86E0-C49CDBD68700}"/>
    <cellStyle name="Comma 3 3 4 3 3 2 2" xfId="15983" xr:uid="{2A23591D-01EC-4A64-BB84-CA072826CB75}"/>
    <cellStyle name="Comma 3 3 4 3 3 2 2 2" xfId="33327" xr:uid="{F366B516-62F5-4DE3-9507-2EC73EE2936C}"/>
    <cellStyle name="Comma 3 3 4 3 3 2 3" xfId="24655" xr:uid="{20C2BC8D-AC16-49C3-8476-CD0C8141E646}"/>
    <cellStyle name="Comma 3 3 4 3 3 3" xfId="11647" xr:uid="{E184BDD8-8A06-4F27-A9B1-68B13F322856}"/>
    <cellStyle name="Comma 3 3 4 3 3 3 2" xfId="28991" xr:uid="{B6DB51D6-8957-4575-8417-AFFA9279057B}"/>
    <cellStyle name="Comma 3 3 4 3 3 4" xfId="20319" xr:uid="{D8B011E8-59FB-42CF-8A0E-F0509EAE0109}"/>
    <cellStyle name="Comma 3 3 4 3 4" xfId="5143" xr:uid="{A94819FA-2085-49EC-AEA2-672A4DB9075C}"/>
    <cellStyle name="Comma 3 3 4 3 4 2" xfId="13815" xr:uid="{492CE1E6-4CEC-40C4-B39F-5B2BF340E078}"/>
    <cellStyle name="Comma 3 3 4 3 4 2 2" xfId="31159" xr:uid="{3DD90249-3196-4038-ABF4-FBDB19CECFE7}"/>
    <cellStyle name="Comma 3 3 4 3 4 3" xfId="22487" xr:uid="{BD5CE443-4E6C-4057-AF2D-CAB7E0B87D4F}"/>
    <cellStyle name="Comma 3 3 4 3 5" xfId="9479" xr:uid="{5CBBC3A0-9C5D-4ABC-8EE9-0E32B797CD64}"/>
    <cellStyle name="Comma 3 3 4 3 5 2" xfId="26823" xr:uid="{C4F3189F-17FD-4520-ABC2-7EF9E79EA159}"/>
    <cellStyle name="Comma 3 3 4 3 6" xfId="18151" xr:uid="{917763C3-8865-4DA5-899D-D47332B4E14F}"/>
    <cellStyle name="Comma 3 3 4 4" xfId="1350" xr:uid="{1AECBFB1-FD1D-4FA3-BFB3-56B432E47223}"/>
    <cellStyle name="Comma 3 3 4 4 2" xfId="3518" xr:uid="{5196268A-6D49-4F43-B599-0B4EE2029E18}"/>
    <cellStyle name="Comma 3 3 4 4 2 2" xfId="7854" xr:uid="{D0883753-80F6-4FFA-AF0D-758D7B5B4D5E}"/>
    <cellStyle name="Comma 3 3 4 4 2 2 2" xfId="16526" xr:uid="{9BAD4759-A651-470C-BA5B-5CDFC23ABDFE}"/>
    <cellStyle name="Comma 3 3 4 4 2 2 2 2" xfId="33870" xr:uid="{22639B73-5634-4081-9993-76510C53F594}"/>
    <cellStyle name="Comma 3 3 4 4 2 2 3" xfId="25198" xr:uid="{BC3ED1D4-60C9-43AF-B9C2-74279B1A2094}"/>
    <cellStyle name="Comma 3 3 4 4 2 3" xfId="12190" xr:uid="{D99B60A4-01F1-4C0A-882E-113F1F8CD3C1}"/>
    <cellStyle name="Comma 3 3 4 4 2 3 2" xfId="29534" xr:uid="{8DEF670C-EE65-4D0D-8DF9-D4968E7B397B}"/>
    <cellStyle name="Comma 3 3 4 4 2 4" xfId="20862" xr:uid="{AEAEA0CC-E19D-4CFE-8198-447CA6C5EB62}"/>
    <cellStyle name="Comma 3 3 4 4 3" xfId="5686" xr:uid="{A133780D-6007-4A11-A181-8BFF44FBE11D}"/>
    <cellStyle name="Comma 3 3 4 4 3 2" xfId="14358" xr:uid="{BF548FDC-AE07-4170-B51F-E03ED497C2CB}"/>
    <cellStyle name="Comma 3 3 4 4 3 2 2" xfId="31702" xr:uid="{438786B1-81DB-47B6-9488-AA37F8DD5948}"/>
    <cellStyle name="Comma 3 3 4 4 3 3" xfId="23030" xr:uid="{110B6FBD-EAAF-42BB-AEA1-F483AF0816F1}"/>
    <cellStyle name="Comma 3 3 4 4 4" xfId="10022" xr:uid="{2674DDA0-0E17-4D88-A71D-60063F13B053}"/>
    <cellStyle name="Comma 3 3 4 4 4 2" xfId="27366" xr:uid="{3C398718-E163-462D-A1D3-CBB852C4EB31}"/>
    <cellStyle name="Comma 3 3 4 4 5" xfId="18694" xr:uid="{FF63AE69-13DF-4DB8-B147-28F273746964}"/>
    <cellStyle name="Comma 3 3 4 5" xfId="2434" xr:uid="{533E7383-170F-4539-B48A-66D0A0CD684C}"/>
    <cellStyle name="Comma 3 3 4 5 2" xfId="6770" xr:uid="{86E4852B-7E66-4D01-8D4F-C106D6284E9D}"/>
    <cellStyle name="Comma 3 3 4 5 2 2" xfId="15442" xr:uid="{20F50660-8BAB-47D8-A1C2-CBB0349081EE}"/>
    <cellStyle name="Comma 3 3 4 5 2 2 2" xfId="32786" xr:uid="{F73019B5-4891-4F2D-88C9-583041D837BE}"/>
    <cellStyle name="Comma 3 3 4 5 2 3" xfId="24114" xr:uid="{FB07DCB4-201C-43ED-A130-231077320CD1}"/>
    <cellStyle name="Comma 3 3 4 5 3" xfId="11106" xr:uid="{C0623433-D7E6-449A-8AE6-0CC89151019E}"/>
    <cellStyle name="Comma 3 3 4 5 3 2" xfId="28450" xr:uid="{AF78392E-5350-43AF-B958-25F5534E53B1}"/>
    <cellStyle name="Comma 3 3 4 5 4" xfId="19778" xr:uid="{069B7693-02D4-41A6-9694-F60A7FB56C9B}"/>
    <cellStyle name="Comma 3 3 4 6" xfId="4602" xr:uid="{4DD18B65-3E68-4D42-8930-C00AF3BBD583}"/>
    <cellStyle name="Comma 3 3 4 6 2" xfId="13274" xr:uid="{218498D7-F77A-47C4-AA5D-D623681D4C02}"/>
    <cellStyle name="Comma 3 3 4 6 2 2" xfId="30618" xr:uid="{7C5B61B8-7ED2-4155-9479-9E13CCF789E9}"/>
    <cellStyle name="Comma 3 3 4 6 3" xfId="21946" xr:uid="{943D92CF-3E7F-4966-87CD-1A59C94BAD6E}"/>
    <cellStyle name="Comma 3 3 4 7" xfId="8938" xr:uid="{12848BA5-88B7-4AA0-A785-726C96BC3484}"/>
    <cellStyle name="Comma 3 3 4 7 2" xfId="26282" xr:uid="{97CF2093-6C65-4D94-8035-6ADEF64362D3}"/>
    <cellStyle name="Comma 3 3 4 8" xfId="17610" xr:uid="{1A327D2C-8DC4-48CD-8A47-D8796AD590C2}"/>
    <cellStyle name="Comma 3 3 5" xfId="290" xr:uid="{F1CDBF56-673B-471C-96A1-12AC7909D099}"/>
    <cellStyle name="Comma 3 3 5 2" xfId="831" xr:uid="{D915B567-BE50-49FC-A1FD-A3EF2C899765}"/>
    <cellStyle name="Comma 3 3 5 2 2" xfId="1915" xr:uid="{D2A233A9-F854-4B45-B75F-7B4C4740D7A0}"/>
    <cellStyle name="Comma 3 3 5 2 2 2" xfId="4083" xr:uid="{2EEB5F86-0350-4453-9515-B43D5AC15CC4}"/>
    <cellStyle name="Comma 3 3 5 2 2 2 2" xfId="8419" xr:uid="{AF8FA4A1-9735-4CE5-8BD3-03F3B67DBE62}"/>
    <cellStyle name="Comma 3 3 5 2 2 2 2 2" xfId="17091" xr:uid="{7B78FEB9-34EA-43DB-B8CB-B14AB090A0D7}"/>
    <cellStyle name="Comma 3 3 5 2 2 2 2 2 2" xfId="34435" xr:uid="{AA7C790B-CF46-478E-9C2E-BC61DDDAF9DD}"/>
    <cellStyle name="Comma 3 3 5 2 2 2 2 3" xfId="25763" xr:uid="{2AC5446D-8254-48DC-8BA5-EB564C405411}"/>
    <cellStyle name="Comma 3 3 5 2 2 2 3" xfId="12755" xr:uid="{8636E583-C916-4AD3-AB15-1D740AACB771}"/>
    <cellStyle name="Comma 3 3 5 2 2 2 3 2" xfId="30099" xr:uid="{6EDE43B0-1C66-45C0-AE8C-D1F2529BCE7D}"/>
    <cellStyle name="Comma 3 3 5 2 2 2 4" xfId="21427" xr:uid="{EF0BE74E-7D4E-4EF3-8D3A-D2B8E8372682}"/>
    <cellStyle name="Comma 3 3 5 2 2 3" xfId="6251" xr:uid="{8C5F4058-14B9-4790-BD93-71072800E210}"/>
    <cellStyle name="Comma 3 3 5 2 2 3 2" xfId="14923" xr:uid="{4E1F2CF1-B8A6-4C2D-8957-D64CB650DDB0}"/>
    <cellStyle name="Comma 3 3 5 2 2 3 2 2" xfId="32267" xr:uid="{0EF6096A-1E58-4CA7-8099-E97CB0C025F6}"/>
    <cellStyle name="Comma 3 3 5 2 2 3 3" xfId="23595" xr:uid="{3A5799B8-E025-42DB-BF6A-4E0C013F19BB}"/>
    <cellStyle name="Comma 3 3 5 2 2 4" xfId="10587" xr:uid="{74E9AB9A-9496-419C-8A38-98EE76766F08}"/>
    <cellStyle name="Comma 3 3 5 2 2 4 2" xfId="27931" xr:uid="{A2D05AAC-02A9-4C69-A0EA-A538DE92A4CC}"/>
    <cellStyle name="Comma 3 3 5 2 2 5" xfId="19259" xr:uid="{490A32A2-3C36-4C35-B3A6-374174BE98BA}"/>
    <cellStyle name="Comma 3 3 5 2 3" xfId="2999" xr:uid="{15204384-8B89-4B51-A673-98945C209AB6}"/>
    <cellStyle name="Comma 3 3 5 2 3 2" xfId="7335" xr:uid="{BEEDCD56-5BE5-4D1F-8F2B-CE2D091FE9F1}"/>
    <cellStyle name="Comma 3 3 5 2 3 2 2" xfId="16007" xr:uid="{3AD7A04B-761B-4532-950F-CCCE00B721F3}"/>
    <cellStyle name="Comma 3 3 5 2 3 2 2 2" xfId="33351" xr:uid="{80C5A163-683D-47E9-B5E6-AEDE859311B8}"/>
    <cellStyle name="Comma 3 3 5 2 3 2 3" xfId="24679" xr:uid="{C655CAEF-C8BD-4B79-93A7-CA1E25B25E5C}"/>
    <cellStyle name="Comma 3 3 5 2 3 3" xfId="11671" xr:uid="{A65FB767-A622-4B94-9855-D15E9394260A}"/>
    <cellStyle name="Comma 3 3 5 2 3 3 2" xfId="29015" xr:uid="{7A646A96-E5E1-4B18-A7C2-4F79FF756FD1}"/>
    <cellStyle name="Comma 3 3 5 2 3 4" xfId="20343" xr:uid="{CF86D60F-F22E-4A39-8868-3026B3264974}"/>
    <cellStyle name="Comma 3 3 5 2 4" xfId="5167" xr:uid="{3E34A144-7872-4B17-8F00-1EA4115EBA30}"/>
    <cellStyle name="Comma 3 3 5 2 4 2" xfId="13839" xr:uid="{30CE5E87-1871-4456-B12A-3E127D724672}"/>
    <cellStyle name="Comma 3 3 5 2 4 2 2" xfId="31183" xr:uid="{3B4CC388-FF4F-40F5-86C6-9FC153429EF7}"/>
    <cellStyle name="Comma 3 3 5 2 4 3" xfId="22511" xr:uid="{6B0C7A78-E97E-43AD-A93D-0C316C55CE95}"/>
    <cellStyle name="Comma 3 3 5 2 5" xfId="9503" xr:uid="{2D2043F8-78E9-482D-95D8-FD3FC18F9242}"/>
    <cellStyle name="Comma 3 3 5 2 5 2" xfId="26847" xr:uid="{3EA21599-B777-41BE-8AAA-E80587A5EB4D}"/>
    <cellStyle name="Comma 3 3 5 2 6" xfId="18175" xr:uid="{FC1EA5CF-2A37-434B-9498-075C7C7ED42D}"/>
    <cellStyle name="Comma 3 3 5 3" xfId="1374" xr:uid="{0C212386-5103-4E73-924B-6243F85B789F}"/>
    <cellStyle name="Comma 3 3 5 3 2" xfId="3542" xr:uid="{6F660103-B57C-4F01-9843-F2CE70001C23}"/>
    <cellStyle name="Comma 3 3 5 3 2 2" xfId="7878" xr:uid="{B85CFEF9-9CD8-428C-8AC4-243B4D8C9CD9}"/>
    <cellStyle name="Comma 3 3 5 3 2 2 2" xfId="16550" xr:uid="{D2B705B3-8410-461C-8DB2-D7F20546D728}"/>
    <cellStyle name="Comma 3 3 5 3 2 2 2 2" xfId="33894" xr:uid="{07360AA0-DEA4-4624-BF6C-56D292EEFA4B}"/>
    <cellStyle name="Comma 3 3 5 3 2 2 3" xfId="25222" xr:uid="{8F0618D8-E2F0-4C93-BAB8-1CF4F95139F4}"/>
    <cellStyle name="Comma 3 3 5 3 2 3" xfId="12214" xr:uid="{1CA8A17F-7596-49FE-90B4-74C98B6F681C}"/>
    <cellStyle name="Comma 3 3 5 3 2 3 2" xfId="29558" xr:uid="{A150D240-C660-4E22-B3AA-BC86640FEC44}"/>
    <cellStyle name="Comma 3 3 5 3 2 4" xfId="20886" xr:uid="{48EB7D72-2495-4F84-B516-392596FE796D}"/>
    <cellStyle name="Comma 3 3 5 3 3" xfId="5710" xr:uid="{582CE58C-9277-427A-835B-43BE9156789A}"/>
    <cellStyle name="Comma 3 3 5 3 3 2" xfId="14382" xr:uid="{A60B4DE4-B5F5-430B-A544-3906D07F6961}"/>
    <cellStyle name="Comma 3 3 5 3 3 2 2" xfId="31726" xr:uid="{544591F1-5820-4FB7-8FFD-D75394CD97B0}"/>
    <cellStyle name="Comma 3 3 5 3 3 3" xfId="23054" xr:uid="{1EBE9285-7123-4291-9E2E-4439FB23D9F7}"/>
    <cellStyle name="Comma 3 3 5 3 4" xfId="10046" xr:uid="{E51C953E-8214-4536-99DE-8BFAEC93F807}"/>
    <cellStyle name="Comma 3 3 5 3 4 2" xfId="27390" xr:uid="{6344DE4A-5283-4F7C-B39F-004D6D492C1F}"/>
    <cellStyle name="Comma 3 3 5 3 5" xfId="18718" xr:uid="{B51E4434-77C8-44E2-BBB5-B204875F1E85}"/>
    <cellStyle name="Comma 3 3 5 4" xfId="2458" xr:uid="{26360914-E72C-425F-86F8-80EF2B016CDC}"/>
    <cellStyle name="Comma 3 3 5 4 2" xfId="6794" xr:uid="{5F84C4EC-6336-46BB-BC7A-2F9ED52933E8}"/>
    <cellStyle name="Comma 3 3 5 4 2 2" xfId="15466" xr:uid="{7660AC12-86E9-433A-B466-31038FAA1B28}"/>
    <cellStyle name="Comma 3 3 5 4 2 2 2" xfId="32810" xr:uid="{F7B4A849-7834-4CAD-AD73-665B9F89C9B3}"/>
    <cellStyle name="Comma 3 3 5 4 2 3" xfId="24138" xr:uid="{66A41F47-6517-4FC0-9AF5-D613A566B814}"/>
    <cellStyle name="Comma 3 3 5 4 3" xfId="11130" xr:uid="{5A03696C-AE85-49A8-A5C9-29C9FC935993}"/>
    <cellStyle name="Comma 3 3 5 4 3 2" xfId="28474" xr:uid="{9F897DA6-1BEF-4CF2-93F1-AB8C574E363F}"/>
    <cellStyle name="Comma 3 3 5 4 4" xfId="19802" xr:uid="{9E718FD9-59A3-444F-A421-E36F169B51C9}"/>
    <cellStyle name="Comma 3 3 5 5" xfId="4626" xr:uid="{BE7C246C-B352-4258-AD1F-26D390BEC96E}"/>
    <cellStyle name="Comma 3 3 5 5 2" xfId="13298" xr:uid="{4C7FC08E-6D75-4150-A660-E3E26BE4E9A7}"/>
    <cellStyle name="Comma 3 3 5 5 2 2" xfId="30642" xr:uid="{4E759AE8-792B-4B35-BA18-B273806903EE}"/>
    <cellStyle name="Comma 3 3 5 5 3" xfId="21970" xr:uid="{C6522C8B-E119-4E24-B349-43A3771F8047}"/>
    <cellStyle name="Comma 3 3 5 6" xfId="8962" xr:uid="{A31D6E70-7C44-4061-9CB7-02FAE8A10798}"/>
    <cellStyle name="Comma 3 3 5 6 2" xfId="26306" xr:uid="{6046EAD9-5E1E-4EB1-AEF0-449492170E24}"/>
    <cellStyle name="Comma 3 3 5 7" xfId="17634" xr:uid="{4BBC1719-D3E4-41F8-BE99-720B1D5721E8}"/>
    <cellStyle name="Comma 3 3 6" xfId="561" xr:uid="{D839E5A5-8484-41D4-B98D-4993920AE8C2}"/>
    <cellStyle name="Comma 3 3 6 2" xfId="1645" xr:uid="{9285C9C9-34F2-43BC-9594-A0C368C15851}"/>
    <cellStyle name="Comma 3 3 6 2 2" xfId="3813" xr:uid="{21B7FA48-E4D7-4B4D-B8B3-F7202BB1F998}"/>
    <cellStyle name="Comma 3 3 6 2 2 2" xfId="8149" xr:uid="{F6E25044-79BA-4CA0-AB2E-41439BFF1652}"/>
    <cellStyle name="Comma 3 3 6 2 2 2 2" xfId="16821" xr:uid="{99BDE71D-87F2-44DA-9761-1FB7C037CCE2}"/>
    <cellStyle name="Comma 3 3 6 2 2 2 2 2" xfId="34165" xr:uid="{B781992F-F551-4CC4-9509-4A90E332FB53}"/>
    <cellStyle name="Comma 3 3 6 2 2 2 3" xfId="25493" xr:uid="{A2C4D733-53F3-4DCF-A327-271FE9077DB5}"/>
    <cellStyle name="Comma 3 3 6 2 2 3" xfId="12485" xr:uid="{60F3D890-B956-447E-8093-1DE8EACEE180}"/>
    <cellStyle name="Comma 3 3 6 2 2 3 2" xfId="29829" xr:uid="{A2317308-9755-40A2-8A0C-A7DFAFBFDCB0}"/>
    <cellStyle name="Comma 3 3 6 2 2 4" xfId="21157" xr:uid="{5FCA8C17-84D3-4D7C-8D05-DEC04A347502}"/>
    <cellStyle name="Comma 3 3 6 2 3" xfId="5981" xr:uid="{B8DB9CB7-3B66-4892-AF29-DD8AA46C3B80}"/>
    <cellStyle name="Comma 3 3 6 2 3 2" xfId="14653" xr:uid="{184F6365-63F8-44AE-8DFD-EA245888061F}"/>
    <cellStyle name="Comma 3 3 6 2 3 2 2" xfId="31997" xr:uid="{E4B21C00-6376-49BC-B3FD-DF14439F627E}"/>
    <cellStyle name="Comma 3 3 6 2 3 3" xfId="23325" xr:uid="{B08A6C1C-903D-4796-A25E-D6D7627280B8}"/>
    <cellStyle name="Comma 3 3 6 2 4" xfId="10317" xr:uid="{154868D3-2EBF-4EB8-BF98-4BF49D690ED3}"/>
    <cellStyle name="Comma 3 3 6 2 4 2" xfId="27661" xr:uid="{F41C1F8C-6244-424C-8737-F8900D7C5C49}"/>
    <cellStyle name="Comma 3 3 6 2 5" xfId="18989" xr:uid="{44F4792C-C4B0-4341-A57F-14A57D497E94}"/>
    <cellStyle name="Comma 3 3 6 3" xfId="2729" xr:uid="{BAF43203-780C-48F4-BAFD-E848E6C91551}"/>
    <cellStyle name="Comma 3 3 6 3 2" xfId="7065" xr:uid="{AB770C23-3BAD-4E49-90A0-533D5CC84C3D}"/>
    <cellStyle name="Comma 3 3 6 3 2 2" xfId="15737" xr:uid="{B6F30B7B-B81E-4ED8-AB93-AB3E4F12806A}"/>
    <cellStyle name="Comma 3 3 6 3 2 2 2" xfId="33081" xr:uid="{2675023D-9D81-43AF-B690-FC397C964FF0}"/>
    <cellStyle name="Comma 3 3 6 3 2 3" xfId="24409" xr:uid="{EFEF170C-0221-46C5-AE04-4921E768D0CA}"/>
    <cellStyle name="Comma 3 3 6 3 3" xfId="11401" xr:uid="{392AF3A2-C56A-4E4B-A313-33554328C694}"/>
    <cellStyle name="Comma 3 3 6 3 3 2" xfId="28745" xr:uid="{811762AE-3A16-4AB4-B832-331485F3FA36}"/>
    <cellStyle name="Comma 3 3 6 3 4" xfId="20073" xr:uid="{8C992DE7-1890-40AE-AAE3-697D216C4337}"/>
    <cellStyle name="Comma 3 3 6 4" xfId="4897" xr:uid="{FEC1585B-1757-462F-B156-BE700DCC707C}"/>
    <cellStyle name="Comma 3 3 6 4 2" xfId="13569" xr:uid="{BE6F3F72-8C1E-465F-9E7B-C6727749F0DB}"/>
    <cellStyle name="Comma 3 3 6 4 2 2" xfId="30913" xr:uid="{1FF898D3-E39A-4322-B112-398C83554E38}"/>
    <cellStyle name="Comma 3 3 6 4 3" xfId="22241" xr:uid="{39B47B4A-B3FC-4107-9F82-1765E22E7055}"/>
    <cellStyle name="Comma 3 3 6 5" xfId="9233" xr:uid="{4E327FD1-D45D-46AE-A13E-D201CA3B038C}"/>
    <cellStyle name="Comma 3 3 6 5 2" xfId="26577" xr:uid="{0B258AF7-51B7-45E8-8D88-55B5182C2965}"/>
    <cellStyle name="Comma 3 3 6 6" xfId="17905" xr:uid="{0A836F00-ED8F-4509-AC6D-FCAE2980075B}"/>
    <cellStyle name="Comma 3 3 7" xfId="1104" xr:uid="{6ECE037C-FA06-46CC-BD19-8D5A70C510FD}"/>
    <cellStyle name="Comma 3 3 7 2" xfId="3272" xr:uid="{946F5A55-5CC5-4F54-922E-40F9EEC2A230}"/>
    <cellStyle name="Comma 3 3 7 2 2" xfId="7608" xr:uid="{87EB6681-D228-4704-A792-9B291779F2A4}"/>
    <cellStyle name="Comma 3 3 7 2 2 2" xfId="16280" xr:uid="{97DB8F02-6EB2-419D-91B3-24CCF30E7F33}"/>
    <cellStyle name="Comma 3 3 7 2 2 2 2" xfId="33624" xr:uid="{F8175A06-6F84-4063-AADC-6FF931CB246D}"/>
    <cellStyle name="Comma 3 3 7 2 2 3" xfId="24952" xr:uid="{1036FEFA-7F04-48C4-B45A-AC64A690813B}"/>
    <cellStyle name="Comma 3 3 7 2 3" xfId="11944" xr:uid="{1ECC19DB-8A07-449B-9E11-926E60EEC454}"/>
    <cellStyle name="Comma 3 3 7 2 3 2" xfId="29288" xr:uid="{18820682-6235-44F8-BAF1-DB6F861F4EF9}"/>
    <cellStyle name="Comma 3 3 7 2 4" xfId="20616" xr:uid="{58A367BC-3B21-43B4-AFFD-59D0CA43F252}"/>
    <cellStyle name="Comma 3 3 7 3" xfId="5440" xr:uid="{35D75C27-86CA-4937-B91E-DCF85C241672}"/>
    <cellStyle name="Comma 3 3 7 3 2" xfId="14112" xr:uid="{E3356B6D-BC05-4142-96A2-7CE854D9B33E}"/>
    <cellStyle name="Comma 3 3 7 3 2 2" xfId="31456" xr:uid="{5C8F92D4-2B3F-4055-9AD1-CBD5D0767F87}"/>
    <cellStyle name="Comma 3 3 7 3 3" xfId="22784" xr:uid="{171111B6-5968-4DFA-B4FD-5917DC9888B9}"/>
    <cellStyle name="Comma 3 3 7 4" xfId="9776" xr:uid="{9EFA2935-D534-4206-95B9-1FE43B26B77D}"/>
    <cellStyle name="Comma 3 3 7 4 2" xfId="27120" xr:uid="{7B16489E-7931-4F44-9948-098E36AB3883}"/>
    <cellStyle name="Comma 3 3 7 5" xfId="18448" xr:uid="{DB1A6251-F75D-4329-9A8B-C25F9D6E914C}"/>
    <cellStyle name="Comma 3 3 8" xfId="2188" xr:uid="{AE1DD193-98ED-449D-A7EF-2D59B92317BE}"/>
    <cellStyle name="Comma 3 3 8 2" xfId="6524" xr:uid="{54300409-FB25-409E-BB21-83313F15CB57}"/>
    <cellStyle name="Comma 3 3 8 2 2" xfId="15196" xr:uid="{EF4C8412-F680-44A3-8A36-198884C16ADA}"/>
    <cellStyle name="Comma 3 3 8 2 2 2" xfId="32540" xr:uid="{58D39B98-DF45-4510-A442-F4B2DA8443C4}"/>
    <cellStyle name="Comma 3 3 8 2 3" xfId="23868" xr:uid="{810DCC81-4180-43F0-9943-2C9519C5BD19}"/>
    <cellStyle name="Comma 3 3 8 3" xfId="10860" xr:uid="{B3BCE9B3-B6D8-46A1-BC21-7575E7639AA6}"/>
    <cellStyle name="Comma 3 3 8 3 2" xfId="28204" xr:uid="{D138C723-5641-409E-AB3A-ED501F4AFAC3}"/>
    <cellStyle name="Comma 3 3 8 4" xfId="19532" xr:uid="{24D83487-6631-4F85-A198-363459009666}"/>
    <cellStyle name="Comma 3 3 9" xfId="4356" xr:uid="{53DA1F02-6049-4C65-8604-56679103613C}"/>
    <cellStyle name="Comma 3 3 9 2" xfId="13028" xr:uid="{41C65559-D930-4CBE-8C3E-45B742378F16}"/>
    <cellStyle name="Comma 3 3 9 2 2" xfId="30372" xr:uid="{7CF12DDF-D923-4FB2-974E-D41FA0534F92}"/>
    <cellStyle name="Comma 3 3 9 3" xfId="21700" xr:uid="{B8BDB420-B63A-44F6-A85B-6CC9726E9EAD}"/>
    <cellStyle name="Comma 3 4" xfId="37" xr:uid="{1BE2A46C-9D29-4DF1-B3A2-33FA2CEA662B}"/>
    <cellStyle name="Comma 3 4 10" xfId="17381" xr:uid="{B1ED190A-7AFC-49F0-B7B1-A77AD59214D4}"/>
    <cellStyle name="Comma 3 4 2" xfId="98" xr:uid="{109779B8-F3BB-48C4-8901-D7C1227B77F5}"/>
    <cellStyle name="Comma 3 4 2 2" xfId="220" xr:uid="{F4DFF045-A47D-4D8F-AAB3-3F745609273C}"/>
    <cellStyle name="Comma 3 4 2 2 2" xfId="490" xr:uid="{982D15CF-F435-42E5-836B-75C80C7F7656}"/>
    <cellStyle name="Comma 3 4 2 2 2 2" xfId="1031" xr:uid="{F9362B7A-8E48-426D-9130-380DD34F9970}"/>
    <cellStyle name="Comma 3 4 2 2 2 2 2" xfId="2115" xr:uid="{2C88E73D-6F54-4BF1-B75C-5FD8ABC001D5}"/>
    <cellStyle name="Comma 3 4 2 2 2 2 2 2" xfId="4283" xr:uid="{5885BCDD-A44A-4322-A92C-E81E24CC6372}"/>
    <cellStyle name="Comma 3 4 2 2 2 2 2 2 2" xfId="8619" xr:uid="{9019A426-6A94-43D3-9F34-3DA8DF2966C8}"/>
    <cellStyle name="Comma 3 4 2 2 2 2 2 2 2 2" xfId="17291" xr:uid="{07D9FE2B-B5D6-44D0-BC1B-C3A70BFBB794}"/>
    <cellStyle name="Comma 3 4 2 2 2 2 2 2 2 2 2" xfId="34635" xr:uid="{B89CCC0E-77CB-46AE-803E-ABA91A77B18F}"/>
    <cellStyle name="Comma 3 4 2 2 2 2 2 2 2 3" xfId="25963" xr:uid="{70371575-D750-4C9E-B592-A3C04D2EBF4E}"/>
    <cellStyle name="Comma 3 4 2 2 2 2 2 2 3" xfId="12955" xr:uid="{BB4897F8-4921-4C46-BC4F-9E6D6F332877}"/>
    <cellStyle name="Comma 3 4 2 2 2 2 2 2 3 2" xfId="30299" xr:uid="{44F7A800-2EF2-43A8-953A-DBC230D11DC8}"/>
    <cellStyle name="Comma 3 4 2 2 2 2 2 2 4" xfId="21627" xr:uid="{C876D2D3-59C7-436A-8F3D-C623AA6FB816}"/>
    <cellStyle name="Comma 3 4 2 2 2 2 2 3" xfId="6451" xr:uid="{F2AC26E1-52AD-4A9A-AA4F-9BEB2C0588D4}"/>
    <cellStyle name="Comma 3 4 2 2 2 2 2 3 2" xfId="15123" xr:uid="{8D485D27-D395-455C-8047-F3E23D26E565}"/>
    <cellStyle name="Comma 3 4 2 2 2 2 2 3 2 2" xfId="32467" xr:uid="{2268BC2F-2A80-4DF4-83C0-DEE8D2713CD2}"/>
    <cellStyle name="Comma 3 4 2 2 2 2 2 3 3" xfId="23795" xr:uid="{72800EF4-019A-4C8E-BFDC-CC52A5715CD0}"/>
    <cellStyle name="Comma 3 4 2 2 2 2 2 4" xfId="10787" xr:uid="{B73E3D64-975E-4469-8B63-5366FB34C5D9}"/>
    <cellStyle name="Comma 3 4 2 2 2 2 2 4 2" xfId="28131" xr:uid="{ADFFE9D5-B10B-4AFC-A109-FE65A6ECE33D}"/>
    <cellStyle name="Comma 3 4 2 2 2 2 2 5" xfId="19459" xr:uid="{750DC749-0768-445A-A9B6-CF9A25BBFDE0}"/>
    <cellStyle name="Comma 3 4 2 2 2 2 3" xfId="3199" xr:uid="{EEA1DAB6-AC28-4A23-8B78-9903838D2D58}"/>
    <cellStyle name="Comma 3 4 2 2 2 2 3 2" xfId="7535" xr:uid="{9D9D97C4-B7B4-4636-9D5E-EEDE803E8E28}"/>
    <cellStyle name="Comma 3 4 2 2 2 2 3 2 2" xfId="16207" xr:uid="{8041F423-D9B9-454B-AECC-813BA51E867C}"/>
    <cellStyle name="Comma 3 4 2 2 2 2 3 2 2 2" xfId="33551" xr:uid="{2AD52A29-00F8-46E9-A63F-2FF1CF871D98}"/>
    <cellStyle name="Comma 3 4 2 2 2 2 3 2 3" xfId="24879" xr:uid="{C619C0E0-9C53-4ADC-8388-E1A3E1814892}"/>
    <cellStyle name="Comma 3 4 2 2 2 2 3 3" xfId="11871" xr:uid="{B73A8C01-85E3-4D40-9A1B-EE404E13118C}"/>
    <cellStyle name="Comma 3 4 2 2 2 2 3 3 2" xfId="29215" xr:uid="{45ED0619-F302-4B55-B2C9-B2714D1CC480}"/>
    <cellStyle name="Comma 3 4 2 2 2 2 3 4" xfId="20543" xr:uid="{CED94870-D459-4578-BC6F-ADC4AA514291}"/>
    <cellStyle name="Comma 3 4 2 2 2 2 4" xfId="5367" xr:uid="{E7BE430C-23AE-4D3E-9D5E-2817D1B5F6D7}"/>
    <cellStyle name="Comma 3 4 2 2 2 2 4 2" xfId="14039" xr:uid="{5B0358CD-498B-46B3-8934-CE9E0298C0A6}"/>
    <cellStyle name="Comma 3 4 2 2 2 2 4 2 2" xfId="31383" xr:uid="{365C96B8-14D3-42B4-801A-423D974506A5}"/>
    <cellStyle name="Comma 3 4 2 2 2 2 4 3" xfId="22711" xr:uid="{627FEDB3-8417-4518-8D64-BCC076AAC921}"/>
    <cellStyle name="Comma 3 4 2 2 2 2 5" xfId="9703" xr:uid="{197CD7EF-310A-466D-822D-7C468EF9272F}"/>
    <cellStyle name="Comma 3 4 2 2 2 2 5 2" xfId="27047" xr:uid="{0E9265CA-FD09-483E-A008-A5AED4756B41}"/>
    <cellStyle name="Comma 3 4 2 2 2 2 6" xfId="18375" xr:uid="{6C5A652E-29AB-4025-B949-E425788D8BAD}"/>
    <cellStyle name="Comma 3 4 2 2 2 3" xfId="1574" xr:uid="{3AF6BB67-DC64-45CF-A2CA-8A8E04C61AE3}"/>
    <cellStyle name="Comma 3 4 2 2 2 3 2" xfId="3742" xr:uid="{080744A0-3178-4BCE-96E3-52A25B238501}"/>
    <cellStyle name="Comma 3 4 2 2 2 3 2 2" xfId="8078" xr:uid="{7BAFECA4-96DB-4C4E-B84C-23422B1A2278}"/>
    <cellStyle name="Comma 3 4 2 2 2 3 2 2 2" xfId="16750" xr:uid="{40D69475-BB93-470B-B6EA-4EE4C308C384}"/>
    <cellStyle name="Comma 3 4 2 2 2 3 2 2 2 2" xfId="34094" xr:uid="{28660E54-CDC3-469C-ACEE-C54968B30669}"/>
    <cellStyle name="Comma 3 4 2 2 2 3 2 2 3" xfId="25422" xr:uid="{C0FAEBB7-A58D-47F8-92FD-478ABAFF493F}"/>
    <cellStyle name="Comma 3 4 2 2 2 3 2 3" xfId="12414" xr:uid="{EB8C1037-9168-4AE5-8956-BD14DAE1D66B}"/>
    <cellStyle name="Comma 3 4 2 2 2 3 2 3 2" xfId="29758" xr:uid="{F35CF18F-277E-4225-A6A9-C156A09AD0CF}"/>
    <cellStyle name="Comma 3 4 2 2 2 3 2 4" xfId="21086" xr:uid="{224155B6-2658-4BBA-98E4-3F59FD16C4BE}"/>
    <cellStyle name="Comma 3 4 2 2 2 3 3" xfId="5910" xr:uid="{849BE042-F95D-47C7-AB26-76AE27A51689}"/>
    <cellStyle name="Comma 3 4 2 2 2 3 3 2" xfId="14582" xr:uid="{70AC2366-F9D1-44A5-89A0-5E5F34A7F908}"/>
    <cellStyle name="Comma 3 4 2 2 2 3 3 2 2" xfId="31926" xr:uid="{6ADCDCD2-15B3-44DB-AD6D-B80A5BD3BE36}"/>
    <cellStyle name="Comma 3 4 2 2 2 3 3 3" xfId="23254" xr:uid="{37747885-5E1F-4599-A301-3B24AB7E53D7}"/>
    <cellStyle name="Comma 3 4 2 2 2 3 4" xfId="10246" xr:uid="{4C9BC105-33BE-4A8D-A0A2-A913C28E9F7C}"/>
    <cellStyle name="Comma 3 4 2 2 2 3 4 2" xfId="27590" xr:uid="{029C67BB-64D5-4815-823E-5EB1BBA0893A}"/>
    <cellStyle name="Comma 3 4 2 2 2 3 5" xfId="18918" xr:uid="{6ED13960-9DDC-4C27-A87B-075CA41AC831}"/>
    <cellStyle name="Comma 3 4 2 2 2 4" xfId="2658" xr:uid="{130192FE-CB53-42FF-AFBF-FB7C14DEA735}"/>
    <cellStyle name="Comma 3 4 2 2 2 4 2" xfId="6994" xr:uid="{90F001D9-3AC7-4C04-AD0E-CB85D859A86A}"/>
    <cellStyle name="Comma 3 4 2 2 2 4 2 2" xfId="15666" xr:uid="{88317D70-EE6E-4976-9D6E-707817753220}"/>
    <cellStyle name="Comma 3 4 2 2 2 4 2 2 2" xfId="33010" xr:uid="{78B1473C-63C0-46D7-B897-2A9B1C27DBA9}"/>
    <cellStyle name="Comma 3 4 2 2 2 4 2 3" xfId="24338" xr:uid="{C7F6230A-DDFB-43DC-85CB-50D767385664}"/>
    <cellStyle name="Comma 3 4 2 2 2 4 3" xfId="11330" xr:uid="{F5BE17C1-244C-4B44-8C3B-5A94EA425842}"/>
    <cellStyle name="Comma 3 4 2 2 2 4 3 2" xfId="28674" xr:uid="{0E6E28FF-A08D-4507-ACB1-BEEDD223896A}"/>
    <cellStyle name="Comma 3 4 2 2 2 4 4" xfId="20002" xr:uid="{AECE7714-F8BD-499F-B19D-08B4FEC20288}"/>
    <cellStyle name="Comma 3 4 2 2 2 5" xfId="4826" xr:uid="{67C4F929-8D61-4FFF-AD75-3FD0AB49C5C4}"/>
    <cellStyle name="Comma 3 4 2 2 2 5 2" xfId="13498" xr:uid="{BAC0A037-B376-43E7-AB9D-CAA707CDB95C}"/>
    <cellStyle name="Comma 3 4 2 2 2 5 2 2" xfId="30842" xr:uid="{D9CEB11B-3809-4938-9C5D-47769655066B}"/>
    <cellStyle name="Comma 3 4 2 2 2 5 3" xfId="22170" xr:uid="{8CECFE4E-CE1E-4C3D-AF57-087C24064D67}"/>
    <cellStyle name="Comma 3 4 2 2 2 6" xfId="9162" xr:uid="{D8F92CF3-B13E-4FC2-B689-2658324B02B8}"/>
    <cellStyle name="Comma 3 4 2 2 2 6 2" xfId="26506" xr:uid="{A93B34F7-8404-4C0E-9A5F-94E708CD4A75}"/>
    <cellStyle name="Comma 3 4 2 2 2 7" xfId="17834" xr:uid="{4B7F6C76-ACBB-4076-ABC9-D94565F7B292}"/>
    <cellStyle name="Comma 3 4 2 2 3" xfId="761" xr:uid="{48B7F33C-6B95-49D1-8752-7736087B2BD1}"/>
    <cellStyle name="Comma 3 4 2 2 3 2" xfId="1845" xr:uid="{33AD077D-EAF3-4D9F-A6AB-549507468682}"/>
    <cellStyle name="Comma 3 4 2 2 3 2 2" xfId="4013" xr:uid="{0594B216-8971-4594-A163-37BFDDAC681B}"/>
    <cellStyle name="Comma 3 4 2 2 3 2 2 2" xfId="8349" xr:uid="{BB343EA6-C295-41CC-8EC2-4037250C20CE}"/>
    <cellStyle name="Comma 3 4 2 2 3 2 2 2 2" xfId="17021" xr:uid="{391DF71C-1280-432E-B47A-D43F385D79CB}"/>
    <cellStyle name="Comma 3 4 2 2 3 2 2 2 2 2" xfId="34365" xr:uid="{0BDCBACE-6229-44B6-8DFD-0E3F0C874EBC}"/>
    <cellStyle name="Comma 3 4 2 2 3 2 2 2 3" xfId="25693" xr:uid="{CDCA5CD0-1E9A-43AD-AEAC-5AFF84C2DF1F}"/>
    <cellStyle name="Comma 3 4 2 2 3 2 2 3" xfId="12685" xr:uid="{5FD8578D-88F0-411D-B613-48A58F66A552}"/>
    <cellStyle name="Comma 3 4 2 2 3 2 2 3 2" xfId="30029" xr:uid="{1D491202-271B-413B-9303-60493573D41A}"/>
    <cellStyle name="Comma 3 4 2 2 3 2 2 4" xfId="21357" xr:uid="{48869B44-1DED-484A-95CD-C3CAEE12EFAA}"/>
    <cellStyle name="Comma 3 4 2 2 3 2 3" xfId="6181" xr:uid="{DA037D23-33C8-425F-B857-B89CD52E9E65}"/>
    <cellStyle name="Comma 3 4 2 2 3 2 3 2" xfId="14853" xr:uid="{613844D6-45BE-4A94-A43D-4DF847D6A1DB}"/>
    <cellStyle name="Comma 3 4 2 2 3 2 3 2 2" xfId="32197" xr:uid="{7EA162EB-7361-4BDF-8688-18D38E35C416}"/>
    <cellStyle name="Comma 3 4 2 2 3 2 3 3" xfId="23525" xr:uid="{AAB741BB-D765-49C3-93CF-5D98DB353A5A}"/>
    <cellStyle name="Comma 3 4 2 2 3 2 4" xfId="10517" xr:uid="{3CAD015D-B2B6-4D01-9606-ED3FA90B1217}"/>
    <cellStyle name="Comma 3 4 2 2 3 2 4 2" xfId="27861" xr:uid="{F1768063-B116-44A5-AB2F-862B93D6FC55}"/>
    <cellStyle name="Comma 3 4 2 2 3 2 5" xfId="19189" xr:uid="{FD424A79-4A29-417C-8C39-1461698A9F76}"/>
    <cellStyle name="Comma 3 4 2 2 3 3" xfId="2929" xr:uid="{CAE7265A-6A33-4D1D-9E93-0493F9422202}"/>
    <cellStyle name="Comma 3 4 2 2 3 3 2" xfId="7265" xr:uid="{DA9C330C-4FED-489C-8C9B-EE5E63DCB292}"/>
    <cellStyle name="Comma 3 4 2 2 3 3 2 2" xfId="15937" xr:uid="{563C1FAE-520A-40BD-A9AD-AAE9507CBAA3}"/>
    <cellStyle name="Comma 3 4 2 2 3 3 2 2 2" xfId="33281" xr:uid="{9FB0A80F-A8A5-4B45-BD9D-F1C79C00A2FE}"/>
    <cellStyle name="Comma 3 4 2 2 3 3 2 3" xfId="24609" xr:uid="{E97BA68E-8C34-45F3-85B3-3436E06F9264}"/>
    <cellStyle name="Comma 3 4 2 2 3 3 3" xfId="11601" xr:uid="{864C5E4F-C54A-4380-A633-E33F6A81C460}"/>
    <cellStyle name="Comma 3 4 2 2 3 3 3 2" xfId="28945" xr:uid="{46063B43-0DD9-4B70-A07C-F913AA31E8A6}"/>
    <cellStyle name="Comma 3 4 2 2 3 3 4" xfId="20273" xr:uid="{C86FCB8D-7C62-4216-95F9-55DC6F842D86}"/>
    <cellStyle name="Comma 3 4 2 2 3 4" xfId="5097" xr:uid="{A6DDE5C6-CEE0-4257-A122-4B493FEC0E8A}"/>
    <cellStyle name="Comma 3 4 2 2 3 4 2" xfId="13769" xr:uid="{158088BD-8B1A-4129-B448-7C674702835F}"/>
    <cellStyle name="Comma 3 4 2 2 3 4 2 2" xfId="31113" xr:uid="{AD01CE75-1D89-429E-8CBF-1D144D81D8D1}"/>
    <cellStyle name="Comma 3 4 2 2 3 4 3" xfId="22441" xr:uid="{39C544E4-196F-483E-A68C-B6A22C9F4706}"/>
    <cellStyle name="Comma 3 4 2 2 3 5" xfId="9433" xr:uid="{492EDD5C-D3DF-4F15-A191-D18EB643CB95}"/>
    <cellStyle name="Comma 3 4 2 2 3 5 2" xfId="26777" xr:uid="{5A21CA75-B5D9-44EF-A8E4-0D9FE6F935CC}"/>
    <cellStyle name="Comma 3 4 2 2 3 6" xfId="18105" xr:uid="{99D08C01-67D6-40C2-A58E-1BF816EA6703}"/>
    <cellStyle name="Comma 3 4 2 2 4" xfId="1304" xr:uid="{650851C6-B771-4F87-81C7-A99AA778EE21}"/>
    <cellStyle name="Comma 3 4 2 2 4 2" xfId="3472" xr:uid="{8D7DBBDE-8728-4ED0-87B2-06567793A21F}"/>
    <cellStyle name="Comma 3 4 2 2 4 2 2" xfId="7808" xr:uid="{9118D85E-74A8-467D-9808-0AECF2497E2E}"/>
    <cellStyle name="Comma 3 4 2 2 4 2 2 2" xfId="16480" xr:uid="{AFDECF90-D05C-4675-AC63-E1233DCF2129}"/>
    <cellStyle name="Comma 3 4 2 2 4 2 2 2 2" xfId="33824" xr:uid="{1AA1E2D3-CDD8-402E-BAAE-CBCA2884A7B3}"/>
    <cellStyle name="Comma 3 4 2 2 4 2 2 3" xfId="25152" xr:uid="{E0B3A9BD-5A26-4BA0-A790-483608FB49BA}"/>
    <cellStyle name="Comma 3 4 2 2 4 2 3" xfId="12144" xr:uid="{E93B1304-3E77-4A49-B15A-79C1A4B83452}"/>
    <cellStyle name="Comma 3 4 2 2 4 2 3 2" xfId="29488" xr:uid="{CDA453FC-CD41-48C0-B79F-F07A8DDEA2FE}"/>
    <cellStyle name="Comma 3 4 2 2 4 2 4" xfId="20816" xr:uid="{BA00C822-C040-4DBC-96A9-7DCA44C53DF4}"/>
    <cellStyle name="Comma 3 4 2 2 4 3" xfId="5640" xr:uid="{48FF75BD-FE96-48B0-B5DA-D8632C43397B}"/>
    <cellStyle name="Comma 3 4 2 2 4 3 2" xfId="14312" xr:uid="{0796DF9E-C92D-4685-8213-1350E3FDF3A9}"/>
    <cellStyle name="Comma 3 4 2 2 4 3 2 2" xfId="31656" xr:uid="{16FE3E54-87F0-4C5F-A078-6EA4F2A4B847}"/>
    <cellStyle name="Comma 3 4 2 2 4 3 3" xfId="22984" xr:uid="{6ADA4B58-A7AF-4AE1-94EF-0025E5319C88}"/>
    <cellStyle name="Comma 3 4 2 2 4 4" xfId="9976" xr:uid="{4E803756-878F-46BC-8B3D-A5BAA2DDE62A}"/>
    <cellStyle name="Comma 3 4 2 2 4 4 2" xfId="27320" xr:uid="{3D9FD878-CEF4-4E51-8418-7B981AC9E616}"/>
    <cellStyle name="Comma 3 4 2 2 4 5" xfId="18648" xr:uid="{F645DBEB-E637-4F7F-B3DB-9D4FE21AC518}"/>
    <cellStyle name="Comma 3 4 2 2 5" xfId="2388" xr:uid="{7007EC12-BC84-4E03-A60D-1209ECBCBF54}"/>
    <cellStyle name="Comma 3 4 2 2 5 2" xfId="6724" xr:uid="{A13054AC-F50A-4424-887B-480B1F6D932B}"/>
    <cellStyle name="Comma 3 4 2 2 5 2 2" xfId="15396" xr:uid="{9677BB44-7924-478D-A330-183FAFA5D0CA}"/>
    <cellStyle name="Comma 3 4 2 2 5 2 2 2" xfId="32740" xr:uid="{A982F742-F20B-45E4-BF15-875CF07D40EC}"/>
    <cellStyle name="Comma 3 4 2 2 5 2 3" xfId="24068" xr:uid="{99CEA763-7812-4D58-A4DF-F0911C8A9ECC}"/>
    <cellStyle name="Comma 3 4 2 2 5 3" xfId="11060" xr:uid="{87B17F2E-D082-467E-821A-7D909016332A}"/>
    <cellStyle name="Comma 3 4 2 2 5 3 2" xfId="28404" xr:uid="{C640C9CD-8162-44A8-A56D-9CA69C9475A4}"/>
    <cellStyle name="Comma 3 4 2 2 5 4" xfId="19732" xr:uid="{329949D3-0E46-45A5-A0A7-C348370D39B7}"/>
    <cellStyle name="Comma 3 4 2 2 6" xfId="4556" xr:uid="{7EB843A6-567C-49DD-9FDF-D344AC19846F}"/>
    <cellStyle name="Comma 3 4 2 2 6 2" xfId="13228" xr:uid="{3DA76CFB-0560-4B96-BB0A-1DD864A7E8EE}"/>
    <cellStyle name="Comma 3 4 2 2 6 2 2" xfId="30572" xr:uid="{E7532E92-7E42-47E4-8DA3-3D6CE5D0644D}"/>
    <cellStyle name="Comma 3 4 2 2 6 3" xfId="21900" xr:uid="{8CF37A41-35AD-4BB7-8FE2-1D18AFC8F7DB}"/>
    <cellStyle name="Comma 3 4 2 2 7" xfId="8892" xr:uid="{D2C95A63-86ED-4D7E-8085-66F1E6197493}"/>
    <cellStyle name="Comma 3 4 2 2 7 2" xfId="26236" xr:uid="{DAFBCD8A-7D00-4F09-B67C-969915953BA4}"/>
    <cellStyle name="Comma 3 4 2 2 8" xfId="17564" xr:uid="{F7263CC1-9C64-4284-8A8B-F85C9B4A1C33}"/>
    <cellStyle name="Comma 3 4 2 3" xfId="368" xr:uid="{2ED057FC-D6E7-4170-8C91-C59C28376D22}"/>
    <cellStyle name="Comma 3 4 2 3 2" xfId="909" xr:uid="{89CA3E93-9B13-46CE-AA84-7ACB8A6FACA4}"/>
    <cellStyle name="Comma 3 4 2 3 2 2" xfId="1993" xr:uid="{55A8CA12-8B46-401E-9EE8-72D8D9755BC6}"/>
    <cellStyle name="Comma 3 4 2 3 2 2 2" xfId="4161" xr:uid="{E14F6277-464D-452B-8FBA-D25DCFE5D787}"/>
    <cellStyle name="Comma 3 4 2 3 2 2 2 2" xfId="8497" xr:uid="{5372BD55-A63E-4029-9550-F65C8614E749}"/>
    <cellStyle name="Comma 3 4 2 3 2 2 2 2 2" xfId="17169" xr:uid="{28891753-6652-406A-9082-940D54104B2E}"/>
    <cellStyle name="Comma 3 4 2 3 2 2 2 2 2 2" xfId="34513" xr:uid="{62419007-2F3C-4C3B-AB7A-926541CCA80A}"/>
    <cellStyle name="Comma 3 4 2 3 2 2 2 2 3" xfId="25841" xr:uid="{DBBFDBDB-AE54-47AB-A704-E0ADE2AAFB25}"/>
    <cellStyle name="Comma 3 4 2 3 2 2 2 3" xfId="12833" xr:uid="{59193849-5436-45AF-90E1-2EA2854DE303}"/>
    <cellStyle name="Comma 3 4 2 3 2 2 2 3 2" xfId="30177" xr:uid="{AC7A046F-7EBE-477C-8ADD-94662B24AFD7}"/>
    <cellStyle name="Comma 3 4 2 3 2 2 2 4" xfId="21505" xr:uid="{B6C8214B-CA2E-4F7B-BC23-1F6A5AB8952E}"/>
    <cellStyle name="Comma 3 4 2 3 2 2 3" xfId="6329" xr:uid="{1200C912-9E25-42D4-BC19-29CF4131520F}"/>
    <cellStyle name="Comma 3 4 2 3 2 2 3 2" xfId="15001" xr:uid="{B57574F4-E572-4B7E-A07E-A7752FC14237}"/>
    <cellStyle name="Comma 3 4 2 3 2 2 3 2 2" xfId="32345" xr:uid="{C7950874-D5A8-45E8-BA75-A5C7D11EBCD3}"/>
    <cellStyle name="Comma 3 4 2 3 2 2 3 3" xfId="23673" xr:uid="{ABC15B29-8137-4444-B537-F45D375EF3B9}"/>
    <cellStyle name="Comma 3 4 2 3 2 2 4" xfId="10665" xr:uid="{01D24F40-7023-49D2-9654-458D9A511A21}"/>
    <cellStyle name="Comma 3 4 2 3 2 2 4 2" xfId="28009" xr:uid="{13E714F4-371E-458E-AA44-0D2344404388}"/>
    <cellStyle name="Comma 3 4 2 3 2 2 5" xfId="19337" xr:uid="{D3FA957B-BD74-41F9-8251-6EB6D01AFB3F}"/>
    <cellStyle name="Comma 3 4 2 3 2 3" xfId="3077" xr:uid="{771439FF-0DB0-48CD-ABA7-82050D95BAE5}"/>
    <cellStyle name="Comma 3 4 2 3 2 3 2" xfId="7413" xr:uid="{DF549355-2EA6-438F-A64C-400D5DE75138}"/>
    <cellStyle name="Comma 3 4 2 3 2 3 2 2" xfId="16085" xr:uid="{E96BD8B7-ABF4-41F5-9EFC-CA879AD1B125}"/>
    <cellStyle name="Comma 3 4 2 3 2 3 2 2 2" xfId="33429" xr:uid="{6F228BF8-4CBF-40FC-998D-8895B54FA4E8}"/>
    <cellStyle name="Comma 3 4 2 3 2 3 2 3" xfId="24757" xr:uid="{ED5BA355-C0B5-4AD4-BBDB-BBE0C7F7F853}"/>
    <cellStyle name="Comma 3 4 2 3 2 3 3" xfId="11749" xr:uid="{EECA4CEB-F2C1-42F4-BDE9-BBBA0D71F4F2}"/>
    <cellStyle name="Comma 3 4 2 3 2 3 3 2" xfId="29093" xr:uid="{08FEE82B-E21A-4B6A-A386-982D70BBCA3F}"/>
    <cellStyle name="Comma 3 4 2 3 2 3 4" xfId="20421" xr:uid="{52AEE1A1-2B4E-4389-871D-2CCF9B4B6A7D}"/>
    <cellStyle name="Comma 3 4 2 3 2 4" xfId="5245" xr:uid="{12CEECE5-08FB-467E-AF51-96AF3BC18F56}"/>
    <cellStyle name="Comma 3 4 2 3 2 4 2" xfId="13917" xr:uid="{51CECF15-1141-4C80-9D0A-048D6F14FA39}"/>
    <cellStyle name="Comma 3 4 2 3 2 4 2 2" xfId="31261" xr:uid="{1816944C-940F-46C9-AF37-951E1BD19203}"/>
    <cellStyle name="Comma 3 4 2 3 2 4 3" xfId="22589" xr:uid="{92CACD30-5A49-4770-BC49-E7D78D34B87D}"/>
    <cellStyle name="Comma 3 4 2 3 2 5" xfId="9581" xr:uid="{FF9FAF93-0AA7-484D-BEA6-805011E94222}"/>
    <cellStyle name="Comma 3 4 2 3 2 5 2" xfId="26925" xr:uid="{B73BCCF7-568E-442F-99E5-93EFE4280481}"/>
    <cellStyle name="Comma 3 4 2 3 2 6" xfId="18253" xr:uid="{EC8F0B41-22E1-482E-B4B7-2F275032CDFE}"/>
    <cellStyle name="Comma 3 4 2 3 3" xfId="1452" xr:uid="{A8D6F224-48FA-4210-A054-F31C8C4F41D1}"/>
    <cellStyle name="Comma 3 4 2 3 3 2" xfId="3620" xr:uid="{51F3F8A7-ABB2-4FA8-BEA8-0570DD071CCA}"/>
    <cellStyle name="Comma 3 4 2 3 3 2 2" xfId="7956" xr:uid="{7736D616-DA82-47FA-AE4D-AE581D4460D9}"/>
    <cellStyle name="Comma 3 4 2 3 3 2 2 2" xfId="16628" xr:uid="{745B565E-778E-4C67-8DEA-7E903A79EACA}"/>
    <cellStyle name="Comma 3 4 2 3 3 2 2 2 2" xfId="33972" xr:uid="{5D738322-9CBC-4AC9-92E1-96AD1EC9D1A7}"/>
    <cellStyle name="Comma 3 4 2 3 3 2 2 3" xfId="25300" xr:uid="{1B23E6F4-891A-45DF-B47D-EE823F1492A2}"/>
    <cellStyle name="Comma 3 4 2 3 3 2 3" xfId="12292" xr:uid="{7E947365-E02D-4186-8A07-E085918D4D03}"/>
    <cellStyle name="Comma 3 4 2 3 3 2 3 2" xfId="29636" xr:uid="{9EE2169F-17A7-4605-A64B-8600AC4DAA75}"/>
    <cellStyle name="Comma 3 4 2 3 3 2 4" xfId="20964" xr:uid="{B33B6BCF-1760-441F-A8B2-3EF477861521}"/>
    <cellStyle name="Comma 3 4 2 3 3 3" xfId="5788" xr:uid="{3FC25156-489C-4A30-9462-B85C3B838C6F}"/>
    <cellStyle name="Comma 3 4 2 3 3 3 2" xfId="14460" xr:uid="{188D3E40-47EF-48B8-A7A0-FD184B1114A6}"/>
    <cellStyle name="Comma 3 4 2 3 3 3 2 2" xfId="31804" xr:uid="{CD82B64D-64DE-49A1-8675-732410D8278A}"/>
    <cellStyle name="Comma 3 4 2 3 3 3 3" xfId="23132" xr:uid="{60A23780-45BB-44D8-8300-D9B20D563C9A}"/>
    <cellStyle name="Comma 3 4 2 3 3 4" xfId="10124" xr:uid="{93A2414F-733F-4C4D-886E-3FEA989EE9D5}"/>
    <cellStyle name="Comma 3 4 2 3 3 4 2" xfId="27468" xr:uid="{A6661386-5DBA-49C0-8E55-6C57DE7CFE08}"/>
    <cellStyle name="Comma 3 4 2 3 3 5" xfId="18796" xr:uid="{5E80C9CB-B1E2-4D7B-9238-2403D588128B}"/>
    <cellStyle name="Comma 3 4 2 3 4" xfId="2536" xr:uid="{4FFEBFA6-1368-4077-BCD9-A25B91A1A7E3}"/>
    <cellStyle name="Comma 3 4 2 3 4 2" xfId="6872" xr:uid="{5A3C35B2-FA33-4343-8A61-6BAC3292607F}"/>
    <cellStyle name="Comma 3 4 2 3 4 2 2" xfId="15544" xr:uid="{04234470-00C5-4B4B-A29E-87BFA181BDC1}"/>
    <cellStyle name="Comma 3 4 2 3 4 2 2 2" xfId="32888" xr:uid="{1D2DC9CC-9A5E-4680-8DCF-F25E78DE5DFF}"/>
    <cellStyle name="Comma 3 4 2 3 4 2 3" xfId="24216" xr:uid="{B587721B-68BC-4782-82D9-7459BFC9E934}"/>
    <cellStyle name="Comma 3 4 2 3 4 3" xfId="11208" xr:uid="{0B8EA9FE-146D-4D52-AAD6-7429694D31A2}"/>
    <cellStyle name="Comma 3 4 2 3 4 3 2" xfId="28552" xr:uid="{387A7ACB-4FB1-44AB-B2F1-F928787BFE07}"/>
    <cellStyle name="Comma 3 4 2 3 4 4" xfId="19880" xr:uid="{5B1716D1-4798-410D-AE45-253AAD0F770F}"/>
    <cellStyle name="Comma 3 4 2 3 5" xfId="4704" xr:uid="{128FD837-7F22-4753-8527-6D192C4786FF}"/>
    <cellStyle name="Comma 3 4 2 3 5 2" xfId="13376" xr:uid="{4332555E-1164-41E0-9CD8-DB3D6773BE26}"/>
    <cellStyle name="Comma 3 4 2 3 5 2 2" xfId="30720" xr:uid="{E944DECB-6C51-4280-BCE6-97A853D358C4}"/>
    <cellStyle name="Comma 3 4 2 3 5 3" xfId="22048" xr:uid="{C0CBF4AA-2DE7-46B7-8791-A875BA3F32C1}"/>
    <cellStyle name="Comma 3 4 2 3 6" xfId="9040" xr:uid="{E0059628-1E12-450B-8915-4DB09AFDAEA3}"/>
    <cellStyle name="Comma 3 4 2 3 6 2" xfId="26384" xr:uid="{7D5CDDE2-43B8-4F36-B1F4-BCD82D1EE036}"/>
    <cellStyle name="Comma 3 4 2 3 7" xfId="17712" xr:uid="{9A9F5038-4829-4A19-A7FF-81D43DFCE708}"/>
    <cellStyle name="Comma 3 4 2 4" xfId="639" xr:uid="{C42E6640-7961-49DF-932E-409166E4532B}"/>
    <cellStyle name="Comma 3 4 2 4 2" xfId="1723" xr:uid="{D4FE5DDA-8B03-459F-9CAE-9D57EDAF606B}"/>
    <cellStyle name="Comma 3 4 2 4 2 2" xfId="3891" xr:uid="{49936EE6-6A0F-43FC-A5CE-7585ED8ED216}"/>
    <cellStyle name="Comma 3 4 2 4 2 2 2" xfId="8227" xr:uid="{D119193A-105C-4FAC-89B7-6A60DD22FB50}"/>
    <cellStyle name="Comma 3 4 2 4 2 2 2 2" xfId="16899" xr:uid="{1460DE7E-1A1F-4DF1-8192-9C715CF60F05}"/>
    <cellStyle name="Comma 3 4 2 4 2 2 2 2 2" xfId="34243" xr:uid="{7262A4C8-D2F2-4AB4-ADE8-B6AF67CE237F}"/>
    <cellStyle name="Comma 3 4 2 4 2 2 2 3" xfId="25571" xr:uid="{95D5115E-CE58-4090-8E22-ABD32CBD8B22}"/>
    <cellStyle name="Comma 3 4 2 4 2 2 3" xfId="12563" xr:uid="{956497FB-35D1-4FF0-8937-32734ECDB30C}"/>
    <cellStyle name="Comma 3 4 2 4 2 2 3 2" xfId="29907" xr:uid="{AF86B2E1-5B58-4CD0-BAC3-621F684B10F1}"/>
    <cellStyle name="Comma 3 4 2 4 2 2 4" xfId="21235" xr:uid="{A5C7E490-3396-4120-8C83-E8488785EA8E}"/>
    <cellStyle name="Comma 3 4 2 4 2 3" xfId="6059" xr:uid="{B2D63B24-2E9B-4DA3-A213-42E1FDA87E93}"/>
    <cellStyle name="Comma 3 4 2 4 2 3 2" xfId="14731" xr:uid="{A31EA706-CD62-4A1D-8B38-8134D821DEB8}"/>
    <cellStyle name="Comma 3 4 2 4 2 3 2 2" xfId="32075" xr:uid="{E96FE4EA-1D54-46DF-98BA-2E32DCDEF37F}"/>
    <cellStyle name="Comma 3 4 2 4 2 3 3" xfId="23403" xr:uid="{3EDA99E1-CAB5-4460-9AAD-1454BB6443C5}"/>
    <cellStyle name="Comma 3 4 2 4 2 4" xfId="10395" xr:uid="{7F4C347A-C69B-46C8-9B79-9E5EAF8417DC}"/>
    <cellStyle name="Comma 3 4 2 4 2 4 2" xfId="27739" xr:uid="{289650CC-C5D2-434B-8C7F-57C330149BDF}"/>
    <cellStyle name="Comma 3 4 2 4 2 5" xfId="19067" xr:uid="{E277DDC1-894A-484B-9AE6-AD99D610DE9E}"/>
    <cellStyle name="Comma 3 4 2 4 3" xfId="2807" xr:uid="{00A4DFD0-9D37-4423-AEA7-64C06C6C439D}"/>
    <cellStyle name="Comma 3 4 2 4 3 2" xfId="7143" xr:uid="{6B6078AA-1CC8-4AEC-BB16-4F9577B84FA6}"/>
    <cellStyle name="Comma 3 4 2 4 3 2 2" xfId="15815" xr:uid="{EFD4F131-69B9-4D57-9AEE-CC3063364183}"/>
    <cellStyle name="Comma 3 4 2 4 3 2 2 2" xfId="33159" xr:uid="{264F1130-89CA-4819-9C9C-61FA338C80C5}"/>
    <cellStyle name="Comma 3 4 2 4 3 2 3" xfId="24487" xr:uid="{5EE07E84-0DBC-4613-BCF0-C938AB3EB17B}"/>
    <cellStyle name="Comma 3 4 2 4 3 3" xfId="11479" xr:uid="{9B7BCB85-DA18-4ADB-A132-412427749090}"/>
    <cellStyle name="Comma 3 4 2 4 3 3 2" xfId="28823" xr:uid="{B432BC9B-B0EB-4361-AAA3-B64BA4C11881}"/>
    <cellStyle name="Comma 3 4 2 4 3 4" xfId="20151" xr:uid="{857929FD-AD7F-4B0D-A161-840DFF10DE9A}"/>
    <cellStyle name="Comma 3 4 2 4 4" xfId="4975" xr:uid="{A1562943-B190-449F-9691-D986707E8B21}"/>
    <cellStyle name="Comma 3 4 2 4 4 2" xfId="13647" xr:uid="{0157316A-545B-444E-B706-2C8B23C8DB42}"/>
    <cellStyle name="Comma 3 4 2 4 4 2 2" xfId="30991" xr:uid="{5A1B5199-F637-4B24-8D21-88109F5D5A64}"/>
    <cellStyle name="Comma 3 4 2 4 4 3" xfId="22319" xr:uid="{2D1CF066-722A-48EC-9469-EFB6076A352C}"/>
    <cellStyle name="Comma 3 4 2 4 5" xfId="9311" xr:uid="{22A33566-AD85-4F45-B0A5-676EF9689D52}"/>
    <cellStyle name="Comma 3 4 2 4 5 2" xfId="26655" xr:uid="{FE2CAD8A-79B2-45FE-B611-209C91F65CE2}"/>
    <cellStyle name="Comma 3 4 2 4 6" xfId="17983" xr:uid="{85BCD813-3F18-46E6-B930-9F31C4A6EF70}"/>
    <cellStyle name="Comma 3 4 2 5" xfId="1182" xr:uid="{42492510-00DE-4BA8-83A0-FB5E28A90AD0}"/>
    <cellStyle name="Comma 3 4 2 5 2" xfId="3350" xr:uid="{66341087-C48A-4BBF-B341-0240B22086E4}"/>
    <cellStyle name="Comma 3 4 2 5 2 2" xfId="7686" xr:uid="{0115E9CC-365E-4E07-83A5-ED817DFFFA0B}"/>
    <cellStyle name="Comma 3 4 2 5 2 2 2" xfId="16358" xr:uid="{0DCDE91C-5077-4366-9D75-5E3C19D86DD7}"/>
    <cellStyle name="Comma 3 4 2 5 2 2 2 2" xfId="33702" xr:uid="{22431952-507C-4A56-BFBE-98F159367B5D}"/>
    <cellStyle name="Comma 3 4 2 5 2 2 3" xfId="25030" xr:uid="{253437BC-8C74-4666-811B-4E5AF77D87B8}"/>
    <cellStyle name="Comma 3 4 2 5 2 3" xfId="12022" xr:uid="{48D79B88-59FA-4AB2-A248-666360CF4AB5}"/>
    <cellStyle name="Comma 3 4 2 5 2 3 2" xfId="29366" xr:uid="{D5E2743A-7325-47E1-8A83-872D2696985A}"/>
    <cellStyle name="Comma 3 4 2 5 2 4" xfId="20694" xr:uid="{AF40562D-FD84-4022-A157-EBCE505466E0}"/>
    <cellStyle name="Comma 3 4 2 5 3" xfId="5518" xr:uid="{62F4148E-A7FE-4615-A46B-E78A0E83D6A6}"/>
    <cellStyle name="Comma 3 4 2 5 3 2" xfId="14190" xr:uid="{86642003-3D59-4C47-BDD5-431BF6222EFB}"/>
    <cellStyle name="Comma 3 4 2 5 3 2 2" xfId="31534" xr:uid="{3531CFA4-CFC9-4813-B78E-89E28F5F0E4E}"/>
    <cellStyle name="Comma 3 4 2 5 3 3" xfId="22862" xr:uid="{F3D605D8-CCE3-4163-B07C-80C3A49F2E88}"/>
    <cellStyle name="Comma 3 4 2 5 4" xfId="9854" xr:uid="{0C45AEAB-5BF5-4F92-98D8-8140AFFD9DC0}"/>
    <cellStyle name="Comma 3 4 2 5 4 2" xfId="27198" xr:uid="{B6074755-109E-4F90-AEBE-11DEDE1FE485}"/>
    <cellStyle name="Comma 3 4 2 5 5" xfId="18526" xr:uid="{E961F68B-2877-4228-AF98-571D8B0F7247}"/>
    <cellStyle name="Comma 3 4 2 6" xfId="2266" xr:uid="{223DC0AC-C6E4-4839-ABF0-ED5A5ACF84BE}"/>
    <cellStyle name="Comma 3 4 2 6 2" xfId="6602" xr:uid="{54B58E6C-FEDA-48A4-87E7-873D6FEE8040}"/>
    <cellStyle name="Comma 3 4 2 6 2 2" xfId="15274" xr:uid="{D113DF13-913B-4D6C-A6A7-AFE5AD2DB77D}"/>
    <cellStyle name="Comma 3 4 2 6 2 2 2" xfId="32618" xr:uid="{4F84B9E4-4196-4FC1-A61E-AA29C3A69EBF}"/>
    <cellStyle name="Comma 3 4 2 6 2 3" xfId="23946" xr:uid="{495C3303-21B3-4106-8321-243972EBA4A0}"/>
    <cellStyle name="Comma 3 4 2 6 3" xfId="10938" xr:uid="{FE5CC8BA-9716-4AF9-9F77-410AE06C66F5}"/>
    <cellStyle name="Comma 3 4 2 6 3 2" xfId="28282" xr:uid="{9DAF033B-280E-4FD7-B34E-17213A0D0782}"/>
    <cellStyle name="Comma 3 4 2 6 4" xfId="19610" xr:uid="{889652AB-3101-457C-9C1C-AB895F6AC454}"/>
    <cellStyle name="Comma 3 4 2 7" xfId="4434" xr:uid="{2B9C84ED-4F0E-4A1A-A345-10EEFDC5B9DF}"/>
    <cellStyle name="Comma 3 4 2 7 2" xfId="13106" xr:uid="{B8B3B986-FB99-43F6-B7F7-10A67FF45A51}"/>
    <cellStyle name="Comma 3 4 2 7 2 2" xfId="30450" xr:uid="{D6CE3350-7561-4D93-92A8-3727430C445C}"/>
    <cellStyle name="Comma 3 4 2 7 3" xfId="21778" xr:uid="{77D5D552-62B2-4E7B-9E46-059D32116AA1}"/>
    <cellStyle name="Comma 3 4 2 8" xfId="8770" xr:uid="{0CF9216A-549C-4DFB-A889-B863D33D7F12}"/>
    <cellStyle name="Comma 3 4 2 8 2" xfId="26114" xr:uid="{4A021DD4-C34E-4E87-82D1-999CE53FD0C5}"/>
    <cellStyle name="Comma 3 4 2 9" xfId="17442" xr:uid="{FF405C73-D283-4506-8A14-3DD02027986A}"/>
    <cellStyle name="Comma 3 4 3" xfId="159" xr:uid="{F92DD4F4-CFC4-49F6-963B-C9AF7FB8BE8C}"/>
    <cellStyle name="Comma 3 4 3 2" xfId="429" xr:uid="{27192F1F-3947-4DC1-88EA-CEEF38D77828}"/>
    <cellStyle name="Comma 3 4 3 2 2" xfId="970" xr:uid="{8EE0B5C1-99EE-4C15-87EB-350C8F282126}"/>
    <cellStyle name="Comma 3 4 3 2 2 2" xfId="2054" xr:uid="{951A6EB1-F9F8-428F-BE32-24A3485DB4C4}"/>
    <cellStyle name="Comma 3 4 3 2 2 2 2" xfId="4222" xr:uid="{920BAF73-ADB8-4C58-BB8D-656FD29480A3}"/>
    <cellStyle name="Comma 3 4 3 2 2 2 2 2" xfId="8558" xr:uid="{C93FE512-DD48-4149-9431-8BEAE6890C22}"/>
    <cellStyle name="Comma 3 4 3 2 2 2 2 2 2" xfId="17230" xr:uid="{2D45A7E2-350E-4B42-ABB5-FA0AC00E0B46}"/>
    <cellStyle name="Comma 3 4 3 2 2 2 2 2 2 2" xfId="34574" xr:uid="{1A3C0A8F-6EA2-4A86-AB71-BBBDF934A068}"/>
    <cellStyle name="Comma 3 4 3 2 2 2 2 2 3" xfId="25902" xr:uid="{A10F3FF2-37CA-4AF7-A8C3-D7A744EFC2FA}"/>
    <cellStyle name="Comma 3 4 3 2 2 2 2 3" xfId="12894" xr:uid="{17390B6B-B849-453E-9C27-99DC8E24A314}"/>
    <cellStyle name="Comma 3 4 3 2 2 2 2 3 2" xfId="30238" xr:uid="{27938693-35EE-414B-BDE5-DAB50A1124B6}"/>
    <cellStyle name="Comma 3 4 3 2 2 2 2 4" xfId="21566" xr:uid="{29167A07-4501-4632-8D84-BE877AFA5034}"/>
    <cellStyle name="Comma 3 4 3 2 2 2 3" xfId="6390" xr:uid="{C34844D0-C717-49A0-B83B-8920F6B5925F}"/>
    <cellStyle name="Comma 3 4 3 2 2 2 3 2" xfId="15062" xr:uid="{264DCD82-2F30-4644-B3E8-7A2FAC62AF59}"/>
    <cellStyle name="Comma 3 4 3 2 2 2 3 2 2" xfId="32406" xr:uid="{5B183943-D506-4601-948F-602EDB500A66}"/>
    <cellStyle name="Comma 3 4 3 2 2 2 3 3" xfId="23734" xr:uid="{D1006E89-CD68-4451-9CB2-534FEB8293C1}"/>
    <cellStyle name="Comma 3 4 3 2 2 2 4" xfId="10726" xr:uid="{8BEB7191-8DA4-4B79-ACD5-808AE8FE1D2C}"/>
    <cellStyle name="Comma 3 4 3 2 2 2 4 2" xfId="28070" xr:uid="{35350AAA-43D5-4474-93AF-B28CB710FB69}"/>
    <cellStyle name="Comma 3 4 3 2 2 2 5" xfId="19398" xr:uid="{FDB6CEB1-E316-440F-9FFF-F57BEB6D84A3}"/>
    <cellStyle name="Comma 3 4 3 2 2 3" xfId="3138" xr:uid="{0BBB1BC0-AF75-465F-AA49-CFB9828458E1}"/>
    <cellStyle name="Comma 3 4 3 2 2 3 2" xfId="7474" xr:uid="{7898DA67-2F66-4BBB-93CA-E93204546C22}"/>
    <cellStyle name="Comma 3 4 3 2 2 3 2 2" xfId="16146" xr:uid="{A8858035-7E65-485B-B899-8B8CD8A5D6F2}"/>
    <cellStyle name="Comma 3 4 3 2 2 3 2 2 2" xfId="33490" xr:uid="{804A6DF3-AAB8-4F69-A04C-DDBF0D2B03B8}"/>
    <cellStyle name="Comma 3 4 3 2 2 3 2 3" xfId="24818" xr:uid="{34B2F3E4-65B6-4B7C-8278-C3CD2F2FD148}"/>
    <cellStyle name="Comma 3 4 3 2 2 3 3" xfId="11810" xr:uid="{EB226BAD-0D9F-4005-BAA1-9D0B9E9754FC}"/>
    <cellStyle name="Comma 3 4 3 2 2 3 3 2" xfId="29154" xr:uid="{2AB9930F-3367-40D5-BCB4-E4D4E8BF2C58}"/>
    <cellStyle name="Comma 3 4 3 2 2 3 4" xfId="20482" xr:uid="{9E834AB9-9D4D-426F-B691-5EBE847B7D8B}"/>
    <cellStyle name="Comma 3 4 3 2 2 4" xfId="5306" xr:uid="{CC13F14A-298A-44B3-BC14-13E87E45B741}"/>
    <cellStyle name="Comma 3 4 3 2 2 4 2" xfId="13978" xr:uid="{584B6382-A239-4AD2-8668-E418E7BAB973}"/>
    <cellStyle name="Comma 3 4 3 2 2 4 2 2" xfId="31322" xr:uid="{71271D7E-CAE3-4960-BBAD-491AE2D03AA4}"/>
    <cellStyle name="Comma 3 4 3 2 2 4 3" xfId="22650" xr:uid="{1E38EE80-97EF-4611-9F96-F2A40E5754FA}"/>
    <cellStyle name="Comma 3 4 3 2 2 5" xfId="9642" xr:uid="{8460B196-AD3E-433E-818B-FC30FC55CAF8}"/>
    <cellStyle name="Comma 3 4 3 2 2 5 2" xfId="26986" xr:uid="{941B0AA6-8667-4B6A-821C-447AEF79B56D}"/>
    <cellStyle name="Comma 3 4 3 2 2 6" xfId="18314" xr:uid="{92F2F2A6-1AA7-440C-8529-963E920F3EEB}"/>
    <cellStyle name="Comma 3 4 3 2 3" xfId="1513" xr:uid="{E2FE9CE1-B631-426D-8680-13B575A24DEC}"/>
    <cellStyle name="Comma 3 4 3 2 3 2" xfId="3681" xr:uid="{4D033D00-934F-4CF6-BD1A-7F8E17FBF572}"/>
    <cellStyle name="Comma 3 4 3 2 3 2 2" xfId="8017" xr:uid="{CEFF8AB8-4148-4BCD-B1F5-A1CA990F5FA0}"/>
    <cellStyle name="Comma 3 4 3 2 3 2 2 2" xfId="16689" xr:uid="{E1D82E8B-D3DD-45F2-98EE-6BD45477A472}"/>
    <cellStyle name="Comma 3 4 3 2 3 2 2 2 2" xfId="34033" xr:uid="{BBAEE89B-DF57-4AAB-AC60-5EDCBD25BFDD}"/>
    <cellStyle name="Comma 3 4 3 2 3 2 2 3" xfId="25361" xr:uid="{B5AD88F2-B58E-48FD-B17A-F0F16A96F6C7}"/>
    <cellStyle name="Comma 3 4 3 2 3 2 3" xfId="12353" xr:uid="{ED295C17-E38F-4ADD-87FA-94C772B63FA5}"/>
    <cellStyle name="Comma 3 4 3 2 3 2 3 2" xfId="29697" xr:uid="{BD6CFE86-B26C-47C7-88F7-56EABB0223E5}"/>
    <cellStyle name="Comma 3 4 3 2 3 2 4" xfId="21025" xr:uid="{EA517E8E-E9BB-4B8F-B375-0A0F5F4855D0}"/>
    <cellStyle name="Comma 3 4 3 2 3 3" xfId="5849" xr:uid="{15B15659-EEE9-4062-BA46-7A730DD40C0A}"/>
    <cellStyle name="Comma 3 4 3 2 3 3 2" xfId="14521" xr:uid="{F7A2C568-1B96-4627-8394-C56E6581AF74}"/>
    <cellStyle name="Comma 3 4 3 2 3 3 2 2" xfId="31865" xr:uid="{FED00084-9384-4525-AABD-F0957DFC3DBE}"/>
    <cellStyle name="Comma 3 4 3 2 3 3 3" xfId="23193" xr:uid="{82C8553E-BAC2-4978-8027-B1786FA1A80F}"/>
    <cellStyle name="Comma 3 4 3 2 3 4" xfId="10185" xr:uid="{0E755968-275F-44A0-8A1E-4233A98A1F54}"/>
    <cellStyle name="Comma 3 4 3 2 3 4 2" xfId="27529" xr:uid="{DACF472C-29E8-40C4-9950-160B656F561F}"/>
    <cellStyle name="Comma 3 4 3 2 3 5" xfId="18857" xr:uid="{A34D0BC5-BA24-4A16-85EC-C45021427D8F}"/>
    <cellStyle name="Comma 3 4 3 2 4" xfId="2597" xr:uid="{0FC7D49B-3D32-4B7F-88F6-18C89B01E7D9}"/>
    <cellStyle name="Comma 3 4 3 2 4 2" xfId="6933" xr:uid="{876CF37A-A8C3-4370-A603-08C1A002BA4E}"/>
    <cellStyle name="Comma 3 4 3 2 4 2 2" xfId="15605" xr:uid="{04125BD8-E9B0-4CB3-ACAC-6F0557F7EAF4}"/>
    <cellStyle name="Comma 3 4 3 2 4 2 2 2" xfId="32949" xr:uid="{61D73955-0223-4AB7-A587-DCD3580A61FA}"/>
    <cellStyle name="Comma 3 4 3 2 4 2 3" xfId="24277" xr:uid="{217D1C3E-1FA6-415E-88DE-8325186B4F14}"/>
    <cellStyle name="Comma 3 4 3 2 4 3" xfId="11269" xr:uid="{679BA07E-B53F-4FBF-BAF2-6E353E49C02F}"/>
    <cellStyle name="Comma 3 4 3 2 4 3 2" xfId="28613" xr:uid="{0C7B3D1E-2CD2-4D6A-A7DA-DF080259C32F}"/>
    <cellStyle name="Comma 3 4 3 2 4 4" xfId="19941" xr:uid="{C6AE9B3C-E532-409D-99EC-B1A5DEAFD735}"/>
    <cellStyle name="Comma 3 4 3 2 5" xfId="4765" xr:uid="{3D7A74C6-14CA-4D4C-98D8-63BC7FD06587}"/>
    <cellStyle name="Comma 3 4 3 2 5 2" xfId="13437" xr:uid="{C807C62F-8ABE-4350-B5FE-F3564FA5EA48}"/>
    <cellStyle name="Comma 3 4 3 2 5 2 2" xfId="30781" xr:uid="{98204147-BB6A-4E9A-9544-C71B73D4842A}"/>
    <cellStyle name="Comma 3 4 3 2 5 3" xfId="22109" xr:uid="{B144D8BA-AB9C-4759-B156-DCBAA832AA25}"/>
    <cellStyle name="Comma 3 4 3 2 6" xfId="9101" xr:uid="{6529B52B-DE36-4BAB-BB4D-7D361499BA5B}"/>
    <cellStyle name="Comma 3 4 3 2 6 2" xfId="26445" xr:uid="{4D6DD69E-E4CA-4F05-8338-94DFDCAE9898}"/>
    <cellStyle name="Comma 3 4 3 2 7" xfId="17773" xr:uid="{EED33E87-8C44-4BD7-8E15-F6A68087430D}"/>
    <cellStyle name="Comma 3 4 3 3" xfId="700" xr:uid="{EBBDD76A-A1CE-4968-85F3-30512ACED4EA}"/>
    <cellStyle name="Comma 3 4 3 3 2" xfId="1784" xr:uid="{968552E1-72B7-4E46-82E5-D4A043AF473C}"/>
    <cellStyle name="Comma 3 4 3 3 2 2" xfId="3952" xr:uid="{544EEAE4-6AEB-4903-9BB9-FAFEB9771759}"/>
    <cellStyle name="Comma 3 4 3 3 2 2 2" xfId="8288" xr:uid="{98563397-A4AD-4EFE-9EDF-9CB0D9A481DD}"/>
    <cellStyle name="Comma 3 4 3 3 2 2 2 2" xfId="16960" xr:uid="{5558D8F8-DE69-4DFC-9588-C5A546BA1D77}"/>
    <cellStyle name="Comma 3 4 3 3 2 2 2 2 2" xfId="34304" xr:uid="{E0B9E256-F77E-4BDB-ADF9-AD31BEEEC945}"/>
    <cellStyle name="Comma 3 4 3 3 2 2 2 3" xfId="25632" xr:uid="{9840F1D7-0F40-4BCD-B9BC-E6F0467F4F0B}"/>
    <cellStyle name="Comma 3 4 3 3 2 2 3" xfId="12624" xr:uid="{20233F98-9723-4B32-9D04-DC091C4D4223}"/>
    <cellStyle name="Comma 3 4 3 3 2 2 3 2" xfId="29968" xr:uid="{2B578521-C529-4ABF-9F99-EED31DA8F58D}"/>
    <cellStyle name="Comma 3 4 3 3 2 2 4" xfId="21296" xr:uid="{DD4FD64C-F1AE-449D-B6B7-FC1EB189D7A1}"/>
    <cellStyle name="Comma 3 4 3 3 2 3" xfId="6120" xr:uid="{06953DF5-F463-4973-9BF1-866ABC4D3031}"/>
    <cellStyle name="Comma 3 4 3 3 2 3 2" xfId="14792" xr:uid="{6E8EF51B-D98F-42A1-8692-EC76DD9C55B3}"/>
    <cellStyle name="Comma 3 4 3 3 2 3 2 2" xfId="32136" xr:uid="{30A9A6AA-D721-466A-B898-F577A086A3C7}"/>
    <cellStyle name="Comma 3 4 3 3 2 3 3" xfId="23464" xr:uid="{DA2A013A-6D67-4547-80BC-F8DE8A72260A}"/>
    <cellStyle name="Comma 3 4 3 3 2 4" xfId="10456" xr:uid="{16C2C1F2-D720-4323-A9A3-6B66E402ED7F}"/>
    <cellStyle name="Comma 3 4 3 3 2 4 2" xfId="27800" xr:uid="{14D25730-2FA0-4EEA-A444-01723F820121}"/>
    <cellStyle name="Comma 3 4 3 3 2 5" xfId="19128" xr:uid="{EAB873BD-D374-4435-9A71-DDE216516947}"/>
    <cellStyle name="Comma 3 4 3 3 3" xfId="2868" xr:uid="{3188E485-F145-4C55-80D6-8802585D2FB8}"/>
    <cellStyle name="Comma 3 4 3 3 3 2" xfId="7204" xr:uid="{0F781C96-8560-4AEB-9095-BF3EE0B4EDD1}"/>
    <cellStyle name="Comma 3 4 3 3 3 2 2" xfId="15876" xr:uid="{2C7A91E4-F551-4169-AAD1-15A6B1029D91}"/>
    <cellStyle name="Comma 3 4 3 3 3 2 2 2" xfId="33220" xr:uid="{ED5234BA-8F09-402C-B187-826A794F0206}"/>
    <cellStyle name="Comma 3 4 3 3 3 2 3" xfId="24548" xr:uid="{9F851B00-2C82-4F42-B3F5-FD1B878E317E}"/>
    <cellStyle name="Comma 3 4 3 3 3 3" xfId="11540" xr:uid="{54F83A4C-CB92-4E2B-A22D-D3CEF6696EEB}"/>
    <cellStyle name="Comma 3 4 3 3 3 3 2" xfId="28884" xr:uid="{B631FEE5-D521-46C4-9FB4-9C93B2FE909E}"/>
    <cellStyle name="Comma 3 4 3 3 3 4" xfId="20212" xr:uid="{D69616EF-93A5-4A91-B55A-BF826A899B01}"/>
    <cellStyle name="Comma 3 4 3 3 4" xfId="5036" xr:uid="{08EACA04-0831-4433-BF1A-4D2505C596A7}"/>
    <cellStyle name="Comma 3 4 3 3 4 2" xfId="13708" xr:uid="{47213605-C7AD-47E8-8471-3E3D7FAB947F}"/>
    <cellStyle name="Comma 3 4 3 3 4 2 2" xfId="31052" xr:uid="{CDE5B6C0-E560-4545-A302-FA4F3091E6BE}"/>
    <cellStyle name="Comma 3 4 3 3 4 3" xfId="22380" xr:uid="{A5297040-4E84-4E67-B748-EC908293642E}"/>
    <cellStyle name="Comma 3 4 3 3 5" xfId="9372" xr:uid="{12F2EA5B-9448-4055-B63F-0AE98C36F722}"/>
    <cellStyle name="Comma 3 4 3 3 5 2" xfId="26716" xr:uid="{BC165462-851C-4D69-A82B-B4BA87D7E1B5}"/>
    <cellStyle name="Comma 3 4 3 3 6" xfId="18044" xr:uid="{B59C128A-7B91-4CD2-B914-7BE202084C94}"/>
    <cellStyle name="Comma 3 4 3 4" xfId="1243" xr:uid="{BED7050E-8C81-4758-B8E1-46842D6926B1}"/>
    <cellStyle name="Comma 3 4 3 4 2" xfId="3411" xr:uid="{49BB7C6D-DC1F-4B80-B53F-F6C31F5B8995}"/>
    <cellStyle name="Comma 3 4 3 4 2 2" xfId="7747" xr:uid="{C770F558-F615-4AC7-898F-E69C25964D9E}"/>
    <cellStyle name="Comma 3 4 3 4 2 2 2" xfId="16419" xr:uid="{1FC1E925-ED06-48DF-9DE1-59C98998A7DA}"/>
    <cellStyle name="Comma 3 4 3 4 2 2 2 2" xfId="33763" xr:uid="{EE30DB9B-3998-4B01-BF5F-784D99768E73}"/>
    <cellStyle name="Comma 3 4 3 4 2 2 3" xfId="25091" xr:uid="{66F9E368-1218-4266-B11F-5BD72D2F0B80}"/>
    <cellStyle name="Comma 3 4 3 4 2 3" xfId="12083" xr:uid="{FCF747B8-D7F1-489B-96DD-994962DDDF27}"/>
    <cellStyle name="Comma 3 4 3 4 2 3 2" xfId="29427" xr:uid="{D0D459C0-1AC5-4026-9089-473FF785C0A5}"/>
    <cellStyle name="Comma 3 4 3 4 2 4" xfId="20755" xr:uid="{839098DC-5F43-491B-93DA-BCE09E2EA358}"/>
    <cellStyle name="Comma 3 4 3 4 3" xfId="5579" xr:uid="{BC4A8162-D65F-4CD4-A9CC-6374B3677ABD}"/>
    <cellStyle name="Comma 3 4 3 4 3 2" xfId="14251" xr:uid="{415D2D35-291C-4894-873A-4034491775E2}"/>
    <cellStyle name="Comma 3 4 3 4 3 2 2" xfId="31595" xr:uid="{82DB5B9D-945A-42BD-ABDC-172EEEE52994}"/>
    <cellStyle name="Comma 3 4 3 4 3 3" xfId="22923" xr:uid="{C016CFF4-1D4F-4245-B972-98C9B5720ACC}"/>
    <cellStyle name="Comma 3 4 3 4 4" xfId="9915" xr:uid="{F840801B-E959-4FAF-89BC-1177E974060B}"/>
    <cellStyle name="Comma 3 4 3 4 4 2" xfId="27259" xr:uid="{CAD832C0-A7C2-4786-A356-D88132F3D7E2}"/>
    <cellStyle name="Comma 3 4 3 4 5" xfId="18587" xr:uid="{90013995-5DF6-41A8-A317-3737037B1E2A}"/>
    <cellStyle name="Comma 3 4 3 5" xfId="2327" xr:uid="{6A7F4D29-1323-4C22-928D-7CA5CEC623B9}"/>
    <cellStyle name="Comma 3 4 3 5 2" xfId="6663" xr:uid="{69C40499-92AF-43C2-AFE2-8324C15C8C31}"/>
    <cellStyle name="Comma 3 4 3 5 2 2" xfId="15335" xr:uid="{1E4270DF-ABC5-42F3-8A09-6E786AECAB04}"/>
    <cellStyle name="Comma 3 4 3 5 2 2 2" xfId="32679" xr:uid="{D00094B6-9AAC-4EBB-A179-ECF9B309B9D6}"/>
    <cellStyle name="Comma 3 4 3 5 2 3" xfId="24007" xr:uid="{3925188E-4F03-4840-A31E-F15E32DB3252}"/>
    <cellStyle name="Comma 3 4 3 5 3" xfId="10999" xr:uid="{A063613E-61FA-41A7-92E5-B5B5F9739AAE}"/>
    <cellStyle name="Comma 3 4 3 5 3 2" xfId="28343" xr:uid="{E02EF13F-0734-479A-B4B9-0CAD35B1DF69}"/>
    <cellStyle name="Comma 3 4 3 5 4" xfId="19671" xr:uid="{B9EC440C-0DB9-4558-AB4B-310FBC8C6B19}"/>
    <cellStyle name="Comma 3 4 3 6" xfId="4495" xr:uid="{2E512573-82DB-4C05-AAAE-2A586CE8428C}"/>
    <cellStyle name="Comma 3 4 3 6 2" xfId="13167" xr:uid="{553D3B4D-FA53-46A1-A336-98B072D988FC}"/>
    <cellStyle name="Comma 3 4 3 6 2 2" xfId="30511" xr:uid="{4C08AC6F-C7F1-4874-A261-C0C2F6F45D17}"/>
    <cellStyle name="Comma 3 4 3 6 3" xfId="21839" xr:uid="{52FC6E35-C372-4F54-B448-70E4E75539BC}"/>
    <cellStyle name="Comma 3 4 3 7" xfId="8831" xr:uid="{61C63C89-EA25-4A36-A068-DEDAA225D2C7}"/>
    <cellStyle name="Comma 3 4 3 7 2" xfId="26175" xr:uid="{B6E187B8-37B9-42BD-942B-613CF8156A61}"/>
    <cellStyle name="Comma 3 4 3 8" xfId="17503" xr:uid="{96240517-8502-4E8B-9999-4158B36EBB78}"/>
    <cellStyle name="Comma 3 4 4" xfId="307" xr:uid="{72701294-659A-4331-A851-CB4062BC3CB6}"/>
    <cellStyle name="Comma 3 4 4 2" xfId="848" xr:uid="{2DC5FF3C-9EA8-4D29-8612-0F438735CC9D}"/>
    <cellStyle name="Comma 3 4 4 2 2" xfId="1932" xr:uid="{C5FFC8E3-C809-46C1-8968-63B3A496CB19}"/>
    <cellStyle name="Comma 3 4 4 2 2 2" xfId="4100" xr:uid="{73E18956-C7C9-4599-A68F-AC7CF715B69D}"/>
    <cellStyle name="Comma 3 4 4 2 2 2 2" xfId="8436" xr:uid="{CBEC9530-16BB-4965-8DC3-E782D4E979F6}"/>
    <cellStyle name="Comma 3 4 4 2 2 2 2 2" xfId="17108" xr:uid="{F46E58D6-96BA-40A6-9557-A7FD93E25C13}"/>
    <cellStyle name="Comma 3 4 4 2 2 2 2 2 2" xfId="34452" xr:uid="{8D4FE82F-AA8B-4E4C-B320-C609D3D204B8}"/>
    <cellStyle name="Comma 3 4 4 2 2 2 2 3" xfId="25780" xr:uid="{9FE68D30-588A-4F39-8C11-A93014716D90}"/>
    <cellStyle name="Comma 3 4 4 2 2 2 3" xfId="12772" xr:uid="{09F3690F-DBE3-44CF-B4CD-709762C4AB7A}"/>
    <cellStyle name="Comma 3 4 4 2 2 2 3 2" xfId="30116" xr:uid="{E917D630-8DCF-4108-815F-5F9B02781083}"/>
    <cellStyle name="Comma 3 4 4 2 2 2 4" xfId="21444" xr:uid="{E6140B41-04EE-42EC-8A10-28C27C7A748A}"/>
    <cellStyle name="Comma 3 4 4 2 2 3" xfId="6268" xr:uid="{39237C55-C839-49E5-A87E-AAAD996A5E4F}"/>
    <cellStyle name="Comma 3 4 4 2 2 3 2" xfId="14940" xr:uid="{AEC437EC-18BE-4F40-8134-3A9CFD73D1D2}"/>
    <cellStyle name="Comma 3 4 4 2 2 3 2 2" xfId="32284" xr:uid="{8B133BD5-FFAC-4F9E-A067-B9F1863B6B53}"/>
    <cellStyle name="Comma 3 4 4 2 2 3 3" xfId="23612" xr:uid="{9053A24A-1D2C-42AB-84C6-65274CE2AB10}"/>
    <cellStyle name="Comma 3 4 4 2 2 4" xfId="10604" xr:uid="{6A51E51B-3F73-46FF-8DFA-BE8F21C06D79}"/>
    <cellStyle name="Comma 3 4 4 2 2 4 2" xfId="27948" xr:uid="{CD01DE4E-22E3-436C-BB99-82A244903555}"/>
    <cellStyle name="Comma 3 4 4 2 2 5" xfId="19276" xr:uid="{B99195BF-E136-42C0-92A0-9632054B3DF9}"/>
    <cellStyle name="Comma 3 4 4 2 3" xfId="3016" xr:uid="{78371E3D-4A40-496E-B049-E3980B2C36E0}"/>
    <cellStyle name="Comma 3 4 4 2 3 2" xfId="7352" xr:uid="{CB546E38-354F-4579-AA8B-E1418149A809}"/>
    <cellStyle name="Comma 3 4 4 2 3 2 2" xfId="16024" xr:uid="{340A22D5-A213-4D74-A634-C5BDC7BC9C07}"/>
    <cellStyle name="Comma 3 4 4 2 3 2 2 2" xfId="33368" xr:uid="{866EC35F-56A8-49E1-BF6D-70087BAA921E}"/>
    <cellStyle name="Comma 3 4 4 2 3 2 3" xfId="24696" xr:uid="{416B2C0B-9E8B-44DD-896E-CAD71945BF7E}"/>
    <cellStyle name="Comma 3 4 4 2 3 3" xfId="11688" xr:uid="{AB8FE9CF-E42C-4324-9C1B-A729A832DC44}"/>
    <cellStyle name="Comma 3 4 4 2 3 3 2" xfId="29032" xr:uid="{9891B76E-4C92-4A73-B93B-1C365F9274FF}"/>
    <cellStyle name="Comma 3 4 4 2 3 4" xfId="20360" xr:uid="{8C308428-4AAF-49D5-8C44-A82493B43081}"/>
    <cellStyle name="Comma 3 4 4 2 4" xfId="5184" xr:uid="{CCC091F4-E2D1-4EF0-B0FB-2072FA187189}"/>
    <cellStyle name="Comma 3 4 4 2 4 2" xfId="13856" xr:uid="{AB7AB6DF-E59B-4D12-9DDF-9DBD5678844C}"/>
    <cellStyle name="Comma 3 4 4 2 4 2 2" xfId="31200" xr:uid="{F11E72E7-D953-43CF-901C-BB228CF2CBC0}"/>
    <cellStyle name="Comma 3 4 4 2 4 3" xfId="22528" xr:uid="{886EF0AD-C4DD-4D98-81C9-380E4C47EF49}"/>
    <cellStyle name="Comma 3 4 4 2 5" xfId="9520" xr:uid="{127D19EA-458F-4A3B-8C2D-5CAAB8A8C568}"/>
    <cellStyle name="Comma 3 4 4 2 5 2" xfId="26864" xr:uid="{8E7D383A-0F46-4CF1-971F-D119EC85CBB2}"/>
    <cellStyle name="Comma 3 4 4 2 6" xfId="18192" xr:uid="{000892EB-0731-416F-A039-8E0FF9022F90}"/>
    <cellStyle name="Comma 3 4 4 3" xfId="1391" xr:uid="{DCA71AE1-CF39-47A4-AD01-DA759289D973}"/>
    <cellStyle name="Comma 3 4 4 3 2" xfId="3559" xr:uid="{1F958D53-8B4D-4809-8E65-A2CB6A71037B}"/>
    <cellStyle name="Comma 3 4 4 3 2 2" xfId="7895" xr:uid="{C6212101-D661-469C-A7F4-8DA7A72F81E6}"/>
    <cellStyle name="Comma 3 4 4 3 2 2 2" xfId="16567" xr:uid="{508F7C8E-F4CF-45AB-9BDD-A8B168E3C696}"/>
    <cellStyle name="Comma 3 4 4 3 2 2 2 2" xfId="33911" xr:uid="{4C503844-693D-4EEA-B339-E06F1A5A780C}"/>
    <cellStyle name="Comma 3 4 4 3 2 2 3" xfId="25239" xr:uid="{499DDC2C-267A-49EF-8436-44DA7C211939}"/>
    <cellStyle name="Comma 3 4 4 3 2 3" xfId="12231" xr:uid="{D9474739-EB90-4DE9-BBF1-265893CE7935}"/>
    <cellStyle name="Comma 3 4 4 3 2 3 2" xfId="29575" xr:uid="{D618F2FE-DCBD-41EC-9C59-63C534D81D2C}"/>
    <cellStyle name="Comma 3 4 4 3 2 4" xfId="20903" xr:uid="{CD0014BD-BF3E-48CD-8EC5-EF1A6710B6D7}"/>
    <cellStyle name="Comma 3 4 4 3 3" xfId="5727" xr:uid="{4EEB151A-D97B-4D88-AB75-319FAB4CB10A}"/>
    <cellStyle name="Comma 3 4 4 3 3 2" xfId="14399" xr:uid="{15BB4868-3169-47E9-A8A7-1ED325568998}"/>
    <cellStyle name="Comma 3 4 4 3 3 2 2" xfId="31743" xr:uid="{277ECDA4-8F72-4CFC-88E4-5B46FF124604}"/>
    <cellStyle name="Comma 3 4 4 3 3 3" xfId="23071" xr:uid="{92DF1F8B-C5A8-427B-A479-0DB97328AC1B}"/>
    <cellStyle name="Comma 3 4 4 3 4" xfId="10063" xr:uid="{35810C74-BCA2-48D5-90F2-E8BA93A7F068}"/>
    <cellStyle name="Comma 3 4 4 3 4 2" xfId="27407" xr:uid="{2C274B10-2DAE-4245-98EA-03FAF9C46D7F}"/>
    <cellStyle name="Comma 3 4 4 3 5" xfId="18735" xr:uid="{732024B0-A779-4A07-971D-117F5DD744EB}"/>
    <cellStyle name="Comma 3 4 4 4" xfId="2475" xr:uid="{6FA79818-BB78-4FB0-9959-D35E7768A4A7}"/>
    <cellStyle name="Comma 3 4 4 4 2" xfId="6811" xr:uid="{630F1D28-1F0C-4EBC-A6D2-40D690CA5DB1}"/>
    <cellStyle name="Comma 3 4 4 4 2 2" xfId="15483" xr:uid="{AAA1F01C-029F-4DCC-B98A-9D1854205028}"/>
    <cellStyle name="Comma 3 4 4 4 2 2 2" xfId="32827" xr:uid="{B1A7534A-2433-4B53-AE53-109F6B0C1704}"/>
    <cellStyle name="Comma 3 4 4 4 2 3" xfId="24155" xr:uid="{BD534A11-26A1-4929-9AB9-DBDF6D55A7D4}"/>
    <cellStyle name="Comma 3 4 4 4 3" xfId="11147" xr:uid="{E4AD4B07-94F6-4951-87D9-5848A56E3FAE}"/>
    <cellStyle name="Comma 3 4 4 4 3 2" xfId="28491" xr:uid="{1DC9BC16-35B5-4E80-A9A3-AC4BAD873B55}"/>
    <cellStyle name="Comma 3 4 4 4 4" xfId="19819" xr:uid="{A5421004-5001-4FB6-8AAE-745E629352D6}"/>
    <cellStyle name="Comma 3 4 4 5" xfId="4643" xr:uid="{6CC32B71-2B31-4ABD-B2C7-C92FC4A4F3ED}"/>
    <cellStyle name="Comma 3 4 4 5 2" xfId="13315" xr:uid="{BE209C6F-01D7-48E7-83BE-098AC4357426}"/>
    <cellStyle name="Comma 3 4 4 5 2 2" xfId="30659" xr:uid="{02208B99-C4A6-4A0B-AECC-D0F56DDFE172}"/>
    <cellStyle name="Comma 3 4 4 5 3" xfId="21987" xr:uid="{47E793C4-4F0E-439A-AF67-BBF45241FAFB}"/>
    <cellStyle name="Comma 3 4 4 6" xfId="8979" xr:uid="{28B40420-9EC7-4D5D-9C78-7C82E451E5EC}"/>
    <cellStyle name="Comma 3 4 4 6 2" xfId="26323" xr:uid="{4F4A334F-B761-4201-B235-725BADE19FA3}"/>
    <cellStyle name="Comma 3 4 4 7" xfId="17651" xr:uid="{65A02202-1308-4731-8036-02DD4EA73CD3}"/>
    <cellStyle name="Comma 3 4 5" xfId="578" xr:uid="{1C71B878-9065-451E-A03C-01AAA108060C}"/>
    <cellStyle name="Comma 3 4 5 2" xfId="1662" xr:uid="{D9F3F2B6-DD84-471C-94CC-992E7647D60A}"/>
    <cellStyle name="Comma 3 4 5 2 2" xfId="3830" xr:uid="{99A8F289-9270-4A1C-9755-E530AE947DBB}"/>
    <cellStyle name="Comma 3 4 5 2 2 2" xfId="8166" xr:uid="{6D773C12-ADB4-45DD-BEBB-09C1303429FB}"/>
    <cellStyle name="Comma 3 4 5 2 2 2 2" xfId="16838" xr:uid="{98AF9B88-5CB1-442D-9C96-BFE95BD4D224}"/>
    <cellStyle name="Comma 3 4 5 2 2 2 2 2" xfId="34182" xr:uid="{5EC4D37C-C5BC-4CF9-B8A1-DBA2546D2E82}"/>
    <cellStyle name="Comma 3 4 5 2 2 2 3" xfId="25510" xr:uid="{1870DECB-CA02-4920-9C50-790B89E071DF}"/>
    <cellStyle name="Comma 3 4 5 2 2 3" xfId="12502" xr:uid="{29ADC65B-0F68-4651-B0C3-0B060DD2F09A}"/>
    <cellStyle name="Comma 3 4 5 2 2 3 2" xfId="29846" xr:uid="{88AB09EE-2F66-41D6-9EA8-0CAEA64EC593}"/>
    <cellStyle name="Comma 3 4 5 2 2 4" xfId="21174" xr:uid="{A1DB2661-60DF-40B7-BE4F-740A4032B36C}"/>
    <cellStyle name="Comma 3 4 5 2 3" xfId="5998" xr:uid="{C52C6AB8-7222-49D4-88EA-9EE6BC73D30A}"/>
    <cellStyle name="Comma 3 4 5 2 3 2" xfId="14670" xr:uid="{4C3270E1-4D39-4C9B-9BF4-864E63E584EE}"/>
    <cellStyle name="Comma 3 4 5 2 3 2 2" xfId="32014" xr:uid="{63875A82-413B-42F6-91EF-3C7B47982F50}"/>
    <cellStyle name="Comma 3 4 5 2 3 3" xfId="23342" xr:uid="{E50E929E-0EBA-4099-88BA-B455C3198185}"/>
    <cellStyle name="Comma 3 4 5 2 4" xfId="10334" xr:uid="{48E1A8A9-E2AD-459F-A0C8-DC9E811588CD}"/>
    <cellStyle name="Comma 3 4 5 2 4 2" xfId="27678" xr:uid="{EBF4745D-D62F-4114-B957-44748D4B8054}"/>
    <cellStyle name="Comma 3 4 5 2 5" xfId="19006" xr:uid="{460EB882-F73E-42EB-A976-8FE7DCF763E9}"/>
    <cellStyle name="Comma 3 4 5 3" xfId="2746" xr:uid="{D4D47DE3-1551-4CB2-B410-9B4C26F8C400}"/>
    <cellStyle name="Comma 3 4 5 3 2" xfId="7082" xr:uid="{3F345D48-B62A-4550-BAB8-E22ACE8E4E20}"/>
    <cellStyle name="Comma 3 4 5 3 2 2" xfId="15754" xr:uid="{F280158D-0DF7-4EEC-B092-D9ADA49714BA}"/>
    <cellStyle name="Comma 3 4 5 3 2 2 2" xfId="33098" xr:uid="{DD1A8076-BCA0-49C2-B6DC-CE72969B096A}"/>
    <cellStyle name="Comma 3 4 5 3 2 3" xfId="24426" xr:uid="{838A4002-3B50-4127-84A4-AAC0E06B10E0}"/>
    <cellStyle name="Comma 3 4 5 3 3" xfId="11418" xr:uid="{0B909196-49EE-42F9-8D88-9E532E7A3C07}"/>
    <cellStyle name="Comma 3 4 5 3 3 2" xfId="28762" xr:uid="{F3B17DEA-EB0F-44D1-B7ED-A74FBDFD3EE8}"/>
    <cellStyle name="Comma 3 4 5 3 4" xfId="20090" xr:uid="{84389D9C-BD16-4B73-A3E6-921B3F3D56EC}"/>
    <cellStyle name="Comma 3 4 5 4" xfId="4914" xr:uid="{B4C71736-444F-4201-94FE-3B168C64B25D}"/>
    <cellStyle name="Comma 3 4 5 4 2" xfId="13586" xr:uid="{95D12580-57EF-4327-9F77-1C2D1E3619CC}"/>
    <cellStyle name="Comma 3 4 5 4 2 2" xfId="30930" xr:uid="{65810F5D-FBCE-464E-BADA-4D1AF6CD3696}"/>
    <cellStyle name="Comma 3 4 5 4 3" xfId="22258" xr:uid="{33F57A6F-BE04-4D1C-90DA-C253D4F54567}"/>
    <cellStyle name="Comma 3 4 5 5" xfId="9250" xr:uid="{52FEE53A-5F7C-4C1C-9360-70E6AF43D67D}"/>
    <cellStyle name="Comma 3 4 5 5 2" xfId="26594" xr:uid="{EC24B8EA-4C02-48D9-A9F6-5ED267B564AB}"/>
    <cellStyle name="Comma 3 4 5 6" xfId="17922" xr:uid="{10CA8CE0-76CB-4F36-937C-8DC1142FB03E}"/>
    <cellStyle name="Comma 3 4 6" xfId="1121" xr:uid="{831D2553-6957-4353-B3D5-7281E6FC154A}"/>
    <cellStyle name="Comma 3 4 6 2" xfId="3289" xr:uid="{8A0FF179-9219-475F-B832-7B4194AF7820}"/>
    <cellStyle name="Comma 3 4 6 2 2" xfId="7625" xr:uid="{EB4F5D31-D5CC-4971-B233-861FB8727CAF}"/>
    <cellStyle name="Comma 3 4 6 2 2 2" xfId="16297" xr:uid="{F2D24490-EBC2-498F-9A3D-8D78C3B83089}"/>
    <cellStyle name="Comma 3 4 6 2 2 2 2" xfId="33641" xr:uid="{2C53EB7D-0FA0-4875-9DFC-D94A11F7CF64}"/>
    <cellStyle name="Comma 3 4 6 2 2 3" xfId="24969" xr:uid="{6C457E0A-53D2-480A-B63C-27DF71DC97E8}"/>
    <cellStyle name="Comma 3 4 6 2 3" xfId="11961" xr:uid="{017A03E4-EB70-4489-9139-17F7CA0A3669}"/>
    <cellStyle name="Comma 3 4 6 2 3 2" xfId="29305" xr:uid="{305B60C8-3E01-4BCA-A8F7-ED34C55198C6}"/>
    <cellStyle name="Comma 3 4 6 2 4" xfId="20633" xr:uid="{AC8B1CB9-1563-46F6-9667-E454BB8987EB}"/>
    <cellStyle name="Comma 3 4 6 3" xfId="5457" xr:uid="{BA45DE3B-33B2-4618-97D4-7F447DFEEBF4}"/>
    <cellStyle name="Comma 3 4 6 3 2" xfId="14129" xr:uid="{33CFB451-1A0C-464D-B890-5D9EF48FAA8F}"/>
    <cellStyle name="Comma 3 4 6 3 2 2" xfId="31473" xr:uid="{7C914E24-F861-4D0B-B9EE-14DCAE415F14}"/>
    <cellStyle name="Comma 3 4 6 3 3" xfId="22801" xr:uid="{9F624C9A-B7D0-4087-AF4E-7244DADCEEE2}"/>
    <cellStyle name="Comma 3 4 6 4" xfId="9793" xr:uid="{701650C2-C34B-468C-8390-A48E89E62E25}"/>
    <cellStyle name="Comma 3 4 6 4 2" xfId="27137" xr:uid="{94C6D24C-148C-4C87-8CA1-2015BD41F7BE}"/>
    <cellStyle name="Comma 3 4 6 5" xfId="18465" xr:uid="{4C11C9C5-8FEA-472D-9490-16F6A3565F3F}"/>
    <cellStyle name="Comma 3 4 7" xfId="2205" xr:uid="{6ED81ABC-2815-41A5-B6F6-EDEA2BFA3B09}"/>
    <cellStyle name="Comma 3 4 7 2" xfId="6541" xr:uid="{08A19B71-AEE0-4C2E-A5E4-7B6624118352}"/>
    <cellStyle name="Comma 3 4 7 2 2" xfId="15213" xr:uid="{D188DF07-88B4-4A36-82DD-8306BA5C81DE}"/>
    <cellStyle name="Comma 3 4 7 2 2 2" xfId="32557" xr:uid="{869FC739-6061-4A98-96BA-504AF0283176}"/>
    <cellStyle name="Comma 3 4 7 2 3" xfId="23885" xr:uid="{CFAF9BF3-A94A-45AE-BB7E-5E047C1BB41C}"/>
    <cellStyle name="Comma 3 4 7 3" xfId="10877" xr:uid="{6949118F-1C7D-482E-B546-DCCC882BABF1}"/>
    <cellStyle name="Comma 3 4 7 3 2" xfId="28221" xr:uid="{4637127A-3AAF-4717-AE1B-1F1A19AFB294}"/>
    <cellStyle name="Comma 3 4 7 4" xfId="19549" xr:uid="{5D4482DF-6079-4F5E-BD39-B684578BF5D2}"/>
    <cellStyle name="Comma 3 4 8" xfId="4373" xr:uid="{C58A04A2-2C60-4D27-98B8-7E4E11644948}"/>
    <cellStyle name="Comma 3 4 8 2" xfId="13045" xr:uid="{AE1FC810-86DD-4EA4-AB8A-0727D47C3B91}"/>
    <cellStyle name="Comma 3 4 8 2 2" xfId="30389" xr:uid="{B2D923C7-F019-4A54-90AD-1A391BC3707C}"/>
    <cellStyle name="Comma 3 4 8 3" xfId="21717" xr:uid="{5F31F682-9C1F-4089-B02B-F7BA2736C5FD}"/>
    <cellStyle name="Comma 3 4 9" xfId="8709" xr:uid="{9C526897-0DD4-40AB-B8CD-4FEF244F3994}"/>
    <cellStyle name="Comma 3 4 9 2" xfId="26053" xr:uid="{4FF2797C-445C-49F5-B583-B74C9514D8A4}"/>
    <cellStyle name="Comma 3 5" xfId="45" xr:uid="{1213F668-F74E-422A-8305-D88E6834555F}"/>
    <cellStyle name="Comma 3 5 10" xfId="17389" xr:uid="{58B1DA39-4562-45CA-93F0-839A02BC8044}"/>
    <cellStyle name="Comma 3 5 2" xfId="106" xr:uid="{0129E0A0-4648-4BE1-B03A-9A7E2FB9C692}"/>
    <cellStyle name="Comma 3 5 2 2" xfId="228" xr:uid="{2159232F-9EBC-4053-B18D-DDAED2D21141}"/>
    <cellStyle name="Comma 3 5 2 2 2" xfId="498" xr:uid="{E9A3B5BF-891E-457A-B057-B61A093E6A15}"/>
    <cellStyle name="Comma 3 5 2 2 2 2" xfId="1039" xr:uid="{FB7BACF0-1B41-422E-9153-C2F89CC83509}"/>
    <cellStyle name="Comma 3 5 2 2 2 2 2" xfId="2123" xr:uid="{99B39DB5-03D8-4E62-AA68-F9B29F9A86D5}"/>
    <cellStyle name="Comma 3 5 2 2 2 2 2 2" xfId="4291" xr:uid="{54F6ECFD-4324-4295-9C8D-97B3811E4C8B}"/>
    <cellStyle name="Comma 3 5 2 2 2 2 2 2 2" xfId="8627" xr:uid="{20ECB6E0-F71A-4B71-90B3-F60F8CFD050C}"/>
    <cellStyle name="Comma 3 5 2 2 2 2 2 2 2 2" xfId="17299" xr:uid="{F8943773-8E84-4EFE-8BAB-C2D1638500F6}"/>
    <cellStyle name="Comma 3 5 2 2 2 2 2 2 2 2 2" xfId="34643" xr:uid="{E1C1FEAC-0668-4EEA-B99B-2C3697F11FDE}"/>
    <cellStyle name="Comma 3 5 2 2 2 2 2 2 2 3" xfId="25971" xr:uid="{65929AB8-79D7-4D7E-837F-7FA215F1AC04}"/>
    <cellStyle name="Comma 3 5 2 2 2 2 2 2 3" xfId="12963" xr:uid="{B114BD91-068F-4E40-BCC7-ACBABE404AEB}"/>
    <cellStyle name="Comma 3 5 2 2 2 2 2 2 3 2" xfId="30307" xr:uid="{97F4D7AB-E99F-495B-A80B-FCBC8427BBD5}"/>
    <cellStyle name="Comma 3 5 2 2 2 2 2 2 4" xfId="21635" xr:uid="{A797B91E-6E05-47C6-B566-D7C7819AD811}"/>
    <cellStyle name="Comma 3 5 2 2 2 2 2 3" xfId="6459" xr:uid="{85631609-5FE7-4629-900F-2557F5DE676F}"/>
    <cellStyle name="Comma 3 5 2 2 2 2 2 3 2" xfId="15131" xr:uid="{DFE3B3EC-5EC1-4E87-ACAE-C9BFA155DB77}"/>
    <cellStyle name="Comma 3 5 2 2 2 2 2 3 2 2" xfId="32475" xr:uid="{7254FC5D-03FC-4BB8-BF3F-C009D7F0F2DC}"/>
    <cellStyle name="Comma 3 5 2 2 2 2 2 3 3" xfId="23803" xr:uid="{E8CB1D61-63F9-4889-8E7C-93E0D4EC22C4}"/>
    <cellStyle name="Comma 3 5 2 2 2 2 2 4" xfId="10795" xr:uid="{AE57F4B5-28FC-4CB8-9031-7BC1BDDF6256}"/>
    <cellStyle name="Comma 3 5 2 2 2 2 2 4 2" xfId="28139" xr:uid="{5880CC56-EFC8-4EE0-90D9-D9E36F5A5158}"/>
    <cellStyle name="Comma 3 5 2 2 2 2 2 5" xfId="19467" xr:uid="{33037242-D366-4A04-95E3-C9CDF64A1E5A}"/>
    <cellStyle name="Comma 3 5 2 2 2 2 3" xfId="3207" xr:uid="{604C5B67-386E-4E45-9451-E21881B043BB}"/>
    <cellStyle name="Comma 3 5 2 2 2 2 3 2" xfId="7543" xr:uid="{C952630C-5727-4775-B72E-4C656D288DA2}"/>
    <cellStyle name="Comma 3 5 2 2 2 2 3 2 2" xfId="16215" xr:uid="{070338F0-EBDD-45BD-886C-9C0332B19FE1}"/>
    <cellStyle name="Comma 3 5 2 2 2 2 3 2 2 2" xfId="33559" xr:uid="{F6123C44-A09C-46C5-934E-DDD36465B08E}"/>
    <cellStyle name="Comma 3 5 2 2 2 2 3 2 3" xfId="24887" xr:uid="{9E42DD3D-0830-451C-8617-654D1AA30E57}"/>
    <cellStyle name="Comma 3 5 2 2 2 2 3 3" xfId="11879" xr:uid="{1CAFB1B1-F7B1-4A31-AD66-E424047CB47C}"/>
    <cellStyle name="Comma 3 5 2 2 2 2 3 3 2" xfId="29223" xr:uid="{D4EF6195-5920-403E-83E5-ED17249F6FDE}"/>
    <cellStyle name="Comma 3 5 2 2 2 2 3 4" xfId="20551" xr:uid="{0F3173D2-C3D3-4559-AF98-B4CDE8E414CE}"/>
    <cellStyle name="Comma 3 5 2 2 2 2 4" xfId="5375" xr:uid="{048EA2FD-C45E-4D7E-8050-B1679F1E50B5}"/>
    <cellStyle name="Comma 3 5 2 2 2 2 4 2" xfId="14047" xr:uid="{63B11476-E75A-4D36-8021-45DCA9320DBB}"/>
    <cellStyle name="Comma 3 5 2 2 2 2 4 2 2" xfId="31391" xr:uid="{D176545E-E3B5-442F-A9CF-3B43717E5123}"/>
    <cellStyle name="Comma 3 5 2 2 2 2 4 3" xfId="22719" xr:uid="{BA5D4024-D56C-45DE-9BFC-516A116636E2}"/>
    <cellStyle name="Comma 3 5 2 2 2 2 5" xfId="9711" xr:uid="{359B95E0-9E20-42CB-8BAE-BE04BA5B30CF}"/>
    <cellStyle name="Comma 3 5 2 2 2 2 5 2" xfId="27055" xr:uid="{9CFAC94A-5A85-4F82-B7F2-4B4846E30D55}"/>
    <cellStyle name="Comma 3 5 2 2 2 2 6" xfId="18383" xr:uid="{5AB1A832-52DC-4A8D-BBA7-2B04E1897FC6}"/>
    <cellStyle name="Comma 3 5 2 2 2 3" xfId="1582" xr:uid="{FCE93F4B-5BBC-4F52-9289-7D072E609CA3}"/>
    <cellStyle name="Comma 3 5 2 2 2 3 2" xfId="3750" xr:uid="{154531A6-9D08-4F39-93CE-93B8D823BC4C}"/>
    <cellStyle name="Comma 3 5 2 2 2 3 2 2" xfId="8086" xr:uid="{3CDCE4BE-BF05-47E4-A2D8-C03AB5D92C83}"/>
    <cellStyle name="Comma 3 5 2 2 2 3 2 2 2" xfId="16758" xr:uid="{93319CD4-F6A9-4064-B409-33F3C5F5D180}"/>
    <cellStyle name="Comma 3 5 2 2 2 3 2 2 2 2" xfId="34102" xr:uid="{5B33664E-4CD1-4221-A3C3-E22FB510DE59}"/>
    <cellStyle name="Comma 3 5 2 2 2 3 2 2 3" xfId="25430" xr:uid="{7E7A8BC8-2175-4037-B2A0-32913E51D560}"/>
    <cellStyle name="Comma 3 5 2 2 2 3 2 3" xfId="12422" xr:uid="{7A2B7063-FD73-4814-86F8-40EFBDC7F535}"/>
    <cellStyle name="Comma 3 5 2 2 2 3 2 3 2" xfId="29766" xr:uid="{F973C86D-DE42-4A9B-B4E2-4626398196FE}"/>
    <cellStyle name="Comma 3 5 2 2 2 3 2 4" xfId="21094" xr:uid="{B36D8A00-BD22-4AD6-8999-8CE23CF9F545}"/>
    <cellStyle name="Comma 3 5 2 2 2 3 3" xfId="5918" xr:uid="{4DCC2CCD-532F-4619-B3D5-D63497A02075}"/>
    <cellStyle name="Comma 3 5 2 2 2 3 3 2" xfId="14590" xr:uid="{82C437A2-968C-48C4-9DE1-9041C836A629}"/>
    <cellStyle name="Comma 3 5 2 2 2 3 3 2 2" xfId="31934" xr:uid="{8812A411-4DF8-4605-B045-926ED2A445AE}"/>
    <cellStyle name="Comma 3 5 2 2 2 3 3 3" xfId="23262" xr:uid="{791BACDB-4BA6-4361-B704-050EF15C2584}"/>
    <cellStyle name="Comma 3 5 2 2 2 3 4" xfId="10254" xr:uid="{3892920B-4D2C-49C2-967F-0C5A46B55514}"/>
    <cellStyle name="Comma 3 5 2 2 2 3 4 2" xfId="27598" xr:uid="{C381EE73-3B68-4ACE-9520-A0BD7A5663E6}"/>
    <cellStyle name="Comma 3 5 2 2 2 3 5" xfId="18926" xr:uid="{32014D60-6CF5-4326-A9FA-820D83E80B48}"/>
    <cellStyle name="Comma 3 5 2 2 2 4" xfId="2666" xr:uid="{C7552C91-CF82-4EAF-B5E6-474CEA1DB780}"/>
    <cellStyle name="Comma 3 5 2 2 2 4 2" xfId="7002" xr:uid="{BAB120E1-054B-4BB0-BC9A-95829EABF0FF}"/>
    <cellStyle name="Comma 3 5 2 2 2 4 2 2" xfId="15674" xr:uid="{92E3FA0D-D99C-4DD6-9C88-A7FBA7A54D08}"/>
    <cellStyle name="Comma 3 5 2 2 2 4 2 2 2" xfId="33018" xr:uid="{C7F48B40-C32A-4BD1-AC6E-5140719F1C24}"/>
    <cellStyle name="Comma 3 5 2 2 2 4 2 3" xfId="24346" xr:uid="{8CE73746-0976-4262-8610-0751D9AD8F13}"/>
    <cellStyle name="Comma 3 5 2 2 2 4 3" xfId="11338" xr:uid="{32720FC2-D822-4E5C-A68D-024E55328278}"/>
    <cellStyle name="Comma 3 5 2 2 2 4 3 2" xfId="28682" xr:uid="{A3C2D55A-A012-4F60-AD4D-A276B1234E5F}"/>
    <cellStyle name="Comma 3 5 2 2 2 4 4" xfId="20010" xr:uid="{F0A942B5-6C72-44EB-876A-9E51E6C4E81B}"/>
    <cellStyle name="Comma 3 5 2 2 2 5" xfId="4834" xr:uid="{8684AE1D-170F-4DD4-B7C7-DBA418ED07D6}"/>
    <cellStyle name="Comma 3 5 2 2 2 5 2" xfId="13506" xr:uid="{537AAF28-0039-48CC-ADB2-DB3B935D17D7}"/>
    <cellStyle name="Comma 3 5 2 2 2 5 2 2" xfId="30850" xr:uid="{C64227C7-3CA0-44CB-A3C9-497E3CC9B014}"/>
    <cellStyle name="Comma 3 5 2 2 2 5 3" xfId="22178" xr:uid="{78D92256-AF2F-4B67-BECD-FE4AE5FA9755}"/>
    <cellStyle name="Comma 3 5 2 2 2 6" xfId="9170" xr:uid="{0441326C-5C25-4BA4-8476-961371B37AE5}"/>
    <cellStyle name="Comma 3 5 2 2 2 6 2" xfId="26514" xr:uid="{2B66323C-95D8-4B70-AA05-FEFA9A6B1F25}"/>
    <cellStyle name="Comma 3 5 2 2 2 7" xfId="17842" xr:uid="{F243DA5F-3A31-4BB4-99BF-94DFF92739B5}"/>
    <cellStyle name="Comma 3 5 2 2 3" xfId="769" xr:uid="{1693DBB8-89B5-4335-B1BD-FEBADFD10538}"/>
    <cellStyle name="Comma 3 5 2 2 3 2" xfId="1853" xr:uid="{13CDEF6A-15F8-4033-8B66-A16EC2A0617C}"/>
    <cellStyle name="Comma 3 5 2 2 3 2 2" xfId="4021" xr:uid="{894EDE64-A6E8-4186-A0E7-CC817F5A08D2}"/>
    <cellStyle name="Comma 3 5 2 2 3 2 2 2" xfId="8357" xr:uid="{59F0932F-1251-44B7-B560-99EC190A43F3}"/>
    <cellStyle name="Comma 3 5 2 2 3 2 2 2 2" xfId="17029" xr:uid="{56140FB2-5468-457C-B371-32F0169EB8EE}"/>
    <cellStyle name="Comma 3 5 2 2 3 2 2 2 2 2" xfId="34373" xr:uid="{48133F6D-74A0-4B68-83D7-213CC79E1179}"/>
    <cellStyle name="Comma 3 5 2 2 3 2 2 2 3" xfId="25701" xr:uid="{E0157D45-0597-487F-9483-B6666A87980C}"/>
    <cellStyle name="Comma 3 5 2 2 3 2 2 3" xfId="12693" xr:uid="{460B0F1A-DB3A-427F-822A-5CE04C8B2C05}"/>
    <cellStyle name="Comma 3 5 2 2 3 2 2 3 2" xfId="30037" xr:uid="{637651F1-DDA8-49BB-8B54-FD55804769ED}"/>
    <cellStyle name="Comma 3 5 2 2 3 2 2 4" xfId="21365" xr:uid="{271D7C24-D405-477B-B3C2-B2A8E3A12040}"/>
    <cellStyle name="Comma 3 5 2 2 3 2 3" xfId="6189" xr:uid="{E23D5153-DBAF-480C-AC39-51FEC76C2DD2}"/>
    <cellStyle name="Comma 3 5 2 2 3 2 3 2" xfId="14861" xr:uid="{B47D1759-605A-4B29-8642-FE73CF574373}"/>
    <cellStyle name="Comma 3 5 2 2 3 2 3 2 2" xfId="32205" xr:uid="{45762522-D41F-42F3-ABBA-AEC1F454A58E}"/>
    <cellStyle name="Comma 3 5 2 2 3 2 3 3" xfId="23533" xr:uid="{7CFA34E4-4B6C-43B8-AF62-1D42BC19A337}"/>
    <cellStyle name="Comma 3 5 2 2 3 2 4" xfId="10525" xr:uid="{E28BEF5F-21F6-4C31-A8EA-DC78AC6E0D20}"/>
    <cellStyle name="Comma 3 5 2 2 3 2 4 2" xfId="27869" xr:uid="{03FDF411-C9F6-4B05-BFA7-7674917990A2}"/>
    <cellStyle name="Comma 3 5 2 2 3 2 5" xfId="19197" xr:uid="{896BED49-B815-41C7-9C31-F3B30B459CF4}"/>
    <cellStyle name="Comma 3 5 2 2 3 3" xfId="2937" xr:uid="{A0896A41-4C5B-4558-8EBD-E1ED88F6377B}"/>
    <cellStyle name="Comma 3 5 2 2 3 3 2" xfId="7273" xr:uid="{2B7922B3-0A5D-441F-A028-56EECE7CBD32}"/>
    <cellStyle name="Comma 3 5 2 2 3 3 2 2" xfId="15945" xr:uid="{5091D6D5-FF83-44EA-B4E2-785CDC1C9090}"/>
    <cellStyle name="Comma 3 5 2 2 3 3 2 2 2" xfId="33289" xr:uid="{D220408F-17B4-4720-A086-6DDAC78AE059}"/>
    <cellStyle name="Comma 3 5 2 2 3 3 2 3" xfId="24617" xr:uid="{3C8331BF-E8F4-4DBB-BCB6-CB70F64AB20C}"/>
    <cellStyle name="Comma 3 5 2 2 3 3 3" xfId="11609" xr:uid="{28C0B4F5-9630-4380-AE22-7D37B1596BD4}"/>
    <cellStyle name="Comma 3 5 2 2 3 3 3 2" xfId="28953" xr:uid="{6246E00A-29E1-4E09-9BCE-ACAEEB9756F9}"/>
    <cellStyle name="Comma 3 5 2 2 3 3 4" xfId="20281" xr:uid="{3B0D1EC4-659F-4FE5-9D72-F88753D180CB}"/>
    <cellStyle name="Comma 3 5 2 2 3 4" xfId="5105" xr:uid="{E638FA9C-27BA-454E-90FE-2D7CD81A85C0}"/>
    <cellStyle name="Comma 3 5 2 2 3 4 2" xfId="13777" xr:uid="{3035B997-D8C5-4711-94FC-0460E93FBD90}"/>
    <cellStyle name="Comma 3 5 2 2 3 4 2 2" xfId="31121" xr:uid="{8EFAD4F0-627D-445E-B175-CBC02E866F41}"/>
    <cellStyle name="Comma 3 5 2 2 3 4 3" xfId="22449" xr:uid="{6288C771-9F15-42DA-8E8F-05B9E8F6A540}"/>
    <cellStyle name="Comma 3 5 2 2 3 5" xfId="9441" xr:uid="{18899DC7-15A7-405A-8203-6B9CD1FCD3F3}"/>
    <cellStyle name="Comma 3 5 2 2 3 5 2" xfId="26785" xr:uid="{CBCB2E98-87AA-46B8-B202-CF64635FC7FE}"/>
    <cellStyle name="Comma 3 5 2 2 3 6" xfId="18113" xr:uid="{991360D9-C271-434A-ADCB-7A38304F1F0D}"/>
    <cellStyle name="Comma 3 5 2 2 4" xfId="1312" xr:uid="{44CAFED2-F33E-4A11-A830-3E1C964B7FFA}"/>
    <cellStyle name="Comma 3 5 2 2 4 2" xfId="3480" xr:uid="{F740F21F-6634-4A71-A3AF-9FEDDA45E205}"/>
    <cellStyle name="Comma 3 5 2 2 4 2 2" xfId="7816" xr:uid="{488E7A8B-9B3C-4443-B275-4DD8B307A001}"/>
    <cellStyle name="Comma 3 5 2 2 4 2 2 2" xfId="16488" xr:uid="{ADD9008A-62AA-4981-B057-2AB41E4E1B8F}"/>
    <cellStyle name="Comma 3 5 2 2 4 2 2 2 2" xfId="33832" xr:uid="{6F2BA7D1-30CE-4907-897E-8590C77BC171}"/>
    <cellStyle name="Comma 3 5 2 2 4 2 2 3" xfId="25160" xr:uid="{12F46A19-7F7B-4FC6-ADEE-4A8094178F5A}"/>
    <cellStyle name="Comma 3 5 2 2 4 2 3" xfId="12152" xr:uid="{0BC9958D-595C-4849-BA89-8F5D8BDE95EA}"/>
    <cellStyle name="Comma 3 5 2 2 4 2 3 2" xfId="29496" xr:uid="{06D91072-8730-4B1D-B881-C026B1394C73}"/>
    <cellStyle name="Comma 3 5 2 2 4 2 4" xfId="20824" xr:uid="{2A263161-BF8B-453E-AF57-8C73F5224512}"/>
    <cellStyle name="Comma 3 5 2 2 4 3" xfId="5648" xr:uid="{A00E038D-6E7F-49D5-A4A5-A5A56278C872}"/>
    <cellStyle name="Comma 3 5 2 2 4 3 2" xfId="14320" xr:uid="{73030651-7FFF-4A30-9E25-9ED7222E3CC9}"/>
    <cellStyle name="Comma 3 5 2 2 4 3 2 2" xfId="31664" xr:uid="{FFD46B82-CF5E-4D3B-B8C0-E61C24705045}"/>
    <cellStyle name="Comma 3 5 2 2 4 3 3" xfId="22992" xr:uid="{43CDE8CC-FA9C-4C07-8967-6F403FF2000E}"/>
    <cellStyle name="Comma 3 5 2 2 4 4" xfId="9984" xr:uid="{0CC2D306-2661-466A-B4DB-B5C4BB0B4EB5}"/>
    <cellStyle name="Comma 3 5 2 2 4 4 2" xfId="27328" xr:uid="{4F0BA1B1-E28E-4B34-A22C-A71BA5D8442F}"/>
    <cellStyle name="Comma 3 5 2 2 4 5" xfId="18656" xr:uid="{910D59E9-8766-4361-9D89-E3D8D283583B}"/>
    <cellStyle name="Comma 3 5 2 2 5" xfId="2396" xr:uid="{8961D6D6-FFBA-47E7-B7FB-BA99DC07DC9C}"/>
    <cellStyle name="Comma 3 5 2 2 5 2" xfId="6732" xr:uid="{D525E79C-5F47-4E78-9F2C-D1188BC196F9}"/>
    <cellStyle name="Comma 3 5 2 2 5 2 2" xfId="15404" xr:uid="{302DFF25-0300-40E1-9F1F-820B4DC85821}"/>
    <cellStyle name="Comma 3 5 2 2 5 2 2 2" xfId="32748" xr:uid="{5D3F2B95-AC45-4093-AEAA-1633001CB8A6}"/>
    <cellStyle name="Comma 3 5 2 2 5 2 3" xfId="24076" xr:uid="{AE42AEEE-7A40-4976-9D42-9E725DE235BA}"/>
    <cellStyle name="Comma 3 5 2 2 5 3" xfId="11068" xr:uid="{BB44316C-43F4-4984-A956-AD1F28BF4B7B}"/>
    <cellStyle name="Comma 3 5 2 2 5 3 2" xfId="28412" xr:uid="{DD4E07ED-9C28-4A8E-A82C-64A091FFE4E3}"/>
    <cellStyle name="Comma 3 5 2 2 5 4" xfId="19740" xr:uid="{8FB38E16-637A-4146-A2D3-773EB1AE4D37}"/>
    <cellStyle name="Comma 3 5 2 2 6" xfId="4564" xr:uid="{14FAE838-C2DA-4BF3-AF5A-CB2B18CE4254}"/>
    <cellStyle name="Comma 3 5 2 2 6 2" xfId="13236" xr:uid="{22235036-C12C-4465-8088-B6F23DA302B0}"/>
    <cellStyle name="Comma 3 5 2 2 6 2 2" xfId="30580" xr:uid="{A51E9116-2122-47E0-8AD7-46E033C76E06}"/>
    <cellStyle name="Comma 3 5 2 2 6 3" xfId="21908" xr:uid="{079847EE-59CA-4AF8-9DD2-B7FB9EA36DA2}"/>
    <cellStyle name="Comma 3 5 2 2 7" xfId="8900" xr:uid="{B4484E6C-6269-41FF-8B84-5CCB5BA70782}"/>
    <cellStyle name="Comma 3 5 2 2 7 2" xfId="26244" xr:uid="{6BC4A887-EC5F-469D-A984-73F718629C1C}"/>
    <cellStyle name="Comma 3 5 2 2 8" xfId="17572" xr:uid="{629D8E31-E2C4-4331-8966-F426D361B169}"/>
    <cellStyle name="Comma 3 5 2 3" xfId="376" xr:uid="{31B765CB-582D-4758-BF5F-E5783D416A4D}"/>
    <cellStyle name="Comma 3 5 2 3 2" xfId="917" xr:uid="{C1810E3A-2C4D-48A0-B683-82B9067F7BDB}"/>
    <cellStyle name="Comma 3 5 2 3 2 2" xfId="2001" xr:uid="{A447E28B-F352-40DC-996F-358E3A513826}"/>
    <cellStyle name="Comma 3 5 2 3 2 2 2" xfId="4169" xr:uid="{E9B371AC-F1AE-44C5-9DFF-FAA901900BC3}"/>
    <cellStyle name="Comma 3 5 2 3 2 2 2 2" xfId="8505" xr:uid="{3D9A58F3-A358-4CC6-83E4-EF5C4562AC37}"/>
    <cellStyle name="Comma 3 5 2 3 2 2 2 2 2" xfId="17177" xr:uid="{C8138616-211B-4DB8-B606-C1490D70FE1E}"/>
    <cellStyle name="Comma 3 5 2 3 2 2 2 2 2 2" xfId="34521" xr:uid="{FAF1F4FF-D7A8-45DF-B2BE-E1AD9A22BD76}"/>
    <cellStyle name="Comma 3 5 2 3 2 2 2 2 3" xfId="25849" xr:uid="{5B0D0FB7-3335-40C1-8750-EBBF3DB43AB5}"/>
    <cellStyle name="Comma 3 5 2 3 2 2 2 3" xfId="12841" xr:uid="{D0B06904-E1AD-4D91-B403-C52DB9D154BF}"/>
    <cellStyle name="Comma 3 5 2 3 2 2 2 3 2" xfId="30185" xr:uid="{68603021-5A3B-4793-89E7-DC778323025A}"/>
    <cellStyle name="Comma 3 5 2 3 2 2 2 4" xfId="21513" xr:uid="{F629DCA8-4C8F-4A67-8FE6-ECA11F027395}"/>
    <cellStyle name="Comma 3 5 2 3 2 2 3" xfId="6337" xr:uid="{B65F1F7B-2BC2-4750-9D2C-B0B16946F183}"/>
    <cellStyle name="Comma 3 5 2 3 2 2 3 2" xfId="15009" xr:uid="{10C06214-B14F-4446-875D-53D0ED899323}"/>
    <cellStyle name="Comma 3 5 2 3 2 2 3 2 2" xfId="32353" xr:uid="{65EB2B9B-24BA-4A00-9695-E344BFC7DEFB}"/>
    <cellStyle name="Comma 3 5 2 3 2 2 3 3" xfId="23681" xr:uid="{F14DEF2F-740D-4B5A-974F-D6F92537B7F8}"/>
    <cellStyle name="Comma 3 5 2 3 2 2 4" xfId="10673" xr:uid="{B1A2AE79-554A-48CA-85AE-23B377D2B30D}"/>
    <cellStyle name="Comma 3 5 2 3 2 2 4 2" xfId="28017" xr:uid="{D101C5A9-955E-4920-A898-D8BC9E70FC49}"/>
    <cellStyle name="Comma 3 5 2 3 2 2 5" xfId="19345" xr:uid="{BF60519F-4420-4727-9961-04009E6A7ADC}"/>
    <cellStyle name="Comma 3 5 2 3 2 3" xfId="3085" xr:uid="{0384878C-B06B-40E6-A6D8-3F8F2C4E510F}"/>
    <cellStyle name="Comma 3 5 2 3 2 3 2" xfId="7421" xr:uid="{C665486C-AABD-4520-AAEA-E025EBBC4F5B}"/>
    <cellStyle name="Comma 3 5 2 3 2 3 2 2" xfId="16093" xr:uid="{C6F6DB44-C6C8-4159-97AE-7316EC8CEE5E}"/>
    <cellStyle name="Comma 3 5 2 3 2 3 2 2 2" xfId="33437" xr:uid="{3B496F28-956B-47B2-8DBB-9ED08DA23DEF}"/>
    <cellStyle name="Comma 3 5 2 3 2 3 2 3" xfId="24765" xr:uid="{83CDBEE3-8C42-44DC-8D00-29E1FB608D7B}"/>
    <cellStyle name="Comma 3 5 2 3 2 3 3" xfId="11757" xr:uid="{BDE8EC5B-E63A-416D-B934-B7440A1FEF6F}"/>
    <cellStyle name="Comma 3 5 2 3 2 3 3 2" xfId="29101" xr:uid="{9B8AEE51-5FA3-4635-AA22-E390FACB24A5}"/>
    <cellStyle name="Comma 3 5 2 3 2 3 4" xfId="20429" xr:uid="{60E00E99-EAB2-4B2C-ADC6-C1BCD46D6E90}"/>
    <cellStyle name="Comma 3 5 2 3 2 4" xfId="5253" xr:uid="{55517E4B-DFC8-4F04-9B38-5415B0368E15}"/>
    <cellStyle name="Comma 3 5 2 3 2 4 2" xfId="13925" xr:uid="{10247EF1-B6A5-4674-9065-8B1926179F75}"/>
    <cellStyle name="Comma 3 5 2 3 2 4 2 2" xfId="31269" xr:uid="{C53FD555-64CA-40BF-B6D3-6270C36495DF}"/>
    <cellStyle name="Comma 3 5 2 3 2 4 3" xfId="22597" xr:uid="{FC891D85-C3E2-4EA3-860E-F0E912B14DCD}"/>
    <cellStyle name="Comma 3 5 2 3 2 5" xfId="9589" xr:uid="{F9B04ADD-A4CF-4435-B4F1-2FDDDDC7ED6B}"/>
    <cellStyle name="Comma 3 5 2 3 2 5 2" xfId="26933" xr:uid="{0CD6F010-F0A7-410A-A0A2-7A984D35CE1F}"/>
    <cellStyle name="Comma 3 5 2 3 2 6" xfId="18261" xr:uid="{DF3DFCB4-6775-4040-904E-FCB17D474BC3}"/>
    <cellStyle name="Comma 3 5 2 3 3" xfId="1460" xr:uid="{D0FA488E-4946-4C3A-9E7C-50D79AA40DAB}"/>
    <cellStyle name="Comma 3 5 2 3 3 2" xfId="3628" xr:uid="{98F243CC-68C0-40BB-B654-A94E772609CB}"/>
    <cellStyle name="Comma 3 5 2 3 3 2 2" xfId="7964" xr:uid="{7687DBFF-09FF-48CC-B78D-5F236C090CCD}"/>
    <cellStyle name="Comma 3 5 2 3 3 2 2 2" xfId="16636" xr:uid="{8A56C0B6-C08E-479C-99D1-D7CCEE745BC8}"/>
    <cellStyle name="Comma 3 5 2 3 3 2 2 2 2" xfId="33980" xr:uid="{111F122B-8C08-4D11-A9E2-DE9DC388CC12}"/>
    <cellStyle name="Comma 3 5 2 3 3 2 2 3" xfId="25308" xr:uid="{807E2361-40A1-4EC1-B59D-07044CFF137C}"/>
    <cellStyle name="Comma 3 5 2 3 3 2 3" xfId="12300" xr:uid="{71DCAB36-8C67-4E05-BBD5-499A017030CE}"/>
    <cellStyle name="Comma 3 5 2 3 3 2 3 2" xfId="29644" xr:uid="{89BEED62-3113-4006-863A-6EF97EF94801}"/>
    <cellStyle name="Comma 3 5 2 3 3 2 4" xfId="20972" xr:uid="{681E0493-6A8F-4207-B6FA-9A52E52B6B99}"/>
    <cellStyle name="Comma 3 5 2 3 3 3" xfId="5796" xr:uid="{7E7D4F3B-57CD-4602-845F-197A4C033643}"/>
    <cellStyle name="Comma 3 5 2 3 3 3 2" xfId="14468" xr:uid="{0A4E36D5-D250-4D39-B01E-6919035B423B}"/>
    <cellStyle name="Comma 3 5 2 3 3 3 2 2" xfId="31812" xr:uid="{AC0C7220-48D9-4117-AF45-B1EE4E7AEB30}"/>
    <cellStyle name="Comma 3 5 2 3 3 3 3" xfId="23140" xr:uid="{75A9B4FE-AF25-43D1-880E-7D331C6F3E13}"/>
    <cellStyle name="Comma 3 5 2 3 3 4" xfId="10132" xr:uid="{7ABC14CC-3E7D-416C-B6A8-A6FD00BD4B9F}"/>
    <cellStyle name="Comma 3 5 2 3 3 4 2" xfId="27476" xr:uid="{D091FC44-5704-4AA3-A65E-6108BD86A4FF}"/>
    <cellStyle name="Comma 3 5 2 3 3 5" xfId="18804" xr:uid="{EB5304D0-ACA0-42EF-8E01-8D92B5C9582C}"/>
    <cellStyle name="Comma 3 5 2 3 4" xfId="2544" xr:uid="{A92BA158-B91F-417F-8926-12B55B8BDE5E}"/>
    <cellStyle name="Comma 3 5 2 3 4 2" xfId="6880" xr:uid="{942C6197-A86C-486A-A46A-A37C333C3A0E}"/>
    <cellStyle name="Comma 3 5 2 3 4 2 2" xfId="15552" xr:uid="{0E0FB0A1-4301-44EE-86A3-03797D29F4FF}"/>
    <cellStyle name="Comma 3 5 2 3 4 2 2 2" xfId="32896" xr:uid="{357FD1BA-4587-4A2A-93AA-3C830A17AC41}"/>
    <cellStyle name="Comma 3 5 2 3 4 2 3" xfId="24224" xr:uid="{B61B7638-0F3D-4436-89F1-664D7CD81F37}"/>
    <cellStyle name="Comma 3 5 2 3 4 3" xfId="11216" xr:uid="{EB56431A-CAA5-4E5E-BC75-577E2BF265BA}"/>
    <cellStyle name="Comma 3 5 2 3 4 3 2" xfId="28560" xr:uid="{74F54BE5-1EB0-4759-9A53-A47F0708FFE4}"/>
    <cellStyle name="Comma 3 5 2 3 4 4" xfId="19888" xr:uid="{1BE070F5-5A03-433F-91D9-19CB7550D56C}"/>
    <cellStyle name="Comma 3 5 2 3 5" xfId="4712" xr:uid="{B40B5BDC-66DC-497F-985B-999C95A2B89D}"/>
    <cellStyle name="Comma 3 5 2 3 5 2" xfId="13384" xr:uid="{0DA16570-E5FF-4376-8EBA-14D559426E71}"/>
    <cellStyle name="Comma 3 5 2 3 5 2 2" xfId="30728" xr:uid="{63166359-E90E-43F8-9D93-B2BF07F19E85}"/>
    <cellStyle name="Comma 3 5 2 3 5 3" xfId="22056" xr:uid="{165F16EE-6A4A-417B-A010-452EC9B61569}"/>
    <cellStyle name="Comma 3 5 2 3 6" xfId="9048" xr:uid="{3AD34EC8-9884-4B25-B81C-21884AF75EFA}"/>
    <cellStyle name="Comma 3 5 2 3 6 2" xfId="26392" xr:uid="{90ED2642-A1BE-4B96-99BB-4FAC551FDFC5}"/>
    <cellStyle name="Comma 3 5 2 3 7" xfId="17720" xr:uid="{411ED8E0-8FD9-4C74-B04C-630F8FE50BBE}"/>
    <cellStyle name="Comma 3 5 2 4" xfId="647" xr:uid="{3AFB17AF-82A4-46AF-99DE-6B682D1B2922}"/>
    <cellStyle name="Comma 3 5 2 4 2" xfId="1731" xr:uid="{1FDFA988-7C77-40BA-90BE-E0AEDCBA7EC7}"/>
    <cellStyle name="Comma 3 5 2 4 2 2" xfId="3899" xr:uid="{E5E77CAC-D874-4D40-8466-96C71A143F37}"/>
    <cellStyle name="Comma 3 5 2 4 2 2 2" xfId="8235" xr:uid="{2D9A2B90-5B24-49CE-BB87-F30F50742131}"/>
    <cellStyle name="Comma 3 5 2 4 2 2 2 2" xfId="16907" xr:uid="{5EF76A02-4B27-4FA6-A80D-5B1EF5C13BAB}"/>
    <cellStyle name="Comma 3 5 2 4 2 2 2 2 2" xfId="34251" xr:uid="{0E45A541-ADC9-4B54-A136-CCED6CAE18FD}"/>
    <cellStyle name="Comma 3 5 2 4 2 2 2 3" xfId="25579" xr:uid="{ECEEB712-C15C-4774-B752-8089E7FAA999}"/>
    <cellStyle name="Comma 3 5 2 4 2 2 3" xfId="12571" xr:uid="{0849AE09-A501-4C14-B5D6-33FF8FF568CA}"/>
    <cellStyle name="Comma 3 5 2 4 2 2 3 2" xfId="29915" xr:uid="{8D855048-1AC0-4AB4-B9E8-CF400DED084B}"/>
    <cellStyle name="Comma 3 5 2 4 2 2 4" xfId="21243" xr:uid="{E2DC1E83-07F3-47CF-BE56-4D3257F82789}"/>
    <cellStyle name="Comma 3 5 2 4 2 3" xfId="6067" xr:uid="{2193092E-746C-40AB-BCF9-14AB8B3360D5}"/>
    <cellStyle name="Comma 3 5 2 4 2 3 2" xfId="14739" xr:uid="{2B80E6F1-BE99-4507-A0E8-601EBB26D2F9}"/>
    <cellStyle name="Comma 3 5 2 4 2 3 2 2" xfId="32083" xr:uid="{B3FDEE54-8A5E-43B1-877C-1BBA775D8BB3}"/>
    <cellStyle name="Comma 3 5 2 4 2 3 3" xfId="23411" xr:uid="{2DC1679F-AD0D-49CB-9B81-CDE9B8395690}"/>
    <cellStyle name="Comma 3 5 2 4 2 4" xfId="10403" xr:uid="{57876926-D8CF-46A4-B460-1B39751C1500}"/>
    <cellStyle name="Comma 3 5 2 4 2 4 2" xfId="27747" xr:uid="{EA5169B2-A33A-49C2-9B65-FE3B9726C98E}"/>
    <cellStyle name="Comma 3 5 2 4 2 5" xfId="19075" xr:uid="{B5386E63-F018-46AF-8AC3-0C9B66A3AB25}"/>
    <cellStyle name="Comma 3 5 2 4 3" xfId="2815" xr:uid="{671938AA-6DAA-4883-9D00-253D12E7A3ED}"/>
    <cellStyle name="Comma 3 5 2 4 3 2" xfId="7151" xr:uid="{25AAAA16-C299-4F1D-9C2E-E017B7EBF31C}"/>
    <cellStyle name="Comma 3 5 2 4 3 2 2" xfId="15823" xr:uid="{B5E1BDC4-946F-4F82-90E2-9B59FC9CA45F}"/>
    <cellStyle name="Comma 3 5 2 4 3 2 2 2" xfId="33167" xr:uid="{7C4C6B84-1E08-4329-9DE0-B5B4AA2338C7}"/>
    <cellStyle name="Comma 3 5 2 4 3 2 3" xfId="24495" xr:uid="{7D86A1A0-AD43-4CB1-825A-48412A2CF87F}"/>
    <cellStyle name="Comma 3 5 2 4 3 3" xfId="11487" xr:uid="{C0B522F8-B1E8-46E9-A0D2-B3CCACA3BA30}"/>
    <cellStyle name="Comma 3 5 2 4 3 3 2" xfId="28831" xr:uid="{D8130B17-BAB0-4702-BBA0-6441DCC5A3BB}"/>
    <cellStyle name="Comma 3 5 2 4 3 4" xfId="20159" xr:uid="{C3EFF044-2575-4FF5-B12C-BB6639BAACF9}"/>
    <cellStyle name="Comma 3 5 2 4 4" xfId="4983" xr:uid="{3E524DB6-A390-4A70-B568-858EDEFF161B}"/>
    <cellStyle name="Comma 3 5 2 4 4 2" xfId="13655" xr:uid="{5F57C361-E0F5-44BE-8BF8-165AD7F89929}"/>
    <cellStyle name="Comma 3 5 2 4 4 2 2" xfId="30999" xr:uid="{4BF59F6C-3E54-4E60-860A-5D9E6737B3CF}"/>
    <cellStyle name="Comma 3 5 2 4 4 3" xfId="22327" xr:uid="{C96B6B9E-1D94-48A7-A2F9-DD60306DD791}"/>
    <cellStyle name="Comma 3 5 2 4 5" xfId="9319" xr:uid="{6F02902F-A0E3-4893-A707-F2C507E7A38C}"/>
    <cellStyle name="Comma 3 5 2 4 5 2" xfId="26663" xr:uid="{8F2B07F3-B5F0-4D16-9CD8-02591ED07F28}"/>
    <cellStyle name="Comma 3 5 2 4 6" xfId="17991" xr:uid="{FD963FD0-664C-43A3-AF68-5D11089132B0}"/>
    <cellStyle name="Comma 3 5 2 5" xfId="1190" xr:uid="{432E90A5-E76D-4285-8949-33E9D56C903D}"/>
    <cellStyle name="Comma 3 5 2 5 2" xfId="3358" xr:uid="{3D7BB356-2D88-48DA-A4B2-5B9264A59A59}"/>
    <cellStyle name="Comma 3 5 2 5 2 2" xfId="7694" xr:uid="{64D39DA7-1004-4B48-8DF8-AA7B7EDAC2CA}"/>
    <cellStyle name="Comma 3 5 2 5 2 2 2" xfId="16366" xr:uid="{1E085773-3817-4EF7-8CBE-854B52015BE4}"/>
    <cellStyle name="Comma 3 5 2 5 2 2 2 2" xfId="33710" xr:uid="{B261E66B-B0EC-4D48-B6CD-27B56B0EC5DA}"/>
    <cellStyle name="Comma 3 5 2 5 2 2 3" xfId="25038" xr:uid="{170774B1-65B6-4A25-9256-97C3B809BD73}"/>
    <cellStyle name="Comma 3 5 2 5 2 3" xfId="12030" xr:uid="{3A02FD08-B931-45F6-AE8E-6B35062CDE89}"/>
    <cellStyle name="Comma 3 5 2 5 2 3 2" xfId="29374" xr:uid="{7F72D56D-B055-4A08-8885-5C82BA80F936}"/>
    <cellStyle name="Comma 3 5 2 5 2 4" xfId="20702" xr:uid="{59E98CAB-E652-40F6-A483-0DBB8A6B3F80}"/>
    <cellStyle name="Comma 3 5 2 5 3" xfId="5526" xr:uid="{8FB6D81C-F4DE-4A8B-AAD9-CE61E4C26594}"/>
    <cellStyle name="Comma 3 5 2 5 3 2" xfId="14198" xr:uid="{EAED7060-74C3-475C-9DEB-255B8458941A}"/>
    <cellStyle name="Comma 3 5 2 5 3 2 2" xfId="31542" xr:uid="{934B2F3C-4410-4489-8DA6-E887CEAF3FD9}"/>
    <cellStyle name="Comma 3 5 2 5 3 3" xfId="22870" xr:uid="{3114B0F4-7EBB-4FB8-9C2A-6E0E5F01F4FF}"/>
    <cellStyle name="Comma 3 5 2 5 4" xfId="9862" xr:uid="{293CDBCA-2ADF-4576-A712-9ABF31E976A7}"/>
    <cellStyle name="Comma 3 5 2 5 4 2" xfId="27206" xr:uid="{186F7869-845E-407E-87F2-988680474BCD}"/>
    <cellStyle name="Comma 3 5 2 5 5" xfId="18534" xr:uid="{269CF016-142C-4CFF-BE7D-2C4E37640321}"/>
    <cellStyle name="Comma 3 5 2 6" xfId="2274" xr:uid="{DCE37454-DB9D-4821-BFE1-470ABF476217}"/>
    <cellStyle name="Comma 3 5 2 6 2" xfId="6610" xr:uid="{0A34E840-1C9D-4DCC-A440-BF16E1C9C483}"/>
    <cellStyle name="Comma 3 5 2 6 2 2" xfId="15282" xr:uid="{AFE4DC25-D877-4C3F-8C24-505FAEB15F0E}"/>
    <cellStyle name="Comma 3 5 2 6 2 2 2" xfId="32626" xr:uid="{32CD5D12-683E-458C-AADE-85FED7D3855B}"/>
    <cellStyle name="Comma 3 5 2 6 2 3" xfId="23954" xr:uid="{E3DDB206-CD17-4A5B-9AB9-5F29A3025B0C}"/>
    <cellStyle name="Comma 3 5 2 6 3" xfId="10946" xr:uid="{10BF5D5C-0676-4443-B45B-A8E789FE6F66}"/>
    <cellStyle name="Comma 3 5 2 6 3 2" xfId="28290" xr:uid="{F901202C-0F2B-4140-95FD-D59A49DFB384}"/>
    <cellStyle name="Comma 3 5 2 6 4" xfId="19618" xr:uid="{DAECFAF9-F3A8-4963-981C-3E3AF57AAA82}"/>
    <cellStyle name="Comma 3 5 2 7" xfId="4442" xr:uid="{FEEE27FA-80E8-42B3-B96C-CC13CA258D79}"/>
    <cellStyle name="Comma 3 5 2 7 2" xfId="13114" xr:uid="{5405B445-5EFD-47D5-AB38-A2FBD742F875}"/>
    <cellStyle name="Comma 3 5 2 7 2 2" xfId="30458" xr:uid="{92E794A1-12BC-4559-AF4E-5F8A542AA314}"/>
    <cellStyle name="Comma 3 5 2 7 3" xfId="21786" xr:uid="{ADA395CE-1CDE-42E3-AD70-454C71F24D59}"/>
    <cellStyle name="Comma 3 5 2 8" xfId="8778" xr:uid="{4B61B4DF-C990-439B-A9E3-EE7BC2E10560}"/>
    <cellStyle name="Comma 3 5 2 8 2" xfId="26122" xr:uid="{680BA788-7B17-407D-A7DB-70238B603B79}"/>
    <cellStyle name="Comma 3 5 2 9" xfId="17450" xr:uid="{5A51A40C-0D37-4863-B0F3-74C7DB2821BC}"/>
    <cellStyle name="Comma 3 5 3" xfId="167" xr:uid="{09669D8E-B9A7-4CF2-B213-B8C0E32AFE07}"/>
    <cellStyle name="Comma 3 5 3 2" xfId="437" xr:uid="{83FF0FD5-D53D-4F6A-9363-D8D74F16A443}"/>
    <cellStyle name="Comma 3 5 3 2 2" xfId="978" xr:uid="{3250120F-493F-4B21-8CEC-8FD173609D41}"/>
    <cellStyle name="Comma 3 5 3 2 2 2" xfId="2062" xr:uid="{34A3CD62-ED80-42D5-A3A5-041C78CA59C3}"/>
    <cellStyle name="Comma 3 5 3 2 2 2 2" xfId="4230" xr:uid="{B50E1B2D-7FBB-453E-A2CD-29A1888366A3}"/>
    <cellStyle name="Comma 3 5 3 2 2 2 2 2" xfId="8566" xr:uid="{FCBB9D83-6775-464C-AD8F-1AAA0D19E217}"/>
    <cellStyle name="Comma 3 5 3 2 2 2 2 2 2" xfId="17238" xr:uid="{59C7FD2D-4D9C-4471-A8E1-23301CA5C5F2}"/>
    <cellStyle name="Comma 3 5 3 2 2 2 2 2 2 2" xfId="34582" xr:uid="{E8FD03A3-11D0-41FB-BE70-583E17F4B842}"/>
    <cellStyle name="Comma 3 5 3 2 2 2 2 2 3" xfId="25910" xr:uid="{CA1BCBB8-5025-42D3-B81E-5F723E3C7255}"/>
    <cellStyle name="Comma 3 5 3 2 2 2 2 3" xfId="12902" xr:uid="{02D2A90F-9C02-48A0-8403-0CE9551D551E}"/>
    <cellStyle name="Comma 3 5 3 2 2 2 2 3 2" xfId="30246" xr:uid="{ECC2E712-87D6-4A09-8D2C-B1BA7370159D}"/>
    <cellStyle name="Comma 3 5 3 2 2 2 2 4" xfId="21574" xr:uid="{EDC8121F-1FF3-4512-989D-E5A8184182E4}"/>
    <cellStyle name="Comma 3 5 3 2 2 2 3" xfId="6398" xr:uid="{E9D74E3D-BD60-4063-87D6-91D6A8775AF6}"/>
    <cellStyle name="Comma 3 5 3 2 2 2 3 2" xfId="15070" xr:uid="{D300AC0C-C10A-4BE0-9F90-3147DBC36C13}"/>
    <cellStyle name="Comma 3 5 3 2 2 2 3 2 2" xfId="32414" xr:uid="{0B537915-0FF5-4204-9649-8DB3F72F574A}"/>
    <cellStyle name="Comma 3 5 3 2 2 2 3 3" xfId="23742" xr:uid="{FD2CFECD-CB42-488E-85FD-A9B4461851C8}"/>
    <cellStyle name="Comma 3 5 3 2 2 2 4" xfId="10734" xr:uid="{2A66CC5A-F5F9-459E-BAE0-BAF4D061E8F8}"/>
    <cellStyle name="Comma 3 5 3 2 2 2 4 2" xfId="28078" xr:uid="{F6557BDC-AC55-4961-8006-D51D821ED821}"/>
    <cellStyle name="Comma 3 5 3 2 2 2 5" xfId="19406" xr:uid="{DB505B5E-3267-4EF2-96EB-DAF2E41CF9FD}"/>
    <cellStyle name="Comma 3 5 3 2 2 3" xfId="3146" xr:uid="{83D43DD3-A7E4-4A9D-AA86-2B574D2301E2}"/>
    <cellStyle name="Comma 3 5 3 2 2 3 2" xfId="7482" xr:uid="{B0E8F6B1-3B2C-46CE-8874-A52D1ED79F7D}"/>
    <cellStyle name="Comma 3 5 3 2 2 3 2 2" xfId="16154" xr:uid="{E7F12F46-16D9-4B19-9F39-54BF3EAAED2C}"/>
    <cellStyle name="Comma 3 5 3 2 2 3 2 2 2" xfId="33498" xr:uid="{278C49B5-5751-49A2-A767-7EC1A1CF7E88}"/>
    <cellStyle name="Comma 3 5 3 2 2 3 2 3" xfId="24826" xr:uid="{BFD2C373-4A35-4B00-902D-CB950DCFF429}"/>
    <cellStyle name="Comma 3 5 3 2 2 3 3" xfId="11818" xr:uid="{1F55C2E6-2ED4-4D00-A5DF-2E413BC772D6}"/>
    <cellStyle name="Comma 3 5 3 2 2 3 3 2" xfId="29162" xr:uid="{36BC0D1B-1558-4095-B7D5-5128E782E7E2}"/>
    <cellStyle name="Comma 3 5 3 2 2 3 4" xfId="20490" xr:uid="{4B278081-726B-4E02-8747-F90A6A81D51E}"/>
    <cellStyle name="Comma 3 5 3 2 2 4" xfId="5314" xr:uid="{1DE2FF5A-2616-41E1-AA01-7D2175015162}"/>
    <cellStyle name="Comma 3 5 3 2 2 4 2" xfId="13986" xr:uid="{25BEE33E-9544-4E52-8E33-34734C1A02A1}"/>
    <cellStyle name="Comma 3 5 3 2 2 4 2 2" xfId="31330" xr:uid="{E825623F-FEBC-4818-A43A-1D1CB854C522}"/>
    <cellStyle name="Comma 3 5 3 2 2 4 3" xfId="22658" xr:uid="{9AAAB419-FB91-4D99-A3C7-7FE1E8D4C027}"/>
    <cellStyle name="Comma 3 5 3 2 2 5" xfId="9650" xr:uid="{89E0E2E3-4A41-40B5-9999-EC3DC87BE5F5}"/>
    <cellStyle name="Comma 3 5 3 2 2 5 2" xfId="26994" xr:uid="{0C65CD18-7BC1-409B-9BA0-CD30EFC606E7}"/>
    <cellStyle name="Comma 3 5 3 2 2 6" xfId="18322" xr:uid="{10F1D81A-DDE6-47FB-BE90-3333AACA81E7}"/>
    <cellStyle name="Comma 3 5 3 2 3" xfId="1521" xr:uid="{517048C9-C52C-4CB5-9518-1CD885484F33}"/>
    <cellStyle name="Comma 3 5 3 2 3 2" xfId="3689" xr:uid="{9A0F3087-CC66-4991-A112-B26DBB26E986}"/>
    <cellStyle name="Comma 3 5 3 2 3 2 2" xfId="8025" xr:uid="{5471FDC5-D0D2-4A35-8886-1B0E46210FDC}"/>
    <cellStyle name="Comma 3 5 3 2 3 2 2 2" xfId="16697" xr:uid="{E0E4ADC6-B8A7-48DA-82C5-0AF448202D46}"/>
    <cellStyle name="Comma 3 5 3 2 3 2 2 2 2" xfId="34041" xr:uid="{DB77CEC7-2C09-4E6D-970F-AD4D92D6AE01}"/>
    <cellStyle name="Comma 3 5 3 2 3 2 2 3" xfId="25369" xr:uid="{B293145C-D610-4450-8CDA-BD6AB5F7B0CC}"/>
    <cellStyle name="Comma 3 5 3 2 3 2 3" xfId="12361" xr:uid="{FF693FF1-DD53-487B-B496-724E093B0D82}"/>
    <cellStyle name="Comma 3 5 3 2 3 2 3 2" xfId="29705" xr:uid="{CBA70737-2862-42A7-87DC-18218774751C}"/>
    <cellStyle name="Comma 3 5 3 2 3 2 4" xfId="21033" xr:uid="{6527FB92-99FB-403D-A683-2514DDBE0748}"/>
    <cellStyle name="Comma 3 5 3 2 3 3" xfId="5857" xr:uid="{AF2A2AC5-10A5-4299-8CB7-CC6BA12C2F77}"/>
    <cellStyle name="Comma 3 5 3 2 3 3 2" xfId="14529" xr:uid="{7422E06E-9816-4E2F-A1E9-1E3E5EAF6FBC}"/>
    <cellStyle name="Comma 3 5 3 2 3 3 2 2" xfId="31873" xr:uid="{2359234E-B02C-49FB-975F-973BAB1C4B90}"/>
    <cellStyle name="Comma 3 5 3 2 3 3 3" xfId="23201" xr:uid="{6D94F52E-003A-4160-A50C-FDAC106DF609}"/>
    <cellStyle name="Comma 3 5 3 2 3 4" xfId="10193" xr:uid="{18F2E1D2-BA96-4589-9D9F-B1F207189454}"/>
    <cellStyle name="Comma 3 5 3 2 3 4 2" xfId="27537" xr:uid="{23F4127F-5D4C-4283-A897-499B97DC9742}"/>
    <cellStyle name="Comma 3 5 3 2 3 5" xfId="18865" xr:uid="{10B972AE-CCB9-4B13-A124-CDCE66013613}"/>
    <cellStyle name="Comma 3 5 3 2 4" xfId="2605" xr:uid="{490FD18C-26E1-43A1-B7F8-2951B7720EA4}"/>
    <cellStyle name="Comma 3 5 3 2 4 2" xfId="6941" xr:uid="{7503D5FF-E618-4CCB-B59B-31EECB091E51}"/>
    <cellStyle name="Comma 3 5 3 2 4 2 2" xfId="15613" xr:uid="{9E8F211F-FE52-4B14-ABA3-527C76D7F94B}"/>
    <cellStyle name="Comma 3 5 3 2 4 2 2 2" xfId="32957" xr:uid="{B8DE2698-9456-4975-A130-FB5749AFA490}"/>
    <cellStyle name="Comma 3 5 3 2 4 2 3" xfId="24285" xr:uid="{29B82C03-EF66-4AFB-B2BC-D717DD27FD9F}"/>
    <cellStyle name="Comma 3 5 3 2 4 3" xfId="11277" xr:uid="{0F02FF50-F5AA-4C95-8F8C-282451798476}"/>
    <cellStyle name="Comma 3 5 3 2 4 3 2" xfId="28621" xr:uid="{F02BF8A6-4B9F-4045-A7ED-6A24885131C1}"/>
    <cellStyle name="Comma 3 5 3 2 4 4" xfId="19949" xr:uid="{80971267-CC62-4CAF-A3CF-CEFB81797E26}"/>
    <cellStyle name="Comma 3 5 3 2 5" xfId="4773" xr:uid="{E0E39FFB-E8E4-406B-A27D-2B1786F3903E}"/>
    <cellStyle name="Comma 3 5 3 2 5 2" xfId="13445" xr:uid="{31DA30C3-CA84-4E16-A9C6-3E04FC08DBDA}"/>
    <cellStyle name="Comma 3 5 3 2 5 2 2" xfId="30789" xr:uid="{55F8ABBB-419D-40CB-98C5-2E8CA3B85A22}"/>
    <cellStyle name="Comma 3 5 3 2 5 3" xfId="22117" xr:uid="{DBF62DE7-D764-439E-8FF4-63E6A45B86DC}"/>
    <cellStyle name="Comma 3 5 3 2 6" xfId="9109" xr:uid="{9981E7B3-9702-4005-81B4-DA883E410CF3}"/>
    <cellStyle name="Comma 3 5 3 2 6 2" xfId="26453" xr:uid="{04EFE825-3F44-45F5-95FB-A52E853061E0}"/>
    <cellStyle name="Comma 3 5 3 2 7" xfId="17781" xr:uid="{AEBF2A7F-AA01-4591-9F0A-62E9B3857CF0}"/>
    <cellStyle name="Comma 3 5 3 3" xfId="708" xr:uid="{68AF3A87-22DD-4163-B65A-DDB4198FFCC7}"/>
    <cellStyle name="Comma 3 5 3 3 2" xfId="1792" xr:uid="{476B4185-6FE3-4B3E-B632-060521A2212D}"/>
    <cellStyle name="Comma 3 5 3 3 2 2" xfId="3960" xr:uid="{5C03262D-AF53-4456-88F2-6B107A824ED6}"/>
    <cellStyle name="Comma 3 5 3 3 2 2 2" xfId="8296" xr:uid="{15309A85-E972-4F26-8F1B-5A8FE837C093}"/>
    <cellStyle name="Comma 3 5 3 3 2 2 2 2" xfId="16968" xr:uid="{95334C7B-D992-4BBF-BAB6-C99375A4B51D}"/>
    <cellStyle name="Comma 3 5 3 3 2 2 2 2 2" xfId="34312" xr:uid="{3412CA0C-BAEA-408C-AE39-E8991A340FAE}"/>
    <cellStyle name="Comma 3 5 3 3 2 2 2 3" xfId="25640" xr:uid="{38FD1B45-55B0-42D8-84A5-9D441BE06F2F}"/>
    <cellStyle name="Comma 3 5 3 3 2 2 3" xfId="12632" xr:uid="{E5761AD0-1A96-4EA2-9E67-E68FFAF19F92}"/>
    <cellStyle name="Comma 3 5 3 3 2 2 3 2" xfId="29976" xr:uid="{102A346B-E5DB-4C23-B21B-F9B1C0071D04}"/>
    <cellStyle name="Comma 3 5 3 3 2 2 4" xfId="21304" xr:uid="{7F2A2C51-C322-4AC5-A31C-13DFBFECDB8E}"/>
    <cellStyle name="Comma 3 5 3 3 2 3" xfId="6128" xr:uid="{BF88B12C-93D9-431E-96C9-7CEF04A5F505}"/>
    <cellStyle name="Comma 3 5 3 3 2 3 2" xfId="14800" xr:uid="{C344EF10-CEEA-4B0D-90F9-BA464FC697FC}"/>
    <cellStyle name="Comma 3 5 3 3 2 3 2 2" xfId="32144" xr:uid="{F810F64D-BF55-48D7-A248-D54525CBBB48}"/>
    <cellStyle name="Comma 3 5 3 3 2 3 3" xfId="23472" xr:uid="{43D69419-F9F7-458B-AD8B-54A6658B3DE1}"/>
    <cellStyle name="Comma 3 5 3 3 2 4" xfId="10464" xr:uid="{E43EBE14-761D-424E-854D-E8D439475BC4}"/>
    <cellStyle name="Comma 3 5 3 3 2 4 2" xfId="27808" xr:uid="{63E9446C-8C1D-4AF3-BAF7-749E3154A103}"/>
    <cellStyle name="Comma 3 5 3 3 2 5" xfId="19136" xr:uid="{5484498D-3CD2-4123-A863-C6EAFEE1CA6E}"/>
    <cellStyle name="Comma 3 5 3 3 3" xfId="2876" xr:uid="{126DAEB6-3933-4511-B78C-5085B626376A}"/>
    <cellStyle name="Comma 3 5 3 3 3 2" xfId="7212" xr:uid="{6288DAB2-0919-49D6-89E3-CEE05FC8A3A9}"/>
    <cellStyle name="Comma 3 5 3 3 3 2 2" xfId="15884" xr:uid="{6196270F-A638-4336-B495-C9056A919556}"/>
    <cellStyle name="Comma 3 5 3 3 3 2 2 2" xfId="33228" xr:uid="{AE9F2E9C-D4C8-4607-B7B8-93A69E30649D}"/>
    <cellStyle name="Comma 3 5 3 3 3 2 3" xfId="24556" xr:uid="{11078AC4-3898-4D87-A442-C189AF6AE4A2}"/>
    <cellStyle name="Comma 3 5 3 3 3 3" xfId="11548" xr:uid="{09E125B4-BAAD-42CA-9E8F-1F0EA02486A9}"/>
    <cellStyle name="Comma 3 5 3 3 3 3 2" xfId="28892" xr:uid="{94DD36DD-F2BD-424A-A420-2270C47E35E7}"/>
    <cellStyle name="Comma 3 5 3 3 3 4" xfId="20220" xr:uid="{038DAE3F-697A-45C2-91B1-37F07AFE3993}"/>
    <cellStyle name="Comma 3 5 3 3 4" xfId="5044" xr:uid="{9BE63251-8CB8-4B4B-A2DE-C4C3BC0E1CEF}"/>
    <cellStyle name="Comma 3 5 3 3 4 2" xfId="13716" xr:uid="{4E301885-4388-4F33-8A18-A99E462967B0}"/>
    <cellStyle name="Comma 3 5 3 3 4 2 2" xfId="31060" xr:uid="{312FCE91-A659-4AD0-9E8E-3186314B5519}"/>
    <cellStyle name="Comma 3 5 3 3 4 3" xfId="22388" xr:uid="{01D1AA80-7269-4A5C-8CD6-03CA49835A78}"/>
    <cellStyle name="Comma 3 5 3 3 5" xfId="9380" xr:uid="{DF7091FA-17C1-4DD0-8992-A0BDCBC4A7EE}"/>
    <cellStyle name="Comma 3 5 3 3 5 2" xfId="26724" xr:uid="{52728556-B26C-4A01-B583-AA5E070F42CA}"/>
    <cellStyle name="Comma 3 5 3 3 6" xfId="18052" xr:uid="{9B1FFA3A-1218-4040-9B39-E7516A78CC37}"/>
    <cellStyle name="Comma 3 5 3 4" xfId="1251" xr:uid="{497B090A-DE05-4E23-A62D-13317969188E}"/>
    <cellStyle name="Comma 3 5 3 4 2" xfId="3419" xr:uid="{E32A97D5-0CC4-4DAB-8B1B-09C8CBF6EAB3}"/>
    <cellStyle name="Comma 3 5 3 4 2 2" xfId="7755" xr:uid="{CE84997E-7096-43B0-B575-782E1B1F02E1}"/>
    <cellStyle name="Comma 3 5 3 4 2 2 2" xfId="16427" xr:uid="{66939500-A3CA-494F-ABA8-1CD74B0D1210}"/>
    <cellStyle name="Comma 3 5 3 4 2 2 2 2" xfId="33771" xr:uid="{159B0C14-3B99-4A8A-B116-D49E9B3072BD}"/>
    <cellStyle name="Comma 3 5 3 4 2 2 3" xfId="25099" xr:uid="{86DF8AA1-DB7D-4AE2-89B2-5A443FEAE4F5}"/>
    <cellStyle name="Comma 3 5 3 4 2 3" xfId="12091" xr:uid="{1997C9D3-E6F0-418B-A75B-B1C0BD9D85C4}"/>
    <cellStyle name="Comma 3 5 3 4 2 3 2" xfId="29435" xr:uid="{EF7F0723-9C62-44FD-975C-2775A6D5D6D8}"/>
    <cellStyle name="Comma 3 5 3 4 2 4" xfId="20763" xr:uid="{0FE658BE-69CD-4669-B52E-0936C439C691}"/>
    <cellStyle name="Comma 3 5 3 4 3" xfId="5587" xr:uid="{0E3E350B-D303-4E11-B8E4-DF27B3429586}"/>
    <cellStyle name="Comma 3 5 3 4 3 2" xfId="14259" xr:uid="{914B2833-6B1B-4F21-898A-6E0B56A19376}"/>
    <cellStyle name="Comma 3 5 3 4 3 2 2" xfId="31603" xr:uid="{6BA81290-1626-48AF-8217-965806D8BAA3}"/>
    <cellStyle name="Comma 3 5 3 4 3 3" xfId="22931" xr:uid="{E8157A35-0B4B-4E3D-B44A-FE2E276DBCAE}"/>
    <cellStyle name="Comma 3 5 3 4 4" xfId="9923" xr:uid="{A0D20750-9B4E-47BB-A470-666F27C8C34E}"/>
    <cellStyle name="Comma 3 5 3 4 4 2" xfId="27267" xr:uid="{850B888F-7DD4-46A3-95B5-D5BF6B87B5C8}"/>
    <cellStyle name="Comma 3 5 3 4 5" xfId="18595" xr:uid="{FDD8ED5A-9180-4B0D-9D4D-B789CD26FBDD}"/>
    <cellStyle name="Comma 3 5 3 5" xfId="2335" xr:uid="{F15D9094-1CAA-43DB-870E-DB294CA62469}"/>
    <cellStyle name="Comma 3 5 3 5 2" xfId="6671" xr:uid="{1914D0DC-E5A0-4A9F-AC2D-568641C00E55}"/>
    <cellStyle name="Comma 3 5 3 5 2 2" xfId="15343" xr:uid="{01C676DF-70AD-432A-98E5-A1BBB71CB97F}"/>
    <cellStyle name="Comma 3 5 3 5 2 2 2" xfId="32687" xr:uid="{75027008-E0EF-49CA-BC7F-C9E80F68CCD4}"/>
    <cellStyle name="Comma 3 5 3 5 2 3" xfId="24015" xr:uid="{DD89A13E-E51B-4F2F-957A-191AB5C3D11C}"/>
    <cellStyle name="Comma 3 5 3 5 3" xfId="11007" xr:uid="{8DB406FA-84B3-48AE-89F9-3A629445543B}"/>
    <cellStyle name="Comma 3 5 3 5 3 2" xfId="28351" xr:uid="{0BC4B00C-D1A0-4897-ABAE-6CA4EACE71D2}"/>
    <cellStyle name="Comma 3 5 3 5 4" xfId="19679" xr:uid="{CC167EAF-4267-4AA0-9B9F-1F7195E020FA}"/>
    <cellStyle name="Comma 3 5 3 6" xfId="4503" xr:uid="{7F9BF05D-8AC5-415B-A530-C92A21342A26}"/>
    <cellStyle name="Comma 3 5 3 6 2" xfId="13175" xr:uid="{3DA21BFF-B8F8-482F-8AF8-2FED15CF5B10}"/>
    <cellStyle name="Comma 3 5 3 6 2 2" xfId="30519" xr:uid="{2BD523D1-1231-4DAF-A1D1-B80F5AF17590}"/>
    <cellStyle name="Comma 3 5 3 6 3" xfId="21847" xr:uid="{9621DDF9-021B-4868-9395-AD66A07B52B7}"/>
    <cellStyle name="Comma 3 5 3 7" xfId="8839" xr:uid="{48FC3961-0A18-4634-A42E-ED296929EA09}"/>
    <cellStyle name="Comma 3 5 3 7 2" xfId="26183" xr:uid="{9460D3CB-978C-4325-BD10-12EE02E20017}"/>
    <cellStyle name="Comma 3 5 3 8" xfId="17511" xr:uid="{386EC36A-A168-478E-BEAC-71A25C2CDEDB}"/>
    <cellStyle name="Comma 3 5 4" xfId="315" xr:uid="{99EB26CD-A3C9-4EED-A5F2-5D86FE7B7E22}"/>
    <cellStyle name="Comma 3 5 4 2" xfId="856" xr:uid="{3481C1D8-14B0-4BA9-B0A4-BE8484990784}"/>
    <cellStyle name="Comma 3 5 4 2 2" xfId="1940" xr:uid="{48DF3570-9D66-4507-AE5F-DCA58B7D7B1C}"/>
    <cellStyle name="Comma 3 5 4 2 2 2" xfId="4108" xr:uid="{B8D5F38A-07BB-424A-9A17-CC0A332FC9AB}"/>
    <cellStyle name="Comma 3 5 4 2 2 2 2" xfId="8444" xr:uid="{525065EE-0FB4-4D9E-AC5C-BB939F3D84CF}"/>
    <cellStyle name="Comma 3 5 4 2 2 2 2 2" xfId="17116" xr:uid="{CD8CC4C7-D848-4513-A8B5-4D5400CC14B1}"/>
    <cellStyle name="Comma 3 5 4 2 2 2 2 2 2" xfId="34460" xr:uid="{66893DEB-D285-452D-BC33-5831F7A101F0}"/>
    <cellStyle name="Comma 3 5 4 2 2 2 2 3" xfId="25788" xr:uid="{187D79A6-AD65-4AA9-8C68-A9B240CE1BE7}"/>
    <cellStyle name="Comma 3 5 4 2 2 2 3" xfId="12780" xr:uid="{1E12743F-A33B-4A11-86F5-969F160F91E0}"/>
    <cellStyle name="Comma 3 5 4 2 2 2 3 2" xfId="30124" xr:uid="{445CF54B-C10E-4ADB-9EE6-11D04DBFD0A3}"/>
    <cellStyle name="Comma 3 5 4 2 2 2 4" xfId="21452" xr:uid="{C10E47D5-6D23-47B6-8912-57EA58EF69F6}"/>
    <cellStyle name="Comma 3 5 4 2 2 3" xfId="6276" xr:uid="{43BB4C8D-CA31-4426-BDA8-DE7BFA421FC2}"/>
    <cellStyle name="Comma 3 5 4 2 2 3 2" xfId="14948" xr:uid="{CF6988CA-4B65-4B65-A07D-DC84EBFC7021}"/>
    <cellStyle name="Comma 3 5 4 2 2 3 2 2" xfId="32292" xr:uid="{1ED1A69A-5046-4CCA-9B4D-8CE94F86F9DF}"/>
    <cellStyle name="Comma 3 5 4 2 2 3 3" xfId="23620" xr:uid="{4D8D2EAA-0668-4791-B2D8-167C15D5D3C6}"/>
    <cellStyle name="Comma 3 5 4 2 2 4" xfId="10612" xr:uid="{ADE5D9AC-5EB7-4C2F-A1EB-9D4EE7D63021}"/>
    <cellStyle name="Comma 3 5 4 2 2 4 2" xfId="27956" xr:uid="{3BE9D62C-94C2-41F7-AB7D-66682918AF4D}"/>
    <cellStyle name="Comma 3 5 4 2 2 5" xfId="19284" xr:uid="{B2304BD1-BDBD-454D-87C9-33A07E93655F}"/>
    <cellStyle name="Comma 3 5 4 2 3" xfId="3024" xr:uid="{18423030-48E7-4B67-B66A-8469C3CA80EE}"/>
    <cellStyle name="Comma 3 5 4 2 3 2" xfId="7360" xr:uid="{964510E0-6539-49BD-B37B-87FBBE4DE9B9}"/>
    <cellStyle name="Comma 3 5 4 2 3 2 2" xfId="16032" xr:uid="{F1A5ED5F-249F-480B-A6B7-5D221652FEB3}"/>
    <cellStyle name="Comma 3 5 4 2 3 2 2 2" xfId="33376" xr:uid="{167F9F87-2165-4703-A00B-DC77B63E39C9}"/>
    <cellStyle name="Comma 3 5 4 2 3 2 3" xfId="24704" xr:uid="{F7DD6323-35E2-412A-9BC3-FA4CEE1A0991}"/>
    <cellStyle name="Comma 3 5 4 2 3 3" xfId="11696" xr:uid="{DF13C330-CD85-4567-A812-1C47C891E90F}"/>
    <cellStyle name="Comma 3 5 4 2 3 3 2" xfId="29040" xr:uid="{37554E69-676C-40C4-B8D2-3C9B045A34AB}"/>
    <cellStyle name="Comma 3 5 4 2 3 4" xfId="20368" xr:uid="{DB62F95B-6382-468F-AEB7-3504BFB3C959}"/>
    <cellStyle name="Comma 3 5 4 2 4" xfId="5192" xr:uid="{AD89B520-1697-4617-A2D7-62339718BD41}"/>
    <cellStyle name="Comma 3 5 4 2 4 2" xfId="13864" xr:uid="{7CEE30DA-293B-498C-A9EC-63CC0F085FE4}"/>
    <cellStyle name="Comma 3 5 4 2 4 2 2" xfId="31208" xr:uid="{33A13800-3DED-4F66-9B31-0AABADB063FF}"/>
    <cellStyle name="Comma 3 5 4 2 4 3" xfId="22536" xr:uid="{CA0EB7DC-1AED-45B0-9892-F3CE2851E4D5}"/>
    <cellStyle name="Comma 3 5 4 2 5" xfId="9528" xr:uid="{1519BABC-7DEC-40E3-B795-DABA32FC4640}"/>
    <cellStyle name="Comma 3 5 4 2 5 2" xfId="26872" xr:uid="{315883BB-DBF8-42B7-8BAE-FFCA1D7D28B8}"/>
    <cellStyle name="Comma 3 5 4 2 6" xfId="18200" xr:uid="{9ED11320-80E8-41CE-A862-BF3887638944}"/>
    <cellStyle name="Comma 3 5 4 3" xfId="1399" xr:uid="{0C8BAD8B-F2C4-49AF-BB12-6190D9EC2EBC}"/>
    <cellStyle name="Comma 3 5 4 3 2" xfId="3567" xr:uid="{1D5234A9-F854-4713-91AB-22B21ADCA42A}"/>
    <cellStyle name="Comma 3 5 4 3 2 2" xfId="7903" xr:uid="{0E166CD2-726D-4C87-8E5F-884ED2968A9D}"/>
    <cellStyle name="Comma 3 5 4 3 2 2 2" xfId="16575" xr:uid="{C76836D1-7AC5-42B2-9250-240585058FB1}"/>
    <cellStyle name="Comma 3 5 4 3 2 2 2 2" xfId="33919" xr:uid="{BFB04C67-4A52-4A24-9D93-0BD64E22B9EC}"/>
    <cellStyle name="Comma 3 5 4 3 2 2 3" xfId="25247" xr:uid="{59C6B9E3-F4AE-4D29-ACDA-82C1823F5C70}"/>
    <cellStyle name="Comma 3 5 4 3 2 3" xfId="12239" xr:uid="{B959BC76-F376-433F-AE8B-FF420B301F5D}"/>
    <cellStyle name="Comma 3 5 4 3 2 3 2" xfId="29583" xr:uid="{34B4AA8F-D21D-4889-90DB-B2C11FFA8461}"/>
    <cellStyle name="Comma 3 5 4 3 2 4" xfId="20911" xr:uid="{AB092AB8-8542-4709-8F7B-92B96B436777}"/>
    <cellStyle name="Comma 3 5 4 3 3" xfId="5735" xr:uid="{42BC1AFD-4D1D-4AD0-88EB-801151795874}"/>
    <cellStyle name="Comma 3 5 4 3 3 2" xfId="14407" xr:uid="{4965D1E6-EC31-4D09-8F6D-03B102053F44}"/>
    <cellStyle name="Comma 3 5 4 3 3 2 2" xfId="31751" xr:uid="{6FC65051-BA4E-4419-A192-E7094926E9CD}"/>
    <cellStyle name="Comma 3 5 4 3 3 3" xfId="23079" xr:uid="{4893003F-8266-4C2F-8A4A-F5DD36989C8D}"/>
    <cellStyle name="Comma 3 5 4 3 4" xfId="10071" xr:uid="{AC036DB6-B0D3-4A32-8926-12FE42E7905B}"/>
    <cellStyle name="Comma 3 5 4 3 4 2" xfId="27415" xr:uid="{F02BABBE-C92E-40D0-8B43-26EE6B68A333}"/>
    <cellStyle name="Comma 3 5 4 3 5" xfId="18743" xr:uid="{06FA231F-CD5D-4038-B6C2-4D9682720C16}"/>
    <cellStyle name="Comma 3 5 4 4" xfId="2483" xr:uid="{734209C6-0650-46C0-8FC3-CD90214A1008}"/>
    <cellStyle name="Comma 3 5 4 4 2" xfId="6819" xr:uid="{71F3B3EA-F9F6-4882-B64C-0CBA1A64837F}"/>
    <cellStyle name="Comma 3 5 4 4 2 2" xfId="15491" xr:uid="{BE6681A7-3D47-4298-98C5-A4F3D6F828BF}"/>
    <cellStyle name="Comma 3 5 4 4 2 2 2" xfId="32835" xr:uid="{87C88D6A-D7E7-49F9-809C-8E1EFB6C3DB7}"/>
    <cellStyle name="Comma 3 5 4 4 2 3" xfId="24163" xr:uid="{3D498351-116C-4002-8DA5-EDAC23C398AF}"/>
    <cellStyle name="Comma 3 5 4 4 3" xfId="11155" xr:uid="{8077FE3A-7AAE-4DA2-87CA-267D9AB4428F}"/>
    <cellStyle name="Comma 3 5 4 4 3 2" xfId="28499" xr:uid="{2E26C313-BF70-436C-9C7F-1BB296699ADB}"/>
    <cellStyle name="Comma 3 5 4 4 4" xfId="19827" xr:uid="{13DBFF6D-907E-4080-8069-AC859A2BD337}"/>
    <cellStyle name="Comma 3 5 4 5" xfId="4651" xr:uid="{EC503BEF-80F1-4704-9E36-94BB110DA11B}"/>
    <cellStyle name="Comma 3 5 4 5 2" xfId="13323" xr:uid="{358B641A-9511-4CEC-9910-122EE70F411D}"/>
    <cellStyle name="Comma 3 5 4 5 2 2" xfId="30667" xr:uid="{E3F9DF0A-E882-4447-BF0D-1A5B17D62FE8}"/>
    <cellStyle name="Comma 3 5 4 5 3" xfId="21995" xr:uid="{131AEE00-66A5-45A0-9EBD-136106E1A92B}"/>
    <cellStyle name="Comma 3 5 4 6" xfId="8987" xr:uid="{C66077AC-1ADB-4E1C-AB8F-24BAFE53CAED}"/>
    <cellStyle name="Comma 3 5 4 6 2" xfId="26331" xr:uid="{1B718CD2-7783-4A8F-8BFC-93977C20313A}"/>
    <cellStyle name="Comma 3 5 4 7" xfId="17659" xr:uid="{1802F312-5746-49F8-AEDF-452AA8D48034}"/>
    <cellStyle name="Comma 3 5 5" xfId="586" xr:uid="{F4726527-3F1D-4AF2-B1B3-A823C295449F}"/>
    <cellStyle name="Comma 3 5 5 2" xfId="1670" xr:uid="{E2C8DF9E-BA6C-49A8-AC7E-BB2356980CD7}"/>
    <cellStyle name="Comma 3 5 5 2 2" xfId="3838" xr:uid="{B9615935-CA41-4262-A179-0DFE1B05F702}"/>
    <cellStyle name="Comma 3 5 5 2 2 2" xfId="8174" xr:uid="{4504FBF6-B576-48AA-B5D3-DEB33F94B3D3}"/>
    <cellStyle name="Comma 3 5 5 2 2 2 2" xfId="16846" xr:uid="{7D489FB8-8587-4DA2-BA26-7005BB11D887}"/>
    <cellStyle name="Comma 3 5 5 2 2 2 2 2" xfId="34190" xr:uid="{4E651773-1514-448A-943A-E40BAD8191CF}"/>
    <cellStyle name="Comma 3 5 5 2 2 2 3" xfId="25518" xr:uid="{3E01384E-B330-4107-B1EE-7713156B9B5B}"/>
    <cellStyle name="Comma 3 5 5 2 2 3" xfId="12510" xr:uid="{10E90F66-FDC0-4A63-AFE5-98026CA72016}"/>
    <cellStyle name="Comma 3 5 5 2 2 3 2" xfId="29854" xr:uid="{F1566D54-F573-4496-B90E-31CB2DC5F3FE}"/>
    <cellStyle name="Comma 3 5 5 2 2 4" xfId="21182" xr:uid="{77B7E136-F768-4C45-AF24-4BAF5B53F7B8}"/>
    <cellStyle name="Comma 3 5 5 2 3" xfId="6006" xr:uid="{A956F2C4-0569-46B5-8EDB-F91D591A5C91}"/>
    <cellStyle name="Comma 3 5 5 2 3 2" xfId="14678" xr:uid="{64844A04-0A13-4F1A-A58A-4B99C88B43A2}"/>
    <cellStyle name="Comma 3 5 5 2 3 2 2" xfId="32022" xr:uid="{24B62113-1AB1-4BA2-99B3-14715839C792}"/>
    <cellStyle name="Comma 3 5 5 2 3 3" xfId="23350" xr:uid="{D1F03262-B187-45DD-93C1-2F59B2024FE9}"/>
    <cellStyle name="Comma 3 5 5 2 4" xfId="10342" xr:uid="{7D36E452-A865-46A7-813D-B2EF636C8661}"/>
    <cellStyle name="Comma 3 5 5 2 4 2" xfId="27686" xr:uid="{56F032F0-4AF3-4277-8A1A-B647E0DAF351}"/>
    <cellStyle name="Comma 3 5 5 2 5" xfId="19014" xr:uid="{DF355BA6-7A38-4EFA-A231-3B175AF55275}"/>
    <cellStyle name="Comma 3 5 5 3" xfId="2754" xr:uid="{452B4C17-1C24-4262-963E-2EDA80B5D3FE}"/>
    <cellStyle name="Comma 3 5 5 3 2" xfId="7090" xr:uid="{E46D017F-E319-4DD9-867C-801E9F7EBBFB}"/>
    <cellStyle name="Comma 3 5 5 3 2 2" xfId="15762" xr:uid="{2F3673B2-569C-49E2-9F1B-8743908F10DB}"/>
    <cellStyle name="Comma 3 5 5 3 2 2 2" xfId="33106" xr:uid="{45FF536E-75D0-418D-8A3A-503C85DE0C13}"/>
    <cellStyle name="Comma 3 5 5 3 2 3" xfId="24434" xr:uid="{66E43230-EAE6-4A0E-BA81-AC07B3CFDEBB}"/>
    <cellStyle name="Comma 3 5 5 3 3" xfId="11426" xr:uid="{F3E96668-FE41-4891-AF30-C0D9EB5A86A2}"/>
    <cellStyle name="Comma 3 5 5 3 3 2" xfId="28770" xr:uid="{A8EF72A8-E22E-4806-95F5-FEFCC0B5482A}"/>
    <cellStyle name="Comma 3 5 5 3 4" xfId="20098" xr:uid="{589DF54B-D605-4B8F-938F-E9EEEB047CFA}"/>
    <cellStyle name="Comma 3 5 5 4" xfId="4922" xr:uid="{B9760F0F-F235-41EE-A98D-DA4A2A2CF372}"/>
    <cellStyle name="Comma 3 5 5 4 2" xfId="13594" xr:uid="{E94626FB-72B1-43D9-B8E7-1D3D23D13253}"/>
    <cellStyle name="Comma 3 5 5 4 2 2" xfId="30938" xr:uid="{40AC253E-6D73-462A-9E4A-9A4871786EB1}"/>
    <cellStyle name="Comma 3 5 5 4 3" xfId="22266" xr:uid="{4567AA31-7E5F-474B-BFF3-04484618573A}"/>
    <cellStyle name="Comma 3 5 5 5" xfId="9258" xr:uid="{881C2599-1B50-48C7-B2BB-184C95DB8381}"/>
    <cellStyle name="Comma 3 5 5 5 2" xfId="26602" xr:uid="{C3AC0A09-A57D-41A6-BEB5-B5D1DF281E43}"/>
    <cellStyle name="Comma 3 5 5 6" xfId="17930" xr:uid="{80972D1D-1C9E-445E-B8E4-CDD73EBAE2BE}"/>
    <cellStyle name="Comma 3 5 6" xfId="1129" xr:uid="{AA5FA2D1-F7F6-4513-9E35-F4A38F51E2BF}"/>
    <cellStyle name="Comma 3 5 6 2" xfId="3297" xr:uid="{A584871E-DC5C-49C8-977B-2468A4A9B53D}"/>
    <cellStyle name="Comma 3 5 6 2 2" xfId="7633" xr:uid="{13DEE68D-D9B7-4F5B-99A9-0E8314FE09B1}"/>
    <cellStyle name="Comma 3 5 6 2 2 2" xfId="16305" xr:uid="{0889A755-BEC0-41BC-9872-383D8462AA1C}"/>
    <cellStyle name="Comma 3 5 6 2 2 2 2" xfId="33649" xr:uid="{E3105775-50ED-4B9B-8A06-9EE132C4B11E}"/>
    <cellStyle name="Comma 3 5 6 2 2 3" xfId="24977" xr:uid="{7F8E9C1A-42E3-4670-9E6D-AAF181DE8528}"/>
    <cellStyle name="Comma 3 5 6 2 3" xfId="11969" xr:uid="{8519EDDC-AE0D-4378-A6B0-6FFB333E6DD2}"/>
    <cellStyle name="Comma 3 5 6 2 3 2" xfId="29313" xr:uid="{5E3E718F-77E5-4A09-8F8B-4C76DB8E9BF3}"/>
    <cellStyle name="Comma 3 5 6 2 4" xfId="20641" xr:uid="{6693991E-9604-480B-9BC0-8133789515B5}"/>
    <cellStyle name="Comma 3 5 6 3" xfId="5465" xr:uid="{3C5BBA30-9C6A-48EC-9B32-F1084A4AB9FC}"/>
    <cellStyle name="Comma 3 5 6 3 2" xfId="14137" xr:uid="{00611E33-5AC9-4E8A-A93D-69CCF71A7B51}"/>
    <cellStyle name="Comma 3 5 6 3 2 2" xfId="31481" xr:uid="{9900E27A-5CA8-47A1-A886-74AD9C36221D}"/>
    <cellStyle name="Comma 3 5 6 3 3" xfId="22809" xr:uid="{D1C49144-23FA-4FBD-A4A5-7351FD1A7BA7}"/>
    <cellStyle name="Comma 3 5 6 4" xfId="9801" xr:uid="{60EF3C5C-2661-4AC3-BC40-66748C76649E}"/>
    <cellStyle name="Comma 3 5 6 4 2" xfId="27145" xr:uid="{C9A35127-A42D-4395-AE56-8F69F4465D7F}"/>
    <cellStyle name="Comma 3 5 6 5" xfId="18473" xr:uid="{94B1517C-BE6A-4422-A64D-FD530F23ACAB}"/>
    <cellStyle name="Comma 3 5 7" xfId="2213" xr:uid="{46F6417B-2F79-4DDD-8BAB-ECDA47A582D7}"/>
    <cellStyle name="Comma 3 5 7 2" xfId="6549" xr:uid="{B500FDA4-9513-49FA-BAF1-14FB864D7E83}"/>
    <cellStyle name="Comma 3 5 7 2 2" xfId="15221" xr:uid="{A3789DD2-481E-4313-BC08-BDF2D1F40D1B}"/>
    <cellStyle name="Comma 3 5 7 2 2 2" xfId="32565" xr:uid="{CECFC693-22A6-4265-B145-05BB66D2B04D}"/>
    <cellStyle name="Comma 3 5 7 2 3" xfId="23893" xr:uid="{61AB3FA1-1930-4E07-B618-D368B7B4AE9B}"/>
    <cellStyle name="Comma 3 5 7 3" xfId="10885" xr:uid="{CFE46036-F33B-462C-AA62-EC7C0BF2E37F}"/>
    <cellStyle name="Comma 3 5 7 3 2" xfId="28229" xr:uid="{9CE4FC17-5BA0-464D-828E-1F5B45C9F39A}"/>
    <cellStyle name="Comma 3 5 7 4" xfId="19557" xr:uid="{B6913B9D-8986-49B0-BAF3-BAB5D572396E}"/>
    <cellStyle name="Comma 3 5 8" xfId="4381" xr:uid="{3D3EF97E-820B-46D7-9BFD-7384B42C0080}"/>
    <cellStyle name="Comma 3 5 8 2" xfId="13053" xr:uid="{F1D0DE5A-2FE3-4234-8062-83CB1955FF8F}"/>
    <cellStyle name="Comma 3 5 8 2 2" xfId="30397" xr:uid="{FF8897E5-7C2A-4898-81F8-CFAA94294C2C}"/>
    <cellStyle name="Comma 3 5 8 3" xfId="21725" xr:uid="{985B2A55-1009-4E96-9A90-98A4A385127D}"/>
    <cellStyle name="Comma 3 5 9" xfId="8717" xr:uid="{F6EFB309-780F-4310-9B59-808DA65DF0DB}"/>
    <cellStyle name="Comma 3 5 9 2" xfId="26061" xr:uid="{47095B7B-E2CB-4139-A3B7-E8FF5C5A81BB}"/>
    <cellStyle name="Comma 3 6" xfId="52" xr:uid="{20AFE968-1B2A-49E5-869C-BAB34FCBFDF4}"/>
    <cellStyle name="Comma 3 6 10" xfId="17396" xr:uid="{8451290A-484A-40B8-BB94-C450C7CB5A4C}"/>
    <cellStyle name="Comma 3 6 2" xfId="113" xr:uid="{C842D89B-4AE1-4AC6-9BCF-C6D4DD5484E2}"/>
    <cellStyle name="Comma 3 6 2 2" xfId="235" xr:uid="{4855FE1B-B4FF-418A-A5EC-21BC6AA1B810}"/>
    <cellStyle name="Comma 3 6 2 2 2" xfId="505" xr:uid="{D6C6E280-185D-457A-BB9E-CD7D80815343}"/>
    <cellStyle name="Comma 3 6 2 2 2 2" xfId="1046" xr:uid="{4BCC8C48-FA00-4D68-8FB6-59A41B4FDB94}"/>
    <cellStyle name="Comma 3 6 2 2 2 2 2" xfId="2130" xr:uid="{F31BF3AC-5A62-4236-BDB0-5B309F0FD9F5}"/>
    <cellStyle name="Comma 3 6 2 2 2 2 2 2" xfId="4298" xr:uid="{87F666E7-5303-4F7C-986D-E6E43D80F84E}"/>
    <cellStyle name="Comma 3 6 2 2 2 2 2 2 2" xfId="8634" xr:uid="{48055C9C-81EF-4152-851E-9670B0C3E247}"/>
    <cellStyle name="Comma 3 6 2 2 2 2 2 2 2 2" xfId="17306" xr:uid="{F3557A34-9A41-43EA-A8C2-276534720123}"/>
    <cellStyle name="Comma 3 6 2 2 2 2 2 2 2 2 2" xfId="34650" xr:uid="{778C6A06-DEF2-4B69-B8FE-C3E8E917D173}"/>
    <cellStyle name="Comma 3 6 2 2 2 2 2 2 2 3" xfId="25978" xr:uid="{732965C3-7D67-45C9-A5F5-C908DF45ECC0}"/>
    <cellStyle name="Comma 3 6 2 2 2 2 2 2 3" xfId="12970" xr:uid="{505F68DC-2D85-42A6-A591-BE50D416CD46}"/>
    <cellStyle name="Comma 3 6 2 2 2 2 2 2 3 2" xfId="30314" xr:uid="{2A623FE4-2113-417D-A551-2FA6DC8711ED}"/>
    <cellStyle name="Comma 3 6 2 2 2 2 2 2 4" xfId="21642" xr:uid="{55201905-232E-4D1F-81CF-675413932E08}"/>
    <cellStyle name="Comma 3 6 2 2 2 2 2 3" xfId="6466" xr:uid="{058CD09E-1248-4221-BA86-9D3B89732D38}"/>
    <cellStyle name="Comma 3 6 2 2 2 2 2 3 2" xfId="15138" xr:uid="{6B3216B8-B62F-46FA-815E-70022F1465FD}"/>
    <cellStyle name="Comma 3 6 2 2 2 2 2 3 2 2" xfId="32482" xr:uid="{3603DB9E-5164-42C6-AB53-C04DB350F9CB}"/>
    <cellStyle name="Comma 3 6 2 2 2 2 2 3 3" xfId="23810" xr:uid="{106D9048-AE73-4CFF-9B67-CE191B5C527A}"/>
    <cellStyle name="Comma 3 6 2 2 2 2 2 4" xfId="10802" xr:uid="{1AE5B65F-4FE5-4792-B1EC-7F10BE94197C}"/>
    <cellStyle name="Comma 3 6 2 2 2 2 2 4 2" xfId="28146" xr:uid="{0C9B77DD-12E8-4183-B00D-A7B073A2C789}"/>
    <cellStyle name="Comma 3 6 2 2 2 2 2 5" xfId="19474" xr:uid="{1EA43414-8934-4D72-8665-93E8F48D3A70}"/>
    <cellStyle name="Comma 3 6 2 2 2 2 3" xfId="3214" xr:uid="{9AC1DE1E-4CFD-47A1-A405-4DBE1AD45086}"/>
    <cellStyle name="Comma 3 6 2 2 2 2 3 2" xfId="7550" xr:uid="{517949A5-149A-4D30-90C8-F1F62B5CE63A}"/>
    <cellStyle name="Comma 3 6 2 2 2 2 3 2 2" xfId="16222" xr:uid="{5EB6EEE3-DBA6-44E3-94C9-5E98B08A3322}"/>
    <cellStyle name="Comma 3 6 2 2 2 2 3 2 2 2" xfId="33566" xr:uid="{BD33A00D-0221-4D3E-9A14-07D42DB2A5CB}"/>
    <cellStyle name="Comma 3 6 2 2 2 2 3 2 3" xfId="24894" xr:uid="{6286862C-0539-48BE-A2EE-3E02535D7ACB}"/>
    <cellStyle name="Comma 3 6 2 2 2 2 3 3" xfId="11886" xr:uid="{8B1EF237-7226-4ED6-982D-7111DE5F6129}"/>
    <cellStyle name="Comma 3 6 2 2 2 2 3 3 2" xfId="29230" xr:uid="{C648E739-AB09-4F62-ACD4-57049F02B9D2}"/>
    <cellStyle name="Comma 3 6 2 2 2 2 3 4" xfId="20558" xr:uid="{DC0DF160-57D3-460B-A573-9E5A2EF2754F}"/>
    <cellStyle name="Comma 3 6 2 2 2 2 4" xfId="5382" xr:uid="{E6A5266B-1E48-4335-82D2-F800C454BD46}"/>
    <cellStyle name="Comma 3 6 2 2 2 2 4 2" xfId="14054" xr:uid="{ACF5A7E5-E2EC-40F7-A4BA-629ADAA665DB}"/>
    <cellStyle name="Comma 3 6 2 2 2 2 4 2 2" xfId="31398" xr:uid="{7A40CDED-6DD9-4C39-A8B3-192BCE38DA9B}"/>
    <cellStyle name="Comma 3 6 2 2 2 2 4 3" xfId="22726" xr:uid="{681BBA19-CDE7-45FF-9051-EADF94F9C983}"/>
    <cellStyle name="Comma 3 6 2 2 2 2 5" xfId="9718" xr:uid="{A1315156-59F1-4E35-9C36-7CEEE6001EFB}"/>
    <cellStyle name="Comma 3 6 2 2 2 2 5 2" xfId="27062" xr:uid="{0317E939-5707-44A0-9FC9-BA8F6B9310E2}"/>
    <cellStyle name="Comma 3 6 2 2 2 2 6" xfId="18390" xr:uid="{53C5DD0E-77A1-4564-A8BB-FAC8904A3AC0}"/>
    <cellStyle name="Comma 3 6 2 2 2 3" xfId="1589" xr:uid="{BBC073E8-40B4-49B3-BE87-A4661EB90FB7}"/>
    <cellStyle name="Comma 3 6 2 2 2 3 2" xfId="3757" xr:uid="{CAF73A80-B5A3-41F6-81F6-1DA092C9C15E}"/>
    <cellStyle name="Comma 3 6 2 2 2 3 2 2" xfId="8093" xr:uid="{367FC50F-DEC4-45B1-95A0-5020F332DD51}"/>
    <cellStyle name="Comma 3 6 2 2 2 3 2 2 2" xfId="16765" xr:uid="{E371D1BC-5994-4894-973D-3037D8323AFD}"/>
    <cellStyle name="Comma 3 6 2 2 2 3 2 2 2 2" xfId="34109" xr:uid="{C6EBB73A-5935-4F22-9125-55D219749566}"/>
    <cellStyle name="Comma 3 6 2 2 2 3 2 2 3" xfId="25437" xr:uid="{BB0616C9-445E-4B89-A518-678BB45DF81E}"/>
    <cellStyle name="Comma 3 6 2 2 2 3 2 3" xfId="12429" xr:uid="{1ACF16C6-8185-477D-A5CF-98D467E69C4F}"/>
    <cellStyle name="Comma 3 6 2 2 2 3 2 3 2" xfId="29773" xr:uid="{E4E40C95-1B86-49F6-82F2-0FC889849698}"/>
    <cellStyle name="Comma 3 6 2 2 2 3 2 4" xfId="21101" xr:uid="{AE2837F9-E799-4537-B923-1030056F50DE}"/>
    <cellStyle name="Comma 3 6 2 2 2 3 3" xfId="5925" xr:uid="{DCA02ED1-9EA1-444C-9767-62C84BD80FBC}"/>
    <cellStyle name="Comma 3 6 2 2 2 3 3 2" xfId="14597" xr:uid="{33F08DD7-4F21-43B8-99F5-3CE127E33815}"/>
    <cellStyle name="Comma 3 6 2 2 2 3 3 2 2" xfId="31941" xr:uid="{1A45FC9D-A32C-4377-9871-ED52E8021175}"/>
    <cellStyle name="Comma 3 6 2 2 2 3 3 3" xfId="23269" xr:uid="{A23C0495-85BD-46B1-830B-52169BBF8818}"/>
    <cellStyle name="Comma 3 6 2 2 2 3 4" xfId="10261" xr:uid="{5F604739-E7AF-4C2D-8E5C-BDD2EF66F4EB}"/>
    <cellStyle name="Comma 3 6 2 2 2 3 4 2" xfId="27605" xr:uid="{AD400B32-F628-41E9-A7DD-4A8AF9BF3A63}"/>
    <cellStyle name="Comma 3 6 2 2 2 3 5" xfId="18933" xr:uid="{41C27EFA-77D1-471C-AF6E-9F616AAF13FC}"/>
    <cellStyle name="Comma 3 6 2 2 2 4" xfId="2673" xr:uid="{8F6CEDD8-354E-4E3C-9893-0093A4FBF371}"/>
    <cellStyle name="Comma 3 6 2 2 2 4 2" xfId="7009" xr:uid="{04DC1731-1422-4E11-AD97-FFD85F9A2E7C}"/>
    <cellStyle name="Comma 3 6 2 2 2 4 2 2" xfId="15681" xr:uid="{690609A3-5E88-406C-B11C-9D1182CFA04F}"/>
    <cellStyle name="Comma 3 6 2 2 2 4 2 2 2" xfId="33025" xr:uid="{BBB5CEA8-8FD8-4CAB-88AA-0C25E10D6070}"/>
    <cellStyle name="Comma 3 6 2 2 2 4 2 3" xfId="24353" xr:uid="{1485B848-F28F-4931-AB42-034FFE7979B7}"/>
    <cellStyle name="Comma 3 6 2 2 2 4 3" xfId="11345" xr:uid="{384F5FF7-4B57-4F46-B062-3CE26CC5171A}"/>
    <cellStyle name="Comma 3 6 2 2 2 4 3 2" xfId="28689" xr:uid="{0CF53901-8678-415A-83AA-A3A0EC16FEC6}"/>
    <cellStyle name="Comma 3 6 2 2 2 4 4" xfId="20017" xr:uid="{4B9C9782-7393-4EA9-93CC-0FD5E380E5E7}"/>
    <cellStyle name="Comma 3 6 2 2 2 5" xfId="4841" xr:uid="{1B2F22C8-9D4F-4D64-AD66-B8190F3B4522}"/>
    <cellStyle name="Comma 3 6 2 2 2 5 2" xfId="13513" xr:uid="{3519E302-4B7F-4A50-93D0-653D64568673}"/>
    <cellStyle name="Comma 3 6 2 2 2 5 2 2" xfId="30857" xr:uid="{CB403A61-BDE9-421C-BDE1-FE8705969905}"/>
    <cellStyle name="Comma 3 6 2 2 2 5 3" xfId="22185" xr:uid="{F2E3B037-AC23-4B4D-89F3-6FF603BF5805}"/>
    <cellStyle name="Comma 3 6 2 2 2 6" xfId="9177" xr:uid="{293210D1-F05F-40C6-8FF0-86A6BBF32495}"/>
    <cellStyle name="Comma 3 6 2 2 2 6 2" xfId="26521" xr:uid="{0ECFCBDE-D326-4C11-BE03-7B42CA810118}"/>
    <cellStyle name="Comma 3 6 2 2 2 7" xfId="17849" xr:uid="{8D8035AC-C5B0-436A-82E7-8A2E979191F3}"/>
    <cellStyle name="Comma 3 6 2 2 3" xfId="776" xr:uid="{8B1C9078-8B13-414C-BEDA-EA7521C75796}"/>
    <cellStyle name="Comma 3 6 2 2 3 2" xfId="1860" xr:uid="{C8E86072-9597-4897-A1E0-44FE32444CEA}"/>
    <cellStyle name="Comma 3 6 2 2 3 2 2" xfId="4028" xr:uid="{45F80DB7-5A53-4C2C-B9C9-6A4CE3974A20}"/>
    <cellStyle name="Comma 3 6 2 2 3 2 2 2" xfId="8364" xr:uid="{88D8E443-DF05-4F34-B166-BCAB830AC9CC}"/>
    <cellStyle name="Comma 3 6 2 2 3 2 2 2 2" xfId="17036" xr:uid="{4A5598FF-34E5-4980-8EDE-1B0CADD5DD36}"/>
    <cellStyle name="Comma 3 6 2 2 3 2 2 2 2 2" xfId="34380" xr:uid="{28CF5BBA-0DCE-4D07-8A19-59B1AD19DE65}"/>
    <cellStyle name="Comma 3 6 2 2 3 2 2 2 3" xfId="25708" xr:uid="{5642DA25-B9FD-4591-BDF7-FA8B01A2F687}"/>
    <cellStyle name="Comma 3 6 2 2 3 2 2 3" xfId="12700" xr:uid="{0814F471-A67C-4635-85CC-FF9D1A7703CA}"/>
    <cellStyle name="Comma 3 6 2 2 3 2 2 3 2" xfId="30044" xr:uid="{4D67E5D9-FF05-435D-B789-82D6E1590065}"/>
    <cellStyle name="Comma 3 6 2 2 3 2 2 4" xfId="21372" xr:uid="{D4AD93BF-E8D7-4799-B91C-31EDDA459DE2}"/>
    <cellStyle name="Comma 3 6 2 2 3 2 3" xfId="6196" xr:uid="{51477443-5EB7-4D93-9E31-3AFC370C387F}"/>
    <cellStyle name="Comma 3 6 2 2 3 2 3 2" xfId="14868" xr:uid="{A5F0E3FC-F41D-4D9F-A56A-583B6E86C94D}"/>
    <cellStyle name="Comma 3 6 2 2 3 2 3 2 2" xfId="32212" xr:uid="{AB90047B-8DDF-48F0-978B-9E16BBEBE827}"/>
    <cellStyle name="Comma 3 6 2 2 3 2 3 3" xfId="23540" xr:uid="{7878B153-6DC7-4F54-8BD6-EAB1F022974F}"/>
    <cellStyle name="Comma 3 6 2 2 3 2 4" xfId="10532" xr:uid="{4BF8A834-2EC5-4402-A69A-20202B03203E}"/>
    <cellStyle name="Comma 3 6 2 2 3 2 4 2" xfId="27876" xr:uid="{93F162D7-4C50-45C4-9DB1-D0C662FD8A6D}"/>
    <cellStyle name="Comma 3 6 2 2 3 2 5" xfId="19204" xr:uid="{E4D30E9C-8452-403F-86C1-AF8B0E9891D6}"/>
    <cellStyle name="Comma 3 6 2 2 3 3" xfId="2944" xr:uid="{50166CC1-F1A0-4662-9D87-CB1BEE11244F}"/>
    <cellStyle name="Comma 3 6 2 2 3 3 2" xfId="7280" xr:uid="{3B045F49-0844-4467-9732-570B56788B54}"/>
    <cellStyle name="Comma 3 6 2 2 3 3 2 2" xfId="15952" xr:uid="{4C700B76-44F5-47E7-A1C4-6C845A23F937}"/>
    <cellStyle name="Comma 3 6 2 2 3 3 2 2 2" xfId="33296" xr:uid="{9AD4FB7C-41B1-4F00-8ADD-1CAC51676986}"/>
    <cellStyle name="Comma 3 6 2 2 3 3 2 3" xfId="24624" xr:uid="{58045C15-C5E4-4563-B1D1-2CF4706550CB}"/>
    <cellStyle name="Comma 3 6 2 2 3 3 3" xfId="11616" xr:uid="{D40679C0-8B8C-4A62-8D40-24C5D2B111F2}"/>
    <cellStyle name="Comma 3 6 2 2 3 3 3 2" xfId="28960" xr:uid="{BD203AD2-3DFB-4A71-8E86-F58C17F05645}"/>
    <cellStyle name="Comma 3 6 2 2 3 3 4" xfId="20288" xr:uid="{2162485C-DDE1-4091-A8FD-813588677A65}"/>
    <cellStyle name="Comma 3 6 2 2 3 4" xfId="5112" xr:uid="{7E0583C4-990A-412A-A47D-C2294E792C14}"/>
    <cellStyle name="Comma 3 6 2 2 3 4 2" xfId="13784" xr:uid="{92E333AF-842B-45DB-BD6D-A228E67593D9}"/>
    <cellStyle name="Comma 3 6 2 2 3 4 2 2" xfId="31128" xr:uid="{F8F57EA9-A898-425B-A7A8-430751814998}"/>
    <cellStyle name="Comma 3 6 2 2 3 4 3" xfId="22456" xr:uid="{22FDCC5F-4952-4891-961A-9CE3EA8FD047}"/>
    <cellStyle name="Comma 3 6 2 2 3 5" xfId="9448" xr:uid="{EE4FFE29-9531-4AA0-93B5-0F4A3723637A}"/>
    <cellStyle name="Comma 3 6 2 2 3 5 2" xfId="26792" xr:uid="{1298FC5A-EF93-427C-AD03-060D25100BF4}"/>
    <cellStyle name="Comma 3 6 2 2 3 6" xfId="18120" xr:uid="{6D44B9A1-F398-4EBA-A1EA-2E737439362B}"/>
    <cellStyle name="Comma 3 6 2 2 4" xfId="1319" xr:uid="{27D090EE-252D-41B7-BA2C-C7B83F058059}"/>
    <cellStyle name="Comma 3 6 2 2 4 2" xfId="3487" xr:uid="{C8EAE5EF-2AE3-4332-82AB-DBDAE677D9E4}"/>
    <cellStyle name="Comma 3 6 2 2 4 2 2" xfId="7823" xr:uid="{3BEB593E-C220-46F7-85BE-4DF56CE3F60D}"/>
    <cellStyle name="Comma 3 6 2 2 4 2 2 2" xfId="16495" xr:uid="{667524C1-8C92-4B23-B1F6-D5A14D140AEC}"/>
    <cellStyle name="Comma 3 6 2 2 4 2 2 2 2" xfId="33839" xr:uid="{2774E253-B14D-4D3C-83B2-BDD7813D2740}"/>
    <cellStyle name="Comma 3 6 2 2 4 2 2 3" xfId="25167" xr:uid="{B25311A7-51FD-437B-93CF-A683C48FAE3C}"/>
    <cellStyle name="Comma 3 6 2 2 4 2 3" xfId="12159" xr:uid="{5529746A-274D-49DC-84E8-EA48B73C0242}"/>
    <cellStyle name="Comma 3 6 2 2 4 2 3 2" xfId="29503" xr:uid="{D49E4EE1-C634-4A2A-B4A6-999D1E19F98E}"/>
    <cellStyle name="Comma 3 6 2 2 4 2 4" xfId="20831" xr:uid="{BA87D514-8204-40E9-BADB-F6E910BA9970}"/>
    <cellStyle name="Comma 3 6 2 2 4 3" xfId="5655" xr:uid="{2B499170-C3F9-48BD-A321-85EB1584CBDB}"/>
    <cellStyle name="Comma 3 6 2 2 4 3 2" xfId="14327" xr:uid="{E3833B74-FA1D-467A-870B-6D150CC561A2}"/>
    <cellStyle name="Comma 3 6 2 2 4 3 2 2" xfId="31671" xr:uid="{FF817821-3130-4409-BAF6-58E64B664C43}"/>
    <cellStyle name="Comma 3 6 2 2 4 3 3" xfId="22999" xr:uid="{BE987321-4252-42B3-A9E8-6942AE4B6BF5}"/>
    <cellStyle name="Comma 3 6 2 2 4 4" xfId="9991" xr:uid="{DC7CAA1A-F385-4360-9FC5-77B82187F69D}"/>
    <cellStyle name="Comma 3 6 2 2 4 4 2" xfId="27335" xr:uid="{36BF55CD-9DF3-40D6-98DC-11A14B3D36CA}"/>
    <cellStyle name="Comma 3 6 2 2 4 5" xfId="18663" xr:uid="{4C62D9BB-FC29-42B4-809B-FD14DF4FB033}"/>
    <cellStyle name="Comma 3 6 2 2 5" xfId="2403" xr:uid="{C9C466B1-B7A0-4185-98B7-2E95CD8490E0}"/>
    <cellStyle name="Comma 3 6 2 2 5 2" xfId="6739" xr:uid="{577ADDB0-3B33-4ADA-A6B8-7AEECD7F1806}"/>
    <cellStyle name="Comma 3 6 2 2 5 2 2" xfId="15411" xr:uid="{1C092702-E75D-4B8B-92B4-9114FF9BBAEE}"/>
    <cellStyle name="Comma 3 6 2 2 5 2 2 2" xfId="32755" xr:uid="{694E239B-B4F9-4B28-AEC4-19DAB9488201}"/>
    <cellStyle name="Comma 3 6 2 2 5 2 3" xfId="24083" xr:uid="{6B47DEA6-E50C-40AC-8ADC-2B1B787F6A10}"/>
    <cellStyle name="Comma 3 6 2 2 5 3" xfId="11075" xr:uid="{795D53DB-EFCF-42F8-939D-2C2E3110B4CC}"/>
    <cellStyle name="Comma 3 6 2 2 5 3 2" xfId="28419" xr:uid="{DFBAB547-DD84-446B-A46E-CC8A64159B69}"/>
    <cellStyle name="Comma 3 6 2 2 5 4" xfId="19747" xr:uid="{A85FF32E-9A2C-48DF-AFDC-284BDDE59924}"/>
    <cellStyle name="Comma 3 6 2 2 6" xfId="4571" xr:uid="{5C4EAC4B-8899-416C-ADD0-2D5F98C74AAB}"/>
    <cellStyle name="Comma 3 6 2 2 6 2" xfId="13243" xr:uid="{38A637C1-EB07-4817-AF13-A3A690E6F43A}"/>
    <cellStyle name="Comma 3 6 2 2 6 2 2" xfId="30587" xr:uid="{F9D20E92-D915-4823-801A-992F30E5E076}"/>
    <cellStyle name="Comma 3 6 2 2 6 3" xfId="21915" xr:uid="{1E17A710-1ED3-46A5-B1AC-5859F66C6A5F}"/>
    <cellStyle name="Comma 3 6 2 2 7" xfId="8907" xr:uid="{55C5614E-60DF-4F07-B4FD-16DA18808917}"/>
    <cellStyle name="Comma 3 6 2 2 7 2" xfId="26251" xr:uid="{BD4848B5-6D7A-4BEF-91D7-6B8945F4F287}"/>
    <cellStyle name="Comma 3 6 2 2 8" xfId="17579" xr:uid="{049109B6-0B23-401D-B43F-3D7D1EFF3DB9}"/>
    <cellStyle name="Comma 3 6 2 3" xfId="383" xr:uid="{DDA743DF-5931-477E-9CCA-446EDFF9E55C}"/>
    <cellStyle name="Comma 3 6 2 3 2" xfId="924" xr:uid="{F48FC577-2962-4384-8329-00B9EA6E7B3A}"/>
    <cellStyle name="Comma 3 6 2 3 2 2" xfId="2008" xr:uid="{D8C27371-2EEB-4141-9C5E-79583410BFBE}"/>
    <cellStyle name="Comma 3 6 2 3 2 2 2" xfId="4176" xr:uid="{89CAF948-D79B-473E-8596-8C576F6559DE}"/>
    <cellStyle name="Comma 3 6 2 3 2 2 2 2" xfId="8512" xr:uid="{342D4714-7C53-40C9-8E80-FD04647484B2}"/>
    <cellStyle name="Comma 3 6 2 3 2 2 2 2 2" xfId="17184" xr:uid="{20B6A599-506E-43A4-BACC-04FADB743CB4}"/>
    <cellStyle name="Comma 3 6 2 3 2 2 2 2 2 2" xfId="34528" xr:uid="{634CDABB-FA4F-4E3F-AE33-2F6C323B7535}"/>
    <cellStyle name="Comma 3 6 2 3 2 2 2 2 3" xfId="25856" xr:uid="{9AD279FD-C195-49DE-B30A-64C892841968}"/>
    <cellStyle name="Comma 3 6 2 3 2 2 2 3" xfId="12848" xr:uid="{8E23BA48-AFDF-418C-9445-518DDE7119CC}"/>
    <cellStyle name="Comma 3 6 2 3 2 2 2 3 2" xfId="30192" xr:uid="{9468B122-4918-4EDB-96EA-6762D9B42B12}"/>
    <cellStyle name="Comma 3 6 2 3 2 2 2 4" xfId="21520" xr:uid="{140F98D7-D6F7-48B6-BE30-704A476C4910}"/>
    <cellStyle name="Comma 3 6 2 3 2 2 3" xfId="6344" xr:uid="{B7B85B16-8E7D-4E4F-9494-5416F02BDD02}"/>
    <cellStyle name="Comma 3 6 2 3 2 2 3 2" xfId="15016" xr:uid="{C32D9FC2-8CD6-44AC-B4B4-224A24451A5C}"/>
    <cellStyle name="Comma 3 6 2 3 2 2 3 2 2" xfId="32360" xr:uid="{BF7BF458-6F8D-4143-967E-A6BABF6BD5C2}"/>
    <cellStyle name="Comma 3 6 2 3 2 2 3 3" xfId="23688" xr:uid="{5F3684AA-56A7-4D20-8CC1-4C5254C71C44}"/>
    <cellStyle name="Comma 3 6 2 3 2 2 4" xfId="10680" xr:uid="{9C0432BC-53B6-4BC7-83DE-B0EA50D3BA62}"/>
    <cellStyle name="Comma 3 6 2 3 2 2 4 2" xfId="28024" xr:uid="{1AAA7EF6-8B66-4578-B2AA-A387DFDBC323}"/>
    <cellStyle name="Comma 3 6 2 3 2 2 5" xfId="19352" xr:uid="{2D689582-BF29-4908-A99B-D38737704B31}"/>
    <cellStyle name="Comma 3 6 2 3 2 3" xfId="3092" xr:uid="{06E35676-BD95-4C09-B6C7-4651BE4CD140}"/>
    <cellStyle name="Comma 3 6 2 3 2 3 2" xfId="7428" xr:uid="{9F7A122F-059C-4E7B-B941-534D45635473}"/>
    <cellStyle name="Comma 3 6 2 3 2 3 2 2" xfId="16100" xr:uid="{D8CCA17B-CA8D-4168-98BC-3711F7F815C3}"/>
    <cellStyle name="Comma 3 6 2 3 2 3 2 2 2" xfId="33444" xr:uid="{14D186C2-AF08-4E92-90EB-D0C9D178269D}"/>
    <cellStyle name="Comma 3 6 2 3 2 3 2 3" xfId="24772" xr:uid="{268DD1CC-1F89-45A0-BF77-0AEC5F61529B}"/>
    <cellStyle name="Comma 3 6 2 3 2 3 3" xfId="11764" xr:uid="{4CDEC9D1-14C4-4854-ACEB-A0C5D3630F1A}"/>
    <cellStyle name="Comma 3 6 2 3 2 3 3 2" xfId="29108" xr:uid="{D2FA0694-6584-4E40-A1CC-E1C44F133F61}"/>
    <cellStyle name="Comma 3 6 2 3 2 3 4" xfId="20436" xr:uid="{4EC6F6DA-0697-4D10-AFBA-7BAE03D75B15}"/>
    <cellStyle name="Comma 3 6 2 3 2 4" xfId="5260" xr:uid="{0E4520FA-6C88-410E-9D96-50AC8CCCD905}"/>
    <cellStyle name="Comma 3 6 2 3 2 4 2" xfId="13932" xr:uid="{C8C4883E-B6CC-48C4-8888-D8AAE3648939}"/>
    <cellStyle name="Comma 3 6 2 3 2 4 2 2" xfId="31276" xr:uid="{CF19D3FD-035C-488F-8E5A-722181AAE774}"/>
    <cellStyle name="Comma 3 6 2 3 2 4 3" xfId="22604" xr:uid="{001F216C-A56C-4EB7-B582-2C27F8BF2BF2}"/>
    <cellStyle name="Comma 3 6 2 3 2 5" xfId="9596" xr:uid="{775FCE4D-40AB-4997-9B31-587240B2C079}"/>
    <cellStyle name="Comma 3 6 2 3 2 5 2" xfId="26940" xr:uid="{9FAA4669-4E31-47D1-BEE1-AD59A6E25133}"/>
    <cellStyle name="Comma 3 6 2 3 2 6" xfId="18268" xr:uid="{948B0F32-115A-4385-9E86-A1A8DAD2A754}"/>
    <cellStyle name="Comma 3 6 2 3 3" xfId="1467" xr:uid="{CDEC1FBA-DF04-49BE-B375-4190337EB9FE}"/>
    <cellStyle name="Comma 3 6 2 3 3 2" xfId="3635" xr:uid="{CEA44152-7991-4F5A-8B15-324B678E563A}"/>
    <cellStyle name="Comma 3 6 2 3 3 2 2" xfId="7971" xr:uid="{D90F4680-0049-415D-B158-69F915DFBF75}"/>
    <cellStyle name="Comma 3 6 2 3 3 2 2 2" xfId="16643" xr:uid="{4180EA8F-BBF8-4932-8744-1EAF2C805FD1}"/>
    <cellStyle name="Comma 3 6 2 3 3 2 2 2 2" xfId="33987" xr:uid="{34324915-3844-4F1F-9216-0875990DDAB4}"/>
    <cellStyle name="Comma 3 6 2 3 3 2 2 3" xfId="25315" xr:uid="{000FB050-BFC5-49C9-A724-0A353E61382E}"/>
    <cellStyle name="Comma 3 6 2 3 3 2 3" xfId="12307" xr:uid="{A6936A11-922F-47E3-8BE2-E0646FECEDB7}"/>
    <cellStyle name="Comma 3 6 2 3 3 2 3 2" xfId="29651" xr:uid="{E13E35E8-A037-4D6E-8310-4C19FEE0848C}"/>
    <cellStyle name="Comma 3 6 2 3 3 2 4" xfId="20979" xr:uid="{7B45458D-A439-4D94-8438-B63E9D3C67C0}"/>
    <cellStyle name="Comma 3 6 2 3 3 3" xfId="5803" xr:uid="{E5539DC8-1056-4234-8F0B-041D54B4AEA8}"/>
    <cellStyle name="Comma 3 6 2 3 3 3 2" xfId="14475" xr:uid="{DF0B1EFA-89F4-484E-B895-2CC2FA0F87F5}"/>
    <cellStyle name="Comma 3 6 2 3 3 3 2 2" xfId="31819" xr:uid="{532436FD-9B6A-4814-BE49-76A8156CBB2C}"/>
    <cellStyle name="Comma 3 6 2 3 3 3 3" xfId="23147" xr:uid="{27A663DC-DBEF-479C-9351-AA11747085D1}"/>
    <cellStyle name="Comma 3 6 2 3 3 4" xfId="10139" xr:uid="{EB69CFF2-60AB-4F12-B834-C84C39C0241F}"/>
    <cellStyle name="Comma 3 6 2 3 3 4 2" xfId="27483" xr:uid="{941B87E2-32D6-4A0C-B7ED-B37EB35D1B36}"/>
    <cellStyle name="Comma 3 6 2 3 3 5" xfId="18811" xr:uid="{FEFF7071-80CF-4676-AC12-BEA8CD4A05D4}"/>
    <cellStyle name="Comma 3 6 2 3 4" xfId="2551" xr:uid="{28CE4736-64C7-4B78-8C0B-35ADD4E5FF27}"/>
    <cellStyle name="Comma 3 6 2 3 4 2" xfId="6887" xr:uid="{45D33800-7B00-487A-A15F-66844A0EA175}"/>
    <cellStyle name="Comma 3 6 2 3 4 2 2" xfId="15559" xr:uid="{0249ADAC-ADF8-4854-809E-B0855D21C6ED}"/>
    <cellStyle name="Comma 3 6 2 3 4 2 2 2" xfId="32903" xr:uid="{2101F578-298E-49F7-AD1E-BA9C7D647A9D}"/>
    <cellStyle name="Comma 3 6 2 3 4 2 3" xfId="24231" xr:uid="{52F526F6-F2DA-47B7-9770-FCBCA9FA0E4B}"/>
    <cellStyle name="Comma 3 6 2 3 4 3" xfId="11223" xr:uid="{54DCDA58-3DFA-4223-80AF-D8CAC817A93A}"/>
    <cellStyle name="Comma 3 6 2 3 4 3 2" xfId="28567" xr:uid="{770666C2-01A3-4070-A4BB-DA6E2FDAB2F7}"/>
    <cellStyle name="Comma 3 6 2 3 4 4" xfId="19895" xr:uid="{7A85D6EF-C563-4282-A077-90D4977CD234}"/>
    <cellStyle name="Comma 3 6 2 3 5" xfId="4719" xr:uid="{E49C78BC-2BD5-401C-94EF-FA7F21A8084F}"/>
    <cellStyle name="Comma 3 6 2 3 5 2" xfId="13391" xr:uid="{8901FFDE-7FD3-4E34-B9BA-991CA6952A64}"/>
    <cellStyle name="Comma 3 6 2 3 5 2 2" xfId="30735" xr:uid="{CDB1C9E7-ADD0-4494-B699-E968D2C30DE7}"/>
    <cellStyle name="Comma 3 6 2 3 5 3" xfId="22063" xr:uid="{3514BB4C-F19A-4971-B316-2CDE2AFE5A1F}"/>
    <cellStyle name="Comma 3 6 2 3 6" xfId="9055" xr:uid="{79B61303-7BB3-419B-8DE3-840FACCD65E3}"/>
    <cellStyle name="Comma 3 6 2 3 6 2" xfId="26399" xr:uid="{7990E91E-C2F9-418E-833A-1A9AF2F6CAEA}"/>
    <cellStyle name="Comma 3 6 2 3 7" xfId="17727" xr:uid="{EECA37C2-0619-4A84-BE23-4A937DA8BBFB}"/>
    <cellStyle name="Comma 3 6 2 4" xfId="654" xr:uid="{DA6B9754-C48D-498A-BEA8-B13FCDED7183}"/>
    <cellStyle name="Comma 3 6 2 4 2" xfId="1738" xr:uid="{5CCC3D47-045D-48E9-8402-7AE26CEFD0DB}"/>
    <cellStyle name="Comma 3 6 2 4 2 2" xfId="3906" xr:uid="{F5679BFC-930E-4A46-9DFD-1172AB5924DE}"/>
    <cellStyle name="Comma 3 6 2 4 2 2 2" xfId="8242" xr:uid="{0662AF66-AA84-491B-AB34-9D62950AE504}"/>
    <cellStyle name="Comma 3 6 2 4 2 2 2 2" xfId="16914" xr:uid="{0DAACF99-49F6-475E-88FF-745A768DE150}"/>
    <cellStyle name="Comma 3 6 2 4 2 2 2 2 2" xfId="34258" xr:uid="{C92FD162-4A3A-4B52-8D81-8ADDEA4CA4D6}"/>
    <cellStyle name="Comma 3 6 2 4 2 2 2 3" xfId="25586" xr:uid="{30AAADB4-8A84-4290-90B2-70DDD80723B5}"/>
    <cellStyle name="Comma 3 6 2 4 2 2 3" xfId="12578" xr:uid="{B05EA6E7-3377-4CD1-9A8F-70A49F1A8027}"/>
    <cellStyle name="Comma 3 6 2 4 2 2 3 2" xfId="29922" xr:uid="{E9A205BF-8BD2-40FA-B3A3-52EB85D7C114}"/>
    <cellStyle name="Comma 3 6 2 4 2 2 4" xfId="21250" xr:uid="{CBDE19B8-8C76-4775-B203-F2A950D44D9D}"/>
    <cellStyle name="Comma 3 6 2 4 2 3" xfId="6074" xr:uid="{BEA7D410-8DC4-4FA3-8F79-C33439F3D2E9}"/>
    <cellStyle name="Comma 3 6 2 4 2 3 2" xfId="14746" xr:uid="{0B87D8BE-F0CD-4D1A-8052-C96A9D9B1AB8}"/>
    <cellStyle name="Comma 3 6 2 4 2 3 2 2" xfId="32090" xr:uid="{68C669C2-0CD9-406A-9642-75BC7B01325E}"/>
    <cellStyle name="Comma 3 6 2 4 2 3 3" xfId="23418" xr:uid="{0D938F52-3DD9-43A8-B232-9D07890DDFB4}"/>
    <cellStyle name="Comma 3 6 2 4 2 4" xfId="10410" xr:uid="{66D7960C-A66A-427A-9256-BC521EF30C3F}"/>
    <cellStyle name="Comma 3 6 2 4 2 4 2" xfId="27754" xr:uid="{6A1F2A00-BD1B-43C0-BDA4-28316E941187}"/>
    <cellStyle name="Comma 3 6 2 4 2 5" xfId="19082" xr:uid="{564CFEE0-6511-4714-9B72-8D35650BE756}"/>
    <cellStyle name="Comma 3 6 2 4 3" xfId="2822" xr:uid="{84BB9178-DDD2-429B-AED8-ECF304039373}"/>
    <cellStyle name="Comma 3 6 2 4 3 2" xfId="7158" xr:uid="{806F1B33-FB22-40A3-A2EA-9552A6A3FE7C}"/>
    <cellStyle name="Comma 3 6 2 4 3 2 2" xfId="15830" xr:uid="{7AAEB801-8621-469F-A76E-09AB5BF43119}"/>
    <cellStyle name="Comma 3 6 2 4 3 2 2 2" xfId="33174" xr:uid="{723C4CCE-9BCB-4926-B6F7-398038FAD8D7}"/>
    <cellStyle name="Comma 3 6 2 4 3 2 3" xfId="24502" xr:uid="{5E18C13D-207C-41E2-AE5E-8529B2516CCE}"/>
    <cellStyle name="Comma 3 6 2 4 3 3" xfId="11494" xr:uid="{DD641C82-B32F-4D8D-8DA0-C7088E80314D}"/>
    <cellStyle name="Comma 3 6 2 4 3 3 2" xfId="28838" xr:uid="{43227EFE-B053-4A2D-9CEF-0C4640A7C741}"/>
    <cellStyle name="Comma 3 6 2 4 3 4" xfId="20166" xr:uid="{49763B19-5956-4A4C-B3D3-03B2EF14DE30}"/>
    <cellStyle name="Comma 3 6 2 4 4" xfId="4990" xr:uid="{2C69768A-9821-4476-BF0B-483FF78287D0}"/>
    <cellStyle name="Comma 3 6 2 4 4 2" xfId="13662" xr:uid="{27D24EA6-B1C5-46BA-8495-55005E2D4AAB}"/>
    <cellStyle name="Comma 3 6 2 4 4 2 2" xfId="31006" xr:uid="{ECCB58CA-8659-4370-B91D-9D15768B7716}"/>
    <cellStyle name="Comma 3 6 2 4 4 3" xfId="22334" xr:uid="{74A46E2C-2A75-4D77-8F86-175772BE848B}"/>
    <cellStyle name="Comma 3 6 2 4 5" xfId="9326" xr:uid="{815E2D91-BDC3-4543-A32A-4539FB35EC05}"/>
    <cellStyle name="Comma 3 6 2 4 5 2" xfId="26670" xr:uid="{079517BE-CCCE-4A37-AE59-7C8794F4A1BB}"/>
    <cellStyle name="Comma 3 6 2 4 6" xfId="17998" xr:uid="{15D1796B-E700-497C-A781-B3D9F1E9608F}"/>
    <cellStyle name="Comma 3 6 2 5" xfId="1197" xr:uid="{4396A447-CB1B-4E72-9F17-F59918FB2996}"/>
    <cellStyle name="Comma 3 6 2 5 2" xfId="3365" xr:uid="{068853A2-89C3-4E77-B01E-6A8991F15348}"/>
    <cellStyle name="Comma 3 6 2 5 2 2" xfId="7701" xr:uid="{C77D8638-BEB6-44A2-BB4E-E6DC948C5FE7}"/>
    <cellStyle name="Comma 3 6 2 5 2 2 2" xfId="16373" xr:uid="{BF5C0AC5-9821-4677-A025-67D6B9604D0A}"/>
    <cellStyle name="Comma 3 6 2 5 2 2 2 2" xfId="33717" xr:uid="{B4DF5262-A4C7-46DC-AFF5-13345ED7E0CC}"/>
    <cellStyle name="Comma 3 6 2 5 2 2 3" xfId="25045" xr:uid="{5C6BD2D9-B2D0-48D8-9D36-45C5B26819DE}"/>
    <cellStyle name="Comma 3 6 2 5 2 3" xfId="12037" xr:uid="{4F528EDD-0457-4D8D-8781-EC8D179882DD}"/>
    <cellStyle name="Comma 3 6 2 5 2 3 2" xfId="29381" xr:uid="{A9176C30-563D-401E-B6C5-3F46271F4E91}"/>
    <cellStyle name="Comma 3 6 2 5 2 4" xfId="20709" xr:uid="{EC1CD7D5-8152-41CD-AF3D-DE811838F179}"/>
    <cellStyle name="Comma 3 6 2 5 3" xfId="5533" xr:uid="{1C4BF87A-4EF1-44E8-9F1B-F2B6D6A114EB}"/>
    <cellStyle name="Comma 3 6 2 5 3 2" xfId="14205" xr:uid="{3B6E3CA8-9D8D-415D-BE5D-EC4B69E324CA}"/>
    <cellStyle name="Comma 3 6 2 5 3 2 2" xfId="31549" xr:uid="{DD77BFDB-F27B-4D3F-BE8A-738F1E4CCEC1}"/>
    <cellStyle name="Comma 3 6 2 5 3 3" xfId="22877" xr:uid="{7A442F74-C954-479B-8075-F36F03DCB761}"/>
    <cellStyle name="Comma 3 6 2 5 4" xfId="9869" xr:uid="{7CF45A21-B64C-4FCE-B0E1-DFEB6BC61521}"/>
    <cellStyle name="Comma 3 6 2 5 4 2" xfId="27213" xr:uid="{35BBB40A-B7F0-4357-8B8D-BFCA31B1F648}"/>
    <cellStyle name="Comma 3 6 2 5 5" xfId="18541" xr:uid="{65BDA3B9-CA3B-4AE2-87A9-329078CE6D79}"/>
    <cellStyle name="Comma 3 6 2 6" xfId="2281" xr:uid="{D2A5F882-74C3-4370-8445-ED442AB84F51}"/>
    <cellStyle name="Comma 3 6 2 6 2" xfId="6617" xr:uid="{526A3FE2-D68B-4D59-95D8-2A3B0D4C5DAC}"/>
    <cellStyle name="Comma 3 6 2 6 2 2" xfId="15289" xr:uid="{362326A9-8855-473D-9ED5-C2B321879E49}"/>
    <cellStyle name="Comma 3 6 2 6 2 2 2" xfId="32633" xr:uid="{B9537F99-874B-4B5B-95B6-F503D4838A48}"/>
    <cellStyle name="Comma 3 6 2 6 2 3" xfId="23961" xr:uid="{5661D552-3B6F-4B55-B481-B31986D9DDAE}"/>
    <cellStyle name="Comma 3 6 2 6 3" xfId="10953" xr:uid="{E51FCB2F-A4A7-43BE-B080-1EFEF4E95BFC}"/>
    <cellStyle name="Comma 3 6 2 6 3 2" xfId="28297" xr:uid="{11C29E67-406C-4592-83C6-4027E946F9B0}"/>
    <cellStyle name="Comma 3 6 2 6 4" xfId="19625" xr:uid="{29CF171C-7CF9-4C01-83F2-B5AAED15CE4B}"/>
    <cellStyle name="Comma 3 6 2 7" xfId="4449" xr:uid="{AC972AC4-7CEC-4F54-B247-23D776713EF2}"/>
    <cellStyle name="Comma 3 6 2 7 2" xfId="13121" xr:uid="{958E0E9D-8DF7-4E73-A646-75F381AEA771}"/>
    <cellStyle name="Comma 3 6 2 7 2 2" xfId="30465" xr:uid="{DA3E47B2-A406-40AF-8D7B-652BACA20A08}"/>
    <cellStyle name="Comma 3 6 2 7 3" xfId="21793" xr:uid="{51523DB5-23D1-4483-B917-EB98DE017EEC}"/>
    <cellStyle name="Comma 3 6 2 8" xfId="8785" xr:uid="{6413CCD7-4BA1-4922-BC3C-CC4B5D3EF41A}"/>
    <cellStyle name="Comma 3 6 2 8 2" xfId="26129" xr:uid="{EB2A21D8-4623-40E3-9878-5B81894DCB86}"/>
    <cellStyle name="Comma 3 6 2 9" xfId="17457" xr:uid="{AF332E02-E0C9-4CD2-B35B-95B12FBB3750}"/>
    <cellStyle name="Comma 3 6 3" xfId="174" xr:uid="{2F591FA9-02B8-4FD9-813F-9A45FEFB5F47}"/>
    <cellStyle name="Comma 3 6 3 2" xfId="444" xr:uid="{18A2824D-BD4E-4334-8C79-087C2693D6CC}"/>
    <cellStyle name="Comma 3 6 3 2 2" xfId="985" xr:uid="{1A562ECD-AE11-49E4-BF02-0512A962214A}"/>
    <cellStyle name="Comma 3 6 3 2 2 2" xfId="2069" xr:uid="{E8287666-E740-42D0-92B5-F29DF6112C1E}"/>
    <cellStyle name="Comma 3 6 3 2 2 2 2" xfId="4237" xr:uid="{39D39E1E-0E65-4CBC-BB64-20A22A6771DE}"/>
    <cellStyle name="Comma 3 6 3 2 2 2 2 2" xfId="8573" xr:uid="{97EA3191-D211-4751-B0E2-929A7968BD02}"/>
    <cellStyle name="Comma 3 6 3 2 2 2 2 2 2" xfId="17245" xr:uid="{BF0CF914-83C2-4A42-AE90-0263C4B887CA}"/>
    <cellStyle name="Comma 3 6 3 2 2 2 2 2 2 2" xfId="34589" xr:uid="{570ECE1E-5046-4D10-8C09-A226BC60F619}"/>
    <cellStyle name="Comma 3 6 3 2 2 2 2 2 3" xfId="25917" xr:uid="{A24C8222-4C56-488C-A9BA-91D3C3513A19}"/>
    <cellStyle name="Comma 3 6 3 2 2 2 2 3" xfId="12909" xr:uid="{964938E4-181F-4EEA-9C8E-5DA04650F1D5}"/>
    <cellStyle name="Comma 3 6 3 2 2 2 2 3 2" xfId="30253" xr:uid="{D3FE16F3-57FB-4860-8CD6-5587F87A7788}"/>
    <cellStyle name="Comma 3 6 3 2 2 2 2 4" xfId="21581" xr:uid="{542E7243-2B93-4C27-AB80-3545FE2458E3}"/>
    <cellStyle name="Comma 3 6 3 2 2 2 3" xfId="6405" xr:uid="{57423B64-3E37-4060-A761-474A360B505B}"/>
    <cellStyle name="Comma 3 6 3 2 2 2 3 2" xfId="15077" xr:uid="{D7E265FC-052F-45BC-8149-858D73972D97}"/>
    <cellStyle name="Comma 3 6 3 2 2 2 3 2 2" xfId="32421" xr:uid="{B68E9EDD-6B07-4854-8BC1-2ABF1EA70BD5}"/>
    <cellStyle name="Comma 3 6 3 2 2 2 3 3" xfId="23749" xr:uid="{9373EB56-B458-4405-8827-DA86AB5A1947}"/>
    <cellStyle name="Comma 3 6 3 2 2 2 4" xfId="10741" xr:uid="{8F067F34-C213-4B0F-9456-5A066F457867}"/>
    <cellStyle name="Comma 3 6 3 2 2 2 4 2" xfId="28085" xr:uid="{2795EAB2-FF4D-48B1-802F-550F9774235A}"/>
    <cellStyle name="Comma 3 6 3 2 2 2 5" xfId="19413" xr:uid="{7FC7B961-D413-40FC-96D4-B8DA6B7DF58F}"/>
    <cellStyle name="Comma 3 6 3 2 2 3" xfId="3153" xr:uid="{8D2B2EBF-856C-403D-8CC6-7BA28F153D17}"/>
    <cellStyle name="Comma 3 6 3 2 2 3 2" xfId="7489" xr:uid="{3D9B44CD-607A-430F-B29F-10A814F3E25B}"/>
    <cellStyle name="Comma 3 6 3 2 2 3 2 2" xfId="16161" xr:uid="{0977269C-3FE6-4459-A3CC-19EA6DA286EB}"/>
    <cellStyle name="Comma 3 6 3 2 2 3 2 2 2" xfId="33505" xr:uid="{3A551B00-16CE-44F7-9D7D-D0A7FBE35783}"/>
    <cellStyle name="Comma 3 6 3 2 2 3 2 3" xfId="24833" xr:uid="{B5B328A9-6236-4B68-9F06-3EF383A78DA4}"/>
    <cellStyle name="Comma 3 6 3 2 2 3 3" xfId="11825" xr:uid="{E53F9CFD-F8F4-40AB-A4AF-332C8D959537}"/>
    <cellStyle name="Comma 3 6 3 2 2 3 3 2" xfId="29169" xr:uid="{9A70ECE6-F079-41B9-A45A-311B2C633AF6}"/>
    <cellStyle name="Comma 3 6 3 2 2 3 4" xfId="20497" xr:uid="{E1D04EE4-429F-43B2-9ACA-FAA10364803A}"/>
    <cellStyle name="Comma 3 6 3 2 2 4" xfId="5321" xr:uid="{A3E74859-DF11-4D75-8153-6EC23CC5C555}"/>
    <cellStyle name="Comma 3 6 3 2 2 4 2" xfId="13993" xr:uid="{0A2C52A3-31A7-449E-A0C0-8D7B18F6DCEE}"/>
    <cellStyle name="Comma 3 6 3 2 2 4 2 2" xfId="31337" xr:uid="{38E83E46-CDA6-4B4C-8AF2-C7F85CE9F7D1}"/>
    <cellStyle name="Comma 3 6 3 2 2 4 3" xfId="22665" xr:uid="{5C1C9C9D-119F-4CAC-AD50-34BC18EE9A6D}"/>
    <cellStyle name="Comma 3 6 3 2 2 5" xfId="9657" xr:uid="{19FE2C5F-9EE1-4BBE-B156-EA2A5B007702}"/>
    <cellStyle name="Comma 3 6 3 2 2 5 2" xfId="27001" xr:uid="{76AB8037-18E2-463F-944C-1AA42A23C7FF}"/>
    <cellStyle name="Comma 3 6 3 2 2 6" xfId="18329" xr:uid="{C8D05AF2-1E3F-4AEE-9FCD-70AB2067756B}"/>
    <cellStyle name="Comma 3 6 3 2 3" xfId="1528" xr:uid="{3D0CF60C-7DCD-4077-83B7-591D7E42FCA3}"/>
    <cellStyle name="Comma 3 6 3 2 3 2" xfId="3696" xr:uid="{D5B85C90-BDCE-42D5-8FA2-B9C51DC501B0}"/>
    <cellStyle name="Comma 3 6 3 2 3 2 2" xfId="8032" xr:uid="{F2304E25-2DDD-47AC-BFEA-108F09E68A17}"/>
    <cellStyle name="Comma 3 6 3 2 3 2 2 2" xfId="16704" xr:uid="{F84EA4B5-3488-4874-B1B6-F5A9D80AB568}"/>
    <cellStyle name="Comma 3 6 3 2 3 2 2 2 2" xfId="34048" xr:uid="{0139049B-845A-4D6B-82FD-5A000EB0123A}"/>
    <cellStyle name="Comma 3 6 3 2 3 2 2 3" xfId="25376" xr:uid="{FF94BD05-8061-4B14-87A1-7C665620C44B}"/>
    <cellStyle name="Comma 3 6 3 2 3 2 3" xfId="12368" xr:uid="{AB0E0109-0FED-405C-8648-9DCCDAAA05A7}"/>
    <cellStyle name="Comma 3 6 3 2 3 2 3 2" xfId="29712" xr:uid="{3AF23C68-61DF-4BF3-97D6-1737D11E1E2D}"/>
    <cellStyle name="Comma 3 6 3 2 3 2 4" xfId="21040" xr:uid="{95C89AD7-584A-4BAA-BFDF-4B6518274080}"/>
    <cellStyle name="Comma 3 6 3 2 3 3" xfId="5864" xr:uid="{CEF17F5A-9BA5-494E-BB33-A90129F575F9}"/>
    <cellStyle name="Comma 3 6 3 2 3 3 2" xfId="14536" xr:uid="{839326A7-4D43-4115-9052-5245CD81BBA2}"/>
    <cellStyle name="Comma 3 6 3 2 3 3 2 2" xfId="31880" xr:uid="{79275A8B-C7CC-4EBC-A7A1-31C293742361}"/>
    <cellStyle name="Comma 3 6 3 2 3 3 3" xfId="23208" xr:uid="{269512C7-4BBC-418E-8053-89E6366C5504}"/>
    <cellStyle name="Comma 3 6 3 2 3 4" xfId="10200" xr:uid="{0AA81AF1-F963-4849-B5C6-11CBC4F0B09E}"/>
    <cellStyle name="Comma 3 6 3 2 3 4 2" xfId="27544" xr:uid="{601ABBCD-2FB4-469E-9787-8CD00E33AB58}"/>
    <cellStyle name="Comma 3 6 3 2 3 5" xfId="18872" xr:uid="{18C6AF18-1697-4586-98EB-1CF244F8B3B0}"/>
    <cellStyle name="Comma 3 6 3 2 4" xfId="2612" xr:uid="{6C6F111A-4135-4D03-BD6B-B3FD87BE5673}"/>
    <cellStyle name="Comma 3 6 3 2 4 2" xfId="6948" xr:uid="{9569B651-6464-49C9-A23C-253E4369950B}"/>
    <cellStyle name="Comma 3 6 3 2 4 2 2" xfId="15620" xr:uid="{93AD944B-32C8-4CCB-8F9B-52BD53984FDF}"/>
    <cellStyle name="Comma 3 6 3 2 4 2 2 2" xfId="32964" xr:uid="{145C00C9-6C2D-4142-AD4B-2C0F05515016}"/>
    <cellStyle name="Comma 3 6 3 2 4 2 3" xfId="24292" xr:uid="{977F3430-2175-4707-906C-A9B223176E18}"/>
    <cellStyle name="Comma 3 6 3 2 4 3" xfId="11284" xr:uid="{7ED4D046-CED8-4E70-8E8F-49B8B3450C1D}"/>
    <cellStyle name="Comma 3 6 3 2 4 3 2" xfId="28628" xr:uid="{3A2DEC70-D615-45AC-820D-90BFA3A6C0D2}"/>
    <cellStyle name="Comma 3 6 3 2 4 4" xfId="19956" xr:uid="{DE74D501-243B-4F81-8AE5-35847F1363FB}"/>
    <cellStyle name="Comma 3 6 3 2 5" xfId="4780" xr:uid="{293F9143-C175-4FE7-93E0-2BEECB056557}"/>
    <cellStyle name="Comma 3 6 3 2 5 2" xfId="13452" xr:uid="{A4632ADA-5ABD-4536-AD03-C5F538C60C45}"/>
    <cellStyle name="Comma 3 6 3 2 5 2 2" xfId="30796" xr:uid="{314543E0-36F4-455E-8B55-B12B5E97A4E9}"/>
    <cellStyle name="Comma 3 6 3 2 5 3" xfId="22124" xr:uid="{AA80A0F3-B4D5-4EB0-A410-2EA5DD3B468F}"/>
    <cellStyle name="Comma 3 6 3 2 6" xfId="9116" xr:uid="{8D085BCE-EE3D-4162-86F0-8AE06A2E0CE1}"/>
    <cellStyle name="Comma 3 6 3 2 6 2" xfId="26460" xr:uid="{4CFC22FC-2A46-4F08-B7F5-39986B5E391B}"/>
    <cellStyle name="Comma 3 6 3 2 7" xfId="17788" xr:uid="{E318DDF3-8C8B-4C3D-83AB-39B6E32D9DDE}"/>
    <cellStyle name="Comma 3 6 3 3" xfId="715" xr:uid="{ED349AAC-6D94-4AC3-BC7E-8DD36C4F95E1}"/>
    <cellStyle name="Comma 3 6 3 3 2" xfId="1799" xr:uid="{2F9B8036-F102-4A99-A91A-C7C00AD6DE9D}"/>
    <cellStyle name="Comma 3 6 3 3 2 2" xfId="3967" xr:uid="{1751EB5C-5F9D-41C1-B441-EB881087A672}"/>
    <cellStyle name="Comma 3 6 3 3 2 2 2" xfId="8303" xr:uid="{C9DDEDBC-E6DD-4BC9-82A6-A9C74F3344FF}"/>
    <cellStyle name="Comma 3 6 3 3 2 2 2 2" xfId="16975" xr:uid="{EB1D7536-A3F7-42CF-83A8-5B3FA176F49A}"/>
    <cellStyle name="Comma 3 6 3 3 2 2 2 2 2" xfId="34319" xr:uid="{E62982D7-32BC-45FD-B84E-F7968F09091B}"/>
    <cellStyle name="Comma 3 6 3 3 2 2 2 3" xfId="25647" xr:uid="{CDCCF5CC-2BA9-433B-B4F1-572BBBF8DE75}"/>
    <cellStyle name="Comma 3 6 3 3 2 2 3" xfId="12639" xr:uid="{853739B4-E28A-4007-A65C-ACC31B619740}"/>
    <cellStyle name="Comma 3 6 3 3 2 2 3 2" xfId="29983" xr:uid="{62F8AF6A-C2CE-4588-9457-734C01A75FF3}"/>
    <cellStyle name="Comma 3 6 3 3 2 2 4" xfId="21311" xr:uid="{3AD18D76-6809-457E-999D-6CE0EB7B2640}"/>
    <cellStyle name="Comma 3 6 3 3 2 3" xfId="6135" xr:uid="{BD66E374-696B-42D7-A210-083ED756D412}"/>
    <cellStyle name="Comma 3 6 3 3 2 3 2" xfId="14807" xr:uid="{A0364AB7-0CC9-4BED-8E27-190BAE288142}"/>
    <cellStyle name="Comma 3 6 3 3 2 3 2 2" xfId="32151" xr:uid="{85A988DE-5E1C-4212-8EEC-3091E1E228CE}"/>
    <cellStyle name="Comma 3 6 3 3 2 3 3" xfId="23479" xr:uid="{9FDE7677-D978-4FE9-B863-EC43E086E464}"/>
    <cellStyle name="Comma 3 6 3 3 2 4" xfId="10471" xr:uid="{0218A401-6E52-4CAD-B8CD-2C413FA8EF33}"/>
    <cellStyle name="Comma 3 6 3 3 2 4 2" xfId="27815" xr:uid="{98BE57FF-C7D8-4903-AAB2-1F26AA139ABE}"/>
    <cellStyle name="Comma 3 6 3 3 2 5" xfId="19143" xr:uid="{400EB690-3A70-464F-84B7-DF4D72338B41}"/>
    <cellStyle name="Comma 3 6 3 3 3" xfId="2883" xr:uid="{7DC10D94-B32A-4B62-8FD8-9EAF8406A02B}"/>
    <cellStyle name="Comma 3 6 3 3 3 2" xfId="7219" xr:uid="{E959E210-CDD5-4CDF-BE05-0F7C1A467779}"/>
    <cellStyle name="Comma 3 6 3 3 3 2 2" xfId="15891" xr:uid="{80E7DC7A-E8C7-4EC0-A1C6-BF2FA06A9D60}"/>
    <cellStyle name="Comma 3 6 3 3 3 2 2 2" xfId="33235" xr:uid="{AAB171EF-FEB2-4D1E-B0E5-0845A000F070}"/>
    <cellStyle name="Comma 3 6 3 3 3 2 3" xfId="24563" xr:uid="{53A0958B-8F8B-4442-A04B-2A0E985FFDA9}"/>
    <cellStyle name="Comma 3 6 3 3 3 3" xfId="11555" xr:uid="{DF3A7E46-3FEB-4021-895E-A1144B371692}"/>
    <cellStyle name="Comma 3 6 3 3 3 3 2" xfId="28899" xr:uid="{AF7A71E8-CC1D-4AB1-9E31-684C91107482}"/>
    <cellStyle name="Comma 3 6 3 3 3 4" xfId="20227" xr:uid="{24D2001B-6556-4762-9778-493E5D6DC520}"/>
    <cellStyle name="Comma 3 6 3 3 4" xfId="5051" xr:uid="{77A5FDF9-996C-496E-9F26-638CD27949B8}"/>
    <cellStyle name="Comma 3 6 3 3 4 2" xfId="13723" xr:uid="{E4624F6D-9526-41C8-9F52-4A4EB61B6C62}"/>
    <cellStyle name="Comma 3 6 3 3 4 2 2" xfId="31067" xr:uid="{50D2F755-AAD9-4DBC-AE61-0406F8A47799}"/>
    <cellStyle name="Comma 3 6 3 3 4 3" xfId="22395" xr:uid="{AB128309-E341-4A9D-A14D-3BB2D2C89AB1}"/>
    <cellStyle name="Comma 3 6 3 3 5" xfId="9387" xr:uid="{D8BC8ACC-B6F9-4A51-9F89-C361E375F9D3}"/>
    <cellStyle name="Comma 3 6 3 3 5 2" xfId="26731" xr:uid="{B49E865D-72CC-4DA6-91F2-A44EE89F13E3}"/>
    <cellStyle name="Comma 3 6 3 3 6" xfId="18059" xr:uid="{38B027F9-90E6-4434-875E-083E1D13BD13}"/>
    <cellStyle name="Comma 3 6 3 4" xfId="1258" xr:uid="{E5575D34-E622-493B-921E-C21886465407}"/>
    <cellStyle name="Comma 3 6 3 4 2" xfId="3426" xr:uid="{1010F55D-6186-4BFD-A545-6BD3595B5E35}"/>
    <cellStyle name="Comma 3 6 3 4 2 2" xfId="7762" xr:uid="{592893C7-22E8-45BE-99CC-4FF26D500B16}"/>
    <cellStyle name="Comma 3 6 3 4 2 2 2" xfId="16434" xr:uid="{FD92FDDE-0E45-4FFC-A1E0-2D4E803EDEB6}"/>
    <cellStyle name="Comma 3 6 3 4 2 2 2 2" xfId="33778" xr:uid="{89A93F59-2B56-49A8-BB62-9F67405FFA44}"/>
    <cellStyle name="Comma 3 6 3 4 2 2 3" xfId="25106" xr:uid="{8F43ABF7-C33F-4974-9826-3B631209607E}"/>
    <cellStyle name="Comma 3 6 3 4 2 3" xfId="12098" xr:uid="{68EED2F4-BE96-4E64-889B-A7EB58C4F801}"/>
    <cellStyle name="Comma 3 6 3 4 2 3 2" xfId="29442" xr:uid="{ED2A8865-0F7C-4503-B6BF-D326AE5AC580}"/>
    <cellStyle name="Comma 3 6 3 4 2 4" xfId="20770" xr:uid="{1D101AC8-C775-4BD5-97A2-F4212643887D}"/>
    <cellStyle name="Comma 3 6 3 4 3" xfId="5594" xr:uid="{41E07728-5B6C-44A6-A0AB-121A379F1FF7}"/>
    <cellStyle name="Comma 3 6 3 4 3 2" xfId="14266" xr:uid="{A1B4405E-3913-46B3-B2A9-49ED7886B263}"/>
    <cellStyle name="Comma 3 6 3 4 3 2 2" xfId="31610" xr:uid="{C259C282-7E69-4F7C-AEC1-BE237EC59323}"/>
    <cellStyle name="Comma 3 6 3 4 3 3" xfId="22938" xr:uid="{ED5E56E0-4582-4792-89AF-B6DDC9C818FE}"/>
    <cellStyle name="Comma 3 6 3 4 4" xfId="9930" xr:uid="{B96C5811-357B-40CE-A2DE-F7A5ACA46D8A}"/>
    <cellStyle name="Comma 3 6 3 4 4 2" xfId="27274" xr:uid="{7926DF03-0728-41E2-AFC5-2949FCE3CBDE}"/>
    <cellStyle name="Comma 3 6 3 4 5" xfId="18602" xr:uid="{D3AF2CAC-9A87-4B01-B66C-2CE9F3DD1F88}"/>
    <cellStyle name="Comma 3 6 3 5" xfId="2342" xr:uid="{1F845321-731C-4525-B90C-F770E6FE0A14}"/>
    <cellStyle name="Comma 3 6 3 5 2" xfId="6678" xr:uid="{0CE09443-227E-43FA-A0CD-4EA574350B32}"/>
    <cellStyle name="Comma 3 6 3 5 2 2" xfId="15350" xr:uid="{734DAEDC-633A-4614-BFEA-70A7AD0A729E}"/>
    <cellStyle name="Comma 3 6 3 5 2 2 2" xfId="32694" xr:uid="{DA964CC6-776E-41CB-82AA-9D2D562F2600}"/>
    <cellStyle name="Comma 3 6 3 5 2 3" xfId="24022" xr:uid="{FF2A3E06-DCF6-496D-B372-5C32637A2D6E}"/>
    <cellStyle name="Comma 3 6 3 5 3" xfId="11014" xr:uid="{716AF451-6AFA-4E45-B5F1-B2022759E9EF}"/>
    <cellStyle name="Comma 3 6 3 5 3 2" xfId="28358" xr:uid="{AD70F6E4-B25C-40BA-BF62-F1649F25DBC1}"/>
    <cellStyle name="Comma 3 6 3 5 4" xfId="19686" xr:uid="{2929145A-2D8C-4CB0-BAEA-3D94C1686064}"/>
    <cellStyle name="Comma 3 6 3 6" xfId="4510" xr:uid="{39CBE2C6-D531-460D-BFC7-8EE5D6D87807}"/>
    <cellStyle name="Comma 3 6 3 6 2" xfId="13182" xr:uid="{F8794708-C205-48E6-AED2-89538FEF39D9}"/>
    <cellStyle name="Comma 3 6 3 6 2 2" xfId="30526" xr:uid="{D9891506-3439-4986-B8BF-1CC8CE64A33D}"/>
    <cellStyle name="Comma 3 6 3 6 3" xfId="21854" xr:uid="{209FD3C0-1353-4FBF-89CE-02D60F5CA174}"/>
    <cellStyle name="Comma 3 6 3 7" xfId="8846" xr:uid="{138A9442-50F4-4B7B-BE04-A99A28D1DD05}"/>
    <cellStyle name="Comma 3 6 3 7 2" xfId="26190" xr:uid="{7563715D-AED7-450A-B090-180C8A10BFDD}"/>
    <cellStyle name="Comma 3 6 3 8" xfId="17518" xr:uid="{1B760601-82F3-4326-8D2D-7027D0D32BE8}"/>
    <cellStyle name="Comma 3 6 4" xfId="322" xr:uid="{F3E61493-DE93-47F2-82D9-B4905A8E6393}"/>
    <cellStyle name="Comma 3 6 4 2" xfId="863" xr:uid="{56E0ADC9-689D-4B17-8EC2-D5CADCCFCEE4}"/>
    <cellStyle name="Comma 3 6 4 2 2" xfId="1947" xr:uid="{8795FF74-5337-4A54-BEF1-B6D4F8F4C9E1}"/>
    <cellStyle name="Comma 3 6 4 2 2 2" xfId="4115" xr:uid="{D56150D1-9EC9-4B32-8F23-C0701459F8E6}"/>
    <cellStyle name="Comma 3 6 4 2 2 2 2" xfId="8451" xr:uid="{E258B095-7086-42E0-8DA9-C5FE1BFF52F7}"/>
    <cellStyle name="Comma 3 6 4 2 2 2 2 2" xfId="17123" xr:uid="{C436E61D-A9E6-4F7E-809C-0982EA3C3D66}"/>
    <cellStyle name="Comma 3 6 4 2 2 2 2 2 2" xfId="34467" xr:uid="{3AD23112-9CB1-4B67-AAED-A8FD4C76A085}"/>
    <cellStyle name="Comma 3 6 4 2 2 2 2 3" xfId="25795" xr:uid="{EB3168BB-5D28-41D4-8379-B6F71446DFEA}"/>
    <cellStyle name="Comma 3 6 4 2 2 2 3" xfId="12787" xr:uid="{C3141465-A953-4937-B566-2D6635AB448F}"/>
    <cellStyle name="Comma 3 6 4 2 2 2 3 2" xfId="30131" xr:uid="{359F06AB-F473-468D-A9BC-FF501253151E}"/>
    <cellStyle name="Comma 3 6 4 2 2 2 4" xfId="21459" xr:uid="{2E6F2882-3C62-4CBB-82F3-97318B2B13CF}"/>
    <cellStyle name="Comma 3 6 4 2 2 3" xfId="6283" xr:uid="{F34DE7B6-2C3E-454C-A2B8-9E11D9E69CD2}"/>
    <cellStyle name="Comma 3 6 4 2 2 3 2" xfId="14955" xr:uid="{A1042F19-2EFE-4C8D-B767-6BD32D6032F7}"/>
    <cellStyle name="Comma 3 6 4 2 2 3 2 2" xfId="32299" xr:uid="{E9C03AA5-BFEC-4869-9061-5FF630E087F4}"/>
    <cellStyle name="Comma 3 6 4 2 2 3 3" xfId="23627" xr:uid="{98B41C5C-9F16-4D82-8471-08C06969156A}"/>
    <cellStyle name="Comma 3 6 4 2 2 4" xfId="10619" xr:uid="{0E61DD1E-6D92-4715-9459-594FD56DE3B3}"/>
    <cellStyle name="Comma 3 6 4 2 2 4 2" xfId="27963" xr:uid="{11C59220-8A78-4FAE-824F-D542670E6692}"/>
    <cellStyle name="Comma 3 6 4 2 2 5" xfId="19291" xr:uid="{07BB7247-45D4-4A45-ADD3-B6C89C985F12}"/>
    <cellStyle name="Comma 3 6 4 2 3" xfId="3031" xr:uid="{7B0EA703-7903-4E16-8463-502467042B8D}"/>
    <cellStyle name="Comma 3 6 4 2 3 2" xfId="7367" xr:uid="{885FDFE5-F9A0-4A4D-AC02-E629A813E575}"/>
    <cellStyle name="Comma 3 6 4 2 3 2 2" xfId="16039" xr:uid="{8548172A-A1F3-4E63-B45C-8F110902A471}"/>
    <cellStyle name="Comma 3 6 4 2 3 2 2 2" xfId="33383" xr:uid="{55274287-CA02-4257-BC1C-187BDE094D94}"/>
    <cellStyle name="Comma 3 6 4 2 3 2 3" xfId="24711" xr:uid="{DA8DA215-0B2B-48B3-BA22-6DB246FFB470}"/>
    <cellStyle name="Comma 3 6 4 2 3 3" xfId="11703" xr:uid="{D6DB21A0-92B3-4927-A6DD-29F34E406487}"/>
    <cellStyle name="Comma 3 6 4 2 3 3 2" xfId="29047" xr:uid="{4BAD1796-914B-4003-9D2B-5F08FB270745}"/>
    <cellStyle name="Comma 3 6 4 2 3 4" xfId="20375" xr:uid="{E21664AF-9619-429A-9588-B0A6BC3D994D}"/>
    <cellStyle name="Comma 3 6 4 2 4" xfId="5199" xr:uid="{80C3DA55-F66C-4698-A983-B627B8E88A99}"/>
    <cellStyle name="Comma 3 6 4 2 4 2" xfId="13871" xr:uid="{1177FAA7-5537-456F-AB7D-524038C901C7}"/>
    <cellStyle name="Comma 3 6 4 2 4 2 2" xfId="31215" xr:uid="{25B733D2-AB34-4203-A566-BD57E7978621}"/>
    <cellStyle name="Comma 3 6 4 2 4 3" xfId="22543" xr:uid="{778BF817-9E3A-4CCA-8091-D54C3AF9E6C0}"/>
    <cellStyle name="Comma 3 6 4 2 5" xfId="9535" xr:uid="{D2095E90-DBC7-44D1-9161-B2A682364158}"/>
    <cellStyle name="Comma 3 6 4 2 5 2" xfId="26879" xr:uid="{0BA4D1B9-BF67-45C2-AB29-13DAA4057D31}"/>
    <cellStyle name="Comma 3 6 4 2 6" xfId="18207" xr:uid="{D1F211A6-5B67-4AFB-83E5-044313CE5BC4}"/>
    <cellStyle name="Comma 3 6 4 3" xfId="1406" xr:uid="{6B768F3D-7967-409C-B37A-CB12E2CEC07C}"/>
    <cellStyle name="Comma 3 6 4 3 2" xfId="3574" xr:uid="{164B0B9B-C260-4E5D-8D63-380861D8575A}"/>
    <cellStyle name="Comma 3 6 4 3 2 2" xfId="7910" xr:uid="{4E207099-6D69-4FEF-8610-6E0AAA321A59}"/>
    <cellStyle name="Comma 3 6 4 3 2 2 2" xfId="16582" xr:uid="{EEAB7CFA-1119-4763-A1B5-002FE024E86C}"/>
    <cellStyle name="Comma 3 6 4 3 2 2 2 2" xfId="33926" xr:uid="{6E651169-3EE2-47C4-9294-2F12B36BF2FB}"/>
    <cellStyle name="Comma 3 6 4 3 2 2 3" xfId="25254" xr:uid="{BF533455-74E9-4B14-9F35-9FDC4CF7E960}"/>
    <cellStyle name="Comma 3 6 4 3 2 3" xfId="12246" xr:uid="{E8F4BA1C-DF00-46CE-801F-66098A8DCA80}"/>
    <cellStyle name="Comma 3 6 4 3 2 3 2" xfId="29590" xr:uid="{529E7CD1-C4EA-42D6-9AB1-62307FDE430A}"/>
    <cellStyle name="Comma 3 6 4 3 2 4" xfId="20918" xr:uid="{3864AECA-222C-471A-872E-9445CE701E73}"/>
    <cellStyle name="Comma 3 6 4 3 3" xfId="5742" xr:uid="{77A797BB-06E4-4DEE-BB6D-FAFF21139218}"/>
    <cellStyle name="Comma 3 6 4 3 3 2" xfId="14414" xr:uid="{820CED7A-00AC-485D-AC22-022FE98BB97A}"/>
    <cellStyle name="Comma 3 6 4 3 3 2 2" xfId="31758" xr:uid="{49ED74C0-85EA-497A-8A32-A26599C067CE}"/>
    <cellStyle name="Comma 3 6 4 3 3 3" xfId="23086" xr:uid="{209E4253-A95F-4CFE-8A93-197288F727DF}"/>
    <cellStyle name="Comma 3 6 4 3 4" xfId="10078" xr:uid="{8E017BF7-DA34-4C69-8A1D-5491F88935CE}"/>
    <cellStyle name="Comma 3 6 4 3 4 2" xfId="27422" xr:uid="{CD004517-65B4-47B6-BE9E-60C0D04022A0}"/>
    <cellStyle name="Comma 3 6 4 3 5" xfId="18750" xr:uid="{0C71053E-7A3D-47C4-B5D5-AB68E2016FB3}"/>
    <cellStyle name="Comma 3 6 4 4" xfId="2490" xr:uid="{60B8B5E1-AF9B-42D9-86B1-0CDFC5C2EA84}"/>
    <cellStyle name="Comma 3 6 4 4 2" xfId="6826" xr:uid="{83A7A719-DB92-4277-92F6-B7592BCA4DC6}"/>
    <cellStyle name="Comma 3 6 4 4 2 2" xfId="15498" xr:uid="{52BA3727-4D8E-47B0-BECA-EA62E9624E09}"/>
    <cellStyle name="Comma 3 6 4 4 2 2 2" xfId="32842" xr:uid="{98D66003-AF7C-4FCC-B3A6-D57CA203E161}"/>
    <cellStyle name="Comma 3 6 4 4 2 3" xfId="24170" xr:uid="{0FCE5F7C-CA0E-42B9-91F4-B2AFAF08A0A8}"/>
    <cellStyle name="Comma 3 6 4 4 3" xfId="11162" xr:uid="{B154624B-4022-432A-8642-6083A30546DE}"/>
    <cellStyle name="Comma 3 6 4 4 3 2" xfId="28506" xr:uid="{53D528D3-427E-4E6B-84FC-6B3D235610FC}"/>
    <cellStyle name="Comma 3 6 4 4 4" xfId="19834" xr:uid="{6E2CFAAE-064E-4EFF-984B-F287578F912C}"/>
    <cellStyle name="Comma 3 6 4 5" xfId="4658" xr:uid="{A93265A7-3D7C-475F-86CB-5632AEC689AF}"/>
    <cellStyle name="Comma 3 6 4 5 2" xfId="13330" xr:uid="{3C1DC281-9860-41BC-82ED-FD3625EBF7F2}"/>
    <cellStyle name="Comma 3 6 4 5 2 2" xfId="30674" xr:uid="{6324D280-6EB5-4113-846C-511FCA405C20}"/>
    <cellStyle name="Comma 3 6 4 5 3" xfId="22002" xr:uid="{44261EF7-18B4-41CF-A519-7E6A642164CD}"/>
    <cellStyle name="Comma 3 6 4 6" xfId="8994" xr:uid="{AF9BB063-6F3B-466A-9F8A-DAB4B3088DA4}"/>
    <cellStyle name="Comma 3 6 4 6 2" xfId="26338" xr:uid="{B01D9411-6643-43B6-AB58-4B4E1AE7CECC}"/>
    <cellStyle name="Comma 3 6 4 7" xfId="17666" xr:uid="{586479F2-1506-4C3A-AB56-C2AFE356FFE0}"/>
    <cellStyle name="Comma 3 6 5" xfId="593" xr:uid="{995D995B-0B5B-4B2D-AC23-8CA9ED6B9702}"/>
    <cellStyle name="Comma 3 6 5 2" xfId="1677" xr:uid="{E5F0DE50-FFC4-4918-8C89-2B7450B2F995}"/>
    <cellStyle name="Comma 3 6 5 2 2" xfId="3845" xr:uid="{0318EBAB-9BBF-445E-AA31-276E590F95F2}"/>
    <cellStyle name="Comma 3 6 5 2 2 2" xfId="8181" xr:uid="{C8B42A1D-81F5-4F98-866C-35F6655EDBC4}"/>
    <cellStyle name="Comma 3 6 5 2 2 2 2" xfId="16853" xr:uid="{919A9479-383C-4BD2-9EF4-3CDD4C64AF85}"/>
    <cellStyle name="Comma 3 6 5 2 2 2 2 2" xfId="34197" xr:uid="{CB5420C3-A3CF-47E9-B9D5-F68CCF6015EF}"/>
    <cellStyle name="Comma 3 6 5 2 2 2 3" xfId="25525" xr:uid="{1A957784-24C5-4AB5-9382-B28FA369711C}"/>
    <cellStyle name="Comma 3 6 5 2 2 3" xfId="12517" xr:uid="{7D3603EE-4016-4E49-A3E4-C1F0829E327B}"/>
    <cellStyle name="Comma 3 6 5 2 2 3 2" xfId="29861" xr:uid="{68B0E23A-F406-4E86-83FC-67B2B22FF0C9}"/>
    <cellStyle name="Comma 3 6 5 2 2 4" xfId="21189" xr:uid="{619B734F-58D6-4CE6-BC42-D4F0A6523FC7}"/>
    <cellStyle name="Comma 3 6 5 2 3" xfId="6013" xr:uid="{8DE3FD47-FDB8-4488-8B6A-F1A3AB188C30}"/>
    <cellStyle name="Comma 3 6 5 2 3 2" xfId="14685" xr:uid="{4334885D-C8AB-4FF3-BCEF-BAC2FB03CAB4}"/>
    <cellStyle name="Comma 3 6 5 2 3 2 2" xfId="32029" xr:uid="{2C44FADB-9C04-4753-8542-721FF46913FC}"/>
    <cellStyle name="Comma 3 6 5 2 3 3" xfId="23357" xr:uid="{4C8FD8DE-798B-4DD8-AB09-3086CFC6CD14}"/>
    <cellStyle name="Comma 3 6 5 2 4" xfId="10349" xr:uid="{EF6D6CFF-290A-4E96-B39C-340E532B87CA}"/>
    <cellStyle name="Comma 3 6 5 2 4 2" xfId="27693" xr:uid="{724D7B34-03FC-4FFE-920A-4A6826EDF2CA}"/>
    <cellStyle name="Comma 3 6 5 2 5" xfId="19021" xr:uid="{E8A37218-C9CA-4980-8CFA-09C1DC572BE7}"/>
    <cellStyle name="Comma 3 6 5 3" xfId="2761" xr:uid="{C751BD50-1512-4B93-8F08-F25B9923A398}"/>
    <cellStyle name="Comma 3 6 5 3 2" xfId="7097" xr:uid="{B74FCBAF-0BD5-4E73-8E1C-FB46BE6E58F0}"/>
    <cellStyle name="Comma 3 6 5 3 2 2" xfId="15769" xr:uid="{8CB5FDDD-0C0A-46EE-B2F5-D8A6C198A906}"/>
    <cellStyle name="Comma 3 6 5 3 2 2 2" xfId="33113" xr:uid="{15ED33F6-98EC-4A15-A782-375CB122AA5B}"/>
    <cellStyle name="Comma 3 6 5 3 2 3" xfId="24441" xr:uid="{AF4F86A4-8E1B-44B8-B301-E9453A3BBDF4}"/>
    <cellStyle name="Comma 3 6 5 3 3" xfId="11433" xr:uid="{E3A62620-CCAA-4F70-9F84-448D6F79B643}"/>
    <cellStyle name="Comma 3 6 5 3 3 2" xfId="28777" xr:uid="{094BE81D-93BD-401D-A099-B929711AD475}"/>
    <cellStyle name="Comma 3 6 5 3 4" xfId="20105" xr:uid="{173A35F9-7D2A-4967-B1E6-583A1F2E7FAB}"/>
    <cellStyle name="Comma 3 6 5 4" xfId="4929" xr:uid="{F12E8300-B149-4C43-A28E-237083390847}"/>
    <cellStyle name="Comma 3 6 5 4 2" xfId="13601" xr:uid="{BC697501-0EC3-4394-8790-438145894414}"/>
    <cellStyle name="Comma 3 6 5 4 2 2" xfId="30945" xr:uid="{310C327E-FBE9-473B-AB2D-7AA799FFAD91}"/>
    <cellStyle name="Comma 3 6 5 4 3" xfId="22273" xr:uid="{897CD02A-0B55-4C40-BF1A-2D92B2260B04}"/>
    <cellStyle name="Comma 3 6 5 5" xfId="9265" xr:uid="{E8972BDA-F34B-4F5F-BC74-BD7AD16C37F4}"/>
    <cellStyle name="Comma 3 6 5 5 2" xfId="26609" xr:uid="{26552149-A176-42A0-B029-3A2B4CEA1F93}"/>
    <cellStyle name="Comma 3 6 5 6" xfId="17937" xr:uid="{E526106F-ABC4-4529-B7B5-D14C2C069469}"/>
    <cellStyle name="Comma 3 6 6" xfId="1136" xr:uid="{E5C4B2DF-B0EA-421D-9685-1F788992C7DD}"/>
    <cellStyle name="Comma 3 6 6 2" xfId="3304" xr:uid="{F7C5AC44-D1A2-4F0F-9017-E7503B6C41D6}"/>
    <cellStyle name="Comma 3 6 6 2 2" xfId="7640" xr:uid="{471E671C-0B48-4C2E-A1F4-66812897EF82}"/>
    <cellStyle name="Comma 3 6 6 2 2 2" xfId="16312" xr:uid="{69553779-7A21-4116-B569-CA24A1C7F54D}"/>
    <cellStyle name="Comma 3 6 6 2 2 2 2" xfId="33656" xr:uid="{098EAF75-AA4E-44C3-8F61-9CF93BB78CB8}"/>
    <cellStyle name="Comma 3 6 6 2 2 3" xfId="24984" xr:uid="{B71BFB09-002B-45CA-BEC6-00A70419F843}"/>
    <cellStyle name="Comma 3 6 6 2 3" xfId="11976" xr:uid="{15CE6376-7716-41E6-94CB-F5AA9919EA12}"/>
    <cellStyle name="Comma 3 6 6 2 3 2" xfId="29320" xr:uid="{4D1BA7AB-58FA-401D-9AEB-350DBE7BE606}"/>
    <cellStyle name="Comma 3 6 6 2 4" xfId="20648" xr:uid="{139CC3A9-C39B-4B59-A6C3-481535F8A8F5}"/>
    <cellStyle name="Comma 3 6 6 3" xfId="5472" xr:uid="{59FA7113-82DF-431E-842A-3855F849C553}"/>
    <cellStyle name="Comma 3 6 6 3 2" xfId="14144" xr:uid="{0E6CF881-C4D0-4FD2-A578-21F50A5D14B9}"/>
    <cellStyle name="Comma 3 6 6 3 2 2" xfId="31488" xr:uid="{175ADD4E-BE56-4271-9C10-5DA71BE506A0}"/>
    <cellStyle name="Comma 3 6 6 3 3" xfId="22816" xr:uid="{C701B0FB-6CCC-41C5-B66D-1D2E4A090309}"/>
    <cellStyle name="Comma 3 6 6 4" xfId="9808" xr:uid="{FCCD00BF-FD51-4BF5-B582-32877063BA7E}"/>
    <cellStyle name="Comma 3 6 6 4 2" xfId="27152" xr:uid="{EEC37B57-88BD-49D5-B972-B3F064D16AF3}"/>
    <cellStyle name="Comma 3 6 6 5" xfId="18480" xr:uid="{F83C8801-AF8B-4DC5-A324-827A86D5C278}"/>
    <cellStyle name="Comma 3 6 7" xfId="2220" xr:uid="{C2039804-D126-4A58-AC08-5004FE8EAF0E}"/>
    <cellStyle name="Comma 3 6 7 2" xfId="6556" xr:uid="{49F63BE0-9207-4184-84E4-B2CE713BD87E}"/>
    <cellStyle name="Comma 3 6 7 2 2" xfId="15228" xr:uid="{4F5539E8-A2D4-43E9-BD7A-C26B93223EDD}"/>
    <cellStyle name="Comma 3 6 7 2 2 2" xfId="32572" xr:uid="{022FFB25-0CD8-4094-BA8A-24C32ABC8E1F}"/>
    <cellStyle name="Comma 3 6 7 2 3" xfId="23900" xr:uid="{429C7207-7166-4B6D-A032-2A6603336CA1}"/>
    <cellStyle name="Comma 3 6 7 3" xfId="10892" xr:uid="{671071EA-E658-429E-AF9A-093B4ADDFF0B}"/>
    <cellStyle name="Comma 3 6 7 3 2" xfId="28236" xr:uid="{9FEB2BD8-E477-4CB2-9B68-DDC7B4BBC65A}"/>
    <cellStyle name="Comma 3 6 7 4" xfId="19564" xr:uid="{F41746FE-0288-4C19-8A25-C5919C087728}"/>
    <cellStyle name="Comma 3 6 8" xfId="4388" xr:uid="{95F5CD2E-4B9A-445F-A614-1C3F0DE4B8BF}"/>
    <cellStyle name="Comma 3 6 8 2" xfId="13060" xr:uid="{208FF9FD-5E7C-4675-BB08-8C1F51D682A2}"/>
    <cellStyle name="Comma 3 6 8 2 2" xfId="30404" xr:uid="{DD963D48-3BFB-4B8C-B24B-B46804D62A4A}"/>
    <cellStyle name="Comma 3 6 8 3" xfId="21732" xr:uid="{C66EE6F2-853B-49C8-92D0-643E198F4657}"/>
    <cellStyle name="Comma 3 6 9" xfId="8724" xr:uid="{D78025A7-2630-411B-A37F-1A9151D3485B}"/>
    <cellStyle name="Comma 3 6 9 2" xfId="26068" xr:uid="{36536CB2-4518-4860-9536-46E3AD914CD0}"/>
    <cellStyle name="Comma 3 7" xfId="65" xr:uid="{97194971-B7A5-40AB-905C-08CFB48052E3}"/>
    <cellStyle name="Comma 3 7 2" xfId="187" xr:uid="{B61EE7DC-201F-422E-AA36-0F61E090651D}"/>
    <cellStyle name="Comma 3 7 2 2" xfId="457" xr:uid="{B2CAA090-B469-4612-BDC6-4DF842D681CD}"/>
    <cellStyle name="Comma 3 7 2 2 2" xfId="998" xr:uid="{8A6233CB-2411-4848-B502-22406AA1F4FE}"/>
    <cellStyle name="Comma 3 7 2 2 2 2" xfId="2082" xr:uid="{81DDD780-553E-4650-8C16-8650F86D7D41}"/>
    <cellStyle name="Comma 3 7 2 2 2 2 2" xfId="4250" xr:uid="{1C44BA8C-5BD1-47CC-A87D-E37B491CFCB2}"/>
    <cellStyle name="Comma 3 7 2 2 2 2 2 2" xfId="8586" xr:uid="{73849D78-770A-4620-8E5F-9DEC4B7207E0}"/>
    <cellStyle name="Comma 3 7 2 2 2 2 2 2 2" xfId="17258" xr:uid="{4B1B79ED-A72C-4515-AA81-5BD77805DDDA}"/>
    <cellStyle name="Comma 3 7 2 2 2 2 2 2 2 2" xfId="34602" xr:uid="{A1796C1C-1845-4F32-94A9-62A8466A1569}"/>
    <cellStyle name="Comma 3 7 2 2 2 2 2 2 3" xfId="25930" xr:uid="{ED9B298B-9BB2-4925-9727-A222692557E0}"/>
    <cellStyle name="Comma 3 7 2 2 2 2 2 3" xfId="12922" xr:uid="{6B6AB03C-223F-4351-9057-E480C09F5443}"/>
    <cellStyle name="Comma 3 7 2 2 2 2 2 3 2" xfId="30266" xr:uid="{C84050B0-2F90-4A6B-80C2-21100A9EF3F8}"/>
    <cellStyle name="Comma 3 7 2 2 2 2 2 4" xfId="21594" xr:uid="{D9749400-220E-44D1-BA7E-D57CD059E8A9}"/>
    <cellStyle name="Comma 3 7 2 2 2 2 3" xfId="6418" xr:uid="{968AE3C2-0FD6-4747-B722-8D751A2B4D83}"/>
    <cellStyle name="Comma 3 7 2 2 2 2 3 2" xfId="15090" xr:uid="{00B42533-EA5C-46F1-A3B4-C69665514E72}"/>
    <cellStyle name="Comma 3 7 2 2 2 2 3 2 2" xfId="32434" xr:uid="{F216634E-9293-4A21-8749-DE34E76AA6A7}"/>
    <cellStyle name="Comma 3 7 2 2 2 2 3 3" xfId="23762" xr:uid="{FB9D4FA2-DBFB-4437-BDA2-0809B7D23011}"/>
    <cellStyle name="Comma 3 7 2 2 2 2 4" xfId="10754" xr:uid="{2E2EECF1-7D8E-48C7-A4EF-FB9E98E0E144}"/>
    <cellStyle name="Comma 3 7 2 2 2 2 4 2" xfId="28098" xr:uid="{1576C907-50BD-4551-86F3-C9D773E7844E}"/>
    <cellStyle name="Comma 3 7 2 2 2 2 5" xfId="19426" xr:uid="{6A1EB345-D61B-41F8-8B15-137E13A3F851}"/>
    <cellStyle name="Comma 3 7 2 2 2 3" xfId="3166" xr:uid="{1B0F7684-3284-407B-82EF-7280D808AE17}"/>
    <cellStyle name="Comma 3 7 2 2 2 3 2" xfId="7502" xr:uid="{BA814889-F698-4C0D-93E9-984BC632D8A3}"/>
    <cellStyle name="Comma 3 7 2 2 2 3 2 2" xfId="16174" xr:uid="{B399944C-1677-4117-8115-7B58AB17E6BD}"/>
    <cellStyle name="Comma 3 7 2 2 2 3 2 2 2" xfId="33518" xr:uid="{0F99263A-E301-4F8C-A7CE-6DCC349FA2AD}"/>
    <cellStyle name="Comma 3 7 2 2 2 3 2 3" xfId="24846" xr:uid="{17A219C2-8C43-43EA-819B-51CB3753D772}"/>
    <cellStyle name="Comma 3 7 2 2 2 3 3" xfId="11838" xr:uid="{4C76B111-EB95-4156-9BBF-3F75E9A8BFF0}"/>
    <cellStyle name="Comma 3 7 2 2 2 3 3 2" xfId="29182" xr:uid="{BC815E43-43E4-4336-A221-0E75E3FFFE4D}"/>
    <cellStyle name="Comma 3 7 2 2 2 3 4" xfId="20510" xr:uid="{5497BBB4-16D4-42F2-AF72-65CDFDCEB9E6}"/>
    <cellStyle name="Comma 3 7 2 2 2 4" xfId="5334" xr:uid="{60477174-8B1E-4955-9FD2-11F583997B61}"/>
    <cellStyle name="Comma 3 7 2 2 2 4 2" xfId="14006" xr:uid="{D8B7E87F-7736-474E-9013-AD8CCF198280}"/>
    <cellStyle name="Comma 3 7 2 2 2 4 2 2" xfId="31350" xr:uid="{7DD924C3-E5A7-4CB9-8459-41FC0221DF0D}"/>
    <cellStyle name="Comma 3 7 2 2 2 4 3" xfId="22678" xr:uid="{814E40D1-B4D4-48D0-AA51-E8416DC949C4}"/>
    <cellStyle name="Comma 3 7 2 2 2 5" xfId="9670" xr:uid="{1EBA4447-1ADD-4804-9F7A-85BBA9D17433}"/>
    <cellStyle name="Comma 3 7 2 2 2 5 2" xfId="27014" xr:uid="{76E3F2A5-01DF-4FEB-BE9C-C7EA599476A0}"/>
    <cellStyle name="Comma 3 7 2 2 2 6" xfId="18342" xr:uid="{F3A08E8C-D2A6-445C-90F9-5AEA969ECAD3}"/>
    <cellStyle name="Comma 3 7 2 2 3" xfId="1541" xr:uid="{6AD5E381-7D93-46B8-9435-A84FDCE6330C}"/>
    <cellStyle name="Comma 3 7 2 2 3 2" xfId="3709" xr:uid="{7CBAC0BB-4642-4139-9FCB-BE740B13F222}"/>
    <cellStyle name="Comma 3 7 2 2 3 2 2" xfId="8045" xr:uid="{0BC62086-BB30-4985-BB03-2088C42A4C77}"/>
    <cellStyle name="Comma 3 7 2 2 3 2 2 2" xfId="16717" xr:uid="{3595784A-DD06-4D86-BC90-12E7347A2434}"/>
    <cellStyle name="Comma 3 7 2 2 3 2 2 2 2" xfId="34061" xr:uid="{196F1858-44DC-4C2C-BE2D-BAE945E1B081}"/>
    <cellStyle name="Comma 3 7 2 2 3 2 2 3" xfId="25389" xr:uid="{71358313-2DC8-4C85-90DF-CD43DF71501C}"/>
    <cellStyle name="Comma 3 7 2 2 3 2 3" xfId="12381" xr:uid="{C5FDD039-099F-461F-8546-F165C84A4FD3}"/>
    <cellStyle name="Comma 3 7 2 2 3 2 3 2" xfId="29725" xr:uid="{959D1518-A85E-490A-90CE-CAE6A3E2ADC1}"/>
    <cellStyle name="Comma 3 7 2 2 3 2 4" xfId="21053" xr:uid="{283ED355-F5C7-4E48-AA52-C6156E1DB01F}"/>
    <cellStyle name="Comma 3 7 2 2 3 3" xfId="5877" xr:uid="{A31CA5E9-2F2C-4309-92D9-2DDE9EB9A2CB}"/>
    <cellStyle name="Comma 3 7 2 2 3 3 2" xfId="14549" xr:uid="{8AB853D2-C71D-47C5-98D9-8E9283B028D9}"/>
    <cellStyle name="Comma 3 7 2 2 3 3 2 2" xfId="31893" xr:uid="{B95856AE-0C41-41D9-B968-369819C5FE5D}"/>
    <cellStyle name="Comma 3 7 2 2 3 3 3" xfId="23221" xr:uid="{3A3E8A57-2DC0-41DE-B3F1-FE237E30C23D}"/>
    <cellStyle name="Comma 3 7 2 2 3 4" xfId="10213" xr:uid="{E3432DFA-B15C-442A-B0CD-42E075C71A2F}"/>
    <cellStyle name="Comma 3 7 2 2 3 4 2" xfId="27557" xr:uid="{AE828E4D-FB7F-4585-98F8-EE26901AD147}"/>
    <cellStyle name="Comma 3 7 2 2 3 5" xfId="18885" xr:uid="{73A63B63-9B7B-444E-BFF2-BCCB959861B0}"/>
    <cellStyle name="Comma 3 7 2 2 4" xfId="2625" xr:uid="{3D3C888A-5EC2-479B-91F7-B3ACA7907F9B}"/>
    <cellStyle name="Comma 3 7 2 2 4 2" xfId="6961" xr:uid="{FABBC982-DC8E-4536-9D1E-27906BFFB912}"/>
    <cellStyle name="Comma 3 7 2 2 4 2 2" xfId="15633" xr:uid="{EB1DE92E-4E1F-47AB-96CE-1AE90DAF9DA3}"/>
    <cellStyle name="Comma 3 7 2 2 4 2 2 2" xfId="32977" xr:uid="{53D3448D-F0D4-4DE7-A9AA-1D15EBBDC563}"/>
    <cellStyle name="Comma 3 7 2 2 4 2 3" xfId="24305" xr:uid="{64EDEE13-010C-48F8-9172-9F6127F75317}"/>
    <cellStyle name="Comma 3 7 2 2 4 3" xfId="11297" xr:uid="{54CDD8F2-2BD4-4B1B-9897-0E64B96658B9}"/>
    <cellStyle name="Comma 3 7 2 2 4 3 2" xfId="28641" xr:uid="{C8F2F560-E5B5-4376-8322-CD9DBA1A458E}"/>
    <cellStyle name="Comma 3 7 2 2 4 4" xfId="19969" xr:uid="{4F62307C-6B02-4DAD-9E98-AE116DD68527}"/>
    <cellStyle name="Comma 3 7 2 2 5" xfId="4793" xr:uid="{93053D8C-1B63-40E3-ACC7-940F2E769601}"/>
    <cellStyle name="Comma 3 7 2 2 5 2" xfId="13465" xr:uid="{4B7DC05B-50E0-491C-97CA-2363A93CD211}"/>
    <cellStyle name="Comma 3 7 2 2 5 2 2" xfId="30809" xr:uid="{8BE9AFF9-E51C-4F76-8DD9-002B7EC7F84B}"/>
    <cellStyle name="Comma 3 7 2 2 5 3" xfId="22137" xr:uid="{BCF329DA-C122-431D-97AA-F4B619A79255}"/>
    <cellStyle name="Comma 3 7 2 2 6" xfId="9129" xr:uid="{BBEEB4A1-836D-4C43-9C25-CBCF3EE0C8B0}"/>
    <cellStyle name="Comma 3 7 2 2 6 2" xfId="26473" xr:uid="{9D3370FC-BE6D-4773-8B08-1BC105DDEED0}"/>
    <cellStyle name="Comma 3 7 2 2 7" xfId="17801" xr:uid="{4099170A-B5F8-4BE3-902F-F5258E46989B}"/>
    <cellStyle name="Comma 3 7 2 3" xfId="728" xr:uid="{396189B3-A999-4162-A204-7115210F9052}"/>
    <cellStyle name="Comma 3 7 2 3 2" xfId="1812" xr:uid="{4F5B19DF-EE53-4876-A502-ADFE0BD330D9}"/>
    <cellStyle name="Comma 3 7 2 3 2 2" xfId="3980" xr:uid="{6C6288C8-720C-4D20-B100-37866FDAF762}"/>
    <cellStyle name="Comma 3 7 2 3 2 2 2" xfId="8316" xr:uid="{3C977A49-1386-4885-A889-04DBC94ABA1B}"/>
    <cellStyle name="Comma 3 7 2 3 2 2 2 2" xfId="16988" xr:uid="{5AF85AB7-9C05-4679-AA74-1C9ACEE62A6A}"/>
    <cellStyle name="Comma 3 7 2 3 2 2 2 2 2" xfId="34332" xr:uid="{8CFA94F3-632E-4578-B3B2-290BB023F22D}"/>
    <cellStyle name="Comma 3 7 2 3 2 2 2 3" xfId="25660" xr:uid="{55B8C5A9-79F1-4D7B-B690-7879FCDEFFAA}"/>
    <cellStyle name="Comma 3 7 2 3 2 2 3" xfId="12652" xr:uid="{C9D4EB84-76B8-494F-8CBF-C71F5FE65868}"/>
    <cellStyle name="Comma 3 7 2 3 2 2 3 2" xfId="29996" xr:uid="{79D3D081-2F26-4CA1-B966-930E16DC188E}"/>
    <cellStyle name="Comma 3 7 2 3 2 2 4" xfId="21324" xr:uid="{6FB2AF5B-9674-4163-9056-FA99AD17B882}"/>
    <cellStyle name="Comma 3 7 2 3 2 3" xfId="6148" xr:uid="{12E17D96-FF2E-463A-8137-12AEC1BF8999}"/>
    <cellStyle name="Comma 3 7 2 3 2 3 2" xfId="14820" xr:uid="{B5C1AB08-D9BC-41CC-A041-DF7D60CFC26B}"/>
    <cellStyle name="Comma 3 7 2 3 2 3 2 2" xfId="32164" xr:uid="{A7B2F0DC-8B6B-4D6C-86C2-DB014B11EF0E}"/>
    <cellStyle name="Comma 3 7 2 3 2 3 3" xfId="23492" xr:uid="{C8410DE4-1C70-42FA-B25E-8F5C06333EF1}"/>
    <cellStyle name="Comma 3 7 2 3 2 4" xfId="10484" xr:uid="{310FDAAE-6788-49CF-B842-52D955936FB4}"/>
    <cellStyle name="Comma 3 7 2 3 2 4 2" xfId="27828" xr:uid="{8E527A24-DDFC-4A46-B4A3-F77F1F50427F}"/>
    <cellStyle name="Comma 3 7 2 3 2 5" xfId="19156" xr:uid="{8754CBBB-61D2-4837-A40F-05DA7C697B21}"/>
    <cellStyle name="Comma 3 7 2 3 3" xfId="2896" xr:uid="{EE1C923F-295C-49F5-B3EB-349517211741}"/>
    <cellStyle name="Comma 3 7 2 3 3 2" xfId="7232" xr:uid="{DEB511D6-1F69-4059-B019-09845C92E2F9}"/>
    <cellStyle name="Comma 3 7 2 3 3 2 2" xfId="15904" xr:uid="{1D4E87C6-C16C-461E-8F6C-4A131C59CEB5}"/>
    <cellStyle name="Comma 3 7 2 3 3 2 2 2" xfId="33248" xr:uid="{787A9735-8FFD-466B-AB7E-BCA33F49859B}"/>
    <cellStyle name="Comma 3 7 2 3 3 2 3" xfId="24576" xr:uid="{38FF4C0E-9908-47D7-9787-0CCC600D7A0B}"/>
    <cellStyle name="Comma 3 7 2 3 3 3" xfId="11568" xr:uid="{52827AC6-EB84-4C11-B73B-9CE7D7D79F59}"/>
    <cellStyle name="Comma 3 7 2 3 3 3 2" xfId="28912" xr:uid="{D58ADBC1-6280-40E8-9D7C-CDF2433FA809}"/>
    <cellStyle name="Comma 3 7 2 3 3 4" xfId="20240" xr:uid="{97AF2193-F1FD-4436-95BC-FF1D8B971FDD}"/>
    <cellStyle name="Comma 3 7 2 3 4" xfId="5064" xr:uid="{0E2FEF40-8B9D-4522-A373-EDC2F7AF1931}"/>
    <cellStyle name="Comma 3 7 2 3 4 2" xfId="13736" xr:uid="{78A19280-4EFC-4034-A4FD-ECDA6DFA29C5}"/>
    <cellStyle name="Comma 3 7 2 3 4 2 2" xfId="31080" xr:uid="{185B10A5-43A2-42A8-A3B6-54802E6F7FF7}"/>
    <cellStyle name="Comma 3 7 2 3 4 3" xfId="22408" xr:uid="{B75F50A0-EB86-4CD7-8917-6CDAD1FABEAD}"/>
    <cellStyle name="Comma 3 7 2 3 5" xfId="9400" xr:uid="{A444F216-58D4-4854-BD4E-506DADA67C25}"/>
    <cellStyle name="Comma 3 7 2 3 5 2" xfId="26744" xr:uid="{929A1CA3-4C38-47C7-A130-8F6D42C07BD1}"/>
    <cellStyle name="Comma 3 7 2 3 6" xfId="18072" xr:uid="{062D3D69-AF44-4071-A7E6-E0A3DF2288BE}"/>
    <cellStyle name="Comma 3 7 2 4" xfId="1271" xr:uid="{A6CF1E50-CAE9-435A-BB32-D0D0BB338E78}"/>
    <cellStyle name="Comma 3 7 2 4 2" xfId="3439" xr:uid="{A2987972-2AC5-46C2-B33E-17B90801690C}"/>
    <cellStyle name="Comma 3 7 2 4 2 2" xfId="7775" xr:uid="{3BA53A44-B291-4FA8-BAFB-B9945185015A}"/>
    <cellStyle name="Comma 3 7 2 4 2 2 2" xfId="16447" xr:uid="{EA8C9050-4647-45D0-AD77-38F62915EB2B}"/>
    <cellStyle name="Comma 3 7 2 4 2 2 2 2" xfId="33791" xr:uid="{199E234F-022E-4547-AB2E-F0961B881F86}"/>
    <cellStyle name="Comma 3 7 2 4 2 2 3" xfId="25119" xr:uid="{1F35E07D-C531-4308-BFF5-458B8CF56DD6}"/>
    <cellStyle name="Comma 3 7 2 4 2 3" xfId="12111" xr:uid="{4609C1A2-D481-4A77-AE1A-CA7A566B82B8}"/>
    <cellStyle name="Comma 3 7 2 4 2 3 2" xfId="29455" xr:uid="{1CC07D63-FD11-42C1-939B-0C8CDD4651BC}"/>
    <cellStyle name="Comma 3 7 2 4 2 4" xfId="20783" xr:uid="{93437A79-1FFE-411B-93C3-C38C0362D8B1}"/>
    <cellStyle name="Comma 3 7 2 4 3" xfId="5607" xr:uid="{D2650759-A6E8-4775-A960-3153EDA70207}"/>
    <cellStyle name="Comma 3 7 2 4 3 2" xfId="14279" xr:uid="{4EAA9E28-9DE7-4390-AAEA-99737186D41B}"/>
    <cellStyle name="Comma 3 7 2 4 3 2 2" xfId="31623" xr:uid="{11DEFA47-E969-4555-BC9B-C27F6142E6BB}"/>
    <cellStyle name="Comma 3 7 2 4 3 3" xfId="22951" xr:uid="{EA183B47-0D19-4723-8D60-62E32BE1337D}"/>
    <cellStyle name="Comma 3 7 2 4 4" xfId="9943" xr:uid="{1502AE9B-7918-4F02-A3FD-BB59B309D3E0}"/>
    <cellStyle name="Comma 3 7 2 4 4 2" xfId="27287" xr:uid="{10EA6F80-5499-435D-BA93-3F8AF03B3E79}"/>
    <cellStyle name="Comma 3 7 2 4 5" xfId="18615" xr:uid="{B5F382E3-E726-4E42-A4BB-989FD3201A54}"/>
    <cellStyle name="Comma 3 7 2 5" xfId="2355" xr:uid="{E3EC327C-7A8D-466E-8F73-1FE8D9CA6431}"/>
    <cellStyle name="Comma 3 7 2 5 2" xfId="6691" xr:uid="{0DF70CE8-71E3-4ADD-97CE-77925DE3BB02}"/>
    <cellStyle name="Comma 3 7 2 5 2 2" xfId="15363" xr:uid="{F2C06D58-1062-479A-AAD8-6EF6E5C4D5BA}"/>
    <cellStyle name="Comma 3 7 2 5 2 2 2" xfId="32707" xr:uid="{CFE628F7-41D9-4D83-8923-47EFC8ADC27D}"/>
    <cellStyle name="Comma 3 7 2 5 2 3" xfId="24035" xr:uid="{E3C066A6-3DC1-4AC3-AB8A-5C373C51AD6D}"/>
    <cellStyle name="Comma 3 7 2 5 3" xfId="11027" xr:uid="{DA9C82B8-2A6A-4EA3-9EB1-63C86D1BFF43}"/>
    <cellStyle name="Comma 3 7 2 5 3 2" xfId="28371" xr:uid="{19CC84F0-B344-4F37-B6BA-6A3EEF55B4AF}"/>
    <cellStyle name="Comma 3 7 2 5 4" xfId="19699" xr:uid="{8B679F40-A485-4C2A-A691-28A490C04D4C}"/>
    <cellStyle name="Comma 3 7 2 6" xfId="4523" xr:uid="{1E84EE75-85F7-4614-B3E8-874C26D0B438}"/>
    <cellStyle name="Comma 3 7 2 6 2" xfId="13195" xr:uid="{A0A736CC-B77E-4B7F-BEB6-9359457F77B8}"/>
    <cellStyle name="Comma 3 7 2 6 2 2" xfId="30539" xr:uid="{C7845C6E-994B-4714-8629-DC7F90A8207A}"/>
    <cellStyle name="Comma 3 7 2 6 3" xfId="21867" xr:uid="{B17D796A-D28A-4CBA-ADB6-0B990E0EA954}"/>
    <cellStyle name="Comma 3 7 2 7" xfId="8859" xr:uid="{0FF4958D-2013-440B-927A-473FFE311476}"/>
    <cellStyle name="Comma 3 7 2 7 2" xfId="26203" xr:uid="{083B1016-894B-439E-B3A2-A9B777740A69}"/>
    <cellStyle name="Comma 3 7 2 8" xfId="17531" xr:uid="{E219E0D3-645C-49D1-B291-DF8052E4954E}"/>
    <cellStyle name="Comma 3 7 3" xfId="335" xr:uid="{15CD76CC-55B9-44A6-AA79-ED6A5C776D4E}"/>
    <cellStyle name="Comma 3 7 3 2" xfId="876" xr:uid="{F244A994-9580-4252-A02B-F34DECEA41AF}"/>
    <cellStyle name="Comma 3 7 3 2 2" xfId="1960" xr:uid="{04919F27-06F1-44CE-92C8-532B4F4952F5}"/>
    <cellStyle name="Comma 3 7 3 2 2 2" xfId="4128" xr:uid="{C3F1D6F2-529B-4909-B280-95E03F03A782}"/>
    <cellStyle name="Comma 3 7 3 2 2 2 2" xfId="8464" xr:uid="{0B11396F-31F3-414F-87C2-62E83002D9F5}"/>
    <cellStyle name="Comma 3 7 3 2 2 2 2 2" xfId="17136" xr:uid="{9A979838-4374-42DA-8A6F-4B694C9C2696}"/>
    <cellStyle name="Comma 3 7 3 2 2 2 2 2 2" xfId="34480" xr:uid="{9CB4F952-FD4B-4E21-88C4-53016DC50B13}"/>
    <cellStyle name="Comma 3 7 3 2 2 2 2 3" xfId="25808" xr:uid="{A7E398A9-F74E-40AC-A76E-576D288D767A}"/>
    <cellStyle name="Comma 3 7 3 2 2 2 3" xfId="12800" xr:uid="{4BF364AC-350E-4577-8C00-18DC48A4B778}"/>
    <cellStyle name="Comma 3 7 3 2 2 2 3 2" xfId="30144" xr:uid="{568475BD-49E1-41C7-BC78-6C5C58D2AFAE}"/>
    <cellStyle name="Comma 3 7 3 2 2 2 4" xfId="21472" xr:uid="{FC10E13D-1398-480E-9821-0EC24BE74D41}"/>
    <cellStyle name="Comma 3 7 3 2 2 3" xfId="6296" xr:uid="{366640DD-AECB-4B79-9A89-A652D404ADEB}"/>
    <cellStyle name="Comma 3 7 3 2 2 3 2" xfId="14968" xr:uid="{42F14991-199A-4CAC-83DD-72C245E80B1B}"/>
    <cellStyle name="Comma 3 7 3 2 2 3 2 2" xfId="32312" xr:uid="{DE275B51-B2A6-495C-9ADF-FC27FC2A5691}"/>
    <cellStyle name="Comma 3 7 3 2 2 3 3" xfId="23640" xr:uid="{3A10ED15-67BE-42CE-995D-EDEC6F31BD85}"/>
    <cellStyle name="Comma 3 7 3 2 2 4" xfId="10632" xr:uid="{0A1C5360-83FE-4562-BDC4-D9BCD5A975E3}"/>
    <cellStyle name="Comma 3 7 3 2 2 4 2" xfId="27976" xr:uid="{748DF4FD-7658-462A-BDB0-5DB4F6921022}"/>
    <cellStyle name="Comma 3 7 3 2 2 5" xfId="19304" xr:uid="{ABB02D99-EA56-4C7F-9E15-F30277501B25}"/>
    <cellStyle name="Comma 3 7 3 2 3" xfId="3044" xr:uid="{869E6829-A49A-4484-AC44-41DF63DDA80A}"/>
    <cellStyle name="Comma 3 7 3 2 3 2" xfId="7380" xr:uid="{727A2879-6129-4F89-B140-5C7EF4C79B77}"/>
    <cellStyle name="Comma 3 7 3 2 3 2 2" xfId="16052" xr:uid="{CCCE55F9-8D4E-42A3-B416-F1DFCF049726}"/>
    <cellStyle name="Comma 3 7 3 2 3 2 2 2" xfId="33396" xr:uid="{8220C1AC-7C67-4A2B-A271-976B35D0D95B}"/>
    <cellStyle name="Comma 3 7 3 2 3 2 3" xfId="24724" xr:uid="{70A55ACD-DE9C-4B45-9F32-F4A8AA1A4BC5}"/>
    <cellStyle name="Comma 3 7 3 2 3 3" xfId="11716" xr:uid="{EC838EEA-032A-4041-98D8-474BB5D3E082}"/>
    <cellStyle name="Comma 3 7 3 2 3 3 2" xfId="29060" xr:uid="{98245661-2611-4CAE-8B8B-D11344271452}"/>
    <cellStyle name="Comma 3 7 3 2 3 4" xfId="20388" xr:uid="{B52B64CE-3BA7-44E2-92D1-D5F63FD14B17}"/>
    <cellStyle name="Comma 3 7 3 2 4" xfId="5212" xr:uid="{454005CE-FC63-4747-B5C5-A0E853CFC1BF}"/>
    <cellStyle name="Comma 3 7 3 2 4 2" xfId="13884" xr:uid="{033DB146-24D0-43DD-85FA-9F3A4290F0AC}"/>
    <cellStyle name="Comma 3 7 3 2 4 2 2" xfId="31228" xr:uid="{122C0380-9E20-415C-83CB-730470741A43}"/>
    <cellStyle name="Comma 3 7 3 2 4 3" xfId="22556" xr:uid="{82872E24-9CB7-4152-8D82-C88CD134D382}"/>
    <cellStyle name="Comma 3 7 3 2 5" xfId="9548" xr:uid="{7918C87F-E832-4082-A90D-AB2D995FA785}"/>
    <cellStyle name="Comma 3 7 3 2 5 2" xfId="26892" xr:uid="{8BDCEA74-1364-4C1E-AEF1-343AD40C6BFA}"/>
    <cellStyle name="Comma 3 7 3 2 6" xfId="18220" xr:uid="{B318F6BE-2EFE-4F84-A86E-C66F6F631A35}"/>
    <cellStyle name="Comma 3 7 3 3" xfId="1419" xr:uid="{24333B7A-AC2C-4979-B16A-CBDF9289FC1F}"/>
    <cellStyle name="Comma 3 7 3 3 2" xfId="3587" xr:uid="{323839B2-32DD-4491-929A-8AD48B166894}"/>
    <cellStyle name="Comma 3 7 3 3 2 2" xfId="7923" xr:uid="{C05E7A39-E15C-4752-ADBF-287164005448}"/>
    <cellStyle name="Comma 3 7 3 3 2 2 2" xfId="16595" xr:uid="{7CCC53F5-AECA-4323-B5D5-46D10F3E5E38}"/>
    <cellStyle name="Comma 3 7 3 3 2 2 2 2" xfId="33939" xr:uid="{CD9CC2C9-73A2-4668-A55B-3C285B66DDB8}"/>
    <cellStyle name="Comma 3 7 3 3 2 2 3" xfId="25267" xr:uid="{207AF81E-C3E6-4C22-B6FA-7F4C775E9F58}"/>
    <cellStyle name="Comma 3 7 3 3 2 3" xfId="12259" xr:uid="{CC2ED8EB-752E-4D35-8262-CF96C2D6C0B4}"/>
    <cellStyle name="Comma 3 7 3 3 2 3 2" xfId="29603" xr:uid="{874BAE1E-8078-4BC8-9F87-57796B8A222A}"/>
    <cellStyle name="Comma 3 7 3 3 2 4" xfId="20931" xr:uid="{2605C553-53AC-4D0F-9EC6-31607DF3497C}"/>
    <cellStyle name="Comma 3 7 3 3 3" xfId="5755" xr:uid="{2E28DDC0-41DF-42DC-8394-52DCD006D0AA}"/>
    <cellStyle name="Comma 3 7 3 3 3 2" xfId="14427" xr:uid="{8B9D3398-CE41-419A-8C76-3A2681770AD2}"/>
    <cellStyle name="Comma 3 7 3 3 3 2 2" xfId="31771" xr:uid="{F17F138F-1809-436D-ACAC-99F36B2D94C9}"/>
    <cellStyle name="Comma 3 7 3 3 3 3" xfId="23099" xr:uid="{8053A3F2-60EC-4840-9E95-9748158DF66B}"/>
    <cellStyle name="Comma 3 7 3 3 4" xfId="10091" xr:uid="{BF6E9CB6-A194-4BD1-A481-1241E44DA4FE}"/>
    <cellStyle name="Comma 3 7 3 3 4 2" xfId="27435" xr:uid="{61985682-E172-44A7-B9B4-8098C4F4C956}"/>
    <cellStyle name="Comma 3 7 3 3 5" xfId="18763" xr:uid="{115DED06-9646-419F-B1D7-4903A218B3BD}"/>
    <cellStyle name="Comma 3 7 3 4" xfId="2503" xr:uid="{D6461BAE-5E1B-4CA8-B3CE-B8972E4689E1}"/>
    <cellStyle name="Comma 3 7 3 4 2" xfId="6839" xr:uid="{9BDDE4A7-00F6-42E6-A9BA-98BF53EEEB6D}"/>
    <cellStyle name="Comma 3 7 3 4 2 2" xfId="15511" xr:uid="{260FCB0E-07A5-4823-9330-C07A1D46BD9C}"/>
    <cellStyle name="Comma 3 7 3 4 2 2 2" xfId="32855" xr:uid="{51088014-7CA4-480E-BE85-56CD621BA695}"/>
    <cellStyle name="Comma 3 7 3 4 2 3" xfId="24183" xr:uid="{A67BAA47-45B1-4A3C-A417-6A6B4BEF7E5E}"/>
    <cellStyle name="Comma 3 7 3 4 3" xfId="11175" xr:uid="{04F147D2-76A7-48F6-804F-D2290EA90648}"/>
    <cellStyle name="Comma 3 7 3 4 3 2" xfId="28519" xr:uid="{E9C9B8CD-1EF1-4CE6-B64B-F95232C5B845}"/>
    <cellStyle name="Comma 3 7 3 4 4" xfId="19847" xr:uid="{E6B07613-A8E4-4ADA-95A8-4BCB4B871F5F}"/>
    <cellStyle name="Comma 3 7 3 5" xfId="4671" xr:uid="{85E7AF15-D4E1-4CE4-8D74-163114CB36AB}"/>
    <cellStyle name="Comma 3 7 3 5 2" xfId="13343" xr:uid="{56656430-4106-4FE5-A479-11264587628C}"/>
    <cellStyle name="Comma 3 7 3 5 2 2" xfId="30687" xr:uid="{A2F8E1FD-BFE7-4F57-9B6D-42B26B92F883}"/>
    <cellStyle name="Comma 3 7 3 5 3" xfId="22015" xr:uid="{744055EE-B66A-4978-8993-FC8E58C8B823}"/>
    <cellStyle name="Comma 3 7 3 6" xfId="9007" xr:uid="{20ECA2FF-E37F-4AEE-9A93-2ADEE4ABEC1E}"/>
    <cellStyle name="Comma 3 7 3 6 2" xfId="26351" xr:uid="{7DF0A973-5B7B-498B-B7C2-91C5B5B0813D}"/>
    <cellStyle name="Comma 3 7 3 7" xfId="17679" xr:uid="{0D2D2E6F-E0DD-4E56-BB3A-EB8FDD5C2AEE}"/>
    <cellStyle name="Comma 3 7 4" xfId="606" xr:uid="{60EFD35C-0071-4D44-8781-55F9CC20CB12}"/>
    <cellStyle name="Comma 3 7 4 2" xfId="1690" xr:uid="{0810B461-4A6C-4CC4-8552-B38656C9D69C}"/>
    <cellStyle name="Comma 3 7 4 2 2" xfId="3858" xr:uid="{7CE0DD49-860E-48A7-91E2-677F0B9A56EC}"/>
    <cellStyle name="Comma 3 7 4 2 2 2" xfId="8194" xr:uid="{BE5B19C1-9AC6-4F3D-875C-CE7FA155F694}"/>
    <cellStyle name="Comma 3 7 4 2 2 2 2" xfId="16866" xr:uid="{A217F0AB-2B80-4BFF-8628-788D1A7036F1}"/>
    <cellStyle name="Comma 3 7 4 2 2 2 2 2" xfId="34210" xr:uid="{31D9293A-D4C3-42FD-A33D-127FB4061288}"/>
    <cellStyle name="Comma 3 7 4 2 2 2 3" xfId="25538" xr:uid="{347C99E6-5659-4ECE-9C87-DE0EF6622BCB}"/>
    <cellStyle name="Comma 3 7 4 2 2 3" xfId="12530" xr:uid="{26854631-724D-4DA4-879F-A7DEC12AB725}"/>
    <cellStyle name="Comma 3 7 4 2 2 3 2" xfId="29874" xr:uid="{D49E4E3C-3324-465F-A358-A3EC924C894E}"/>
    <cellStyle name="Comma 3 7 4 2 2 4" xfId="21202" xr:uid="{42CA1E1E-F685-4F37-A05F-38D3998789E8}"/>
    <cellStyle name="Comma 3 7 4 2 3" xfId="6026" xr:uid="{82C7339D-462D-461C-B41C-50978D21E6F5}"/>
    <cellStyle name="Comma 3 7 4 2 3 2" xfId="14698" xr:uid="{49A0599D-DF30-4590-99C6-4481CB470106}"/>
    <cellStyle name="Comma 3 7 4 2 3 2 2" xfId="32042" xr:uid="{06B41C75-DF41-4AEB-AAB0-C6AD9B931629}"/>
    <cellStyle name="Comma 3 7 4 2 3 3" xfId="23370" xr:uid="{45C09240-8D73-4FB1-B0EE-3DB1635154A9}"/>
    <cellStyle name="Comma 3 7 4 2 4" xfId="10362" xr:uid="{BAC1DF46-169E-46ED-8490-5599C2E9E797}"/>
    <cellStyle name="Comma 3 7 4 2 4 2" xfId="27706" xr:uid="{29DC3DDD-8CCD-45BF-B232-6AE14858E506}"/>
    <cellStyle name="Comma 3 7 4 2 5" xfId="19034" xr:uid="{5235DEB5-2DAE-4BC7-AEBF-1813585778C1}"/>
    <cellStyle name="Comma 3 7 4 3" xfId="2774" xr:uid="{BCB3C0BD-2A35-43E6-A457-DF37EA39ED5A}"/>
    <cellStyle name="Comma 3 7 4 3 2" xfId="7110" xr:uid="{5D495F1E-129E-4831-8D83-4374D78328DA}"/>
    <cellStyle name="Comma 3 7 4 3 2 2" xfId="15782" xr:uid="{078A12F5-38F6-4A35-AF62-9868DF130E8A}"/>
    <cellStyle name="Comma 3 7 4 3 2 2 2" xfId="33126" xr:uid="{FB76EBCE-15C5-4CA8-955D-8AC3D4B3EC9A}"/>
    <cellStyle name="Comma 3 7 4 3 2 3" xfId="24454" xr:uid="{9FE61C4B-D0CB-4CA7-9E81-15353CE13C6C}"/>
    <cellStyle name="Comma 3 7 4 3 3" xfId="11446" xr:uid="{B38FAD08-B079-4ABE-AE08-F850A7A950A0}"/>
    <cellStyle name="Comma 3 7 4 3 3 2" xfId="28790" xr:uid="{425C951B-2D69-4298-B60D-95253CA075D5}"/>
    <cellStyle name="Comma 3 7 4 3 4" xfId="20118" xr:uid="{DA03EF4F-0FAE-4461-8AC5-5CE57ABE94C1}"/>
    <cellStyle name="Comma 3 7 4 4" xfId="4942" xr:uid="{5241457E-7074-4A21-986D-0F225ECC28F1}"/>
    <cellStyle name="Comma 3 7 4 4 2" xfId="13614" xr:uid="{482AEC65-1228-4F6A-ACE4-4B6C1FC2E3A4}"/>
    <cellStyle name="Comma 3 7 4 4 2 2" xfId="30958" xr:uid="{1FD20CE5-0EDA-43E8-A733-2B08C2790EF9}"/>
    <cellStyle name="Comma 3 7 4 4 3" xfId="22286" xr:uid="{024C9894-C447-4451-8AFB-8D801339AB6E}"/>
    <cellStyle name="Comma 3 7 4 5" xfId="9278" xr:uid="{96CB4CF3-530A-407C-9F33-F08FA2A27D56}"/>
    <cellStyle name="Comma 3 7 4 5 2" xfId="26622" xr:uid="{8816C83B-5354-42D3-B7B0-6214B1DD55F2}"/>
    <cellStyle name="Comma 3 7 4 6" xfId="17950" xr:uid="{F5CB9201-818B-400F-8598-6F15C2C9ABBA}"/>
    <cellStyle name="Comma 3 7 5" xfId="1149" xr:uid="{0F7939DB-E1C9-44D3-B8B0-3C429E89361D}"/>
    <cellStyle name="Comma 3 7 5 2" xfId="3317" xr:uid="{EE2163FA-0095-47CF-AFBB-542C6662B058}"/>
    <cellStyle name="Comma 3 7 5 2 2" xfId="7653" xr:uid="{D12791BC-B2DE-4B30-8999-DB5EB0D61588}"/>
    <cellStyle name="Comma 3 7 5 2 2 2" xfId="16325" xr:uid="{6F8AE7C4-5714-4D09-81E7-C96469538462}"/>
    <cellStyle name="Comma 3 7 5 2 2 2 2" xfId="33669" xr:uid="{93E3A62C-FBE6-4F2E-8839-D474E22CB886}"/>
    <cellStyle name="Comma 3 7 5 2 2 3" xfId="24997" xr:uid="{35AC6321-2628-4FCF-80BF-68F12412C0A2}"/>
    <cellStyle name="Comma 3 7 5 2 3" xfId="11989" xr:uid="{2CA8AEA4-86C6-4477-919F-0034D128A874}"/>
    <cellStyle name="Comma 3 7 5 2 3 2" xfId="29333" xr:uid="{20F847A4-7B36-4AF2-93AB-FECD7BDD4368}"/>
    <cellStyle name="Comma 3 7 5 2 4" xfId="20661" xr:uid="{F5F7A0EC-81D8-41C8-B836-823E409BDFEA}"/>
    <cellStyle name="Comma 3 7 5 3" xfId="5485" xr:uid="{6D1A7B4E-F66D-4058-A7CB-6169D3F16D37}"/>
    <cellStyle name="Comma 3 7 5 3 2" xfId="14157" xr:uid="{7EDDB462-2801-4E3C-93B2-AF8CD0445F83}"/>
    <cellStyle name="Comma 3 7 5 3 2 2" xfId="31501" xr:uid="{B54D79A8-2531-48DB-AAE1-7F92F00C6D19}"/>
    <cellStyle name="Comma 3 7 5 3 3" xfId="22829" xr:uid="{81DC9605-F420-4FE7-BF8D-44E92B17EFF7}"/>
    <cellStyle name="Comma 3 7 5 4" xfId="9821" xr:uid="{B293165E-D980-435D-9FA7-95FE59C1936D}"/>
    <cellStyle name="Comma 3 7 5 4 2" xfId="27165" xr:uid="{1F85C556-D4D8-459E-9550-9A6BB273E146}"/>
    <cellStyle name="Comma 3 7 5 5" xfId="18493" xr:uid="{941E7A43-00B7-4447-8095-80D5C421B05B}"/>
    <cellStyle name="Comma 3 7 6" xfId="2233" xr:uid="{5C148BFE-1708-4CE6-BEB3-13EA544DCB4C}"/>
    <cellStyle name="Comma 3 7 6 2" xfId="6569" xr:uid="{9CB96330-B2E0-4FD9-9461-EC4D6C66BCCF}"/>
    <cellStyle name="Comma 3 7 6 2 2" xfId="15241" xr:uid="{6673FE14-1125-49D3-84B0-153882A760B9}"/>
    <cellStyle name="Comma 3 7 6 2 2 2" xfId="32585" xr:uid="{7C532979-CFC3-4045-9473-EF30BC19806D}"/>
    <cellStyle name="Comma 3 7 6 2 3" xfId="23913" xr:uid="{E56233F8-0A8C-4528-8B99-327128393B45}"/>
    <cellStyle name="Comma 3 7 6 3" xfId="10905" xr:uid="{ADB657DF-93E6-4D73-A8BB-A31F0F82D0DB}"/>
    <cellStyle name="Comma 3 7 6 3 2" xfId="28249" xr:uid="{FE026FE1-32A8-4B56-9406-A77BC64B8322}"/>
    <cellStyle name="Comma 3 7 6 4" xfId="19577" xr:uid="{15B57BE1-877B-4392-9A18-CD4AF41197B2}"/>
    <cellStyle name="Comma 3 7 7" xfId="4401" xr:uid="{03B20C69-F863-4D2C-B3A9-6602EEFF06D1}"/>
    <cellStyle name="Comma 3 7 7 2" xfId="13073" xr:uid="{575BA74A-6EA6-423B-98D1-05A3B72142BD}"/>
    <cellStyle name="Comma 3 7 7 2 2" xfId="30417" xr:uid="{31019E66-434D-4399-8AE9-AF8F7DBDE828}"/>
    <cellStyle name="Comma 3 7 7 3" xfId="21745" xr:uid="{E990A093-A816-4A20-B4E0-E049D16B4A84}"/>
    <cellStyle name="Comma 3 7 8" xfId="8737" xr:uid="{2CC0325F-9578-41FE-AE2F-39BD509EDAE8}"/>
    <cellStyle name="Comma 3 7 8 2" xfId="26081" xr:uid="{5864EA95-9714-49F3-B62E-49BA08A86DF2}"/>
    <cellStyle name="Comma 3 7 9" xfId="17409" xr:uid="{809469B7-0D97-4728-856D-5F9BE4FEE5EB}"/>
    <cellStyle name="Comma 3 8" xfId="126" xr:uid="{2660C015-5559-451F-8220-CBC61689181B}"/>
    <cellStyle name="Comma 3 8 2" xfId="396" xr:uid="{C97AE678-E036-48BD-84C1-42673BA07EF6}"/>
    <cellStyle name="Comma 3 8 2 2" xfId="937" xr:uid="{6D7091FF-2F5B-4788-A178-7763DA3E7DED}"/>
    <cellStyle name="Comma 3 8 2 2 2" xfId="2021" xr:uid="{2759BE9B-3B04-4E35-BC95-0831111EA01F}"/>
    <cellStyle name="Comma 3 8 2 2 2 2" xfId="4189" xr:uid="{A329768E-F453-4BF6-A01D-251618F4530F}"/>
    <cellStyle name="Comma 3 8 2 2 2 2 2" xfId="8525" xr:uid="{3DA16FF8-21C7-4F8D-A6F5-13B2CC81A66F}"/>
    <cellStyle name="Comma 3 8 2 2 2 2 2 2" xfId="17197" xr:uid="{F9B4CD0B-EC6A-4AC4-8BF0-1A7B60C68A5E}"/>
    <cellStyle name="Comma 3 8 2 2 2 2 2 2 2" xfId="34541" xr:uid="{7B86EB38-3944-4DE8-80D5-0B0634A40F5B}"/>
    <cellStyle name="Comma 3 8 2 2 2 2 2 3" xfId="25869" xr:uid="{F8E289E7-A6DB-43C7-8861-FF02806F1D06}"/>
    <cellStyle name="Comma 3 8 2 2 2 2 3" xfId="12861" xr:uid="{6142C3D0-5581-45C9-947E-7457AA372C06}"/>
    <cellStyle name="Comma 3 8 2 2 2 2 3 2" xfId="30205" xr:uid="{15D42C40-A07F-4925-BEDA-6F3C5B5503C9}"/>
    <cellStyle name="Comma 3 8 2 2 2 2 4" xfId="21533" xr:uid="{172C88C9-2205-4888-9078-41BE16F61BEB}"/>
    <cellStyle name="Comma 3 8 2 2 2 3" xfId="6357" xr:uid="{5F44B35E-EE48-4A4A-9432-7EE27B4041F6}"/>
    <cellStyle name="Comma 3 8 2 2 2 3 2" xfId="15029" xr:uid="{BCF5781C-BA81-47B3-9576-F7A306B5E1BE}"/>
    <cellStyle name="Comma 3 8 2 2 2 3 2 2" xfId="32373" xr:uid="{BF2468F2-60AD-44B0-BDA9-CBFE00A2EAF1}"/>
    <cellStyle name="Comma 3 8 2 2 2 3 3" xfId="23701" xr:uid="{88409DF0-46C9-4705-BACE-E8DE978148A1}"/>
    <cellStyle name="Comma 3 8 2 2 2 4" xfId="10693" xr:uid="{89A0255A-9EE1-496D-A352-0D8AFCB9A172}"/>
    <cellStyle name="Comma 3 8 2 2 2 4 2" xfId="28037" xr:uid="{32C83249-934D-4108-8EE6-B585AFD5CBFE}"/>
    <cellStyle name="Comma 3 8 2 2 2 5" xfId="19365" xr:uid="{C66B14BC-E3CE-45AB-8786-996E72C5BAEB}"/>
    <cellStyle name="Comma 3 8 2 2 3" xfId="3105" xr:uid="{75BCA662-BE28-4A0A-AD70-93C30E1F739C}"/>
    <cellStyle name="Comma 3 8 2 2 3 2" xfId="7441" xr:uid="{0172B86F-30A4-4250-9AD0-AAEC92DD1052}"/>
    <cellStyle name="Comma 3 8 2 2 3 2 2" xfId="16113" xr:uid="{431441AC-9588-4F4A-8C1C-5E1981962146}"/>
    <cellStyle name="Comma 3 8 2 2 3 2 2 2" xfId="33457" xr:uid="{300A8AE1-553B-482F-B175-F641AF5D1ACB}"/>
    <cellStyle name="Comma 3 8 2 2 3 2 3" xfId="24785" xr:uid="{0E6D1793-6C52-4A3D-AA7E-2479B8DC12B2}"/>
    <cellStyle name="Comma 3 8 2 2 3 3" xfId="11777" xr:uid="{5F16C29C-FFF9-4EA4-B057-C5174B5EE34E}"/>
    <cellStyle name="Comma 3 8 2 2 3 3 2" xfId="29121" xr:uid="{F090B968-DF72-4F9F-84C1-CADBDB3CE6B8}"/>
    <cellStyle name="Comma 3 8 2 2 3 4" xfId="20449" xr:uid="{915B8C08-E1B8-4DBB-B7E5-CD6B46399C01}"/>
    <cellStyle name="Comma 3 8 2 2 4" xfId="5273" xr:uid="{098D4F7F-8D8D-4A70-B2FE-31780F7DCDE4}"/>
    <cellStyle name="Comma 3 8 2 2 4 2" xfId="13945" xr:uid="{8E00DE9A-971D-486C-83F3-A5AB6CC33F44}"/>
    <cellStyle name="Comma 3 8 2 2 4 2 2" xfId="31289" xr:uid="{2B51F179-43B3-4B72-BE51-770E26875C47}"/>
    <cellStyle name="Comma 3 8 2 2 4 3" xfId="22617" xr:uid="{DF9DB5A9-CB43-458F-935B-2E960240A210}"/>
    <cellStyle name="Comma 3 8 2 2 5" xfId="9609" xr:uid="{1244534F-B61F-4F7A-B2E2-D447BC9EF3C8}"/>
    <cellStyle name="Comma 3 8 2 2 5 2" xfId="26953" xr:uid="{9D0B8E47-2E27-4335-9C4F-E9C5554A3181}"/>
    <cellStyle name="Comma 3 8 2 2 6" xfId="18281" xr:uid="{6FA9FAA5-BE25-4029-B9F2-6BB2852AB2AD}"/>
    <cellStyle name="Comma 3 8 2 3" xfId="1480" xr:uid="{0B4F77C2-316D-44B1-9460-7D1A28503EEA}"/>
    <cellStyle name="Comma 3 8 2 3 2" xfId="3648" xr:uid="{9922904A-5D8E-4402-88B2-605EFC4890F8}"/>
    <cellStyle name="Comma 3 8 2 3 2 2" xfId="7984" xr:uid="{13B32953-EF04-4F86-9E65-5EF3FACDE60B}"/>
    <cellStyle name="Comma 3 8 2 3 2 2 2" xfId="16656" xr:uid="{EF3F85A3-D175-44AE-83CC-F6CE97272207}"/>
    <cellStyle name="Comma 3 8 2 3 2 2 2 2" xfId="34000" xr:uid="{F1C15981-B9FD-4230-A454-07958FDE619F}"/>
    <cellStyle name="Comma 3 8 2 3 2 2 3" xfId="25328" xr:uid="{260DF202-A6B4-4A79-BB2C-1A0046F0384F}"/>
    <cellStyle name="Comma 3 8 2 3 2 3" xfId="12320" xr:uid="{2946D877-DAFE-4E30-B20A-6718AB40CF32}"/>
    <cellStyle name="Comma 3 8 2 3 2 3 2" xfId="29664" xr:uid="{4DBC9519-0537-4985-ABF4-E972838F9ABD}"/>
    <cellStyle name="Comma 3 8 2 3 2 4" xfId="20992" xr:uid="{DFEE4D1D-FED5-4E78-B1DB-C7F2F25A0160}"/>
    <cellStyle name="Comma 3 8 2 3 3" xfId="5816" xr:uid="{BA5C8CA4-1E20-49D1-8AA6-37995057D042}"/>
    <cellStyle name="Comma 3 8 2 3 3 2" xfId="14488" xr:uid="{549A03A5-0E53-4F68-ACEB-7A4AA0B88DE0}"/>
    <cellStyle name="Comma 3 8 2 3 3 2 2" xfId="31832" xr:uid="{F34B2341-87F6-44F1-9EE3-A100C415A11B}"/>
    <cellStyle name="Comma 3 8 2 3 3 3" xfId="23160" xr:uid="{E987387A-CC23-4FC9-89D8-C2B247E82A87}"/>
    <cellStyle name="Comma 3 8 2 3 4" xfId="10152" xr:uid="{BEFBB221-C9A2-4F8C-9EAF-1C31A15D7BE3}"/>
    <cellStyle name="Comma 3 8 2 3 4 2" xfId="27496" xr:uid="{9CC4E3F9-FBF6-49A7-9574-EFC872289A96}"/>
    <cellStyle name="Comma 3 8 2 3 5" xfId="18824" xr:uid="{343C67A3-64DA-43D0-A0C2-4AE7ADF2FEDD}"/>
    <cellStyle name="Comma 3 8 2 4" xfId="2564" xr:uid="{CF2295D0-830A-46B6-8245-CC96B3D1F0B2}"/>
    <cellStyle name="Comma 3 8 2 4 2" xfId="6900" xr:uid="{0E0BC59E-999C-44B1-9006-222148182D39}"/>
    <cellStyle name="Comma 3 8 2 4 2 2" xfId="15572" xr:uid="{1066549C-1ACA-4790-8FB5-4C1E9F75A0BD}"/>
    <cellStyle name="Comma 3 8 2 4 2 2 2" xfId="32916" xr:uid="{84E1D6EE-6F96-44D5-9DE4-DD0F45601EFE}"/>
    <cellStyle name="Comma 3 8 2 4 2 3" xfId="24244" xr:uid="{92AA4777-8603-46E0-9972-1F0EC1D12863}"/>
    <cellStyle name="Comma 3 8 2 4 3" xfId="11236" xr:uid="{4D21B65F-366E-43F5-A90B-61CC45A67C96}"/>
    <cellStyle name="Comma 3 8 2 4 3 2" xfId="28580" xr:uid="{F7D76EA9-2AD7-4BC4-B09E-112254F84315}"/>
    <cellStyle name="Comma 3 8 2 4 4" xfId="19908" xr:uid="{B13B7516-8B5C-4A1A-B42A-5858F40CD603}"/>
    <cellStyle name="Comma 3 8 2 5" xfId="4732" xr:uid="{6AB8360A-E526-4D27-AB50-E7044F69776E}"/>
    <cellStyle name="Comma 3 8 2 5 2" xfId="13404" xr:uid="{EEB09D1F-F41E-4E43-AB49-A66148D8CEF1}"/>
    <cellStyle name="Comma 3 8 2 5 2 2" xfId="30748" xr:uid="{0460ECF8-24E8-45F7-941D-F4EE989B08C5}"/>
    <cellStyle name="Comma 3 8 2 5 3" xfId="22076" xr:uid="{25937830-E564-433A-8034-F21F17DA3DF5}"/>
    <cellStyle name="Comma 3 8 2 6" xfId="9068" xr:uid="{5C6F7A5A-9B25-4593-A054-1407C4CDD7C0}"/>
    <cellStyle name="Comma 3 8 2 6 2" xfId="26412" xr:uid="{9D28AC54-A208-4EE2-B43D-2EE45DB78982}"/>
    <cellStyle name="Comma 3 8 2 7" xfId="17740" xr:uid="{88461974-B36F-44B5-B0E3-44D6CB7F0DF4}"/>
    <cellStyle name="Comma 3 8 3" xfId="667" xr:uid="{1198619A-14FE-4C33-AFCA-A6403FACBA63}"/>
    <cellStyle name="Comma 3 8 3 2" xfId="1751" xr:uid="{7CFB63E4-FE80-4DA6-B09E-E009B20BEA7C}"/>
    <cellStyle name="Comma 3 8 3 2 2" xfId="3919" xr:uid="{9529E980-AB07-400B-A948-B10296AF5B1F}"/>
    <cellStyle name="Comma 3 8 3 2 2 2" xfId="8255" xr:uid="{B1509C22-C49E-4275-972F-36F565EFFF82}"/>
    <cellStyle name="Comma 3 8 3 2 2 2 2" xfId="16927" xr:uid="{875F2807-ED28-4731-86F2-369EDE428FAB}"/>
    <cellStyle name="Comma 3 8 3 2 2 2 2 2" xfId="34271" xr:uid="{829B0AC1-461C-4D9B-8F1A-2607106D5FD4}"/>
    <cellStyle name="Comma 3 8 3 2 2 2 3" xfId="25599" xr:uid="{CD53D25D-4CC0-45BE-88B5-621E1772572A}"/>
    <cellStyle name="Comma 3 8 3 2 2 3" xfId="12591" xr:uid="{524085A6-06DB-403D-80A3-192E9DE274C8}"/>
    <cellStyle name="Comma 3 8 3 2 2 3 2" xfId="29935" xr:uid="{2E729166-591B-4471-A468-DCFAEBD10237}"/>
    <cellStyle name="Comma 3 8 3 2 2 4" xfId="21263" xr:uid="{CFB7FA43-1C7A-49A9-9600-573EB618CEF8}"/>
    <cellStyle name="Comma 3 8 3 2 3" xfId="6087" xr:uid="{384D341E-EEC5-4C3A-B3F7-0B07D2AC8D59}"/>
    <cellStyle name="Comma 3 8 3 2 3 2" xfId="14759" xr:uid="{CE44D14F-7B9D-4371-9E77-7C0B1F8042AC}"/>
    <cellStyle name="Comma 3 8 3 2 3 2 2" xfId="32103" xr:uid="{AF5BEC4A-0F4A-46A8-97AB-CA28FAFFFAEA}"/>
    <cellStyle name="Comma 3 8 3 2 3 3" xfId="23431" xr:uid="{6BB1D4F0-A7E0-4D0E-A301-C32FED5B85E4}"/>
    <cellStyle name="Comma 3 8 3 2 4" xfId="10423" xr:uid="{B27B6AD5-D487-40B2-862C-803D6C4F32BE}"/>
    <cellStyle name="Comma 3 8 3 2 4 2" xfId="27767" xr:uid="{BF500D95-6647-4F2C-AE9A-7FC8EF496172}"/>
    <cellStyle name="Comma 3 8 3 2 5" xfId="19095" xr:uid="{FF47C4EF-079E-46FA-8903-6A7FC5E92A28}"/>
    <cellStyle name="Comma 3 8 3 3" xfId="2835" xr:uid="{EB8DA28C-E103-4E3D-B292-E032F9642900}"/>
    <cellStyle name="Comma 3 8 3 3 2" xfId="7171" xr:uid="{435593BA-5551-4F99-8D53-5069EA5DD9F7}"/>
    <cellStyle name="Comma 3 8 3 3 2 2" xfId="15843" xr:uid="{6EA5F9C8-8BB4-49A2-9767-668D2E3CE0DF}"/>
    <cellStyle name="Comma 3 8 3 3 2 2 2" xfId="33187" xr:uid="{5B04A526-E8BC-4DB6-BA5F-4DE1EEA51F05}"/>
    <cellStyle name="Comma 3 8 3 3 2 3" xfId="24515" xr:uid="{CED4F693-96B2-4837-AD4B-2A5DAA21ADCA}"/>
    <cellStyle name="Comma 3 8 3 3 3" xfId="11507" xr:uid="{ACC923E1-F683-4C12-A5FD-76D80CE9F300}"/>
    <cellStyle name="Comma 3 8 3 3 3 2" xfId="28851" xr:uid="{CBBCA4FA-52C9-4F8A-A616-450D5A16F96C}"/>
    <cellStyle name="Comma 3 8 3 3 4" xfId="20179" xr:uid="{8D360FA2-2F80-4C3D-BDB8-E7CC4E52C64E}"/>
    <cellStyle name="Comma 3 8 3 4" xfId="5003" xr:uid="{C544B378-4278-4ED3-9CC5-270016B8460C}"/>
    <cellStyle name="Comma 3 8 3 4 2" xfId="13675" xr:uid="{DFF86960-2E55-42DB-89ED-744518433B97}"/>
    <cellStyle name="Comma 3 8 3 4 2 2" xfId="31019" xr:uid="{7E586687-3917-439B-904E-719ED24174F4}"/>
    <cellStyle name="Comma 3 8 3 4 3" xfId="22347" xr:uid="{6DE8C3C6-038D-4185-B670-A189AE49A334}"/>
    <cellStyle name="Comma 3 8 3 5" xfId="9339" xr:uid="{06F45390-C612-471D-8045-6D7E9F838ECF}"/>
    <cellStyle name="Comma 3 8 3 5 2" xfId="26683" xr:uid="{0B7919B1-5183-49E8-947D-869F9EEF3374}"/>
    <cellStyle name="Comma 3 8 3 6" xfId="18011" xr:uid="{543AFA57-C64E-46C6-81BA-912E4A95FF96}"/>
    <cellStyle name="Comma 3 8 4" xfId="1210" xr:uid="{FF7186D9-81CE-4A8E-9EE1-A0AF9814D33A}"/>
    <cellStyle name="Comma 3 8 4 2" xfId="3378" xr:uid="{BBD66531-9378-4105-A006-6E84FFCA0B71}"/>
    <cellStyle name="Comma 3 8 4 2 2" xfId="7714" xr:uid="{BAFF1B9F-94A6-4083-B6B5-13E8A67C2535}"/>
    <cellStyle name="Comma 3 8 4 2 2 2" xfId="16386" xr:uid="{F26C2C22-7FA3-4AAC-B69B-9C0D4AC8B8FE}"/>
    <cellStyle name="Comma 3 8 4 2 2 2 2" xfId="33730" xr:uid="{5B2F6B33-9C44-4D0D-97F4-88485E9333DE}"/>
    <cellStyle name="Comma 3 8 4 2 2 3" xfId="25058" xr:uid="{2E1D21AB-96A3-4D94-9B93-4A32B38433A2}"/>
    <cellStyle name="Comma 3 8 4 2 3" xfId="12050" xr:uid="{CA60C06A-97B3-48EA-9397-CB2F4038486C}"/>
    <cellStyle name="Comma 3 8 4 2 3 2" xfId="29394" xr:uid="{DC275F7D-34FD-45E9-99E6-0D8CD1F3056C}"/>
    <cellStyle name="Comma 3 8 4 2 4" xfId="20722" xr:uid="{1DDA69C5-4318-48FA-8189-7C641F76D295}"/>
    <cellStyle name="Comma 3 8 4 3" xfId="5546" xr:uid="{E55BBBD5-B42F-4890-B1BA-28AFC1CC7E1E}"/>
    <cellStyle name="Comma 3 8 4 3 2" xfId="14218" xr:uid="{00E26DAF-B3BA-41F2-86EA-6BA30A62E357}"/>
    <cellStyle name="Comma 3 8 4 3 2 2" xfId="31562" xr:uid="{AE76A0D8-5343-41C1-8405-7014B5169E91}"/>
    <cellStyle name="Comma 3 8 4 3 3" xfId="22890" xr:uid="{8DB5013C-F0CF-425A-8054-E28F45A9F4ED}"/>
    <cellStyle name="Comma 3 8 4 4" xfId="9882" xr:uid="{3EB9A4B4-6115-47BF-93C0-714EF3335E43}"/>
    <cellStyle name="Comma 3 8 4 4 2" xfId="27226" xr:uid="{D26AAB8F-35CB-42D2-AB3E-715DB507EE34}"/>
    <cellStyle name="Comma 3 8 4 5" xfId="18554" xr:uid="{E3BFDD7F-0B15-4BDA-B6A9-DAE9EAE6AEEB}"/>
    <cellStyle name="Comma 3 8 5" xfId="2294" xr:uid="{F4F79293-4ACA-4283-94F8-1896EF1AD1F8}"/>
    <cellStyle name="Comma 3 8 5 2" xfId="6630" xr:uid="{F3B65477-F81B-45E3-A5E6-4F69D60528A7}"/>
    <cellStyle name="Comma 3 8 5 2 2" xfId="15302" xr:uid="{0B0B1DDC-4560-4F85-9EE7-47FC9255D960}"/>
    <cellStyle name="Comma 3 8 5 2 2 2" xfId="32646" xr:uid="{5400EF5D-5808-411C-9F1B-26D2EBC66566}"/>
    <cellStyle name="Comma 3 8 5 2 3" xfId="23974" xr:uid="{5310A177-E238-4B28-8634-8F72CF55DCA4}"/>
    <cellStyle name="Comma 3 8 5 3" xfId="10966" xr:uid="{0D602897-FE9E-4D10-9E9B-3D3C1DA7A49F}"/>
    <cellStyle name="Comma 3 8 5 3 2" xfId="28310" xr:uid="{5139B8E7-68F3-4B17-BF44-D08FD7BC82D9}"/>
    <cellStyle name="Comma 3 8 5 4" xfId="19638" xr:uid="{D90FAA5F-C0F3-4D91-B927-AEF2208FB70D}"/>
    <cellStyle name="Comma 3 8 6" xfId="4462" xr:uid="{89D4367D-FB07-4B2F-AFB9-63467B96EC93}"/>
    <cellStyle name="Comma 3 8 6 2" xfId="13134" xr:uid="{8AE770CF-F56D-41FA-AFF8-0D127D530BAF}"/>
    <cellStyle name="Comma 3 8 6 2 2" xfId="30478" xr:uid="{3B3113B9-5E5E-470B-9A64-BA226A768395}"/>
    <cellStyle name="Comma 3 8 6 3" xfId="21806" xr:uid="{8065F464-E171-487F-9ADA-C8F7FFD7B44E}"/>
    <cellStyle name="Comma 3 8 7" xfId="8798" xr:uid="{D56DE26B-F349-4BD8-936C-85BC4EA332CD}"/>
    <cellStyle name="Comma 3 8 7 2" xfId="26142" xr:uid="{C2B00B67-3106-439F-BF13-86A178C6395E}"/>
    <cellStyle name="Comma 3 8 8" xfId="17470" xr:uid="{403E475F-61CB-44A7-9F3E-182A8AB0BBE2}"/>
    <cellStyle name="Comma 3 9" xfId="251" xr:uid="{546CE11E-CB2A-40CE-968D-9A3CF16264C1}"/>
    <cellStyle name="Comma 3 9 2" xfId="521" xr:uid="{608D149E-8D52-47EA-B4C7-0AC1302F417E}"/>
    <cellStyle name="Comma 3 9 2 2" xfId="1062" xr:uid="{28EB5E75-1EED-4F9A-87FE-1D7C038E9936}"/>
    <cellStyle name="Comma 3 9 2 2 2" xfId="2146" xr:uid="{46FA23E4-C0FC-4F37-8F22-1A48A075D216}"/>
    <cellStyle name="Comma 3 9 2 2 2 2" xfId="4314" xr:uid="{8DD817F7-C256-4BD0-85FA-350BE9974F52}"/>
    <cellStyle name="Comma 3 9 2 2 2 2 2" xfId="8650" xr:uid="{02DC604D-FFA9-4F73-B3B1-6D6C1EAC736C}"/>
    <cellStyle name="Comma 3 9 2 2 2 2 2 2" xfId="17322" xr:uid="{0DD4DB34-275F-4244-8A10-5F8AC2F3E9FC}"/>
    <cellStyle name="Comma 3 9 2 2 2 2 2 2 2" xfId="34666" xr:uid="{C2276723-2CC2-4A1C-8AEB-BDA326FCEB81}"/>
    <cellStyle name="Comma 3 9 2 2 2 2 2 3" xfId="25994" xr:uid="{1C21EA86-5F45-40F5-8A84-FD966CC25C4E}"/>
    <cellStyle name="Comma 3 9 2 2 2 2 3" xfId="12986" xr:uid="{8182C156-6E85-4003-BCD4-9326BFCFA8C3}"/>
    <cellStyle name="Comma 3 9 2 2 2 2 3 2" xfId="30330" xr:uid="{301C5C43-ECE0-4455-8D92-960B23A01D45}"/>
    <cellStyle name="Comma 3 9 2 2 2 2 4" xfId="21658" xr:uid="{95E94032-56B9-4195-A8D4-D868F2AE739E}"/>
    <cellStyle name="Comma 3 9 2 2 2 3" xfId="6482" xr:uid="{D01D4F36-1653-4FF7-B802-F19C977C582B}"/>
    <cellStyle name="Comma 3 9 2 2 2 3 2" xfId="15154" xr:uid="{08036FB3-AFF5-47F0-B55E-47D12262EC6C}"/>
    <cellStyle name="Comma 3 9 2 2 2 3 2 2" xfId="32498" xr:uid="{62F84075-90A5-47A9-9EC7-3400BA7FF9C1}"/>
    <cellStyle name="Comma 3 9 2 2 2 3 3" xfId="23826" xr:uid="{8BA6FE10-61D9-46E2-A560-EFC4803F9205}"/>
    <cellStyle name="Comma 3 9 2 2 2 4" xfId="10818" xr:uid="{3B1187A7-8283-4E5D-B7EF-F8E523ADADDA}"/>
    <cellStyle name="Comma 3 9 2 2 2 4 2" xfId="28162" xr:uid="{5FB78FC9-DE0A-410A-BE11-D93660C18B32}"/>
    <cellStyle name="Comma 3 9 2 2 2 5" xfId="19490" xr:uid="{D0551F9C-4C8A-4F4E-85F7-13A5EA24DC37}"/>
    <cellStyle name="Comma 3 9 2 2 3" xfId="3230" xr:uid="{CA222846-50D5-46BC-8846-234024185B2D}"/>
    <cellStyle name="Comma 3 9 2 2 3 2" xfId="7566" xr:uid="{5D21CE98-99D4-4241-A505-66BE7578349D}"/>
    <cellStyle name="Comma 3 9 2 2 3 2 2" xfId="16238" xr:uid="{AEBEDAAF-AE9E-4667-84C6-192D2999E8E8}"/>
    <cellStyle name="Comma 3 9 2 2 3 2 2 2" xfId="33582" xr:uid="{1EC29BC9-8347-44D2-9C82-8163E70889F0}"/>
    <cellStyle name="Comma 3 9 2 2 3 2 3" xfId="24910" xr:uid="{CBF3C459-8DEE-4C11-9CB6-5F35E7DC0433}"/>
    <cellStyle name="Comma 3 9 2 2 3 3" xfId="11902" xr:uid="{7A043973-8644-444A-BBD7-54CED1E0BAAD}"/>
    <cellStyle name="Comma 3 9 2 2 3 3 2" xfId="29246" xr:uid="{000002AA-2538-4C83-84F6-7D3D7CEB807A}"/>
    <cellStyle name="Comma 3 9 2 2 3 4" xfId="20574" xr:uid="{8C44293D-020F-4304-A6C0-4CE10274E037}"/>
    <cellStyle name="Comma 3 9 2 2 4" xfId="5398" xr:uid="{95877854-18B3-491E-80D4-B8F0433549CA}"/>
    <cellStyle name="Comma 3 9 2 2 4 2" xfId="14070" xr:uid="{AC5F0A77-C5BA-423B-BE0B-B1E3F1DDD416}"/>
    <cellStyle name="Comma 3 9 2 2 4 2 2" xfId="31414" xr:uid="{5D5ED7A3-A8DE-49DC-A16D-9F6ED94CF614}"/>
    <cellStyle name="Comma 3 9 2 2 4 3" xfId="22742" xr:uid="{E6F15350-A064-43C7-A93E-61D2E9A09C0D}"/>
    <cellStyle name="Comma 3 9 2 2 5" xfId="9734" xr:uid="{EA071610-043D-46C3-BC88-D67CF86CA033}"/>
    <cellStyle name="Comma 3 9 2 2 5 2" xfId="27078" xr:uid="{27FDD573-290F-4536-89B0-367CCFD1A993}"/>
    <cellStyle name="Comma 3 9 2 2 6" xfId="18406" xr:uid="{B98926BC-86F5-47B5-B1E5-2224066F5634}"/>
    <cellStyle name="Comma 3 9 2 3" xfId="1605" xr:uid="{73AEF16D-718F-4A93-8709-11D77CBA945E}"/>
    <cellStyle name="Comma 3 9 2 3 2" xfId="3773" xr:uid="{54409AAA-921F-452C-843A-F0F591C7DD9A}"/>
    <cellStyle name="Comma 3 9 2 3 2 2" xfId="8109" xr:uid="{F083B546-65F7-4278-A34E-8983B3C7818E}"/>
    <cellStyle name="Comma 3 9 2 3 2 2 2" xfId="16781" xr:uid="{C8B406AB-2B4E-40BB-81DF-59F27BC63B41}"/>
    <cellStyle name="Comma 3 9 2 3 2 2 2 2" xfId="34125" xr:uid="{FFF87800-8C23-45CC-867A-99D9037E07B7}"/>
    <cellStyle name="Comma 3 9 2 3 2 2 3" xfId="25453" xr:uid="{2CD7F80F-0FF0-4571-8FD7-A359A80220B0}"/>
    <cellStyle name="Comma 3 9 2 3 2 3" xfId="12445" xr:uid="{E76500BB-6AFE-456B-B24F-5F0126C0FC1B}"/>
    <cellStyle name="Comma 3 9 2 3 2 3 2" xfId="29789" xr:uid="{3BA0F421-B42B-4E74-9F0E-ED6D29AD0C5B}"/>
    <cellStyle name="Comma 3 9 2 3 2 4" xfId="21117" xr:uid="{05A91E83-2BF5-4DC1-8AE5-BAA6FF89FDEC}"/>
    <cellStyle name="Comma 3 9 2 3 3" xfId="5941" xr:uid="{2A9B9A4C-122C-4D70-B893-7EB398E592C7}"/>
    <cellStyle name="Comma 3 9 2 3 3 2" xfId="14613" xr:uid="{721563AB-E7F6-47E4-9067-41F7D8AAB08F}"/>
    <cellStyle name="Comma 3 9 2 3 3 2 2" xfId="31957" xr:uid="{C46D12E8-9B9F-4CE6-A515-8E2810661FFF}"/>
    <cellStyle name="Comma 3 9 2 3 3 3" xfId="23285" xr:uid="{D924732B-CF6F-4A37-8633-EDB2954BBAE6}"/>
    <cellStyle name="Comma 3 9 2 3 4" xfId="10277" xr:uid="{EDACBA99-0056-479B-A11E-3DFE2379D0DA}"/>
    <cellStyle name="Comma 3 9 2 3 4 2" xfId="27621" xr:uid="{3A3D9EB7-01CF-4992-8739-2904DF0CED94}"/>
    <cellStyle name="Comma 3 9 2 3 5" xfId="18949" xr:uid="{0DAF72F4-83A4-49E8-B9FB-5CF6B3E24D34}"/>
    <cellStyle name="Comma 3 9 2 4" xfId="2689" xr:uid="{6DBAAB02-AA58-442F-8023-920710B9E9F3}"/>
    <cellStyle name="Comma 3 9 2 4 2" xfId="7025" xr:uid="{272F6D0D-72FC-4E53-95B0-4E81320AA7CE}"/>
    <cellStyle name="Comma 3 9 2 4 2 2" xfId="15697" xr:uid="{4AB4A403-BBEB-4B49-B9A6-AD0AD327E5E4}"/>
    <cellStyle name="Comma 3 9 2 4 2 2 2" xfId="33041" xr:uid="{D19DE51B-BF04-49F2-96F3-5575E160BC38}"/>
    <cellStyle name="Comma 3 9 2 4 2 3" xfId="24369" xr:uid="{994FE3F1-C2A1-462C-8E5F-23F650A71B46}"/>
    <cellStyle name="Comma 3 9 2 4 3" xfId="11361" xr:uid="{23CA0867-22C2-4A51-9AB6-9430C96908E5}"/>
    <cellStyle name="Comma 3 9 2 4 3 2" xfId="28705" xr:uid="{F33CE7ED-380D-47C4-A372-EA22847FC340}"/>
    <cellStyle name="Comma 3 9 2 4 4" xfId="20033" xr:uid="{EF24EDE2-130B-4716-8DFF-F1D7E8FDE9CD}"/>
    <cellStyle name="Comma 3 9 2 5" xfId="4857" xr:uid="{9BEDCC67-07DE-4126-BF4F-BC15CC79FAA2}"/>
    <cellStyle name="Comma 3 9 2 5 2" xfId="13529" xr:uid="{9D74D0D6-B4E7-4944-8982-1D4FE0B22757}"/>
    <cellStyle name="Comma 3 9 2 5 2 2" xfId="30873" xr:uid="{6D2EB52A-49C5-42ED-ACFA-CA2004B592DF}"/>
    <cellStyle name="Comma 3 9 2 5 3" xfId="22201" xr:uid="{D3018BFC-01D2-40E8-9839-335CABA2ED97}"/>
    <cellStyle name="Comma 3 9 2 6" xfId="9193" xr:uid="{80B6CF67-64BA-44D9-B6F6-5A0B48EA2922}"/>
    <cellStyle name="Comma 3 9 2 6 2" xfId="26537" xr:uid="{6EFCB8DB-5313-43F3-AF3F-E12B2F9C1B27}"/>
    <cellStyle name="Comma 3 9 2 7" xfId="17865" xr:uid="{23BF1CBB-CD0D-465A-8C4E-F795DAE911C9}"/>
    <cellStyle name="Comma 3 9 3" xfId="792" xr:uid="{C3330C08-62B0-4B84-8244-07C0EFD99EDB}"/>
    <cellStyle name="Comma 3 9 3 2" xfId="1876" xr:uid="{40D2F6DF-A174-4938-BFB0-37E2F46B1ED8}"/>
    <cellStyle name="Comma 3 9 3 2 2" xfId="4044" xr:uid="{A2A72A2A-CB63-4F4D-8599-A3C53016536C}"/>
    <cellStyle name="Comma 3 9 3 2 2 2" xfId="8380" xr:uid="{E741E9AC-8F1D-4EF3-8745-541A6815238E}"/>
    <cellStyle name="Comma 3 9 3 2 2 2 2" xfId="17052" xr:uid="{F7DB603E-ED37-4EFA-BD22-6AB8B6AC9BF1}"/>
    <cellStyle name="Comma 3 9 3 2 2 2 2 2" xfId="34396" xr:uid="{1704EE11-733D-4559-BEBF-E8B62BF9A340}"/>
    <cellStyle name="Comma 3 9 3 2 2 2 3" xfId="25724" xr:uid="{48490128-1CFB-4482-B388-F9E3331ECB4D}"/>
    <cellStyle name="Comma 3 9 3 2 2 3" xfId="12716" xr:uid="{1732B759-D60F-4C78-83BB-168F083184E2}"/>
    <cellStyle name="Comma 3 9 3 2 2 3 2" xfId="30060" xr:uid="{75CF5760-63B6-4D89-87A3-F364E7789606}"/>
    <cellStyle name="Comma 3 9 3 2 2 4" xfId="21388" xr:uid="{2C75EB64-E265-47A2-97A9-A1F6D0C3EC22}"/>
    <cellStyle name="Comma 3 9 3 2 3" xfId="6212" xr:uid="{12EC0C78-4A0A-4401-9CAF-90E127C2FAE4}"/>
    <cellStyle name="Comma 3 9 3 2 3 2" xfId="14884" xr:uid="{9425469B-DC11-4E2D-B42D-31230C231ADE}"/>
    <cellStyle name="Comma 3 9 3 2 3 2 2" xfId="32228" xr:uid="{E75FA4D1-9F98-4CF5-BA7C-0ECEA955958B}"/>
    <cellStyle name="Comma 3 9 3 2 3 3" xfId="23556" xr:uid="{6D27FD9D-6AF8-419C-A15B-420748FC26EF}"/>
    <cellStyle name="Comma 3 9 3 2 4" xfId="10548" xr:uid="{A0CA3A5D-8BDC-4C7A-B6A3-B7896D757810}"/>
    <cellStyle name="Comma 3 9 3 2 4 2" xfId="27892" xr:uid="{D727F10D-F940-4B64-A62A-48D9EA882396}"/>
    <cellStyle name="Comma 3 9 3 2 5" xfId="19220" xr:uid="{52038E21-1869-4F3B-80BB-8CC00BA9D90E}"/>
    <cellStyle name="Comma 3 9 3 3" xfId="2960" xr:uid="{4953E548-CEAB-4F91-A6BB-DC9A798447B3}"/>
    <cellStyle name="Comma 3 9 3 3 2" xfId="7296" xr:uid="{9C4C1B0A-DF3A-4E0A-B4D3-9CB5BE5F5576}"/>
    <cellStyle name="Comma 3 9 3 3 2 2" xfId="15968" xr:uid="{2C85465A-9D91-4976-BB68-60ED9FDB9D94}"/>
    <cellStyle name="Comma 3 9 3 3 2 2 2" xfId="33312" xr:uid="{4D5E0100-08CE-4F92-9E2B-1176A60FD509}"/>
    <cellStyle name="Comma 3 9 3 3 2 3" xfId="24640" xr:uid="{9EDF46C1-F426-4AB6-A6E7-724B0E0A89F4}"/>
    <cellStyle name="Comma 3 9 3 3 3" xfId="11632" xr:uid="{F33C5D27-B135-4BEE-A918-5C53591934AD}"/>
    <cellStyle name="Comma 3 9 3 3 3 2" xfId="28976" xr:uid="{39B70D34-BE2B-4857-8A6E-A5D414ADFADD}"/>
    <cellStyle name="Comma 3 9 3 3 4" xfId="20304" xr:uid="{2F8BCAFE-F96D-4D60-A8D8-E8505FECB439}"/>
    <cellStyle name="Comma 3 9 3 4" xfId="5128" xr:uid="{D7071B70-AF5E-4A0D-812E-A0D990223340}"/>
    <cellStyle name="Comma 3 9 3 4 2" xfId="13800" xr:uid="{A753E968-A01A-4552-9632-B8EB06E84696}"/>
    <cellStyle name="Comma 3 9 3 4 2 2" xfId="31144" xr:uid="{F943A04B-0F5C-4043-A8AA-DC1DD1A16693}"/>
    <cellStyle name="Comma 3 9 3 4 3" xfId="22472" xr:uid="{DF5B5BB4-E8AD-4808-9DFB-B49E75FFA04D}"/>
    <cellStyle name="Comma 3 9 3 5" xfId="9464" xr:uid="{6201155E-6668-48E2-BA69-B68D5DF01975}"/>
    <cellStyle name="Comma 3 9 3 5 2" xfId="26808" xr:uid="{A572B738-DF40-4613-89D2-DA7C62089BF9}"/>
    <cellStyle name="Comma 3 9 3 6" xfId="18136" xr:uid="{FC76D057-AE4D-443A-A3B8-853B7B35F2A8}"/>
    <cellStyle name="Comma 3 9 4" xfId="1335" xr:uid="{76A5BD76-A369-4414-B5D2-23950CA7E389}"/>
    <cellStyle name="Comma 3 9 4 2" xfId="3503" xr:uid="{D76901B2-9FFD-4B3B-A8B0-2B1B7284F41B}"/>
    <cellStyle name="Comma 3 9 4 2 2" xfId="7839" xr:uid="{FF47C734-9464-4053-95E6-CDF34AAC708B}"/>
    <cellStyle name="Comma 3 9 4 2 2 2" xfId="16511" xr:uid="{711BE682-D851-42BC-AA50-9F68727018FB}"/>
    <cellStyle name="Comma 3 9 4 2 2 2 2" xfId="33855" xr:uid="{9F60D855-7EC0-4B1B-ADD5-59C76569A32A}"/>
    <cellStyle name="Comma 3 9 4 2 2 3" xfId="25183" xr:uid="{84C608B2-2742-4709-905A-5A7DC09896D2}"/>
    <cellStyle name="Comma 3 9 4 2 3" xfId="12175" xr:uid="{FAE97C4B-5899-487B-8AD2-8FEB566AE18D}"/>
    <cellStyle name="Comma 3 9 4 2 3 2" xfId="29519" xr:uid="{ADD062BF-7923-4B93-A2C6-7772B520F5C7}"/>
    <cellStyle name="Comma 3 9 4 2 4" xfId="20847" xr:uid="{BC2A5538-E6FE-47E0-A93D-2B6F438AF547}"/>
    <cellStyle name="Comma 3 9 4 3" xfId="5671" xr:uid="{3ABBDFF8-0978-4EAD-9E37-C4632A7A8351}"/>
    <cellStyle name="Comma 3 9 4 3 2" xfId="14343" xr:uid="{3281A622-1114-4F7A-B877-36DA511A7079}"/>
    <cellStyle name="Comma 3 9 4 3 2 2" xfId="31687" xr:uid="{3EFDB713-5A2E-49ED-A9CD-AB99ECBCEA91}"/>
    <cellStyle name="Comma 3 9 4 3 3" xfId="23015" xr:uid="{6979FA81-852F-40F9-A316-65A72C741BBE}"/>
    <cellStyle name="Comma 3 9 4 4" xfId="10007" xr:uid="{6FCB0923-79AD-4110-BAAA-C7EBEEF7FBBC}"/>
    <cellStyle name="Comma 3 9 4 4 2" xfId="27351" xr:uid="{2150BED6-473A-49E3-808B-FF97B5206616}"/>
    <cellStyle name="Comma 3 9 4 5" xfId="18679" xr:uid="{3100A5C7-D064-407A-A437-FDC557B8CBD7}"/>
    <cellStyle name="Comma 3 9 5" xfId="2419" xr:uid="{BAD5D5B2-8F01-42E5-9B3E-97CAFE41F709}"/>
    <cellStyle name="Comma 3 9 5 2" xfId="6755" xr:uid="{E2565C25-C849-4EDC-9F0C-4E998141EEDB}"/>
    <cellStyle name="Comma 3 9 5 2 2" xfId="15427" xr:uid="{B695EF64-E539-41FF-9A2D-6F5A3F843C62}"/>
    <cellStyle name="Comma 3 9 5 2 2 2" xfId="32771" xr:uid="{DBCA1037-EDF8-4A69-9121-9856CBC6616C}"/>
    <cellStyle name="Comma 3 9 5 2 3" xfId="24099" xr:uid="{09A6C571-D3D2-4550-BBD8-FC0E58C88227}"/>
    <cellStyle name="Comma 3 9 5 3" xfId="11091" xr:uid="{1C653399-329E-4D48-8D1F-89C4D197B3BF}"/>
    <cellStyle name="Comma 3 9 5 3 2" xfId="28435" xr:uid="{78F8B47A-240D-411F-A7FF-C514CCE44150}"/>
    <cellStyle name="Comma 3 9 5 4" xfId="19763" xr:uid="{39528B79-A76A-4CD8-B0B6-91B7048D6359}"/>
    <cellStyle name="Comma 3 9 6" xfId="4587" xr:uid="{26103315-CFD8-4C11-9320-521FBC3B1BF2}"/>
    <cellStyle name="Comma 3 9 6 2" xfId="13259" xr:uid="{E7207EB9-F093-467E-A6A9-C8FE947470B0}"/>
    <cellStyle name="Comma 3 9 6 2 2" xfId="30603" xr:uid="{0BBAE24B-1378-4423-8861-FC5366A68937}"/>
    <cellStyle name="Comma 3 9 6 3" xfId="21931" xr:uid="{6AFA4DDC-2767-4559-94E1-61F1418F009D}"/>
    <cellStyle name="Comma 3 9 7" xfId="8923" xr:uid="{6023A9E4-B401-4F71-A3C1-7C319732FF53}"/>
    <cellStyle name="Comma 3 9 7 2" xfId="26267" xr:uid="{1D6946EA-828C-4CE1-BDDB-0BC3553DE3C4}"/>
    <cellStyle name="Comma 3 9 8" xfId="17595" xr:uid="{032FEF9B-8359-405C-925F-21A064FC903A}"/>
    <cellStyle name="Comma 4" xfId="5" xr:uid="{E16D38EF-C081-41B9-A740-61A67C35C3AD}"/>
    <cellStyle name="Comma 4 10" xfId="275" xr:uid="{DC55A3C3-72BF-483C-9E9D-771AC5D05651}"/>
    <cellStyle name="Comma 4 10 2" xfId="816" xr:uid="{B9B5AB39-051D-45CA-9020-2F0E50E1C336}"/>
    <cellStyle name="Comma 4 10 2 2" xfId="1900" xr:uid="{00186ECD-39A3-4343-81D4-5122BBE5F275}"/>
    <cellStyle name="Comma 4 10 2 2 2" xfId="4068" xr:uid="{12720E45-71FE-47EE-8499-3AEFC8D3FE05}"/>
    <cellStyle name="Comma 4 10 2 2 2 2" xfId="8404" xr:uid="{9745BB05-8298-4985-8715-AA4FB1A72719}"/>
    <cellStyle name="Comma 4 10 2 2 2 2 2" xfId="17076" xr:uid="{BE1500D2-4D9F-416A-95CE-4300E0FE36FD}"/>
    <cellStyle name="Comma 4 10 2 2 2 2 2 2" xfId="34420" xr:uid="{B16A2904-E710-44C5-BEA5-3A9964EFBAF0}"/>
    <cellStyle name="Comma 4 10 2 2 2 2 3" xfId="25748" xr:uid="{5FAFB213-D5D7-4151-A8B8-201727F7CEF5}"/>
    <cellStyle name="Comma 4 10 2 2 2 3" xfId="12740" xr:uid="{F3B9EC3F-2AA5-4116-9988-82345BA70F54}"/>
    <cellStyle name="Comma 4 10 2 2 2 3 2" xfId="30084" xr:uid="{EDA1777E-9517-4D21-98B5-BFB386FB1411}"/>
    <cellStyle name="Comma 4 10 2 2 2 4" xfId="21412" xr:uid="{44888471-8895-4DA3-B1AF-AFD55B75F045}"/>
    <cellStyle name="Comma 4 10 2 2 3" xfId="6236" xr:uid="{441FB18C-5254-4A55-A53A-EA180DAABF63}"/>
    <cellStyle name="Comma 4 10 2 2 3 2" xfId="14908" xr:uid="{1C10E5D0-EC25-4553-8E21-F6FE6659EC58}"/>
    <cellStyle name="Comma 4 10 2 2 3 2 2" xfId="32252" xr:uid="{9D030760-AC86-48E8-A774-3FFE8C2FBB06}"/>
    <cellStyle name="Comma 4 10 2 2 3 3" xfId="23580" xr:uid="{574597D4-2B43-4070-BBD9-B4F26D9288AB}"/>
    <cellStyle name="Comma 4 10 2 2 4" xfId="10572" xr:uid="{DF5F9AC1-AA7D-4DDE-9EE0-C015E8E668AD}"/>
    <cellStyle name="Comma 4 10 2 2 4 2" xfId="27916" xr:uid="{91E93456-3E60-4ECF-AFEA-1ACC753771C9}"/>
    <cellStyle name="Comma 4 10 2 2 5" xfId="19244" xr:uid="{EED06286-3391-4DBF-9CDB-436506398288}"/>
    <cellStyle name="Comma 4 10 2 3" xfId="2984" xr:uid="{E186F534-3889-47AB-A882-EBFEB4652A40}"/>
    <cellStyle name="Comma 4 10 2 3 2" xfId="7320" xr:uid="{F3C4E73B-A217-4347-A700-6FEDD4E60114}"/>
    <cellStyle name="Comma 4 10 2 3 2 2" xfId="15992" xr:uid="{801BD9A7-6727-4870-A8D8-121F6D85791E}"/>
    <cellStyle name="Comma 4 10 2 3 2 2 2" xfId="33336" xr:uid="{80E97309-F3F3-4E84-A89A-7E24A5C698CF}"/>
    <cellStyle name="Comma 4 10 2 3 2 3" xfId="24664" xr:uid="{E2373D68-CF68-4A78-8D88-1BEB342EFB81}"/>
    <cellStyle name="Comma 4 10 2 3 3" xfId="11656" xr:uid="{0F4E92B5-8A8E-4FE6-A6BD-8A3F43A735D1}"/>
    <cellStyle name="Comma 4 10 2 3 3 2" xfId="29000" xr:uid="{EFB33A21-BF35-43E2-891D-9D95408CFE78}"/>
    <cellStyle name="Comma 4 10 2 3 4" xfId="20328" xr:uid="{9FD3EB60-C9D8-4E43-B5E1-C0D42B4DD8A5}"/>
    <cellStyle name="Comma 4 10 2 4" xfId="5152" xr:uid="{0F58043D-BE87-4609-B0D3-6D94EBC52E0C}"/>
    <cellStyle name="Comma 4 10 2 4 2" xfId="13824" xr:uid="{67373328-881F-4AFB-AF36-8F8601F87451}"/>
    <cellStyle name="Comma 4 10 2 4 2 2" xfId="31168" xr:uid="{4D6FA977-7F24-4D1A-8258-068F4551ABC5}"/>
    <cellStyle name="Comma 4 10 2 4 3" xfId="22496" xr:uid="{1FF28D4A-CB90-401F-ADC0-0112E3A0C4EF}"/>
    <cellStyle name="Comma 4 10 2 5" xfId="9488" xr:uid="{A73001B7-5077-4367-93D8-B6A3F7BE1F7F}"/>
    <cellStyle name="Comma 4 10 2 5 2" xfId="26832" xr:uid="{7DE0D6E8-436E-4092-9E6F-872DD6446CD5}"/>
    <cellStyle name="Comma 4 10 2 6" xfId="18160" xr:uid="{751906F0-ACD7-4867-9BC0-015367D1C5CB}"/>
    <cellStyle name="Comma 4 10 3" xfId="1359" xr:uid="{47A799DA-CDE5-4076-A221-925FCF991535}"/>
    <cellStyle name="Comma 4 10 3 2" xfId="3527" xr:uid="{AB6A7CD9-274F-462C-8CF2-420F2793A2BF}"/>
    <cellStyle name="Comma 4 10 3 2 2" xfId="7863" xr:uid="{AC1971A9-C3C7-436C-8CD5-37ED96796C56}"/>
    <cellStyle name="Comma 4 10 3 2 2 2" xfId="16535" xr:uid="{537EAA10-73A1-48B6-987A-6973B5A807F9}"/>
    <cellStyle name="Comma 4 10 3 2 2 2 2" xfId="33879" xr:uid="{AC74A264-B497-4F0E-A9E1-E22DD5CEA486}"/>
    <cellStyle name="Comma 4 10 3 2 2 3" xfId="25207" xr:uid="{69C3E197-DFD0-4A75-81E2-3E8D5C48D4EA}"/>
    <cellStyle name="Comma 4 10 3 2 3" xfId="12199" xr:uid="{75DE096A-2523-4438-A63A-2C9F5C1EF5AA}"/>
    <cellStyle name="Comma 4 10 3 2 3 2" xfId="29543" xr:uid="{8082E08C-3F5B-43F2-B786-2349DF72CD9A}"/>
    <cellStyle name="Comma 4 10 3 2 4" xfId="20871" xr:uid="{84C70AB9-48B6-44C7-8795-97948636AADA}"/>
    <cellStyle name="Comma 4 10 3 3" xfId="5695" xr:uid="{67C4F0D0-7B59-44E7-B53A-E51185CFB79E}"/>
    <cellStyle name="Comma 4 10 3 3 2" xfId="14367" xr:uid="{49418EB7-5D29-4281-A473-AAC4BE9B7615}"/>
    <cellStyle name="Comma 4 10 3 3 2 2" xfId="31711" xr:uid="{FC5383AD-000B-49A6-A715-90CC69EC074D}"/>
    <cellStyle name="Comma 4 10 3 3 3" xfId="23039" xr:uid="{6EEA3031-66AD-483B-97FA-D3A3D07ABF6C}"/>
    <cellStyle name="Comma 4 10 3 4" xfId="10031" xr:uid="{18E8F041-C834-4388-9ED7-534EFFD14157}"/>
    <cellStyle name="Comma 4 10 3 4 2" xfId="27375" xr:uid="{B89AFBC0-788F-415D-AAA6-C12C936375C3}"/>
    <cellStyle name="Comma 4 10 3 5" xfId="18703" xr:uid="{5DCFC01A-CBFC-4975-A431-3EC5C05A12D0}"/>
    <cellStyle name="Comma 4 10 4" xfId="2443" xr:uid="{010A8605-2FA1-41BC-8F4C-1B5AA1ABF309}"/>
    <cellStyle name="Comma 4 10 4 2" xfId="6779" xr:uid="{A2A88EA8-F0F6-42EA-9C84-AB9198945678}"/>
    <cellStyle name="Comma 4 10 4 2 2" xfId="15451" xr:uid="{7A4BC22B-DBA7-48DF-9B45-7B9C5742CA2E}"/>
    <cellStyle name="Comma 4 10 4 2 2 2" xfId="32795" xr:uid="{E7035C00-5425-44DD-B4BA-662494E99740}"/>
    <cellStyle name="Comma 4 10 4 2 3" xfId="24123" xr:uid="{A57CC1C5-8028-45EA-9ED4-B9CFCCD1827F}"/>
    <cellStyle name="Comma 4 10 4 3" xfId="11115" xr:uid="{9EB009FB-0F28-4D92-912D-1AFB03DA8364}"/>
    <cellStyle name="Comma 4 10 4 3 2" xfId="28459" xr:uid="{6ABFB51E-3360-49A7-B3E9-09FD630CDA6E}"/>
    <cellStyle name="Comma 4 10 4 4" xfId="19787" xr:uid="{528B259C-3B1A-49BD-A6CD-D86BACF56F0D}"/>
    <cellStyle name="Comma 4 10 5" xfId="4611" xr:uid="{96C7DAA3-7BA6-401B-81B5-98E5676F362A}"/>
    <cellStyle name="Comma 4 10 5 2" xfId="13283" xr:uid="{8E769EA3-40BE-459A-8EE7-0D4A974FA50E}"/>
    <cellStyle name="Comma 4 10 5 2 2" xfId="30627" xr:uid="{C30D1D89-1357-443E-9DE5-6C4AFD3D9613}"/>
    <cellStyle name="Comma 4 10 5 3" xfId="21955" xr:uid="{37AB9F60-DD30-4CFD-8B03-FCD675DC7A10}"/>
    <cellStyle name="Comma 4 10 6" xfId="8947" xr:uid="{D5DD75BE-EE98-4196-A536-B5F5AF218E01}"/>
    <cellStyle name="Comma 4 10 6 2" xfId="26291" xr:uid="{F263DBA7-DE64-42AE-B9CA-A465E5E1B777}"/>
    <cellStyle name="Comma 4 10 7" xfId="17619" xr:uid="{8F33FAA1-C953-496A-BF58-657F03879BA3}"/>
    <cellStyle name="Comma 4 11" xfId="546" xr:uid="{15755715-2932-4F87-AD84-B0357DAE4FD7}"/>
    <cellStyle name="Comma 4 11 2" xfId="1630" xr:uid="{D339DAAA-6DC6-46ED-95FF-B6CE9819EA4D}"/>
    <cellStyle name="Comma 4 11 2 2" xfId="3798" xr:uid="{A9BFF9A3-F861-4BEF-B692-8E3250FC1CE6}"/>
    <cellStyle name="Comma 4 11 2 2 2" xfId="8134" xr:uid="{356DE337-FB9B-450B-BE9E-60DA3F7A3DDD}"/>
    <cellStyle name="Comma 4 11 2 2 2 2" xfId="16806" xr:uid="{6785E910-90B5-421C-84B7-5AE5D493873F}"/>
    <cellStyle name="Comma 4 11 2 2 2 2 2" xfId="34150" xr:uid="{A0F2E7D7-E46F-42D1-9C97-8BC11673A802}"/>
    <cellStyle name="Comma 4 11 2 2 2 3" xfId="25478" xr:uid="{6628C039-E2A5-468D-A9E3-18BDE8E53961}"/>
    <cellStyle name="Comma 4 11 2 2 3" xfId="12470" xr:uid="{5CD6946E-4E31-42A6-A704-5BD2F9F329C9}"/>
    <cellStyle name="Comma 4 11 2 2 3 2" xfId="29814" xr:uid="{4EB04317-0F8B-4BBB-93D6-048A3DFC81AE}"/>
    <cellStyle name="Comma 4 11 2 2 4" xfId="21142" xr:uid="{6602FBD3-B1A2-4CF9-9A76-788DCB6ACD0A}"/>
    <cellStyle name="Comma 4 11 2 3" xfId="5966" xr:uid="{F8935C5D-2A96-42A3-A54A-CFE6E623179E}"/>
    <cellStyle name="Comma 4 11 2 3 2" xfId="14638" xr:uid="{8E4B84BD-83B4-4405-98DE-AFDF1A2CB143}"/>
    <cellStyle name="Comma 4 11 2 3 2 2" xfId="31982" xr:uid="{939D8BC2-9DD9-420E-8779-71F4F04625D7}"/>
    <cellStyle name="Comma 4 11 2 3 3" xfId="23310" xr:uid="{D1ADCC64-4A31-4F39-855E-0D18196510E5}"/>
    <cellStyle name="Comma 4 11 2 4" xfId="10302" xr:uid="{7CBAF51F-58BB-4CD8-9E50-3C694AC56C16}"/>
    <cellStyle name="Comma 4 11 2 4 2" xfId="27646" xr:uid="{F9607197-7519-42AF-9E44-6BE887982207}"/>
    <cellStyle name="Comma 4 11 2 5" xfId="18974" xr:uid="{99F05C8B-54A3-4466-8C1F-589C2DE41C13}"/>
    <cellStyle name="Comma 4 11 3" xfId="2714" xr:uid="{6D77C7F4-7AB7-4BF6-B678-CC7A8442CA40}"/>
    <cellStyle name="Comma 4 11 3 2" xfId="7050" xr:uid="{C4C5712C-BEDC-4F67-880C-3D07286E40BF}"/>
    <cellStyle name="Comma 4 11 3 2 2" xfId="15722" xr:uid="{3D90EE29-0DF0-487A-A199-59EF1B02FF45}"/>
    <cellStyle name="Comma 4 11 3 2 2 2" xfId="33066" xr:uid="{88477084-742A-431F-B948-3FCDE6357C32}"/>
    <cellStyle name="Comma 4 11 3 2 3" xfId="24394" xr:uid="{0AD56BDD-A3D2-41A4-916D-C0750E4BB679}"/>
    <cellStyle name="Comma 4 11 3 3" xfId="11386" xr:uid="{C886E43A-4027-4248-934E-E12F92CEB4EA}"/>
    <cellStyle name="Comma 4 11 3 3 2" xfId="28730" xr:uid="{869BFD73-5D2C-4479-9669-F5F79A839A11}"/>
    <cellStyle name="Comma 4 11 3 4" xfId="20058" xr:uid="{6CEB9859-1F8B-4BFE-A2C8-4BB81631A2DF}"/>
    <cellStyle name="Comma 4 11 4" xfId="4882" xr:uid="{FBFDCA39-10A1-446A-98A2-A0F1E0938F37}"/>
    <cellStyle name="Comma 4 11 4 2" xfId="13554" xr:uid="{9F512963-EE21-457E-831E-F5ED8CA9CE87}"/>
    <cellStyle name="Comma 4 11 4 2 2" xfId="30898" xr:uid="{652B3BAC-C2B2-4663-A704-6709147AEBAF}"/>
    <cellStyle name="Comma 4 11 4 3" xfId="22226" xr:uid="{AF6D467B-8353-4427-9593-2299CB2EC0BF}"/>
    <cellStyle name="Comma 4 11 5" xfId="9218" xr:uid="{9415BD1D-7477-4901-9162-2EFD9DA863B1}"/>
    <cellStyle name="Comma 4 11 5 2" xfId="26562" xr:uid="{5C9BC86A-D0CA-486D-B0B9-BF87FE258BFE}"/>
    <cellStyle name="Comma 4 11 6" xfId="17890" xr:uid="{BCA940F7-C5FD-431A-A2C9-105618839385}"/>
    <cellStyle name="Comma 4 12" xfId="1089" xr:uid="{F494230E-F195-4B98-9E06-58119BDBD7D0}"/>
    <cellStyle name="Comma 4 12 2" xfId="3257" xr:uid="{84F64545-0388-4C4D-B4A1-1C93C202B126}"/>
    <cellStyle name="Comma 4 12 2 2" xfId="7593" xr:uid="{A5CAA57E-6B2B-409B-B964-3592FF651327}"/>
    <cellStyle name="Comma 4 12 2 2 2" xfId="16265" xr:uid="{2276E00F-6E0B-48F9-8EE9-1D7E26C81F11}"/>
    <cellStyle name="Comma 4 12 2 2 2 2" xfId="33609" xr:uid="{51A00EC3-5D02-461C-AC6F-6DD0ACDDC989}"/>
    <cellStyle name="Comma 4 12 2 2 3" xfId="24937" xr:uid="{781FA5A7-CA21-4119-A9D7-283FD7F0D40E}"/>
    <cellStyle name="Comma 4 12 2 3" xfId="11929" xr:uid="{DA9BE052-887C-4569-B827-898CF1101CDB}"/>
    <cellStyle name="Comma 4 12 2 3 2" xfId="29273" xr:uid="{FA8223FB-3D78-49B2-994D-8ACCCA613B57}"/>
    <cellStyle name="Comma 4 12 2 4" xfId="20601" xr:uid="{0B34A418-35F5-4288-A17B-C4CB2AACF0CE}"/>
    <cellStyle name="Comma 4 12 3" xfId="5425" xr:uid="{8CC85A02-95D8-4C3F-B900-ECF8FCDE2020}"/>
    <cellStyle name="Comma 4 12 3 2" xfId="14097" xr:uid="{3E32B276-51ED-4574-A23B-D49CA9FA5D0D}"/>
    <cellStyle name="Comma 4 12 3 2 2" xfId="31441" xr:uid="{F13EE071-A62A-44E3-85FD-521C98A68599}"/>
    <cellStyle name="Comma 4 12 3 3" xfId="22769" xr:uid="{2521C9D7-D867-40CA-A3CB-6D09DFF0FAB9}"/>
    <cellStyle name="Comma 4 12 4" xfId="9761" xr:uid="{8200A1A9-EBED-4801-BC19-32B14853AB66}"/>
    <cellStyle name="Comma 4 12 4 2" xfId="27105" xr:uid="{539840F2-0B16-4A2A-8221-C4A5047E860F}"/>
    <cellStyle name="Comma 4 12 5" xfId="18433" xr:uid="{927DB696-7DC6-41E9-A2BC-E4425CB6C6E0}"/>
    <cellStyle name="Comma 4 13" xfId="2173" xr:uid="{1D8CFC3F-AFE0-43F6-9AA6-F203C6F7BA4C}"/>
    <cellStyle name="Comma 4 13 2" xfId="6509" xr:uid="{44ED05D6-0122-4BA9-AD2F-BFDC85F11988}"/>
    <cellStyle name="Comma 4 13 2 2" xfId="15181" xr:uid="{E72BBBA4-A8A7-4C51-94DA-E80AE7D3208E}"/>
    <cellStyle name="Comma 4 13 2 2 2" xfId="32525" xr:uid="{E44E54DF-AC14-4A3D-847E-9582086396CE}"/>
    <cellStyle name="Comma 4 13 2 3" xfId="23853" xr:uid="{B37229C6-C1A8-459B-8870-A0635356E8B7}"/>
    <cellStyle name="Comma 4 13 3" xfId="10845" xr:uid="{6E2F1999-8BA8-4231-A3C5-E742537E1C5D}"/>
    <cellStyle name="Comma 4 13 3 2" xfId="28189" xr:uid="{BF02A2DE-A03D-460B-91DE-7D114E5ECD18}"/>
    <cellStyle name="Comma 4 13 4" xfId="19517" xr:uid="{E3C20309-60D7-4AED-91AB-DAD4DD81FC6A}"/>
    <cellStyle name="Comma 4 14" xfId="4341" xr:uid="{96795D19-A991-4F4D-8352-639EB2C2C02F}"/>
    <cellStyle name="Comma 4 14 2" xfId="13013" xr:uid="{C79515A1-44A5-4F74-9D4B-E95DB212330A}"/>
    <cellStyle name="Comma 4 14 2 2" xfId="30357" xr:uid="{7CEC8A13-2449-4041-A81B-1DA99416F5AB}"/>
    <cellStyle name="Comma 4 14 3" xfId="21685" xr:uid="{BBF48A7F-E04D-4EA7-A1D8-C9ECB50D849B}"/>
    <cellStyle name="Comma 4 15" xfId="8677" xr:uid="{4C337266-70F7-404B-861C-D1E3BADD4148}"/>
    <cellStyle name="Comma 4 15 2" xfId="26021" xr:uid="{586C6928-84D2-412C-A4D4-099025F72729}"/>
    <cellStyle name="Comma 4 16" xfId="17349" xr:uid="{0490A459-0DD0-4C83-B7E2-8282DBCF9B3C}"/>
    <cellStyle name="Comma 4 2" xfId="11" xr:uid="{66C1CAD2-9D0E-4AB3-81CD-49C2AB833BDF}"/>
    <cellStyle name="Comma 4 2 10" xfId="2179" xr:uid="{CEBD1E26-EE86-4819-85A0-14E8D9296A0E}"/>
    <cellStyle name="Comma 4 2 10 2" xfId="6515" xr:uid="{A9B3D8AF-C5E2-441C-AD08-FC92D1721DB4}"/>
    <cellStyle name="Comma 4 2 10 2 2" xfId="15187" xr:uid="{D3838AAE-2263-433E-AF9D-659749F45205}"/>
    <cellStyle name="Comma 4 2 10 2 2 2" xfId="32531" xr:uid="{69D141B4-BA29-47B5-8D06-E2A9C552BE6B}"/>
    <cellStyle name="Comma 4 2 10 2 3" xfId="23859" xr:uid="{FA02F9F4-6AE9-48B9-B857-324BBDBBFAED}"/>
    <cellStyle name="Comma 4 2 10 3" xfId="10851" xr:uid="{F28F893B-0C3C-4F26-B9F5-09BA383099CF}"/>
    <cellStyle name="Comma 4 2 10 3 2" xfId="28195" xr:uid="{48F313B7-13A0-45F5-84B6-6FCFC0177B2B}"/>
    <cellStyle name="Comma 4 2 10 4" xfId="19523" xr:uid="{C990D3CF-1AE2-4033-B1AD-AF17DCC568BE}"/>
    <cellStyle name="Comma 4 2 11" xfId="4347" xr:uid="{4EEDD4C4-9BE6-45BE-B40E-0F68526209C6}"/>
    <cellStyle name="Comma 4 2 11 2" xfId="13019" xr:uid="{321BED7F-4E61-4CDD-B25A-AE156D798904}"/>
    <cellStyle name="Comma 4 2 11 2 2" xfId="30363" xr:uid="{812288D5-D483-43AA-92B6-D5B7C9E53A8F}"/>
    <cellStyle name="Comma 4 2 11 3" xfId="21691" xr:uid="{FC586CD8-A7CF-448A-814A-58D0BEBADE64}"/>
    <cellStyle name="Comma 4 2 12" xfId="8683" xr:uid="{E93DB378-7FC1-4BCC-A7C8-B99EF6F01B50}"/>
    <cellStyle name="Comma 4 2 12 2" xfId="26027" xr:uid="{814F9DC7-9BB4-47B2-9576-BA96564BD710}"/>
    <cellStyle name="Comma 4 2 13" xfId="17355" xr:uid="{5E7F94E7-7050-4950-82D9-5A8209C03ED4}"/>
    <cellStyle name="Comma 4 2 2" xfId="27" xr:uid="{89F01A92-41E9-4120-B06C-83AE7376B3AD}"/>
    <cellStyle name="Comma 4 2 2 10" xfId="17371" xr:uid="{6E1EA538-AE89-4A8C-8C85-4EA854D60E27}"/>
    <cellStyle name="Comma 4 2 2 2" xfId="88" xr:uid="{8C49C962-0EF7-47C7-88B7-FF1B769C290A}"/>
    <cellStyle name="Comma 4 2 2 2 2" xfId="210" xr:uid="{004014FD-1AE6-42E3-86F8-3F297A99DDD0}"/>
    <cellStyle name="Comma 4 2 2 2 2 2" xfId="480" xr:uid="{62006AB2-A549-4806-8860-09AB1B32A896}"/>
    <cellStyle name="Comma 4 2 2 2 2 2 2" xfId="1021" xr:uid="{D38238BC-1F7E-4F7E-A80B-0BEAEAF763BE}"/>
    <cellStyle name="Comma 4 2 2 2 2 2 2 2" xfId="2105" xr:uid="{1469212E-6F1C-4C5B-B585-BDC4E854FF05}"/>
    <cellStyle name="Comma 4 2 2 2 2 2 2 2 2" xfId="4273" xr:uid="{DAD0E9C8-FA8C-40E9-93C6-0A56EAC37F5C}"/>
    <cellStyle name="Comma 4 2 2 2 2 2 2 2 2 2" xfId="8609" xr:uid="{EFD69E85-E820-47B1-BD98-194D8E87B9A8}"/>
    <cellStyle name="Comma 4 2 2 2 2 2 2 2 2 2 2" xfId="17281" xr:uid="{7B78FE5B-8306-4E23-825F-8339BD5FA2A0}"/>
    <cellStyle name="Comma 4 2 2 2 2 2 2 2 2 2 2 2" xfId="34625" xr:uid="{8825DE0F-F92E-4BDE-BA13-73817EFA7EBC}"/>
    <cellStyle name="Comma 4 2 2 2 2 2 2 2 2 2 3" xfId="25953" xr:uid="{5F8AC6C8-8D7B-47C8-86D3-9D87BE00AC37}"/>
    <cellStyle name="Comma 4 2 2 2 2 2 2 2 2 3" xfId="12945" xr:uid="{B416A1CE-43F6-4026-B6D0-C377FC695588}"/>
    <cellStyle name="Comma 4 2 2 2 2 2 2 2 2 3 2" xfId="30289" xr:uid="{A97CFF5C-D1EB-419B-8BBD-6C07DE1F3321}"/>
    <cellStyle name="Comma 4 2 2 2 2 2 2 2 2 4" xfId="21617" xr:uid="{FFD92FA4-737D-486A-BE53-117C52CF283A}"/>
    <cellStyle name="Comma 4 2 2 2 2 2 2 2 3" xfId="6441" xr:uid="{5057D125-8814-4E00-9FE2-63D84CA7CEB1}"/>
    <cellStyle name="Comma 4 2 2 2 2 2 2 2 3 2" xfId="15113" xr:uid="{639B2BF1-A894-4B5A-B9DC-750131103A6C}"/>
    <cellStyle name="Comma 4 2 2 2 2 2 2 2 3 2 2" xfId="32457" xr:uid="{3DFC7C94-ECBF-4DB0-A636-77D7F35620FF}"/>
    <cellStyle name="Comma 4 2 2 2 2 2 2 2 3 3" xfId="23785" xr:uid="{88E4FB7A-A549-41D4-B326-0886442F48D7}"/>
    <cellStyle name="Comma 4 2 2 2 2 2 2 2 4" xfId="10777" xr:uid="{94222937-FD65-4807-AFE3-B60678FFBCC5}"/>
    <cellStyle name="Comma 4 2 2 2 2 2 2 2 4 2" xfId="28121" xr:uid="{8E1DD4B9-963A-43AD-B56F-36473EE9A0F1}"/>
    <cellStyle name="Comma 4 2 2 2 2 2 2 2 5" xfId="19449" xr:uid="{EE646392-9A18-4B5C-B78C-C75160CEF041}"/>
    <cellStyle name="Comma 4 2 2 2 2 2 2 3" xfId="3189" xr:uid="{BE0D6198-3556-459C-A149-65AEAE17B93E}"/>
    <cellStyle name="Comma 4 2 2 2 2 2 2 3 2" xfId="7525" xr:uid="{98762DF2-6050-4C42-88E4-2881DCD93156}"/>
    <cellStyle name="Comma 4 2 2 2 2 2 2 3 2 2" xfId="16197" xr:uid="{9E411DAA-F56F-4137-8D19-0B7BA1C79A55}"/>
    <cellStyle name="Comma 4 2 2 2 2 2 2 3 2 2 2" xfId="33541" xr:uid="{2FBE86E4-56FD-4F17-A197-72B445810587}"/>
    <cellStyle name="Comma 4 2 2 2 2 2 2 3 2 3" xfId="24869" xr:uid="{259A2DEB-4165-4326-B3C6-DE7F620E036B}"/>
    <cellStyle name="Comma 4 2 2 2 2 2 2 3 3" xfId="11861" xr:uid="{BBCC348A-DC43-4CE8-ADD7-A9E5251B7292}"/>
    <cellStyle name="Comma 4 2 2 2 2 2 2 3 3 2" xfId="29205" xr:uid="{93CC1688-795F-41B5-BB74-9CA96F46E04B}"/>
    <cellStyle name="Comma 4 2 2 2 2 2 2 3 4" xfId="20533" xr:uid="{FFAA9108-AFEC-4C16-9D41-306982AF406E}"/>
    <cellStyle name="Comma 4 2 2 2 2 2 2 4" xfId="5357" xr:uid="{21A9A0A5-6D77-4BB2-94D2-9E00EB912FDD}"/>
    <cellStyle name="Comma 4 2 2 2 2 2 2 4 2" xfId="14029" xr:uid="{26D70920-9C9B-420D-AE32-AA55B32788F4}"/>
    <cellStyle name="Comma 4 2 2 2 2 2 2 4 2 2" xfId="31373" xr:uid="{195712E4-605C-4D6B-9507-9B5917D8D0E9}"/>
    <cellStyle name="Comma 4 2 2 2 2 2 2 4 3" xfId="22701" xr:uid="{0F7A21AE-F2A9-48D5-81AA-E1A0B9452422}"/>
    <cellStyle name="Comma 4 2 2 2 2 2 2 5" xfId="9693" xr:uid="{A62963C8-9F0F-4EEC-BC89-B83DD21380DD}"/>
    <cellStyle name="Comma 4 2 2 2 2 2 2 5 2" xfId="27037" xr:uid="{8F1D82EB-3171-4F22-A696-468569EF7589}"/>
    <cellStyle name="Comma 4 2 2 2 2 2 2 6" xfId="18365" xr:uid="{F67878BE-57D3-4A17-A10E-F4C219A5627E}"/>
    <cellStyle name="Comma 4 2 2 2 2 2 3" xfId="1564" xr:uid="{957DCD73-FC40-42C3-B310-D07309A26547}"/>
    <cellStyle name="Comma 4 2 2 2 2 2 3 2" xfId="3732" xr:uid="{BB3C4631-99B2-4FBD-8597-D063B6B36159}"/>
    <cellStyle name="Comma 4 2 2 2 2 2 3 2 2" xfId="8068" xr:uid="{C23D0C77-1F0D-4F6F-A8BA-B3F81C9930CE}"/>
    <cellStyle name="Comma 4 2 2 2 2 2 3 2 2 2" xfId="16740" xr:uid="{8E437909-850D-4E7F-A200-803143146108}"/>
    <cellStyle name="Comma 4 2 2 2 2 2 3 2 2 2 2" xfId="34084" xr:uid="{6944019A-7D3D-49B0-B6F2-57D07103C9D2}"/>
    <cellStyle name="Comma 4 2 2 2 2 2 3 2 2 3" xfId="25412" xr:uid="{EF66446A-1ACC-4E08-B418-82246735B324}"/>
    <cellStyle name="Comma 4 2 2 2 2 2 3 2 3" xfId="12404" xr:uid="{0AC9A10C-018A-411C-90C2-709C003181DE}"/>
    <cellStyle name="Comma 4 2 2 2 2 2 3 2 3 2" xfId="29748" xr:uid="{91EC4B9C-3874-4A49-A14F-C99F3F6BDBBF}"/>
    <cellStyle name="Comma 4 2 2 2 2 2 3 2 4" xfId="21076" xr:uid="{69277EA0-7AF8-4E96-AC28-D28433F8AACA}"/>
    <cellStyle name="Comma 4 2 2 2 2 2 3 3" xfId="5900" xr:uid="{B7B39D85-41E5-4242-BC4D-142619F70A90}"/>
    <cellStyle name="Comma 4 2 2 2 2 2 3 3 2" xfId="14572" xr:uid="{F96F616C-E518-41B1-8859-1889D9239846}"/>
    <cellStyle name="Comma 4 2 2 2 2 2 3 3 2 2" xfId="31916" xr:uid="{1FA68449-BD15-4A48-9E83-607E7157962D}"/>
    <cellStyle name="Comma 4 2 2 2 2 2 3 3 3" xfId="23244" xr:uid="{98ED549D-0E28-4280-A417-5D8231EB87DE}"/>
    <cellStyle name="Comma 4 2 2 2 2 2 3 4" xfId="10236" xr:uid="{AF64B22E-027D-434A-B920-AF93ABF4BF2A}"/>
    <cellStyle name="Comma 4 2 2 2 2 2 3 4 2" xfId="27580" xr:uid="{D4CA7559-62D2-4278-AFAF-74DDF343AF38}"/>
    <cellStyle name="Comma 4 2 2 2 2 2 3 5" xfId="18908" xr:uid="{690E8EF3-A38F-4EC4-B8D9-4FC50F4201E8}"/>
    <cellStyle name="Comma 4 2 2 2 2 2 4" xfId="2648" xr:uid="{2FF291B3-7C04-472F-B02F-C87E4B1DEF4F}"/>
    <cellStyle name="Comma 4 2 2 2 2 2 4 2" xfId="6984" xr:uid="{7890CDDD-B1AD-4F81-9495-6B17DEC52176}"/>
    <cellStyle name="Comma 4 2 2 2 2 2 4 2 2" xfId="15656" xr:uid="{F7DE0B98-531A-4F43-AD62-A3614A1403EB}"/>
    <cellStyle name="Comma 4 2 2 2 2 2 4 2 2 2" xfId="33000" xr:uid="{0080081B-B639-4CFF-B616-5461E359ACE6}"/>
    <cellStyle name="Comma 4 2 2 2 2 2 4 2 3" xfId="24328" xr:uid="{AA7061FC-29D3-4670-98EB-84A362D53E01}"/>
    <cellStyle name="Comma 4 2 2 2 2 2 4 3" xfId="11320" xr:uid="{55F65665-309E-4A54-B3BD-27A188569668}"/>
    <cellStyle name="Comma 4 2 2 2 2 2 4 3 2" xfId="28664" xr:uid="{D0FB95E4-E1DF-4FB6-9C93-D8124C36D589}"/>
    <cellStyle name="Comma 4 2 2 2 2 2 4 4" xfId="19992" xr:uid="{C320E54F-3E08-4C28-8D5B-A19B1E38025B}"/>
    <cellStyle name="Comma 4 2 2 2 2 2 5" xfId="4816" xr:uid="{2EBFD8B6-1F85-444D-8042-EF59C6135A49}"/>
    <cellStyle name="Comma 4 2 2 2 2 2 5 2" xfId="13488" xr:uid="{DA91CA04-CB78-4D12-9FAA-E450AA5E034A}"/>
    <cellStyle name="Comma 4 2 2 2 2 2 5 2 2" xfId="30832" xr:uid="{6730777B-F6ED-4341-9546-E99026F99DD8}"/>
    <cellStyle name="Comma 4 2 2 2 2 2 5 3" xfId="22160" xr:uid="{75F8741F-366E-4376-A5FC-E360986B6499}"/>
    <cellStyle name="Comma 4 2 2 2 2 2 6" xfId="9152" xr:uid="{2758FB16-F3DB-46E7-9AAC-334FFC042A3A}"/>
    <cellStyle name="Comma 4 2 2 2 2 2 6 2" xfId="26496" xr:uid="{E39447BD-2AB1-47E3-8328-DBFDAF34BF55}"/>
    <cellStyle name="Comma 4 2 2 2 2 2 7" xfId="17824" xr:uid="{7F266BC5-3533-4EE7-B2D7-4FDEFD05072B}"/>
    <cellStyle name="Comma 4 2 2 2 2 3" xfId="751" xr:uid="{222607AE-10AC-4AD8-93E0-00D4B06A54CE}"/>
    <cellStyle name="Comma 4 2 2 2 2 3 2" xfId="1835" xr:uid="{0708FEF5-E789-4B39-B3C2-29F757816439}"/>
    <cellStyle name="Comma 4 2 2 2 2 3 2 2" xfId="4003" xr:uid="{356468C8-81E2-4DCD-8CAF-CA82AEF54000}"/>
    <cellStyle name="Comma 4 2 2 2 2 3 2 2 2" xfId="8339" xr:uid="{A32447DE-0DAC-4D41-A085-DE3C9569FB9A}"/>
    <cellStyle name="Comma 4 2 2 2 2 3 2 2 2 2" xfId="17011" xr:uid="{E3E586E3-ED34-441D-9ECC-6857FEB625D5}"/>
    <cellStyle name="Comma 4 2 2 2 2 3 2 2 2 2 2" xfId="34355" xr:uid="{236B4F32-82C2-4D08-9C80-3DD9E7193DD1}"/>
    <cellStyle name="Comma 4 2 2 2 2 3 2 2 2 3" xfId="25683" xr:uid="{36161DA0-50DE-4570-A4E7-2B1712DD0780}"/>
    <cellStyle name="Comma 4 2 2 2 2 3 2 2 3" xfId="12675" xr:uid="{A114835C-10F4-47C7-90FC-828288BBF53C}"/>
    <cellStyle name="Comma 4 2 2 2 2 3 2 2 3 2" xfId="30019" xr:uid="{FCF336A3-93EF-4178-A487-8E6C1197F1D8}"/>
    <cellStyle name="Comma 4 2 2 2 2 3 2 2 4" xfId="21347" xr:uid="{73E4CA9A-DDEC-4323-942D-A434B7C5A251}"/>
    <cellStyle name="Comma 4 2 2 2 2 3 2 3" xfId="6171" xr:uid="{6D943A85-EB84-4123-B445-EB149B3745DF}"/>
    <cellStyle name="Comma 4 2 2 2 2 3 2 3 2" xfId="14843" xr:uid="{407063CF-673E-49D9-B71D-E17B17B02F65}"/>
    <cellStyle name="Comma 4 2 2 2 2 3 2 3 2 2" xfId="32187" xr:uid="{53421140-E5DA-4265-8D13-BC29B7BD4893}"/>
    <cellStyle name="Comma 4 2 2 2 2 3 2 3 3" xfId="23515" xr:uid="{9D2FC92F-65C2-4F18-9E22-40212D573AE8}"/>
    <cellStyle name="Comma 4 2 2 2 2 3 2 4" xfId="10507" xr:uid="{EACFF2A3-B972-4532-9E60-A3452F809B7F}"/>
    <cellStyle name="Comma 4 2 2 2 2 3 2 4 2" xfId="27851" xr:uid="{75A33994-1861-4E26-9139-19DCA6E08F31}"/>
    <cellStyle name="Comma 4 2 2 2 2 3 2 5" xfId="19179" xr:uid="{77945636-92D1-435D-A2DB-1191457D243E}"/>
    <cellStyle name="Comma 4 2 2 2 2 3 3" xfId="2919" xr:uid="{768B81DE-A28A-42B7-BE5B-023484064233}"/>
    <cellStyle name="Comma 4 2 2 2 2 3 3 2" xfId="7255" xr:uid="{6BFD03D0-9304-41F8-8BFF-FADC8E33B651}"/>
    <cellStyle name="Comma 4 2 2 2 2 3 3 2 2" xfId="15927" xr:uid="{34D8CE38-D577-4343-BE3A-66D106481A5A}"/>
    <cellStyle name="Comma 4 2 2 2 2 3 3 2 2 2" xfId="33271" xr:uid="{4E20E317-46E6-4BFC-B6EA-C9443D40D0BD}"/>
    <cellStyle name="Comma 4 2 2 2 2 3 3 2 3" xfId="24599" xr:uid="{2F2936F3-10CB-4F34-994B-BFEF57D92553}"/>
    <cellStyle name="Comma 4 2 2 2 2 3 3 3" xfId="11591" xr:uid="{5C811C71-AD6C-4A4D-9556-DA37FD3DB61C}"/>
    <cellStyle name="Comma 4 2 2 2 2 3 3 3 2" xfId="28935" xr:uid="{A94ACB89-6C1C-4324-B75E-26E5652E03DA}"/>
    <cellStyle name="Comma 4 2 2 2 2 3 3 4" xfId="20263" xr:uid="{330EFD74-8E5B-4AD4-ACF7-5045F1242D01}"/>
    <cellStyle name="Comma 4 2 2 2 2 3 4" xfId="5087" xr:uid="{F5274094-7A71-45D4-ACC8-691339FCF1D3}"/>
    <cellStyle name="Comma 4 2 2 2 2 3 4 2" xfId="13759" xr:uid="{DCC7BC45-3C6E-451F-85A4-DCE951A07A88}"/>
    <cellStyle name="Comma 4 2 2 2 2 3 4 2 2" xfId="31103" xr:uid="{9D004E9C-8FA1-4720-93C6-D9D9E8DAD3A8}"/>
    <cellStyle name="Comma 4 2 2 2 2 3 4 3" xfId="22431" xr:uid="{8CCD7E26-851E-44F9-A599-0FF8621E9FB5}"/>
    <cellStyle name="Comma 4 2 2 2 2 3 5" xfId="9423" xr:uid="{F6332043-6158-4160-BFCF-0B17371FFC14}"/>
    <cellStyle name="Comma 4 2 2 2 2 3 5 2" xfId="26767" xr:uid="{1F34631B-A451-47A0-BFD6-E3BDFFCA1735}"/>
    <cellStyle name="Comma 4 2 2 2 2 3 6" xfId="18095" xr:uid="{85231706-87A0-444E-85C6-44796ED2BFB5}"/>
    <cellStyle name="Comma 4 2 2 2 2 4" xfId="1294" xr:uid="{D6A01CAD-325D-4134-AC7C-743CB925FAC4}"/>
    <cellStyle name="Comma 4 2 2 2 2 4 2" xfId="3462" xr:uid="{A74FEC83-CE4C-4964-99A5-F4FE0025BC36}"/>
    <cellStyle name="Comma 4 2 2 2 2 4 2 2" xfId="7798" xr:uid="{45C16F5F-842F-4531-B882-8BD8253CBA73}"/>
    <cellStyle name="Comma 4 2 2 2 2 4 2 2 2" xfId="16470" xr:uid="{05604B09-AE42-4452-9875-EBC1CB533D66}"/>
    <cellStyle name="Comma 4 2 2 2 2 4 2 2 2 2" xfId="33814" xr:uid="{7E22F71E-C03E-4CCA-8DA5-569B473CE3DE}"/>
    <cellStyle name="Comma 4 2 2 2 2 4 2 2 3" xfId="25142" xr:uid="{CD564EB4-E334-46C6-88CE-7A76BAFFB13E}"/>
    <cellStyle name="Comma 4 2 2 2 2 4 2 3" xfId="12134" xr:uid="{994FA334-E34C-40FD-97A6-C1C7AB354B07}"/>
    <cellStyle name="Comma 4 2 2 2 2 4 2 3 2" xfId="29478" xr:uid="{CC84197D-9E67-43E3-BFED-4BDA522B8420}"/>
    <cellStyle name="Comma 4 2 2 2 2 4 2 4" xfId="20806" xr:uid="{D63E9A4F-101E-442B-9477-4B16D1C36DED}"/>
    <cellStyle name="Comma 4 2 2 2 2 4 3" xfId="5630" xr:uid="{EDE65056-A529-4A48-B413-D6C84E3CA066}"/>
    <cellStyle name="Comma 4 2 2 2 2 4 3 2" xfId="14302" xr:uid="{FB850F5B-F9AD-44AB-B94C-BA9AF249A41B}"/>
    <cellStyle name="Comma 4 2 2 2 2 4 3 2 2" xfId="31646" xr:uid="{788A1AF4-4CAB-4E43-B96C-9E583D516C7D}"/>
    <cellStyle name="Comma 4 2 2 2 2 4 3 3" xfId="22974" xr:uid="{E95257BB-E2E4-430E-A7F3-9D5722196AFC}"/>
    <cellStyle name="Comma 4 2 2 2 2 4 4" xfId="9966" xr:uid="{AE678B6C-CE86-4016-B6CD-F816FC14787C}"/>
    <cellStyle name="Comma 4 2 2 2 2 4 4 2" xfId="27310" xr:uid="{7A7C5513-94E2-44E7-9E94-DE88F8E1520D}"/>
    <cellStyle name="Comma 4 2 2 2 2 4 5" xfId="18638" xr:uid="{784C265A-FE47-4FE3-8AD4-E6749D33A446}"/>
    <cellStyle name="Comma 4 2 2 2 2 5" xfId="2378" xr:uid="{C57D4738-9ED4-42A2-B767-E207C70B4936}"/>
    <cellStyle name="Comma 4 2 2 2 2 5 2" xfId="6714" xr:uid="{40907028-4B28-4CE0-A00D-A666F899F7C2}"/>
    <cellStyle name="Comma 4 2 2 2 2 5 2 2" xfId="15386" xr:uid="{F71329BB-8184-4066-94F0-ED6CFD8D3CF6}"/>
    <cellStyle name="Comma 4 2 2 2 2 5 2 2 2" xfId="32730" xr:uid="{DD502675-91D9-4D41-960C-AE632C033DB7}"/>
    <cellStyle name="Comma 4 2 2 2 2 5 2 3" xfId="24058" xr:uid="{0B658666-21F2-466B-9BFA-64A136350808}"/>
    <cellStyle name="Comma 4 2 2 2 2 5 3" xfId="11050" xr:uid="{3462A438-7DE7-4E55-9CC5-9D5924802C9A}"/>
    <cellStyle name="Comma 4 2 2 2 2 5 3 2" xfId="28394" xr:uid="{9EA106EF-65CD-47A1-82FF-E9EEEE1D7E17}"/>
    <cellStyle name="Comma 4 2 2 2 2 5 4" xfId="19722" xr:uid="{65CF728C-FEE8-4DBE-8B8D-DF40B50DD709}"/>
    <cellStyle name="Comma 4 2 2 2 2 6" xfId="4546" xr:uid="{A22FE87C-6D3E-4A3E-A868-7BA5E609FBB6}"/>
    <cellStyle name="Comma 4 2 2 2 2 6 2" xfId="13218" xr:uid="{90ED4AB7-3211-479C-AFDE-DFAF4374B517}"/>
    <cellStyle name="Comma 4 2 2 2 2 6 2 2" xfId="30562" xr:uid="{A9DB7406-279E-448B-9E2C-F6B9656F33C8}"/>
    <cellStyle name="Comma 4 2 2 2 2 6 3" xfId="21890" xr:uid="{B0AE46C6-6225-4286-9B64-DB705C27E21E}"/>
    <cellStyle name="Comma 4 2 2 2 2 7" xfId="8882" xr:uid="{523C8FD5-E1CE-4C70-B57D-89662EFBCFAB}"/>
    <cellStyle name="Comma 4 2 2 2 2 7 2" xfId="26226" xr:uid="{FBA282CD-749C-4370-8244-9E39DA06A683}"/>
    <cellStyle name="Comma 4 2 2 2 2 8" xfId="17554" xr:uid="{532A2640-2462-438A-BF3F-515BD254F261}"/>
    <cellStyle name="Comma 4 2 2 2 3" xfId="358" xr:uid="{21EDA6B3-9FE1-44D2-BA82-D815F9A2E46E}"/>
    <cellStyle name="Comma 4 2 2 2 3 2" xfId="899" xr:uid="{767F9E8B-2561-4681-9755-D08384AB30CE}"/>
    <cellStyle name="Comma 4 2 2 2 3 2 2" xfId="1983" xr:uid="{F28F360C-1E0D-40E3-98CE-3DBC25CE3458}"/>
    <cellStyle name="Comma 4 2 2 2 3 2 2 2" xfId="4151" xr:uid="{DED5F57B-C021-427C-BF18-FBC1EACAA4F0}"/>
    <cellStyle name="Comma 4 2 2 2 3 2 2 2 2" xfId="8487" xr:uid="{5CCCA90B-A9B6-4DF8-BE3E-85C153C6A3FE}"/>
    <cellStyle name="Comma 4 2 2 2 3 2 2 2 2 2" xfId="17159" xr:uid="{F2C51BEE-C2AB-4451-8437-4582C5AC2223}"/>
    <cellStyle name="Comma 4 2 2 2 3 2 2 2 2 2 2" xfId="34503" xr:uid="{BA185E05-660E-4B8B-83BC-5CD6325245CA}"/>
    <cellStyle name="Comma 4 2 2 2 3 2 2 2 2 3" xfId="25831" xr:uid="{C0B10EBB-A9CE-4F03-A148-21A3C23EACD8}"/>
    <cellStyle name="Comma 4 2 2 2 3 2 2 2 3" xfId="12823" xr:uid="{79FB3B88-35C0-40D4-9599-36D34EC3A4F5}"/>
    <cellStyle name="Comma 4 2 2 2 3 2 2 2 3 2" xfId="30167" xr:uid="{BD73AFF8-57D3-4FC3-8330-A21597D33A82}"/>
    <cellStyle name="Comma 4 2 2 2 3 2 2 2 4" xfId="21495" xr:uid="{D87DC360-2E9A-4C11-A46F-EE1DA9FA64A2}"/>
    <cellStyle name="Comma 4 2 2 2 3 2 2 3" xfId="6319" xr:uid="{1F7148B5-9E98-45DA-9E98-ED1CF4C43E7D}"/>
    <cellStyle name="Comma 4 2 2 2 3 2 2 3 2" xfId="14991" xr:uid="{26530012-01CB-4AA1-A9D5-9693B2D78172}"/>
    <cellStyle name="Comma 4 2 2 2 3 2 2 3 2 2" xfId="32335" xr:uid="{BC370E55-41FA-465A-8016-F14DC2D5B566}"/>
    <cellStyle name="Comma 4 2 2 2 3 2 2 3 3" xfId="23663" xr:uid="{A3C342EF-68B5-488B-80D7-6890C61A616E}"/>
    <cellStyle name="Comma 4 2 2 2 3 2 2 4" xfId="10655" xr:uid="{48B3E7D8-9C8E-47CE-A024-D2896A1C3985}"/>
    <cellStyle name="Comma 4 2 2 2 3 2 2 4 2" xfId="27999" xr:uid="{16E7EEEC-3E09-4A45-9E93-849131B9E0AB}"/>
    <cellStyle name="Comma 4 2 2 2 3 2 2 5" xfId="19327" xr:uid="{8D32ED58-2850-4350-B904-0FF22740E37E}"/>
    <cellStyle name="Comma 4 2 2 2 3 2 3" xfId="3067" xr:uid="{832F427F-BEF5-49E9-ACD1-BFC720BC513A}"/>
    <cellStyle name="Comma 4 2 2 2 3 2 3 2" xfId="7403" xr:uid="{AB196EB2-B6CB-409F-9167-2881198EDFA0}"/>
    <cellStyle name="Comma 4 2 2 2 3 2 3 2 2" xfId="16075" xr:uid="{37C1DBB7-44AE-4529-8CFD-65F57FF1B6DF}"/>
    <cellStyle name="Comma 4 2 2 2 3 2 3 2 2 2" xfId="33419" xr:uid="{5179A141-EBC8-41E5-AC4D-FD2EA6AB0ECC}"/>
    <cellStyle name="Comma 4 2 2 2 3 2 3 2 3" xfId="24747" xr:uid="{6C0A3987-DB7A-4461-9B0A-3151EADCCC6B}"/>
    <cellStyle name="Comma 4 2 2 2 3 2 3 3" xfId="11739" xr:uid="{2B9B12AC-054E-45C1-8588-202C6A803CEE}"/>
    <cellStyle name="Comma 4 2 2 2 3 2 3 3 2" xfId="29083" xr:uid="{EC0EAEF4-2665-498A-99E7-568BAB064F0C}"/>
    <cellStyle name="Comma 4 2 2 2 3 2 3 4" xfId="20411" xr:uid="{1BCAAE97-D41C-4C3E-974B-7B0569849512}"/>
    <cellStyle name="Comma 4 2 2 2 3 2 4" xfId="5235" xr:uid="{E79C2A21-95C8-45F2-9A49-1406DC9D749E}"/>
    <cellStyle name="Comma 4 2 2 2 3 2 4 2" xfId="13907" xr:uid="{FFF4FD52-35CD-4747-B3C7-9D4D0DB6F17D}"/>
    <cellStyle name="Comma 4 2 2 2 3 2 4 2 2" xfId="31251" xr:uid="{C813070E-5AFF-4175-B7EC-242427CA093A}"/>
    <cellStyle name="Comma 4 2 2 2 3 2 4 3" xfId="22579" xr:uid="{51A4EABE-621C-491B-8ED8-BC92A9415488}"/>
    <cellStyle name="Comma 4 2 2 2 3 2 5" xfId="9571" xr:uid="{DECAF9CF-CA00-44F8-A862-12052787F950}"/>
    <cellStyle name="Comma 4 2 2 2 3 2 5 2" xfId="26915" xr:uid="{D2987FA8-CF23-42A3-9DB5-3354A56D8E81}"/>
    <cellStyle name="Comma 4 2 2 2 3 2 6" xfId="18243" xr:uid="{BF69CC7D-EACD-41E4-BB6F-8A430946294D}"/>
    <cellStyle name="Comma 4 2 2 2 3 3" xfId="1442" xr:uid="{76174F5D-D9CD-4CF4-BA06-1E395B87FDD6}"/>
    <cellStyle name="Comma 4 2 2 2 3 3 2" xfId="3610" xr:uid="{EDDDB290-4F6B-48E2-91E7-AB30DF26A506}"/>
    <cellStyle name="Comma 4 2 2 2 3 3 2 2" xfId="7946" xr:uid="{4D6A3291-E0BE-4519-8531-78FBF15B3E2C}"/>
    <cellStyle name="Comma 4 2 2 2 3 3 2 2 2" xfId="16618" xr:uid="{8BFA655D-4B67-4367-A7D8-EDB75ACB3379}"/>
    <cellStyle name="Comma 4 2 2 2 3 3 2 2 2 2" xfId="33962" xr:uid="{B8E675BA-D27F-4212-A087-FCC565B56ED0}"/>
    <cellStyle name="Comma 4 2 2 2 3 3 2 2 3" xfId="25290" xr:uid="{1246349F-858E-4936-B8DD-6240D2935586}"/>
    <cellStyle name="Comma 4 2 2 2 3 3 2 3" xfId="12282" xr:uid="{41C15657-3B77-49C3-8B8E-F225AD44EA93}"/>
    <cellStyle name="Comma 4 2 2 2 3 3 2 3 2" xfId="29626" xr:uid="{D61B44CA-72A6-4A32-AEC6-DA186ED35F27}"/>
    <cellStyle name="Comma 4 2 2 2 3 3 2 4" xfId="20954" xr:uid="{E5FB5976-1DBF-4A4F-B826-C76BF78B3BB9}"/>
    <cellStyle name="Comma 4 2 2 2 3 3 3" xfId="5778" xr:uid="{6696058B-56CC-491B-9A92-AD7CB16CA41A}"/>
    <cellStyle name="Comma 4 2 2 2 3 3 3 2" xfId="14450" xr:uid="{916176C4-3EA1-4BC0-BDA1-18F43E50D4C1}"/>
    <cellStyle name="Comma 4 2 2 2 3 3 3 2 2" xfId="31794" xr:uid="{CFEDAC9B-5E4D-4122-8C2C-A48CD9B1C3F0}"/>
    <cellStyle name="Comma 4 2 2 2 3 3 3 3" xfId="23122" xr:uid="{852104D7-DA74-4BB8-A9A0-E42759685DA4}"/>
    <cellStyle name="Comma 4 2 2 2 3 3 4" xfId="10114" xr:uid="{3FC52BC2-F9B9-4C0B-AA40-7C2A74EFF9BF}"/>
    <cellStyle name="Comma 4 2 2 2 3 3 4 2" xfId="27458" xr:uid="{A01354A5-B094-4CB2-B5FD-50FFC49F6B64}"/>
    <cellStyle name="Comma 4 2 2 2 3 3 5" xfId="18786" xr:uid="{F69FFA0E-44A0-454C-AC89-8A73D49F61A9}"/>
    <cellStyle name="Comma 4 2 2 2 3 4" xfId="2526" xr:uid="{758B83ED-F556-41E2-B80A-7124E617ED17}"/>
    <cellStyle name="Comma 4 2 2 2 3 4 2" xfId="6862" xr:uid="{A45F3AEA-2A0C-496E-86A2-307683F3F29C}"/>
    <cellStyle name="Comma 4 2 2 2 3 4 2 2" xfId="15534" xr:uid="{2698F4AD-F8DC-4453-BAEC-1DB53D5654CB}"/>
    <cellStyle name="Comma 4 2 2 2 3 4 2 2 2" xfId="32878" xr:uid="{8831CA8B-F2FB-4676-988D-EC1604C85DFD}"/>
    <cellStyle name="Comma 4 2 2 2 3 4 2 3" xfId="24206" xr:uid="{054F2E24-D6C0-4411-9330-0B55F32EED80}"/>
    <cellStyle name="Comma 4 2 2 2 3 4 3" xfId="11198" xr:uid="{029B62C8-8984-4ADD-A98A-0B7050645F32}"/>
    <cellStyle name="Comma 4 2 2 2 3 4 3 2" xfId="28542" xr:uid="{450763C0-4A83-479B-844F-5AB7EA794EA5}"/>
    <cellStyle name="Comma 4 2 2 2 3 4 4" xfId="19870" xr:uid="{B69DB63D-1D44-4885-88DC-5384E7E8B43E}"/>
    <cellStyle name="Comma 4 2 2 2 3 5" xfId="4694" xr:uid="{0243F74B-28AE-4E3E-A6AE-315E01C83DE7}"/>
    <cellStyle name="Comma 4 2 2 2 3 5 2" xfId="13366" xr:uid="{AA029750-2F24-4A89-A838-E0EC01017C64}"/>
    <cellStyle name="Comma 4 2 2 2 3 5 2 2" xfId="30710" xr:uid="{8BA7BCF7-A17B-4A2B-9489-4E45BA3D55CD}"/>
    <cellStyle name="Comma 4 2 2 2 3 5 3" xfId="22038" xr:uid="{031B5AA8-815D-46EB-ABBC-F1737E26793D}"/>
    <cellStyle name="Comma 4 2 2 2 3 6" xfId="9030" xr:uid="{85A6AF09-8657-4A52-9092-E7CCF921235A}"/>
    <cellStyle name="Comma 4 2 2 2 3 6 2" xfId="26374" xr:uid="{44B8DA2A-9D75-4CD7-AE5F-4B6E8D7A48E2}"/>
    <cellStyle name="Comma 4 2 2 2 3 7" xfId="17702" xr:uid="{18D4DAF2-19FD-49D5-8E57-7A41B4206802}"/>
    <cellStyle name="Comma 4 2 2 2 4" xfId="629" xr:uid="{12F4510E-BBAC-41D4-8C0D-056963003859}"/>
    <cellStyle name="Comma 4 2 2 2 4 2" xfId="1713" xr:uid="{0BB97C9C-8382-4E04-9653-666F1FC88043}"/>
    <cellStyle name="Comma 4 2 2 2 4 2 2" xfId="3881" xr:uid="{36CCA7C1-8C12-4DBC-9413-5317E90D5BBE}"/>
    <cellStyle name="Comma 4 2 2 2 4 2 2 2" xfId="8217" xr:uid="{4AD96A62-5A93-47B0-9EE3-8D84C3846FFF}"/>
    <cellStyle name="Comma 4 2 2 2 4 2 2 2 2" xfId="16889" xr:uid="{14FB7E4A-76D2-49CA-BF31-11A1F87DAB8E}"/>
    <cellStyle name="Comma 4 2 2 2 4 2 2 2 2 2" xfId="34233" xr:uid="{E1E037C4-7179-40EC-91CB-8565CC77E19E}"/>
    <cellStyle name="Comma 4 2 2 2 4 2 2 2 3" xfId="25561" xr:uid="{CF6AF970-176D-4A0E-A364-6F35B3E38D40}"/>
    <cellStyle name="Comma 4 2 2 2 4 2 2 3" xfId="12553" xr:uid="{B07A6136-625E-45C4-B6B9-65EBDCE2C572}"/>
    <cellStyle name="Comma 4 2 2 2 4 2 2 3 2" xfId="29897" xr:uid="{4C647998-8F80-4393-926C-CDE6F7E464DE}"/>
    <cellStyle name="Comma 4 2 2 2 4 2 2 4" xfId="21225" xr:uid="{B779D1BC-3E86-4695-B998-4B2E991826C9}"/>
    <cellStyle name="Comma 4 2 2 2 4 2 3" xfId="6049" xr:uid="{570839D7-FC01-4DA9-8896-9774D37321CC}"/>
    <cellStyle name="Comma 4 2 2 2 4 2 3 2" xfId="14721" xr:uid="{57AAD324-735E-45AB-B570-D93822384504}"/>
    <cellStyle name="Comma 4 2 2 2 4 2 3 2 2" xfId="32065" xr:uid="{F373ECE9-F0F5-4380-99CF-8528EBC1B90F}"/>
    <cellStyle name="Comma 4 2 2 2 4 2 3 3" xfId="23393" xr:uid="{79B2DB51-886C-4936-98BA-5FFF17E1F444}"/>
    <cellStyle name="Comma 4 2 2 2 4 2 4" xfId="10385" xr:uid="{7ABF5E0C-3C94-4B8B-ABA7-68BBB18E8A0C}"/>
    <cellStyle name="Comma 4 2 2 2 4 2 4 2" xfId="27729" xr:uid="{12A7C70F-1DE0-4654-92C3-1D7AE403F406}"/>
    <cellStyle name="Comma 4 2 2 2 4 2 5" xfId="19057" xr:uid="{426CCE38-9B7B-46CE-A256-781AC1A2A369}"/>
    <cellStyle name="Comma 4 2 2 2 4 3" xfId="2797" xr:uid="{FCCFA7EF-2BE7-489C-92B4-93DECC2BEFD7}"/>
    <cellStyle name="Comma 4 2 2 2 4 3 2" xfId="7133" xr:uid="{57850140-3D72-4D32-B369-6C3F580C9968}"/>
    <cellStyle name="Comma 4 2 2 2 4 3 2 2" xfId="15805" xr:uid="{E4BA4E6A-DAD3-43FF-975B-78B29DA3D927}"/>
    <cellStyle name="Comma 4 2 2 2 4 3 2 2 2" xfId="33149" xr:uid="{32006127-448C-4DFE-B3DB-3A0242A94525}"/>
    <cellStyle name="Comma 4 2 2 2 4 3 2 3" xfId="24477" xr:uid="{456EDEDA-E937-4A9C-8195-C9DE25AA9945}"/>
    <cellStyle name="Comma 4 2 2 2 4 3 3" xfId="11469" xr:uid="{0B303DD6-CDC2-4596-A3C4-28A29A7C2BCA}"/>
    <cellStyle name="Comma 4 2 2 2 4 3 3 2" xfId="28813" xr:uid="{6CC0CADE-CEB7-4ADD-912F-D688E2D78943}"/>
    <cellStyle name="Comma 4 2 2 2 4 3 4" xfId="20141" xr:uid="{EDD7073C-6C86-4F38-87F7-5F65877E66D1}"/>
    <cellStyle name="Comma 4 2 2 2 4 4" xfId="4965" xr:uid="{A31EF72F-0230-4248-949C-BD61D1D66E97}"/>
    <cellStyle name="Comma 4 2 2 2 4 4 2" xfId="13637" xr:uid="{06228B0B-0953-48E6-86E4-FAE73DEA2554}"/>
    <cellStyle name="Comma 4 2 2 2 4 4 2 2" xfId="30981" xr:uid="{78CE265A-28DD-42FA-98D1-E6BA56DD4754}"/>
    <cellStyle name="Comma 4 2 2 2 4 4 3" xfId="22309" xr:uid="{378C7A79-92DB-4FB9-B241-846E95005C10}"/>
    <cellStyle name="Comma 4 2 2 2 4 5" xfId="9301" xr:uid="{8C2E55D5-38D4-4DDE-B6FB-84DE5AD85A4C}"/>
    <cellStyle name="Comma 4 2 2 2 4 5 2" xfId="26645" xr:uid="{C451C808-D6F1-4AE1-8766-7981ADC06043}"/>
    <cellStyle name="Comma 4 2 2 2 4 6" xfId="17973" xr:uid="{AAFA6E7F-4401-456E-87DD-D0F8FA44AE0B}"/>
    <cellStyle name="Comma 4 2 2 2 5" xfId="1172" xr:uid="{97BB5C92-2BD7-4982-88EF-DDE984EAB8A1}"/>
    <cellStyle name="Comma 4 2 2 2 5 2" xfId="3340" xr:uid="{94727F72-A488-44E9-A0EE-894508432052}"/>
    <cellStyle name="Comma 4 2 2 2 5 2 2" xfId="7676" xr:uid="{3DBCA4B6-B01C-460B-A278-AF755B34D33E}"/>
    <cellStyle name="Comma 4 2 2 2 5 2 2 2" xfId="16348" xr:uid="{094C9891-88AE-40C6-BED2-562D6D360233}"/>
    <cellStyle name="Comma 4 2 2 2 5 2 2 2 2" xfId="33692" xr:uid="{CCA76DED-8B08-4D04-A851-14B3551B99E6}"/>
    <cellStyle name="Comma 4 2 2 2 5 2 2 3" xfId="25020" xr:uid="{57C06DA3-22FC-40B9-9B06-A807FD97ADA1}"/>
    <cellStyle name="Comma 4 2 2 2 5 2 3" xfId="12012" xr:uid="{F9108EC0-455F-4E5A-8A2A-164878AFF5DA}"/>
    <cellStyle name="Comma 4 2 2 2 5 2 3 2" xfId="29356" xr:uid="{AC462D55-9BC6-4FD3-8DAD-3FFC2D29921C}"/>
    <cellStyle name="Comma 4 2 2 2 5 2 4" xfId="20684" xr:uid="{BD69F06A-122E-4F40-8528-287452A7DE91}"/>
    <cellStyle name="Comma 4 2 2 2 5 3" xfId="5508" xr:uid="{A2E3DF7D-6BFE-4FCE-84A3-A9FDC12E5123}"/>
    <cellStyle name="Comma 4 2 2 2 5 3 2" xfId="14180" xr:uid="{7AB0C8A1-31D0-4A7F-9811-7E3F70392144}"/>
    <cellStyle name="Comma 4 2 2 2 5 3 2 2" xfId="31524" xr:uid="{30460456-9B55-4442-A83A-76189162AA52}"/>
    <cellStyle name="Comma 4 2 2 2 5 3 3" xfId="22852" xr:uid="{0559CE2E-2756-4FE9-AF54-D09AEA0A7DE5}"/>
    <cellStyle name="Comma 4 2 2 2 5 4" xfId="9844" xr:uid="{96ED4E11-8388-47B7-84CB-FFC16BF95BC6}"/>
    <cellStyle name="Comma 4 2 2 2 5 4 2" xfId="27188" xr:uid="{33EFEE7D-DA12-49B6-BFC0-CCCD80BC9C3E}"/>
    <cellStyle name="Comma 4 2 2 2 5 5" xfId="18516" xr:uid="{456801B6-7B51-4F2F-841D-D8969592988B}"/>
    <cellStyle name="Comma 4 2 2 2 6" xfId="2256" xr:uid="{1ACD9864-D654-480F-A2C0-18768D96A7B3}"/>
    <cellStyle name="Comma 4 2 2 2 6 2" xfId="6592" xr:uid="{1A3B307F-A5B2-4709-B156-B63FB97B9119}"/>
    <cellStyle name="Comma 4 2 2 2 6 2 2" xfId="15264" xr:uid="{55DE0B00-C5D2-41E4-8232-4282A9849123}"/>
    <cellStyle name="Comma 4 2 2 2 6 2 2 2" xfId="32608" xr:uid="{04EB5BCA-3248-4C7E-8AFE-609920E7E7B7}"/>
    <cellStyle name="Comma 4 2 2 2 6 2 3" xfId="23936" xr:uid="{C9066404-78B7-4BCB-A4F8-5E410EB93061}"/>
    <cellStyle name="Comma 4 2 2 2 6 3" xfId="10928" xr:uid="{DC90BBCF-ED2F-4DB6-9FCE-5854D5C26F0E}"/>
    <cellStyle name="Comma 4 2 2 2 6 3 2" xfId="28272" xr:uid="{4281222B-61D1-4DC1-B68E-E67D08200F61}"/>
    <cellStyle name="Comma 4 2 2 2 6 4" xfId="19600" xr:uid="{BE5BD7A3-7CE5-45FD-B5B1-CCC47E4D017F}"/>
    <cellStyle name="Comma 4 2 2 2 7" xfId="4424" xr:uid="{7C356D44-B2ED-4EF2-88FE-DE5F1F415B58}"/>
    <cellStyle name="Comma 4 2 2 2 7 2" xfId="13096" xr:uid="{2F70C294-C315-4C6C-AF30-4155D200F65D}"/>
    <cellStyle name="Comma 4 2 2 2 7 2 2" xfId="30440" xr:uid="{D0A9878D-70FF-4A44-8CAD-F10B3A88DCB1}"/>
    <cellStyle name="Comma 4 2 2 2 7 3" xfId="21768" xr:uid="{EAD32B3F-38E2-4373-AAB3-98CBDBD052D0}"/>
    <cellStyle name="Comma 4 2 2 2 8" xfId="8760" xr:uid="{1E5A1D79-5F36-4895-820C-8F49D5E52A4C}"/>
    <cellStyle name="Comma 4 2 2 2 8 2" xfId="26104" xr:uid="{2340E5E2-BAD7-4E35-BE42-8AE4AB940124}"/>
    <cellStyle name="Comma 4 2 2 2 9" xfId="17432" xr:uid="{0A0F9637-A3B6-41D3-BBB4-9E1B6C0D5ACC}"/>
    <cellStyle name="Comma 4 2 2 3" xfId="149" xr:uid="{F7679B42-490B-4C03-88B2-1436B33B3B2E}"/>
    <cellStyle name="Comma 4 2 2 3 2" xfId="419" xr:uid="{55334C4E-A57D-4395-A564-613A7B1B4875}"/>
    <cellStyle name="Comma 4 2 2 3 2 2" xfId="960" xr:uid="{A57415FC-4B62-42EB-B492-9C098B79BE54}"/>
    <cellStyle name="Comma 4 2 2 3 2 2 2" xfId="2044" xr:uid="{B1BA1ABF-7B42-47E7-B1BC-84414BD8077F}"/>
    <cellStyle name="Comma 4 2 2 3 2 2 2 2" xfId="4212" xr:uid="{38B4073A-CA99-46C9-B462-6FDD2F5F40C3}"/>
    <cellStyle name="Comma 4 2 2 3 2 2 2 2 2" xfId="8548" xr:uid="{89919C0A-F8B2-499A-A8DB-77AF4669D00D}"/>
    <cellStyle name="Comma 4 2 2 3 2 2 2 2 2 2" xfId="17220" xr:uid="{10D4A27E-4DCC-4B5E-89DE-C167CEA69437}"/>
    <cellStyle name="Comma 4 2 2 3 2 2 2 2 2 2 2" xfId="34564" xr:uid="{30D285AD-BA2F-4088-A166-1AC7A599C1DD}"/>
    <cellStyle name="Comma 4 2 2 3 2 2 2 2 2 3" xfId="25892" xr:uid="{E545E6CB-2C1A-4024-8B8B-A3D5B828247C}"/>
    <cellStyle name="Comma 4 2 2 3 2 2 2 2 3" xfId="12884" xr:uid="{DE3DF9E8-B3E6-4436-A479-B421A80013B4}"/>
    <cellStyle name="Comma 4 2 2 3 2 2 2 2 3 2" xfId="30228" xr:uid="{81448578-6BCE-4838-B632-FDD73B205C66}"/>
    <cellStyle name="Comma 4 2 2 3 2 2 2 2 4" xfId="21556" xr:uid="{6D305EFF-1616-4FBF-82E2-FCBD6B85937B}"/>
    <cellStyle name="Comma 4 2 2 3 2 2 2 3" xfId="6380" xr:uid="{7D8F4F64-4D0D-4FFB-8660-9CCBD42718AC}"/>
    <cellStyle name="Comma 4 2 2 3 2 2 2 3 2" xfId="15052" xr:uid="{A317941B-664E-4B31-B266-AF85DDE75F29}"/>
    <cellStyle name="Comma 4 2 2 3 2 2 2 3 2 2" xfId="32396" xr:uid="{89ED7750-3075-44F5-995A-28F3F3A710B5}"/>
    <cellStyle name="Comma 4 2 2 3 2 2 2 3 3" xfId="23724" xr:uid="{B62C7F35-2FA3-4F20-AF6C-14F2B659A3B0}"/>
    <cellStyle name="Comma 4 2 2 3 2 2 2 4" xfId="10716" xr:uid="{E99CD1F7-344F-4B74-91D3-50B09FE8227B}"/>
    <cellStyle name="Comma 4 2 2 3 2 2 2 4 2" xfId="28060" xr:uid="{00C05EB5-D5FB-4ACA-BAE6-041E18ADC8F2}"/>
    <cellStyle name="Comma 4 2 2 3 2 2 2 5" xfId="19388" xr:uid="{F05E0FE4-DA7A-4CE4-BFBF-E3D27BE713C1}"/>
    <cellStyle name="Comma 4 2 2 3 2 2 3" xfId="3128" xr:uid="{76BFE7F9-6ED3-4778-9FCF-EBD4C783D150}"/>
    <cellStyle name="Comma 4 2 2 3 2 2 3 2" xfId="7464" xr:uid="{BBED6BF6-D496-48C0-9CE2-0E507FE241F5}"/>
    <cellStyle name="Comma 4 2 2 3 2 2 3 2 2" xfId="16136" xr:uid="{42A6C222-ED4E-4F0D-9904-FBD250AA3855}"/>
    <cellStyle name="Comma 4 2 2 3 2 2 3 2 2 2" xfId="33480" xr:uid="{7784115D-C83D-42C7-B0CF-B045E2F0226B}"/>
    <cellStyle name="Comma 4 2 2 3 2 2 3 2 3" xfId="24808" xr:uid="{0FB94224-E4C9-4227-9884-0D4818D06D3F}"/>
    <cellStyle name="Comma 4 2 2 3 2 2 3 3" xfId="11800" xr:uid="{99805C51-21D8-468A-A504-F109EF50BAC8}"/>
    <cellStyle name="Comma 4 2 2 3 2 2 3 3 2" xfId="29144" xr:uid="{1E3AF1EF-B497-44C3-A39C-F78647BA0B28}"/>
    <cellStyle name="Comma 4 2 2 3 2 2 3 4" xfId="20472" xr:uid="{4694F483-267F-4C3B-B6F8-AFECFEFA6FDC}"/>
    <cellStyle name="Comma 4 2 2 3 2 2 4" xfId="5296" xr:uid="{8305220D-54A6-4A95-BE8B-A62E2EDFB87A}"/>
    <cellStyle name="Comma 4 2 2 3 2 2 4 2" xfId="13968" xr:uid="{A6677D11-DB29-4A81-B83F-954DB0266216}"/>
    <cellStyle name="Comma 4 2 2 3 2 2 4 2 2" xfId="31312" xr:uid="{A60B2FD5-DEB1-4C27-881A-C1E00E58BC53}"/>
    <cellStyle name="Comma 4 2 2 3 2 2 4 3" xfId="22640" xr:uid="{D5474CEC-9A7D-463C-91B8-103E74E82FC6}"/>
    <cellStyle name="Comma 4 2 2 3 2 2 5" xfId="9632" xr:uid="{99D4CECF-944F-41ED-80CC-2925DD3D2FFC}"/>
    <cellStyle name="Comma 4 2 2 3 2 2 5 2" xfId="26976" xr:uid="{CABD0E58-1FD3-4C72-9CD7-59A732BC65EC}"/>
    <cellStyle name="Comma 4 2 2 3 2 2 6" xfId="18304" xr:uid="{9BCE492C-9342-43F3-AB11-3A7EEB898ED3}"/>
    <cellStyle name="Comma 4 2 2 3 2 3" xfId="1503" xr:uid="{BCD71269-7F0E-4DC4-AE68-581CD664F48D}"/>
    <cellStyle name="Comma 4 2 2 3 2 3 2" xfId="3671" xr:uid="{9595E2FF-F2FC-454A-BF03-BD89F61F1C97}"/>
    <cellStyle name="Comma 4 2 2 3 2 3 2 2" xfId="8007" xr:uid="{78F9D7C7-02FE-43AE-86B0-FABD85038BFA}"/>
    <cellStyle name="Comma 4 2 2 3 2 3 2 2 2" xfId="16679" xr:uid="{0B34A95C-F9CB-425C-A63B-B1E985650B84}"/>
    <cellStyle name="Comma 4 2 2 3 2 3 2 2 2 2" xfId="34023" xr:uid="{CA816837-AA85-4B65-BFAF-247CC3EC1165}"/>
    <cellStyle name="Comma 4 2 2 3 2 3 2 2 3" xfId="25351" xr:uid="{90835319-0D8B-4C6E-8D14-1EF774F63A26}"/>
    <cellStyle name="Comma 4 2 2 3 2 3 2 3" xfId="12343" xr:uid="{517D346C-5B6A-488E-B10A-4BBDABFAFA23}"/>
    <cellStyle name="Comma 4 2 2 3 2 3 2 3 2" xfId="29687" xr:uid="{5B1F08BD-54F7-48F5-B049-5E0CD8B7DC12}"/>
    <cellStyle name="Comma 4 2 2 3 2 3 2 4" xfId="21015" xr:uid="{F193BDE4-0E22-43CE-B7EE-1DD2AE36765D}"/>
    <cellStyle name="Comma 4 2 2 3 2 3 3" xfId="5839" xr:uid="{8CDD07FE-130C-41E8-82CC-60B9BDA1CB37}"/>
    <cellStyle name="Comma 4 2 2 3 2 3 3 2" xfId="14511" xr:uid="{331F2D92-E3D6-4DDC-B565-056CA2159974}"/>
    <cellStyle name="Comma 4 2 2 3 2 3 3 2 2" xfId="31855" xr:uid="{0CB76C86-49B5-4A87-9A01-411D33965CF5}"/>
    <cellStyle name="Comma 4 2 2 3 2 3 3 3" xfId="23183" xr:uid="{18CF9708-B8F6-408D-8785-7F016849FEB7}"/>
    <cellStyle name="Comma 4 2 2 3 2 3 4" xfId="10175" xr:uid="{98D39BCB-6E09-486A-85CE-786D1C560344}"/>
    <cellStyle name="Comma 4 2 2 3 2 3 4 2" xfId="27519" xr:uid="{F5562A27-048F-49BB-AA4C-DC98D0CFD430}"/>
    <cellStyle name="Comma 4 2 2 3 2 3 5" xfId="18847" xr:uid="{09CB89DE-87B1-42B3-A4E9-E9C3BC14E242}"/>
    <cellStyle name="Comma 4 2 2 3 2 4" xfId="2587" xr:uid="{C7763BCA-1EE4-463D-BB73-836AA29B3A82}"/>
    <cellStyle name="Comma 4 2 2 3 2 4 2" xfId="6923" xr:uid="{8A4FDF21-2397-4271-B578-D20855BF2DF0}"/>
    <cellStyle name="Comma 4 2 2 3 2 4 2 2" xfId="15595" xr:uid="{AD8DD48E-BAF9-47A9-931F-56FA39C4FF8A}"/>
    <cellStyle name="Comma 4 2 2 3 2 4 2 2 2" xfId="32939" xr:uid="{0CC67FA4-DAAC-4FE9-9791-7E6DB67EC3B9}"/>
    <cellStyle name="Comma 4 2 2 3 2 4 2 3" xfId="24267" xr:uid="{A3E56085-5BE7-4701-B9B6-E1A74C8E65F0}"/>
    <cellStyle name="Comma 4 2 2 3 2 4 3" xfId="11259" xr:uid="{D87FE2F9-5773-42A3-BC0D-A757041F36B8}"/>
    <cellStyle name="Comma 4 2 2 3 2 4 3 2" xfId="28603" xr:uid="{CC6DA87E-E85B-4C80-B886-5A8C6DD9DF5B}"/>
    <cellStyle name="Comma 4 2 2 3 2 4 4" xfId="19931" xr:uid="{88F1F178-9BB8-40CF-A36D-08F36D6E1AA5}"/>
    <cellStyle name="Comma 4 2 2 3 2 5" xfId="4755" xr:uid="{6D9CA116-88F2-4E2B-A53B-2AFB3DCC3F04}"/>
    <cellStyle name="Comma 4 2 2 3 2 5 2" xfId="13427" xr:uid="{1BF59D48-26A6-4D50-871C-0363F8717BCD}"/>
    <cellStyle name="Comma 4 2 2 3 2 5 2 2" xfId="30771" xr:uid="{CBA9F742-75A0-4E38-97B2-E69548277448}"/>
    <cellStyle name="Comma 4 2 2 3 2 5 3" xfId="22099" xr:uid="{B0F47A00-32B8-4848-82C8-E42BA04A942E}"/>
    <cellStyle name="Comma 4 2 2 3 2 6" xfId="9091" xr:uid="{BD8F3861-4E27-4299-BC48-70B359CC0D12}"/>
    <cellStyle name="Comma 4 2 2 3 2 6 2" xfId="26435" xr:uid="{52B60B69-C7E1-4D80-B5EA-965159FA8C7D}"/>
    <cellStyle name="Comma 4 2 2 3 2 7" xfId="17763" xr:uid="{85776C31-8145-47EE-9CC0-9F13E428EDDE}"/>
    <cellStyle name="Comma 4 2 2 3 3" xfId="690" xr:uid="{49C63796-7244-4029-B8AF-06D25462F319}"/>
    <cellStyle name="Comma 4 2 2 3 3 2" xfId="1774" xr:uid="{7E0F9CCF-F943-4E42-990C-5441D347F26D}"/>
    <cellStyle name="Comma 4 2 2 3 3 2 2" xfId="3942" xr:uid="{9E8FE0C4-4FC7-47FC-90F3-0F1621486BE1}"/>
    <cellStyle name="Comma 4 2 2 3 3 2 2 2" xfId="8278" xr:uid="{33565E26-A700-49A2-9F37-8B8D048E9384}"/>
    <cellStyle name="Comma 4 2 2 3 3 2 2 2 2" xfId="16950" xr:uid="{6E8665A0-2B32-4102-AFCB-0DA1EAB136B7}"/>
    <cellStyle name="Comma 4 2 2 3 3 2 2 2 2 2" xfId="34294" xr:uid="{45CA13CF-DFD5-4F8D-9E9E-C37BCB0A1430}"/>
    <cellStyle name="Comma 4 2 2 3 3 2 2 2 3" xfId="25622" xr:uid="{40D60145-C8BF-4C38-9267-F101217D08B5}"/>
    <cellStyle name="Comma 4 2 2 3 3 2 2 3" xfId="12614" xr:uid="{3F245181-EBD3-4147-8FC8-CD24A20B1CF4}"/>
    <cellStyle name="Comma 4 2 2 3 3 2 2 3 2" xfId="29958" xr:uid="{F4324220-C22E-4C9A-A3C5-1BBD7B7BD8C1}"/>
    <cellStyle name="Comma 4 2 2 3 3 2 2 4" xfId="21286" xr:uid="{592F7A7E-DE11-4ED5-9FDE-5A6EA0C32640}"/>
    <cellStyle name="Comma 4 2 2 3 3 2 3" xfId="6110" xr:uid="{BE3E68D3-9C44-4BA9-A1E5-43B07B332C6A}"/>
    <cellStyle name="Comma 4 2 2 3 3 2 3 2" xfId="14782" xr:uid="{663F1E52-0C03-474D-8343-F510DF21D20E}"/>
    <cellStyle name="Comma 4 2 2 3 3 2 3 2 2" xfId="32126" xr:uid="{CFA46BAC-610E-40AF-8D9B-D091EE636A4D}"/>
    <cellStyle name="Comma 4 2 2 3 3 2 3 3" xfId="23454" xr:uid="{84BCF297-70C2-4ECA-B452-90718B08B94B}"/>
    <cellStyle name="Comma 4 2 2 3 3 2 4" xfId="10446" xr:uid="{EE2F4154-45C2-4C15-B932-D03CE875CD18}"/>
    <cellStyle name="Comma 4 2 2 3 3 2 4 2" xfId="27790" xr:uid="{CEE57953-93FB-4E19-B42C-38AB1BEDD3BA}"/>
    <cellStyle name="Comma 4 2 2 3 3 2 5" xfId="19118" xr:uid="{F1A8CF6C-E19B-4601-AA6B-6C98F4BF756B}"/>
    <cellStyle name="Comma 4 2 2 3 3 3" xfId="2858" xr:uid="{2D27DB9A-12DA-4DCB-9293-F74A6B801ADB}"/>
    <cellStyle name="Comma 4 2 2 3 3 3 2" xfId="7194" xr:uid="{4696A162-2B0E-4C40-B573-233D06184FAD}"/>
    <cellStyle name="Comma 4 2 2 3 3 3 2 2" xfId="15866" xr:uid="{1447D1D8-D7F0-44F6-875F-91DCBB8D108F}"/>
    <cellStyle name="Comma 4 2 2 3 3 3 2 2 2" xfId="33210" xr:uid="{72842149-1CC9-4A5C-BDA1-5DB242794D4E}"/>
    <cellStyle name="Comma 4 2 2 3 3 3 2 3" xfId="24538" xr:uid="{4B9CDE88-0594-4A44-8867-B7A10DF34431}"/>
    <cellStyle name="Comma 4 2 2 3 3 3 3" xfId="11530" xr:uid="{11BDF6FC-3AB7-423A-BCC6-1AC16C12D3C1}"/>
    <cellStyle name="Comma 4 2 2 3 3 3 3 2" xfId="28874" xr:uid="{C55ADB5E-6B6C-493A-A7EB-87D13FB86711}"/>
    <cellStyle name="Comma 4 2 2 3 3 3 4" xfId="20202" xr:uid="{23609BF1-F7AC-4E34-9C0A-B4D6943A2849}"/>
    <cellStyle name="Comma 4 2 2 3 3 4" xfId="5026" xr:uid="{95671257-9DF1-49D6-A533-AABE597DC573}"/>
    <cellStyle name="Comma 4 2 2 3 3 4 2" xfId="13698" xr:uid="{486DFC1D-27AD-4B6A-A7C1-F1034AB61FAD}"/>
    <cellStyle name="Comma 4 2 2 3 3 4 2 2" xfId="31042" xr:uid="{1FCA8C05-0359-45C2-8759-6D69D88C4F62}"/>
    <cellStyle name="Comma 4 2 2 3 3 4 3" xfId="22370" xr:uid="{FEAC0E76-D65C-4A9F-8A1A-979DA4F33EFE}"/>
    <cellStyle name="Comma 4 2 2 3 3 5" xfId="9362" xr:uid="{C61E07E8-89E0-4EAD-A2D0-7236C7FA84E8}"/>
    <cellStyle name="Comma 4 2 2 3 3 5 2" xfId="26706" xr:uid="{D092A7F8-9C4C-4D50-A5AE-6DD37A94588A}"/>
    <cellStyle name="Comma 4 2 2 3 3 6" xfId="18034" xr:uid="{9E1B6817-0FAF-4565-9103-31FF6E7336EC}"/>
    <cellStyle name="Comma 4 2 2 3 4" xfId="1233" xr:uid="{42895C12-4D33-4538-844F-3FEBEA783C33}"/>
    <cellStyle name="Comma 4 2 2 3 4 2" xfId="3401" xr:uid="{23A543FB-F22E-4E93-A6F0-35680F2E4701}"/>
    <cellStyle name="Comma 4 2 2 3 4 2 2" xfId="7737" xr:uid="{443C8DAF-4B2F-4A2D-836E-9A67FB538393}"/>
    <cellStyle name="Comma 4 2 2 3 4 2 2 2" xfId="16409" xr:uid="{284C17D4-DC15-4FB2-A8FD-10217C4BCF4A}"/>
    <cellStyle name="Comma 4 2 2 3 4 2 2 2 2" xfId="33753" xr:uid="{8846DFDE-57E2-4305-8C6D-27E1B0A03257}"/>
    <cellStyle name="Comma 4 2 2 3 4 2 2 3" xfId="25081" xr:uid="{72026542-9F94-4ECA-8B46-806510124B59}"/>
    <cellStyle name="Comma 4 2 2 3 4 2 3" xfId="12073" xr:uid="{6D4AEBA5-3568-42FE-9CE0-18ADDA05BD8A}"/>
    <cellStyle name="Comma 4 2 2 3 4 2 3 2" xfId="29417" xr:uid="{5A3F7076-EB1F-41F1-9B7E-F4143E64CBED}"/>
    <cellStyle name="Comma 4 2 2 3 4 2 4" xfId="20745" xr:uid="{531C180E-996C-4C1E-9634-6486F356E3FF}"/>
    <cellStyle name="Comma 4 2 2 3 4 3" xfId="5569" xr:uid="{019124B9-DF28-41EF-813B-34940C89F097}"/>
    <cellStyle name="Comma 4 2 2 3 4 3 2" xfId="14241" xr:uid="{49925A21-A016-44BD-88FD-A9945F90FB76}"/>
    <cellStyle name="Comma 4 2 2 3 4 3 2 2" xfId="31585" xr:uid="{2E2986E9-E098-459F-81B8-B69A16B0E58E}"/>
    <cellStyle name="Comma 4 2 2 3 4 3 3" xfId="22913" xr:uid="{2F76ACBA-30B0-404F-B143-60CFC287B1EF}"/>
    <cellStyle name="Comma 4 2 2 3 4 4" xfId="9905" xr:uid="{9CE0CB01-8F9A-43F2-ACAF-5FBC9883F1B7}"/>
    <cellStyle name="Comma 4 2 2 3 4 4 2" xfId="27249" xr:uid="{376BD13D-CE67-4731-9BD1-6FB1259F2EA4}"/>
    <cellStyle name="Comma 4 2 2 3 4 5" xfId="18577" xr:uid="{38BC8B1C-5AF3-47EE-9480-F54395BF491B}"/>
    <cellStyle name="Comma 4 2 2 3 5" xfId="2317" xr:uid="{EC6B7A85-158F-43FC-A6B8-15CCCEFF34DB}"/>
    <cellStyle name="Comma 4 2 2 3 5 2" xfId="6653" xr:uid="{6EB710CE-753F-4630-85F5-94FC2F87BEEA}"/>
    <cellStyle name="Comma 4 2 2 3 5 2 2" xfId="15325" xr:uid="{01A29FE6-DEB3-4562-9AF6-76A41CBCCA21}"/>
    <cellStyle name="Comma 4 2 2 3 5 2 2 2" xfId="32669" xr:uid="{8EF18BB4-E4D0-4CAC-9186-A4DEE3CED193}"/>
    <cellStyle name="Comma 4 2 2 3 5 2 3" xfId="23997" xr:uid="{5571F629-8BF0-499C-97BD-2ABB60E0C538}"/>
    <cellStyle name="Comma 4 2 2 3 5 3" xfId="10989" xr:uid="{52DB6136-0CEC-4461-8636-8A790B242A60}"/>
    <cellStyle name="Comma 4 2 2 3 5 3 2" xfId="28333" xr:uid="{5ADAF758-6B61-4834-BE92-C70834204AAA}"/>
    <cellStyle name="Comma 4 2 2 3 5 4" xfId="19661" xr:uid="{0BD16FA8-13E2-4A25-81AB-16FFD741BA69}"/>
    <cellStyle name="Comma 4 2 2 3 6" xfId="4485" xr:uid="{48201CAC-8A6C-44F6-A758-9339990E46FC}"/>
    <cellStyle name="Comma 4 2 2 3 6 2" xfId="13157" xr:uid="{1DC1B1B7-9B76-4C5C-98F7-9A95A49CF2BC}"/>
    <cellStyle name="Comma 4 2 2 3 6 2 2" xfId="30501" xr:uid="{399A5A92-F08D-4CF3-8A96-84F6DF0CFFA1}"/>
    <cellStyle name="Comma 4 2 2 3 6 3" xfId="21829" xr:uid="{98D526C5-6FA5-45F0-9737-6BD15889C2CB}"/>
    <cellStyle name="Comma 4 2 2 3 7" xfId="8821" xr:uid="{1AC465BD-0BCD-4E0C-A90A-C7CAA18D08E0}"/>
    <cellStyle name="Comma 4 2 2 3 7 2" xfId="26165" xr:uid="{8F5189A2-4A43-4066-8211-070E6945C3D7}"/>
    <cellStyle name="Comma 4 2 2 3 8" xfId="17493" xr:uid="{98189F33-7A79-4E35-83B7-7F5673E8B3F3}"/>
    <cellStyle name="Comma 4 2 2 4" xfId="297" xr:uid="{CE7CA1BF-306C-48CA-A3EA-0555217DC24B}"/>
    <cellStyle name="Comma 4 2 2 4 2" xfId="838" xr:uid="{917DF18E-25E0-4B3C-82D1-8CD35CF3D7C3}"/>
    <cellStyle name="Comma 4 2 2 4 2 2" xfId="1922" xr:uid="{01304E95-3E14-4023-95FB-CDF9F10BA34F}"/>
    <cellStyle name="Comma 4 2 2 4 2 2 2" xfId="4090" xr:uid="{ADBE70C8-7B7C-4C5A-9706-3FE89F41BE4C}"/>
    <cellStyle name="Comma 4 2 2 4 2 2 2 2" xfId="8426" xr:uid="{AAF6CB9B-76EF-472C-BE6F-7EF19AE0EAEF}"/>
    <cellStyle name="Comma 4 2 2 4 2 2 2 2 2" xfId="17098" xr:uid="{557E2771-4899-4F46-A2F1-D83EC6AAE910}"/>
    <cellStyle name="Comma 4 2 2 4 2 2 2 2 2 2" xfId="34442" xr:uid="{A5BE2102-57C2-4504-8C73-C9860599B5BC}"/>
    <cellStyle name="Comma 4 2 2 4 2 2 2 2 3" xfId="25770" xr:uid="{D79A4272-71B5-4535-91F2-59740C67030A}"/>
    <cellStyle name="Comma 4 2 2 4 2 2 2 3" xfId="12762" xr:uid="{80FD8F86-BA8A-4061-86A0-7B595886F63D}"/>
    <cellStyle name="Comma 4 2 2 4 2 2 2 3 2" xfId="30106" xr:uid="{D74CDB32-9E9A-4149-88AC-43F548DB857B}"/>
    <cellStyle name="Comma 4 2 2 4 2 2 2 4" xfId="21434" xr:uid="{EEF8AA13-9251-4A71-8E75-7A7886ED73AA}"/>
    <cellStyle name="Comma 4 2 2 4 2 2 3" xfId="6258" xr:uid="{0A475CF3-240F-4AFE-BD98-F5CDC4ECD046}"/>
    <cellStyle name="Comma 4 2 2 4 2 2 3 2" xfId="14930" xr:uid="{953AE3CB-A5DF-4DEA-9AFB-811B071ABAFC}"/>
    <cellStyle name="Comma 4 2 2 4 2 2 3 2 2" xfId="32274" xr:uid="{8335AC5C-A91A-432E-B2BF-D59D7F6B8F1B}"/>
    <cellStyle name="Comma 4 2 2 4 2 2 3 3" xfId="23602" xr:uid="{D066C8DB-E5DA-43FF-AFDB-A586F3ED4907}"/>
    <cellStyle name="Comma 4 2 2 4 2 2 4" xfId="10594" xr:uid="{C14CF03C-BC7F-4DFB-8B31-102EAD555702}"/>
    <cellStyle name="Comma 4 2 2 4 2 2 4 2" xfId="27938" xr:uid="{6B536450-7B8E-4529-9E94-9E85EAFF1728}"/>
    <cellStyle name="Comma 4 2 2 4 2 2 5" xfId="19266" xr:uid="{0FDA167B-3B72-4AC3-953E-DEE393581CCA}"/>
    <cellStyle name="Comma 4 2 2 4 2 3" xfId="3006" xr:uid="{615E0808-2408-4293-BB80-805D93C30BD2}"/>
    <cellStyle name="Comma 4 2 2 4 2 3 2" xfId="7342" xr:uid="{B6F99B4B-6C9E-44BF-85A7-BC300888A9B3}"/>
    <cellStyle name="Comma 4 2 2 4 2 3 2 2" xfId="16014" xr:uid="{9E34A49A-59F6-4FAB-A909-2DE5567ACED2}"/>
    <cellStyle name="Comma 4 2 2 4 2 3 2 2 2" xfId="33358" xr:uid="{69F3C1C3-0C6B-4BDB-8BC7-A0D6F849A409}"/>
    <cellStyle name="Comma 4 2 2 4 2 3 2 3" xfId="24686" xr:uid="{1C13E05C-CC79-4F13-8443-0A9903F96DA9}"/>
    <cellStyle name="Comma 4 2 2 4 2 3 3" xfId="11678" xr:uid="{C7206AB8-7617-432C-9A98-79C75342A268}"/>
    <cellStyle name="Comma 4 2 2 4 2 3 3 2" xfId="29022" xr:uid="{E6B485B4-0C81-4E3D-99A7-5DEB47C87A0F}"/>
    <cellStyle name="Comma 4 2 2 4 2 3 4" xfId="20350" xr:uid="{860EFA14-2EE6-4079-B73B-90F76D96226A}"/>
    <cellStyle name="Comma 4 2 2 4 2 4" xfId="5174" xr:uid="{7163F001-8E8D-4C26-A8BE-DB6E9C556006}"/>
    <cellStyle name="Comma 4 2 2 4 2 4 2" xfId="13846" xr:uid="{3DCB0EC5-239C-40FC-8324-34F6E046BB4E}"/>
    <cellStyle name="Comma 4 2 2 4 2 4 2 2" xfId="31190" xr:uid="{FDC66268-9B89-4918-8AAB-26D69F0E7DB8}"/>
    <cellStyle name="Comma 4 2 2 4 2 4 3" xfId="22518" xr:uid="{2B9BA4F8-EB87-4596-8A49-652094C8BFF6}"/>
    <cellStyle name="Comma 4 2 2 4 2 5" xfId="9510" xr:uid="{25092873-8457-405A-AE06-4442C673DE97}"/>
    <cellStyle name="Comma 4 2 2 4 2 5 2" xfId="26854" xr:uid="{EA4A6D1B-EB74-4E84-9EA1-BF9CB3F96BA8}"/>
    <cellStyle name="Comma 4 2 2 4 2 6" xfId="18182" xr:uid="{4EC2CD1F-D192-4226-B42F-C5512159B37B}"/>
    <cellStyle name="Comma 4 2 2 4 3" xfId="1381" xr:uid="{C1376E20-D539-4CDC-9364-62073ABDC7D5}"/>
    <cellStyle name="Comma 4 2 2 4 3 2" xfId="3549" xr:uid="{4E1EE177-1520-4259-8EF5-CA1EC087AB54}"/>
    <cellStyle name="Comma 4 2 2 4 3 2 2" xfId="7885" xr:uid="{96DF3CC2-4D28-4413-A98A-3AB8EDC8211C}"/>
    <cellStyle name="Comma 4 2 2 4 3 2 2 2" xfId="16557" xr:uid="{9B34110D-6BD9-4689-9D22-F22722A7B775}"/>
    <cellStyle name="Comma 4 2 2 4 3 2 2 2 2" xfId="33901" xr:uid="{B5DFCCDE-3FC8-485A-882E-E1B32E93780B}"/>
    <cellStyle name="Comma 4 2 2 4 3 2 2 3" xfId="25229" xr:uid="{2E4000CD-E93B-4192-8BA1-6F0B28446D71}"/>
    <cellStyle name="Comma 4 2 2 4 3 2 3" xfId="12221" xr:uid="{E6D55EFB-F54C-49C8-8278-2F0F795D25EC}"/>
    <cellStyle name="Comma 4 2 2 4 3 2 3 2" xfId="29565" xr:uid="{51C93A49-D44F-42C9-821A-FFCCDB656062}"/>
    <cellStyle name="Comma 4 2 2 4 3 2 4" xfId="20893" xr:uid="{8F0FCC95-BB41-401E-ADB2-2D5F0FACC11B}"/>
    <cellStyle name="Comma 4 2 2 4 3 3" xfId="5717" xr:uid="{AE0950DE-3852-46D0-9A9A-AAB65B630AB3}"/>
    <cellStyle name="Comma 4 2 2 4 3 3 2" xfId="14389" xr:uid="{281D15C3-1D6C-4E69-9AD1-B710EEBFC5A6}"/>
    <cellStyle name="Comma 4 2 2 4 3 3 2 2" xfId="31733" xr:uid="{02CDF5AE-C680-4D7F-856F-33F6517C79C2}"/>
    <cellStyle name="Comma 4 2 2 4 3 3 3" xfId="23061" xr:uid="{ADF01280-5043-4E5C-AECE-726F4AFF03C2}"/>
    <cellStyle name="Comma 4 2 2 4 3 4" xfId="10053" xr:uid="{1B45BBC8-3E65-450D-BA43-A2158B8B7F43}"/>
    <cellStyle name="Comma 4 2 2 4 3 4 2" xfId="27397" xr:uid="{2702F5ED-9042-40F5-B34A-A9B839C80DBF}"/>
    <cellStyle name="Comma 4 2 2 4 3 5" xfId="18725" xr:uid="{14F9EE0D-E3BA-4676-A232-B5D4C54F9362}"/>
    <cellStyle name="Comma 4 2 2 4 4" xfId="2465" xr:uid="{C485E994-BA36-4B18-BD3A-0BF5A4486C7F}"/>
    <cellStyle name="Comma 4 2 2 4 4 2" xfId="6801" xr:uid="{8893E54F-727C-4FE3-8725-9820D571519D}"/>
    <cellStyle name="Comma 4 2 2 4 4 2 2" xfId="15473" xr:uid="{EC0344AA-A636-4E24-9E67-AD01F0C27209}"/>
    <cellStyle name="Comma 4 2 2 4 4 2 2 2" xfId="32817" xr:uid="{D9E25CDC-858C-4079-9338-A2CC4C2B601C}"/>
    <cellStyle name="Comma 4 2 2 4 4 2 3" xfId="24145" xr:uid="{2D0A4244-1C07-497A-858E-DAD6C2EE011C}"/>
    <cellStyle name="Comma 4 2 2 4 4 3" xfId="11137" xr:uid="{18EDEE44-87AD-417B-95EF-47AEC977B759}"/>
    <cellStyle name="Comma 4 2 2 4 4 3 2" xfId="28481" xr:uid="{F5969FFE-BB4F-4A51-9132-5760EEACBEC7}"/>
    <cellStyle name="Comma 4 2 2 4 4 4" xfId="19809" xr:uid="{95EAD4E0-48D6-4B35-8832-7F892266E705}"/>
    <cellStyle name="Comma 4 2 2 4 5" xfId="4633" xr:uid="{D8E6768C-30B6-4ADC-86C7-435261EC6155}"/>
    <cellStyle name="Comma 4 2 2 4 5 2" xfId="13305" xr:uid="{5D8DB52F-B4E5-4B68-97D5-155D7F8F0E1B}"/>
    <cellStyle name="Comma 4 2 2 4 5 2 2" xfId="30649" xr:uid="{670B9C0B-1FF4-4178-9A9F-31EA5D5B84D1}"/>
    <cellStyle name="Comma 4 2 2 4 5 3" xfId="21977" xr:uid="{0E039550-292A-4112-A769-12EB381B796F}"/>
    <cellStyle name="Comma 4 2 2 4 6" xfId="8969" xr:uid="{551FA7A7-F919-4EC4-9FFA-776593D53967}"/>
    <cellStyle name="Comma 4 2 2 4 6 2" xfId="26313" xr:uid="{0BFFC084-1593-444B-8EA1-3353AA7FCD00}"/>
    <cellStyle name="Comma 4 2 2 4 7" xfId="17641" xr:uid="{DF201FCE-34FB-45D1-9EB9-B7B307CADAB8}"/>
    <cellStyle name="Comma 4 2 2 5" xfId="568" xr:uid="{4ED48D27-85E7-4FA8-A6DF-91D435555D4D}"/>
    <cellStyle name="Comma 4 2 2 5 2" xfId="1652" xr:uid="{B18BDE54-F369-4F8F-8EA6-E165C597C89E}"/>
    <cellStyle name="Comma 4 2 2 5 2 2" xfId="3820" xr:uid="{EFB5C81D-5E2B-4D86-BDF5-9CB1CB96B81A}"/>
    <cellStyle name="Comma 4 2 2 5 2 2 2" xfId="8156" xr:uid="{A363C28D-2F62-4639-B02B-E3A9A054EBCA}"/>
    <cellStyle name="Comma 4 2 2 5 2 2 2 2" xfId="16828" xr:uid="{C05F9059-AD80-4FCA-A496-DE4C797F79C8}"/>
    <cellStyle name="Comma 4 2 2 5 2 2 2 2 2" xfId="34172" xr:uid="{74AB637A-8E9A-46FB-B3C8-E50F9BE9D502}"/>
    <cellStyle name="Comma 4 2 2 5 2 2 2 3" xfId="25500" xr:uid="{A9ACF9A7-DA78-4800-BFEA-988251BD1C70}"/>
    <cellStyle name="Comma 4 2 2 5 2 2 3" xfId="12492" xr:uid="{E9AF1741-7B4D-4BD5-B1C8-CD98F968F286}"/>
    <cellStyle name="Comma 4 2 2 5 2 2 3 2" xfId="29836" xr:uid="{0D3D03BE-C997-4D2E-BD56-08DA96C9BA42}"/>
    <cellStyle name="Comma 4 2 2 5 2 2 4" xfId="21164" xr:uid="{96B6E00B-4196-4FE6-B600-3E687AFFC677}"/>
    <cellStyle name="Comma 4 2 2 5 2 3" xfId="5988" xr:uid="{7BDAF815-D58B-4F5F-8F57-C4B02D907F85}"/>
    <cellStyle name="Comma 4 2 2 5 2 3 2" xfId="14660" xr:uid="{03726BE5-392D-43AB-8609-34E2A33EC4B3}"/>
    <cellStyle name="Comma 4 2 2 5 2 3 2 2" xfId="32004" xr:uid="{02FA1D64-30AA-455C-BEAC-E623E9368BD6}"/>
    <cellStyle name="Comma 4 2 2 5 2 3 3" xfId="23332" xr:uid="{C26C276B-DF83-4D9A-95E2-4F0B5FBD9BDC}"/>
    <cellStyle name="Comma 4 2 2 5 2 4" xfId="10324" xr:uid="{0CFA98A4-64AA-460D-9F59-EB31B24B5953}"/>
    <cellStyle name="Comma 4 2 2 5 2 4 2" xfId="27668" xr:uid="{413335E4-8347-44CB-B837-431A46BC7E14}"/>
    <cellStyle name="Comma 4 2 2 5 2 5" xfId="18996" xr:uid="{E1EC175B-6F0B-49E8-B7C1-152239534881}"/>
    <cellStyle name="Comma 4 2 2 5 3" xfId="2736" xr:uid="{F290D54D-0795-46D8-8189-B0B3BA13D277}"/>
    <cellStyle name="Comma 4 2 2 5 3 2" xfId="7072" xr:uid="{8AA2F722-75A4-4FF5-A14C-55382EDAF2D1}"/>
    <cellStyle name="Comma 4 2 2 5 3 2 2" xfId="15744" xr:uid="{FBE0EDF9-2D5F-4535-A835-AC4BE4CE9DE3}"/>
    <cellStyle name="Comma 4 2 2 5 3 2 2 2" xfId="33088" xr:uid="{0523675A-57AC-4215-AEBC-BE591E54C2B1}"/>
    <cellStyle name="Comma 4 2 2 5 3 2 3" xfId="24416" xr:uid="{F838F746-F96E-48BB-B1FF-948424C649C8}"/>
    <cellStyle name="Comma 4 2 2 5 3 3" xfId="11408" xr:uid="{680F2DEE-E383-46DE-8C11-F6558EC9CFE8}"/>
    <cellStyle name="Comma 4 2 2 5 3 3 2" xfId="28752" xr:uid="{49D49FD5-857C-4DF7-9653-7AF795A5C6AC}"/>
    <cellStyle name="Comma 4 2 2 5 3 4" xfId="20080" xr:uid="{D328CBD3-9D36-412A-8A6B-DA447DB2893B}"/>
    <cellStyle name="Comma 4 2 2 5 4" xfId="4904" xr:uid="{82A5DFD3-21D7-4724-AE72-734C67A7C537}"/>
    <cellStyle name="Comma 4 2 2 5 4 2" xfId="13576" xr:uid="{39943A51-5547-4AC0-B4A3-BEC9B82B5C51}"/>
    <cellStyle name="Comma 4 2 2 5 4 2 2" xfId="30920" xr:uid="{8D00A165-EB05-4862-827D-14FA31EBCFD1}"/>
    <cellStyle name="Comma 4 2 2 5 4 3" xfId="22248" xr:uid="{0A5EBA80-ED16-46FE-859F-9C698D1A3C36}"/>
    <cellStyle name="Comma 4 2 2 5 5" xfId="9240" xr:uid="{CD6A684C-55BE-4CD5-BD44-B624E7CB8E44}"/>
    <cellStyle name="Comma 4 2 2 5 5 2" xfId="26584" xr:uid="{14A27418-880B-403A-B07B-F57579FF4C50}"/>
    <cellStyle name="Comma 4 2 2 5 6" xfId="17912" xr:uid="{D3FCD815-EF7E-4646-BCFB-CD71D4719A2D}"/>
    <cellStyle name="Comma 4 2 2 6" xfId="1111" xr:uid="{12D6E85F-9011-4674-991B-0E9837B61458}"/>
    <cellStyle name="Comma 4 2 2 6 2" xfId="3279" xr:uid="{B181D543-5138-40F3-80D8-DE6741D8BB39}"/>
    <cellStyle name="Comma 4 2 2 6 2 2" xfId="7615" xr:uid="{0E2DFD49-20EB-471B-AE93-BC756ED9D995}"/>
    <cellStyle name="Comma 4 2 2 6 2 2 2" xfId="16287" xr:uid="{22518124-609C-4CD1-9ACE-AEBCCFCF26F6}"/>
    <cellStyle name="Comma 4 2 2 6 2 2 2 2" xfId="33631" xr:uid="{3FBC92CC-83FA-48AF-9723-AAED443DB857}"/>
    <cellStyle name="Comma 4 2 2 6 2 2 3" xfId="24959" xr:uid="{FC347F12-5F3F-4DC0-87B1-1BC5B5EFDA0B}"/>
    <cellStyle name="Comma 4 2 2 6 2 3" xfId="11951" xr:uid="{7C49F2A2-860F-4957-BE5E-BAB27C4C9C59}"/>
    <cellStyle name="Comma 4 2 2 6 2 3 2" xfId="29295" xr:uid="{0977F93F-60FB-4380-925A-19682B219926}"/>
    <cellStyle name="Comma 4 2 2 6 2 4" xfId="20623" xr:uid="{A253C4B1-8FFC-49C8-AA14-EE7BF59216DF}"/>
    <cellStyle name="Comma 4 2 2 6 3" xfId="5447" xr:uid="{163C2F78-DB03-488B-BAEA-B385FF3C34A0}"/>
    <cellStyle name="Comma 4 2 2 6 3 2" xfId="14119" xr:uid="{2BCD9FD9-92FA-4E48-B8CB-D1DC452564F5}"/>
    <cellStyle name="Comma 4 2 2 6 3 2 2" xfId="31463" xr:uid="{144F2312-AEBC-46FD-890C-BA7CD6C73495}"/>
    <cellStyle name="Comma 4 2 2 6 3 3" xfId="22791" xr:uid="{6F4B8AE2-FD8A-4E23-A54E-4B40BF061C2A}"/>
    <cellStyle name="Comma 4 2 2 6 4" xfId="9783" xr:uid="{0EB83F24-A2C9-4E80-8F1B-1AF178EECEEB}"/>
    <cellStyle name="Comma 4 2 2 6 4 2" xfId="27127" xr:uid="{D94C3769-3591-4917-8BBE-806D75C25742}"/>
    <cellStyle name="Comma 4 2 2 6 5" xfId="18455" xr:uid="{F1DD23EA-3265-48B4-81BE-5EBA88CCE9B4}"/>
    <cellStyle name="Comma 4 2 2 7" xfId="2195" xr:uid="{50819E08-8AB6-4293-B6BB-1B5414655485}"/>
    <cellStyle name="Comma 4 2 2 7 2" xfId="6531" xr:uid="{2AF4F9DA-8304-4F95-86F8-B93BC158062D}"/>
    <cellStyle name="Comma 4 2 2 7 2 2" xfId="15203" xr:uid="{EFC70315-4C8D-4835-817C-2A61F6E2F8E9}"/>
    <cellStyle name="Comma 4 2 2 7 2 2 2" xfId="32547" xr:uid="{215E197A-EC46-4182-B4A3-A7902078F44D}"/>
    <cellStyle name="Comma 4 2 2 7 2 3" xfId="23875" xr:uid="{DB844D88-EE57-4FEE-B08F-FA1937945244}"/>
    <cellStyle name="Comma 4 2 2 7 3" xfId="10867" xr:uid="{B18A831E-5F4F-45C6-A0FA-ECA3A5EF16BA}"/>
    <cellStyle name="Comma 4 2 2 7 3 2" xfId="28211" xr:uid="{3521337C-37DF-45C0-A892-9FF9E159E446}"/>
    <cellStyle name="Comma 4 2 2 7 4" xfId="19539" xr:uid="{162C167D-7439-4CC5-B921-2FEFC8961E74}"/>
    <cellStyle name="Comma 4 2 2 8" xfId="4363" xr:uid="{AB577F8A-6B7B-41C0-BF00-B1EBC4BA17D9}"/>
    <cellStyle name="Comma 4 2 2 8 2" xfId="13035" xr:uid="{65122A6A-5D49-46AF-B9D4-9AFCB033E9BD}"/>
    <cellStyle name="Comma 4 2 2 8 2 2" xfId="30379" xr:uid="{225B9E61-8CCA-438B-A1FF-B256A2858C61}"/>
    <cellStyle name="Comma 4 2 2 8 3" xfId="21707" xr:uid="{FDA6D10C-A2AD-4041-B9B7-55305DE98624}"/>
    <cellStyle name="Comma 4 2 2 9" xfId="8699" xr:uid="{AE635EA2-EA4B-4EC6-A9E0-32D8410ACFDB}"/>
    <cellStyle name="Comma 4 2 2 9 2" xfId="26043" xr:uid="{F3C2BAFA-4807-4487-A224-111D1398A0AB}"/>
    <cellStyle name="Comma 4 2 3" xfId="59" xr:uid="{3005043F-DA43-48F3-83EB-C1779F50098D}"/>
    <cellStyle name="Comma 4 2 3 10" xfId="17403" xr:uid="{2275A9B5-923F-47F0-AE23-0172DDFC2E77}"/>
    <cellStyle name="Comma 4 2 3 2" xfId="120" xr:uid="{C997F185-7A79-423C-8476-F2591CDE1AE0}"/>
    <cellStyle name="Comma 4 2 3 2 2" xfId="242" xr:uid="{C7EDC260-D27C-42F5-A0DA-BDD32B16D85C}"/>
    <cellStyle name="Comma 4 2 3 2 2 2" xfId="512" xr:uid="{E428ADAA-2F0A-4875-8265-B35C4B577A3C}"/>
    <cellStyle name="Comma 4 2 3 2 2 2 2" xfId="1053" xr:uid="{4A25754B-CAD3-4DC8-A3F7-9324733F62C7}"/>
    <cellStyle name="Comma 4 2 3 2 2 2 2 2" xfId="2137" xr:uid="{0D804B9D-C392-42BA-8CB2-F32E49916D41}"/>
    <cellStyle name="Comma 4 2 3 2 2 2 2 2 2" xfId="4305" xr:uid="{A32B70B8-1082-4A4F-A7C1-322266E2B343}"/>
    <cellStyle name="Comma 4 2 3 2 2 2 2 2 2 2" xfId="8641" xr:uid="{336F4800-4B6E-42A3-A203-C3CD41B7B797}"/>
    <cellStyle name="Comma 4 2 3 2 2 2 2 2 2 2 2" xfId="17313" xr:uid="{BA13A4DC-D935-437A-A7FA-A4675845E584}"/>
    <cellStyle name="Comma 4 2 3 2 2 2 2 2 2 2 2 2" xfId="34657" xr:uid="{ED8B2F93-7778-4588-8B59-6C812653D965}"/>
    <cellStyle name="Comma 4 2 3 2 2 2 2 2 2 2 3" xfId="25985" xr:uid="{C590FAF9-3241-4E95-A9F4-A7D6679EA7A6}"/>
    <cellStyle name="Comma 4 2 3 2 2 2 2 2 2 3" xfId="12977" xr:uid="{8E818489-041D-491B-AAC6-D638583CAD9C}"/>
    <cellStyle name="Comma 4 2 3 2 2 2 2 2 2 3 2" xfId="30321" xr:uid="{AFD864A7-3B88-4A60-AF63-3A64EDF0BE65}"/>
    <cellStyle name="Comma 4 2 3 2 2 2 2 2 2 4" xfId="21649" xr:uid="{9654554D-8574-4FFF-AB09-2F40FECFC427}"/>
    <cellStyle name="Comma 4 2 3 2 2 2 2 2 3" xfId="6473" xr:uid="{C285E6DD-24CB-4C07-B337-7B9DB645660E}"/>
    <cellStyle name="Comma 4 2 3 2 2 2 2 2 3 2" xfId="15145" xr:uid="{D9E6D2D4-AE3C-43AF-9909-FB4E20F0BDBF}"/>
    <cellStyle name="Comma 4 2 3 2 2 2 2 2 3 2 2" xfId="32489" xr:uid="{72C45A96-3361-4611-9FC1-AA44F31732D2}"/>
    <cellStyle name="Comma 4 2 3 2 2 2 2 2 3 3" xfId="23817" xr:uid="{4A9ADA35-F95F-4E82-87A6-4F48393B8057}"/>
    <cellStyle name="Comma 4 2 3 2 2 2 2 2 4" xfId="10809" xr:uid="{2FDA9E84-9FAF-477E-8F52-23BC209AE536}"/>
    <cellStyle name="Comma 4 2 3 2 2 2 2 2 4 2" xfId="28153" xr:uid="{13AD460B-A209-43D8-8835-37C64D7ED3A3}"/>
    <cellStyle name="Comma 4 2 3 2 2 2 2 2 5" xfId="19481" xr:uid="{625061BF-8BAC-480A-8370-18724BC4A317}"/>
    <cellStyle name="Comma 4 2 3 2 2 2 2 3" xfId="3221" xr:uid="{03967AAC-2A78-417D-9EA7-6FF462F8574F}"/>
    <cellStyle name="Comma 4 2 3 2 2 2 2 3 2" xfId="7557" xr:uid="{6BD91988-1D51-4E88-9E66-8FE3883D96E8}"/>
    <cellStyle name="Comma 4 2 3 2 2 2 2 3 2 2" xfId="16229" xr:uid="{EC6F12DE-4E99-45C2-BFE5-24C474AE13CF}"/>
    <cellStyle name="Comma 4 2 3 2 2 2 2 3 2 2 2" xfId="33573" xr:uid="{09B70CC5-0677-4806-937B-FE445A620A99}"/>
    <cellStyle name="Comma 4 2 3 2 2 2 2 3 2 3" xfId="24901" xr:uid="{F59C6871-33AF-4689-88C3-2EE4D07DE18E}"/>
    <cellStyle name="Comma 4 2 3 2 2 2 2 3 3" xfId="11893" xr:uid="{632C9803-A1CD-46BF-A5BC-5F3612EF7068}"/>
    <cellStyle name="Comma 4 2 3 2 2 2 2 3 3 2" xfId="29237" xr:uid="{F081B1A3-0EB6-479F-888F-1C18964E13EB}"/>
    <cellStyle name="Comma 4 2 3 2 2 2 2 3 4" xfId="20565" xr:uid="{20353BD8-7FE5-483D-8DBB-6969ED431DFE}"/>
    <cellStyle name="Comma 4 2 3 2 2 2 2 4" xfId="5389" xr:uid="{8610FF3B-7A3D-4C3A-A664-D009E4B3F78D}"/>
    <cellStyle name="Comma 4 2 3 2 2 2 2 4 2" xfId="14061" xr:uid="{ADA70EDD-E213-4004-A405-C123E6ED86B3}"/>
    <cellStyle name="Comma 4 2 3 2 2 2 2 4 2 2" xfId="31405" xr:uid="{34AD3FCF-BED4-4F0C-9BA6-E0F01A38F942}"/>
    <cellStyle name="Comma 4 2 3 2 2 2 2 4 3" xfId="22733" xr:uid="{3F1857B5-4CBA-4B6C-876E-020467A1E1E3}"/>
    <cellStyle name="Comma 4 2 3 2 2 2 2 5" xfId="9725" xr:uid="{81766B5C-20BF-403F-979E-4EDCE840819D}"/>
    <cellStyle name="Comma 4 2 3 2 2 2 2 5 2" xfId="27069" xr:uid="{B1B4691F-696C-4518-9572-2F602E11F6F0}"/>
    <cellStyle name="Comma 4 2 3 2 2 2 2 6" xfId="18397" xr:uid="{D1F195F6-5967-4B00-BF89-CC3C940111B0}"/>
    <cellStyle name="Comma 4 2 3 2 2 2 3" xfId="1596" xr:uid="{8BC57064-9F9C-4425-9D52-357C43A132BE}"/>
    <cellStyle name="Comma 4 2 3 2 2 2 3 2" xfId="3764" xr:uid="{9B69FBA7-B876-4355-8B4E-88FEAF799F83}"/>
    <cellStyle name="Comma 4 2 3 2 2 2 3 2 2" xfId="8100" xr:uid="{499CF1E1-16AC-40FB-BFD1-DF3E3F9B0C41}"/>
    <cellStyle name="Comma 4 2 3 2 2 2 3 2 2 2" xfId="16772" xr:uid="{714BFF9E-464C-4C00-986F-C6BF212EDAEE}"/>
    <cellStyle name="Comma 4 2 3 2 2 2 3 2 2 2 2" xfId="34116" xr:uid="{58307DF3-273E-4AAE-8F18-25977EAAAF3D}"/>
    <cellStyle name="Comma 4 2 3 2 2 2 3 2 2 3" xfId="25444" xr:uid="{0B74636A-C643-433E-8341-C6F50E34BB1E}"/>
    <cellStyle name="Comma 4 2 3 2 2 2 3 2 3" xfId="12436" xr:uid="{0CE7022B-DF89-42B5-B4E9-56657379D065}"/>
    <cellStyle name="Comma 4 2 3 2 2 2 3 2 3 2" xfId="29780" xr:uid="{F1D19E4B-D328-48CD-9F8D-0319B31F0E85}"/>
    <cellStyle name="Comma 4 2 3 2 2 2 3 2 4" xfId="21108" xr:uid="{E089D87C-8CF8-4086-A64F-75CD21EB43C3}"/>
    <cellStyle name="Comma 4 2 3 2 2 2 3 3" xfId="5932" xr:uid="{79C52C69-4958-451A-B12F-D42E1527FA7C}"/>
    <cellStyle name="Comma 4 2 3 2 2 2 3 3 2" xfId="14604" xr:uid="{8CD9777E-F53A-48E8-A0E3-79E500A2136B}"/>
    <cellStyle name="Comma 4 2 3 2 2 2 3 3 2 2" xfId="31948" xr:uid="{F2E9EB13-8E27-40D9-A02C-0CD08C72EC2D}"/>
    <cellStyle name="Comma 4 2 3 2 2 2 3 3 3" xfId="23276" xr:uid="{F20287A3-4FC0-47E8-858D-B5A5EEBF1E9A}"/>
    <cellStyle name="Comma 4 2 3 2 2 2 3 4" xfId="10268" xr:uid="{CEC81F3D-02EA-46F1-B6F5-0238EC7236DA}"/>
    <cellStyle name="Comma 4 2 3 2 2 2 3 4 2" xfId="27612" xr:uid="{FC4B767E-4641-465C-8904-8619DC90F0CF}"/>
    <cellStyle name="Comma 4 2 3 2 2 2 3 5" xfId="18940" xr:uid="{80108F1B-9557-4FF9-B3D4-2EA90D84088F}"/>
    <cellStyle name="Comma 4 2 3 2 2 2 4" xfId="2680" xr:uid="{692C2FC2-2EAF-4834-BA66-77EAEBF60235}"/>
    <cellStyle name="Comma 4 2 3 2 2 2 4 2" xfId="7016" xr:uid="{6F1464E9-F6D2-4987-B3EA-7F0F200673CB}"/>
    <cellStyle name="Comma 4 2 3 2 2 2 4 2 2" xfId="15688" xr:uid="{D582797D-CF9F-4A5D-9184-E46B36803AB4}"/>
    <cellStyle name="Comma 4 2 3 2 2 2 4 2 2 2" xfId="33032" xr:uid="{119E87F4-EE81-4BDB-B792-F67AEDA889C1}"/>
    <cellStyle name="Comma 4 2 3 2 2 2 4 2 3" xfId="24360" xr:uid="{358F8871-EBBD-4185-9001-661347ED24F5}"/>
    <cellStyle name="Comma 4 2 3 2 2 2 4 3" xfId="11352" xr:uid="{4F1C4A09-B197-4CBB-91F4-88FA04449A83}"/>
    <cellStyle name="Comma 4 2 3 2 2 2 4 3 2" xfId="28696" xr:uid="{E7789604-6BE0-4706-8EFF-9B6FC0A53A4D}"/>
    <cellStyle name="Comma 4 2 3 2 2 2 4 4" xfId="20024" xr:uid="{21B1D90D-EE0B-4DDC-BAF7-7FE1F4CD5B59}"/>
    <cellStyle name="Comma 4 2 3 2 2 2 5" xfId="4848" xr:uid="{BDDFCA8C-5B33-4C48-9B5A-6805B65CE07F}"/>
    <cellStyle name="Comma 4 2 3 2 2 2 5 2" xfId="13520" xr:uid="{0F4074C1-7E7E-41F4-A1D4-60218BBAD339}"/>
    <cellStyle name="Comma 4 2 3 2 2 2 5 2 2" xfId="30864" xr:uid="{56341DC3-19F5-4279-9329-F2B9ADED6A1F}"/>
    <cellStyle name="Comma 4 2 3 2 2 2 5 3" xfId="22192" xr:uid="{B2CF6E8D-6F98-48CC-8699-AAEDE13FE5B2}"/>
    <cellStyle name="Comma 4 2 3 2 2 2 6" xfId="9184" xr:uid="{D4F6511A-B651-41A3-8A50-409411A41C85}"/>
    <cellStyle name="Comma 4 2 3 2 2 2 6 2" xfId="26528" xr:uid="{9A891B75-8AE6-4979-BC9E-3C023D3F2AFC}"/>
    <cellStyle name="Comma 4 2 3 2 2 2 7" xfId="17856" xr:uid="{88906151-7F92-4CD7-B533-72D5D2BE624F}"/>
    <cellStyle name="Comma 4 2 3 2 2 3" xfId="783" xr:uid="{E317BE8C-4E3C-49A5-9E05-6E3BD11818E0}"/>
    <cellStyle name="Comma 4 2 3 2 2 3 2" xfId="1867" xr:uid="{1BFA1122-47FA-4AA4-886C-2C8ECD7DA2E6}"/>
    <cellStyle name="Comma 4 2 3 2 2 3 2 2" xfId="4035" xr:uid="{A6AC7E40-4F13-48E1-9C7F-FB4EC6FDA702}"/>
    <cellStyle name="Comma 4 2 3 2 2 3 2 2 2" xfId="8371" xr:uid="{509FE6C4-7224-4E0C-A337-3A94BFB582C2}"/>
    <cellStyle name="Comma 4 2 3 2 2 3 2 2 2 2" xfId="17043" xr:uid="{FFDC8932-3300-423F-9F52-76D9FB6D486D}"/>
    <cellStyle name="Comma 4 2 3 2 2 3 2 2 2 2 2" xfId="34387" xr:uid="{3609AD71-F7C4-498C-A6B4-EB0F034CF997}"/>
    <cellStyle name="Comma 4 2 3 2 2 3 2 2 2 3" xfId="25715" xr:uid="{6110A092-727D-47C9-B62D-A15B81A28FF0}"/>
    <cellStyle name="Comma 4 2 3 2 2 3 2 2 3" xfId="12707" xr:uid="{A3BF6C94-EC12-4CB8-AB0B-46F619D75CFA}"/>
    <cellStyle name="Comma 4 2 3 2 2 3 2 2 3 2" xfId="30051" xr:uid="{0F96B0B1-C6D9-43A8-B58C-4018C53D0575}"/>
    <cellStyle name="Comma 4 2 3 2 2 3 2 2 4" xfId="21379" xr:uid="{3781C58D-9A32-4B06-8575-0F9AF7954F9A}"/>
    <cellStyle name="Comma 4 2 3 2 2 3 2 3" xfId="6203" xr:uid="{4A351DF2-3A23-4BA7-93EE-B7FA6FF23CFB}"/>
    <cellStyle name="Comma 4 2 3 2 2 3 2 3 2" xfId="14875" xr:uid="{1BBC36D2-076C-4467-A2E7-DC70F27C2A0B}"/>
    <cellStyle name="Comma 4 2 3 2 2 3 2 3 2 2" xfId="32219" xr:uid="{713803DF-8E4C-4566-889C-6A81B68369F8}"/>
    <cellStyle name="Comma 4 2 3 2 2 3 2 3 3" xfId="23547" xr:uid="{C1A8BCB4-8CDB-49B2-BCA3-D1515EE57EA3}"/>
    <cellStyle name="Comma 4 2 3 2 2 3 2 4" xfId="10539" xr:uid="{CC6BBBBC-A035-45A4-BBBE-A4AD27329797}"/>
    <cellStyle name="Comma 4 2 3 2 2 3 2 4 2" xfId="27883" xr:uid="{AB94CAA6-464A-4051-AC2E-A99935E22E7F}"/>
    <cellStyle name="Comma 4 2 3 2 2 3 2 5" xfId="19211" xr:uid="{1E817F22-E9CB-4762-93D9-DD5E8E04FB91}"/>
    <cellStyle name="Comma 4 2 3 2 2 3 3" xfId="2951" xr:uid="{55A8B0D4-C048-44F8-9E04-9ED705E3D954}"/>
    <cellStyle name="Comma 4 2 3 2 2 3 3 2" xfId="7287" xr:uid="{7E2973E7-630C-4AFB-A3AD-7F8756D729DC}"/>
    <cellStyle name="Comma 4 2 3 2 2 3 3 2 2" xfId="15959" xr:uid="{207D30F4-FF79-4F61-903F-1058FA1B13CF}"/>
    <cellStyle name="Comma 4 2 3 2 2 3 3 2 2 2" xfId="33303" xr:uid="{EDF28B44-EBB7-4970-AF9E-D6317A2CEE93}"/>
    <cellStyle name="Comma 4 2 3 2 2 3 3 2 3" xfId="24631" xr:uid="{934D5EAE-D07C-4956-AA71-2BE6A63DAD9D}"/>
    <cellStyle name="Comma 4 2 3 2 2 3 3 3" xfId="11623" xr:uid="{5ADE5088-50DC-4118-85CA-A10DDB628729}"/>
    <cellStyle name="Comma 4 2 3 2 2 3 3 3 2" xfId="28967" xr:uid="{67CD1E79-48C7-49E7-BBF4-F924681B993C}"/>
    <cellStyle name="Comma 4 2 3 2 2 3 3 4" xfId="20295" xr:uid="{2AD01BAF-B9B5-4486-90F7-728E2EA1F443}"/>
    <cellStyle name="Comma 4 2 3 2 2 3 4" xfId="5119" xr:uid="{EC1ABFD9-CA13-4FA6-A384-1C6345086698}"/>
    <cellStyle name="Comma 4 2 3 2 2 3 4 2" xfId="13791" xr:uid="{E6E263E5-DE59-45AC-870F-6793A38362EC}"/>
    <cellStyle name="Comma 4 2 3 2 2 3 4 2 2" xfId="31135" xr:uid="{E289F04B-252B-4E15-95E2-4247855FDE8F}"/>
    <cellStyle name="Comma 4 2 3 2 2 3 4 3" xfId="22463" xr:uid="{86EBCF9B-7F6D-496A-94D0-887660DBDF46}"/>
    <cellStyle name="Comma 4 2 3 2 2 3 5" xfId="9455" xr:uid="{91658754-0DF0-4F21-9D59-D9F3FB0BF70A}"/>
    <cellStyle name="Comma 4 2 3 2 2 3 5 2" xfId="26799" xr:uid="{AB9F752D-48A0-4620-8482-07CE768F9488}"/>
    <cellStyle name="Comma 4 2 3 2 2 3 6" xfId="18127" xr:uid="{1B770A55-16E0-4428-9C14-81E76727FEE6}"/>
    <cellStyle name="Comma 4 2 3 2 2 4" xfId="1326" xr:uid="{C057990C-03B5-4983-856E-A3B45B5F56FE}"/>
    <cellStyle name="Comma 4 2 3 2 2 4 2" xfId="3494" xr:uid="{E2D29AB8-51F9-431C-AED2-892D8E10E84D}"/>
    <cellStyle name="Comma 4 2 3 2 2 4 2 2" xfId="7830" xr:uid="{634D59CA-4890-4B8C-922B-F5BD6503710B}"/>
    <cellStyle name="Comma 4 2 3 2 2 4 2 2 2" xfId="16502" xr:uid="{AA3A991D-83C2-42D3-91A0-8A3457FA18F1}"/>
    <cellStyle name="Comma 4 2 3 2 2 4 2 2 2 2" xfId="33846" xr:uid="{0BB2A810-44FB-4CB9-ABFD-75CBFCDC46BD}"/>
    <cellStyle name="Comma 4 2 3 2 2 4 2 2 3" xfId="25174" xr:uid="{76B50D76-C635-43FC-AEC0-179D7EF6A768}"/>
    <cellStyle name="Comma 4 2 3 2 2 4 2 3" xfId="12166" xr:uid="{C1578FF6-F5CA-4910-9C34-36AA024B3672}"/>
    <cellStyle name="Comma 4 2 3 2 2 4 2 3 2" xfId="29510" xr:uid="{692C4BE1-C1D1-4CCF-8710-9042584ABA64}"/>
    <cellStyle name="Comma 4 2 3 2 2 4 2 4" xfId="20838" xr:uid="{6CEE1654-657C-474D-A12C-F37147596C0F}"/>
    <cellStyle name="Comma 4 2 3 2 2 4 3" xfId="5662" xr:uid="{BC128D34-44E4-4F89-AFBF-2F22FA4DC304}"/>
    <cellStyle name="Comma 4 2 3 2 2 4 3 2" xfId="14334" xr:uid="{37214A3C-8343-4EA7-911F-86486C3D1093}"/>
    <cellStyle name="Comma 4 2 3 2 2 4 3 2 2" xfId="31678" xr:uid="{E8FCF24D-A08A-466A-BA0E-5F54A41E3638}"/>
    <cellStyle name="Comma 4 2 3 2 2 4 3 3" xfId="23006" xr:uid="{6A9DBF82-B4B8-4064-9866-B3F857713CF8}"/>
    <cellStyle name="Comma 4 2 3 2 2 4 4" xfId="9998" xr:uid="{5A994A73-4091-46A7-89E3-888DC71E17A3}"/>
    <cellStyle name="Comma 4 2 3 2 2 4 4 2" xfId="27342" xr:uid="{07420269-7684-4C3D-A56E-D7AAC43A10F7}"/>
    <cellStyle name="Comma 4 2 3 2 2 4 5" xfId="18670" xr:uid="{5F3163D1-8682-41B2-B638-3050DCC0D5C6}"/>
    <cellStyle name="Comma 4 2 3 2 2 5" xfId="2410" xr:uid="{B6F4F8A9-6AE0-4FEB-845A-FE9D67567F73}"/>
    <cellStyle name="Comma 4 2 3 2 2 5 2" xfId="6746" xr:uid="{AC4FCF38-F2CE-4F6B-9317-87534B4D7D9A}"/>
    <cellStyle name="Comma 4 2 3 2 2 5 2 2" xfId="15418" xr:uid="{A34B7CCC-B586-4BD8-B020-1CCEDAEE4A48}"/>
    <cellStyle name="Comma 4 2 3 2 2 5 2 2 2" xfId="32762" xr:uid="{1379696E-CC68-433F-88AA-E53AC17C7720}"/>
    <cellStyle name="Comma 4 2 3 2 2 5 2 3" xfId="24090" xr:uid="{0023B2E3-4BAA-4476-94EF-8CBDB7143881}"/>
    <cellStyle name="Comma 4 2 3 2 2 5 3" xfId="11082" xr:uid="{17ED8E6E-FEF6-4CD0-9EC8-C1E27AE61F6E}"/>
    <cellStyle name="Comma 4 2 3 2 2 5 3 2" xfId="28426" xr:uid="{7E6C2E9E-4250-4304-819D-B8621197E0EF}"/>
    <cellStyle name="Comma 4 2 3 2 2 5 4" xfId="19754" xr:uid="{D8FD57F8-A698-4BEF-BDD3-B19EB7E31670}"/>
    <cellStyle name="Comma 4 2 3 2 2 6" xfId="4578" xr:uid="{D830EA95-1212-4E6A-96F0-12F4C0EAC41E}"/>
    <cellStyle name="Comma 4 2 3 2 2 6 2" xfId="13250" xr:uid="{2F4E3DD4-7AC2-4F55-928B-F684272FB075}"/>
    <cellStyle name="Comma 4 2 3 2 2 6 2 2" xfId="30594" xr:uid="{7EE9A22B-40E5-497B-833F-EE9743C3B8A4}"/>
    <cellStyle name="Comma 4 2 3 2 2 6 3" xfId="21922" xr:uid="{4F088516-49CD-49FD-9AC1-1CB237BC50E1}"/>
    <cellStyle name="Comma 4 2 3 2 2 7" xfId="8914" xr:uid="{D7858377-8A4A-43E4-B759-BFB7889C6327}"/>
    <cellStyle name="Comma 4 2 3 2 2 7 2" xfId="26258" xr:uid="{4E86221F-6DCC-49D4-BFBD-57BB78480436}"/>
    <cellStyle name="Comma 4 2 3 2 2 8" xfId="17586" xr:uid="{B0450E5F-CB46-4A3D-9E56-450BE63F38B1}"/>
    <cellStyle name="Comma 4 2 3 2 3" xfId="390" xr:uid="{03AEB0DD-C252-4273-B664-F6EA87483EE3}"/>
    <cellStyle name="Comma 4 2 3 2 3 2" xfId="931" xr:uid="{BAFAFE1F-56DA-407B-8F71-52B9C5FC284E}"/>
    <cellStyle name="Comma 4 2 3 2 3 2 2" xfId="2015" xr:uid="{AC98F1A9-ED71-4391-8B1D-4C15E06B3F4B}"/>
    <cellStyle name="Comma 4 2 3 2 3 2 2 2" xfId="4183" xr:uid="{BDD93236-204A-40B2-805C-80147131AA49}"/>
    <cellStyle name="Comma 4 2 3 2 3 2 2 2 2" xfId="8519" xr:uid="{10ABABB0-2A75-4BA5-A7A2-D5BFC38E39A5}"/>
    <cellStyle name="Comma 4 2 3 2 3 2 2 2 2 2" xfId="17191" xr:uid="{F7C844AC-B845-4F5E-A50A-542007ECC7D1}"/>
    <cellStyle name="Comma 4 2 3 2 3 2 2 2 2 2 2" xfId="34535" xr:uid="{2BB47476-5BA2-4FE0-A847-9407C0E61ED3}"/>
    <cellStyle name="Comma 4 2 3 2 3 2 2 2 2 3" xfId="25863" xr:uid="{76350335-EB5C-4F4F-9134-6798CC82ECCF}"/>
    <cellStyle name="Comma 4 2 3 2 3 2 2 2 3" xfId="12855" xr:uid="{B01CFE0A-F34D-47C9-9EBD-46CA76EA42B9}"/>
    <cellStyle name="Comma 4 2 3 2 3 2 2 2 3 2" xfId="30199" xr:uid="{ADAA36FF-BC81-4E3E-8458-F7F1B2DE64DF}"/>
    <cellStyle name="Comma 4 2 3 2 3 2 2 2 4" xfId="21527" xr:uid="{FA826494-BCD2-4FEB-8EE6-5891A0C08244}"/>
    <cellStyle name="Comma 4 2 3 2 3 2 2 3" xfId="6351" xr:uid="{E3EAEF7B-0F06-4703-8E51-4AF08AC2EC3E}"/>
    <cellStyle name="Comma 4 2 3 2 3 2 2 3 2" xfId="15023" xr:uid="{A3885AA3-CBE3-447A-BAD4-C9710A76629E}"/>
    <cellStyle name="Comma 4 2 3 2 3 2 2 3 2 2" xfId="32367" xr:uid="{7333E84E-EB1C-4615-88ED-E358C061D9A5}"/>
    <cellStyle name="Comma 4 2 3 2 3 2 2 3 3" xfId="23695" xr:uid="{B95D1287-4DDD-4384-95C0-914B21AF35B1}"/>
    <cellStyle name="Comma 4 2 3 2 3 2 2 4" xfId="10687" xr:uid="{C6423FCB-2C7C-4E16-B7FF-8D027D37D1A7}"/>
    <cellStyle name="Comma 4 2 3 2 3 2 2 4 2" xfId="28031" xr:uid="{0C5E1391-4133-458A-B742-D8E75F333E24}"/>
    <cellStyle name="Comma 4 2 3 2 3 2 2 5" xfId="19359" xr:uid="{C2335390-132D-4DB2-895B-523430D5409C}"/>
    <cellStyle name="Comma 4 2 3 2 3 2 3" xfId="3099" xr:uid="{CCC3E327-9F9B-412A-B617-55967531FC29}"/>
    <cellStyle name="Comma 4 2 3 2 3 2 3 2" xfId="7435" xr:uid="{5BFFCEAE-FBF5-4B50-897E-F36D3C8A95F2}"/>
    <cellStyle name="Comma 4 2 3 2 3 2 3 2 2" xfId="16107" xr:uid="{F084693B-8E14-4F95-81C9-D409B13501ED}"/>
    <cellStyle name="Comma 4 2 3 2 3 2 3 2 2 2" xfId="33451" xr:uid="{22C19159-466D-481C-8689-76B6409C7489}"/>
    <cellStyle name="Comma 4 2 3 2 3 2 3 2 3" xfId="24779" xr:uid="{84629B50-15C3-44B4-8247-2DBB642FF6BF}"/>
    <cellStyle name="Comma 4 2 3 2 3 2 3 3" xfId="11771" xr:uid="{9EF0F199-D55A-42FB-BE74-1127FB1EB03A}"/>
    <cellStyle name="Comma 4 2 3 2 3 2 3 3 2" xfId="29115" xr:uid="{9AAF5C23-500D-48A4-9750-8A350BBD091B}"/>
    <cellStyle name="Comma 4 2 3 2 3 2 3 4" xfId="20443" xr:uid="{1BE71B99-D5D1-4B31-9C7C-D8C51CCCCAE6}"/>
    <cellStyle name="Comma 4 2 3 2 3 2 4" xfId="5267" xr:uid="{3E9CC2BF-C987-4B34-9CC4-DBA72E9CE42E}"/>
    <cellStyle name="Comma 4 2 3 2 3 2 4 2" xfId="13939" xr:uid="{FEB23461-8433-4C26-8928-9F84FFAF26C9}"/>
    <cellStyle name="Comma 4 2 3 2 3 2 4 2 2" xfId="31283" xr:uid="{FCB1B619-9E47-447C-A18D-550691F6794B}"/>
    <cellStyle name="Comma 4 2 3 2 3 2 4 3" xfId="22611" xr:uid="{00A8D836-1611-4F32-84AF-21A50D24E2B4}"/>
    <cellStyle name="Comma 4 2 3 2 3 2 5" xfId="9603" xr:uid="{CF07D45B-0EB5-4782-A982-5995A5B7C61A}"/>
    <cellStyle name="Comma 4 2 3 2 3 2 5 2" xfId="26947" xr:uid="{7C1E9F0E-CE92-4D32-BC84-0EC944C62E86}"/>
    <cellStyle name="Comma 4 2 3 2 3 2 6" xfId="18275" xr:uid="{526F26F9-0D36-408F-82FA-561143EB5241}"/>
    <cellStyle name="Comma 4 2 3 2 3 3" xfId="1474" xr:uid="{046097BB-0211-4CA4-B47C-36B31506FB68}"/>
    <cellStyle name="Comma 4 2 3 2 3 3 2" xfId="3642" xr:uid="{BC8E5D9B-E4C7-47F7-B3EC-5BA1EBA084A6}"/>
    <cellStyle name="Comma 4 2 3 2 3 3 2 2" xfId="7978" xr:uid="{BA97A5EF-2689-4CCC-9CCB-612C2F48900C}"/>
    <cellStyle name="Comma 4 2 3 2 3 3 2 2 2" xfId="16650" xr:uid="{EA6B9F05-5D0F-4CF8-9FB5-31F1388A5196}"/>
    <cellStyle name="Comma 4 2 3 2 3 3 2 2 2 2" xfId="33994" xr:uid="{FBF184A5-F524-46CC-94F2-3F8D803F599D}"/>
    <cellStyle name="Comma 4 2 3 2 3 3 2 2 3" xfId="25322" xr:uid="{5C99B5D6-C7AF-4DC5-B742-A7EFC788BEA4}"/>
    <cellStyle name="Comma 4 2 3 2 3 3 2 3" xfId="12314" xr:uid="{21896291-56F0-4B99-92A1-7C97D1DB6DDE}"/>
    <cellStyle name="Comma 4 2 3 2 3 3 2 3 2" xfId="29658" xr:uid="{71EF262C-A7A5-4929-A6CF-E1BB3A63FBD7}"/>
    <cellStyle name="Comma 4 2 3 2 3 3 2 4" xfId="20986" xr:uid="{7EBF340E-C720-4A0C-A8C5-F2B9A03BC26F}"/>
    <cellStyle name="Comma 4 2 3 2 3 3 3" xfId="5810" xr:uid="{CD410C13-A79E-4819-BA07-426AA45F4B5D}"/>
    <cellStyle name="Comma 4 2 3 2 3 3 3 2" xfId="14482" xr:uid="{DE7A9B4A-1E00-4761-9A3F-388870A07777}"/>
    <cellStyle name="Comma 4 2 3 2 3 3 3 2 2" xfId="31826" xr:uid="{58A8E2CD-0530-4B24-9324-EB46C6AF98B7}"/>
    <cellStyle name="Comma 4 2 3 2 3 3 3 3" xfId="23154" xr:uid="{949B900C-38BB-4924-A52B-80D916E3C2E1}"/>
    <cellStyle name="Comma 4 2 3 2 3 3 4" xfId="10146" xr:uid="{907AC64D-2B31-4888-8290-A6B1ABA47BBE}"/>
    <cellStyle name="Comma 4 2 3 2 3 3 4 2" xfId="27490" xr:uid="{D2F16F5A-568B-423C-B2CC-90F6C876A3B6}"/>
    <cellStyle name="Comma 4 2 3 2 3 3 5" xfId="18818" xr:uid="{D7367BC2-13EE-457A-96BD-7DF509EB4103}"/>
    <cellStyle name="Comma 4 2 3 2 3 4" xfId="2558" xr:uid="{990AC8C2-96AF-4BBF-8910-483E74E30BCC}"/>
    <cellStyle name="Comma 4 2 3 2 3 4 2" xfId="6894" xr:uid="{6492EBD6-C0FF-46FF-91D3-FCBACDF8052F}"/>
    <cellStyle name="Comma 4 2 3 2 3 4 2 2" xfId="15566" xr:uid="{1D060248-D4A9-4C0B-928C-D6908F863C12}"/>
    <cellStyle name="Comma 4 2 3 2 3 4 2 2 2" xfId="32910" xr:uid="{B15522DE-ABA0-421D-9AD4-99B63105B1C3}"/>
    <cellStyle name="Comma 4 2 3 2 3 4 2 3" xfId="24238" xr:uid="{C7CCA2EB-DDE3-4CDC-BBCC-2BE605C30873}"/>
    <cellStyle name="Comma 4 2 3 2 3 4 3" xfId="11230" xr:uid="{7DFA72E1-1CA6-4E90-955F-4154F41A1973}"/>
    <cellStyle name="Comma 4 2 3 2 3 4 3 2" xfId="28574" xr:uid="{01BF6B23-A861-41FC-A739-1BEB745A654A}"/>
    <cellStyle name="Comma 4 2 3 2 3 4 4" xfId="19902" xr:uid="{C4092A2A-EC4A-43D7-8A91-512AA12B38D5}"/>
    <cellStyle name="Comma 4 2 3 2 3 5" xfId="4726" xr:uid="{2C3DDA85-80C9-46B0-8B2F-7DEF8D5E118D}"/>
    <cellStyle name="Comma 4 2 3 2 3 5 2" xfId="13398" xr:uid="{6F6CCB0D-4033-41EA-9CED-2F7BA58AF64A}"/>
    <cellStyle name="Comma 4 2 3 2 3 5 2 2" xfId="30742" xr:uid="{5E7EC3D3-52CF-489A-BE98-F5C61FC2818D}"/>
    <cellStyle name="Comma 4 2 3 2 3 5 3" xfId="22070" xr:uid="{817A881C-C95A-405B-808D-42F438B56C00}"/>
    <cellStyle name="Comma 4 2 3 2 3 6" xfId="9062" xr:uid="{DEC643C9-7B6C-4D55-846F-398E46B278C8}"/>
    <cellStyle name="Comma 4 2 3 2 3 6 2" xfId="26406" xr:uid="{FF8B212A-D47F-4D01-B6F9-8AF8FCEBE211}"/>
    <cellStyle name="Comma 4 2 3 2 3 7" xfId="17734" xr:uid="{C2580C4B-C7D3-4DB7-857B-25C3EB70047C}"/>
    <cellStyle name="Comma 4 2 3 2 4" xfId="661" xr:uid="{D2D11A80-7739-4309-AB49-2C00855CBC30}"/>
    <cellStyle name="Comma 4 2 3 2 4 2" xfId="1745" xr:uid="{96C8A5CD-0CC8-4389-8EEA-8CEB1857B0F3}"/>
    <cellStyle name="Comma 4 2 3 2 4 2 2" xfId="3913" xr:uid="{AE8035B0-F124-48A0-B2D8-0B80581B5B06}"/>
    <cellStyle name="Comma 4 2 3 2 4 2 2 2" xfId="8249" xr:uid="{9ED6512C-279A-4485-9F54-081A1961FFEB}"/>
    <cellStyle name="Comma 4 2 3 2 4 2 2 2 2" xfId="16921" xr:uid="{6177CED9-EE22-47E7-8810-3DCDDC7AEC5D}"/>
    <cellStyle name="Comma 4 2 3 2 4 2 2 2 2 2" xfId="34265" xr:uid="{78F67673-6E4E-4029-B99E-5DE3CDEF76C9}"/>
    <cellStyle name="Comma 4 2 3 2 4 2 2 2 3" xfId="25593" xr:uid="{397C7249-AF65-4C46-8E1E-1001C46D6355}"/>
    <cellStyle name="Comma 4 2 3 2 4 2 2 3" xfId="12585" xr:uid="{C6E5EB00-29F0-4817-A533-8FA3FC279845}"/>
    <cellStyle name="Comma 4 2 3 2 4 2 2 3 2" xfId="29929" xr:uid="{9F07BAB0-3A68-4DE4-86CF-2E6E8F2782F8}"/>
    <cellStyle name="Comma 4 2 3 2 4 2 2 4" xfId="21257" xr:uid="{3CD0B341-B157-45E0-AE20-3C33541BF729}"/>
    <cellStyle name="Comma 4 2 3 2 4 2 3" xfId="6081" xr:uid="{4601075A-ED00-4639-AE0E-AD2FC8566EE1}"/>
    <cellStyle name="Comma 4 2 3 2 4 2 3 2" xfId="14753" xr:uid="{AC2328D7-B460-497A-A9C9-E20576DE87D5}"/>
    <cellStyle name="Comma 4 2 3 2 4 2 3 2 2" xfId="32097" xr:uid="{602ACABF-35B8-49E4-9158-30D9896524D2}"/>
    <cellStyle name="Comma 4 2 3 2 4 2 3 3" xfId="23425" xr:uid="{3CFB57FF-360C-47FF-ADBE-C36674ED44BE}"/>
    <cellStyle name="Comma 4 2 3 2 4 2 4" xfId="10417" xr:uid="{188ADD52-A155-4168-BD64-525AB9D74CBA}"/>
    <cellStyle name="Comma 4 2 3 2 4 2 4 2" xfId="27761" xr:uid="{0ED15A35-6C4E-41C0-B2CA-665F8DB29CC3}"/>
    <cellStyle name="Comma 4 2 3 2 4 2 5" xfId="19089" xr:uid="{9B30A393-1338-4249-BC5F-9B139FA68112}"/>
    <cellStyle name="Comma 4 2 3 2 4 3" xfId="2829" xr:uid="{7AAD8857-0457-4106-976F-5F95B1C6F8F2}"/>
    <cellStyle name="Comma 4 2 3 2 4 3 2" xfId="7165" xr:uid="{83EB5717-F37A-4BA2-BF6E-DE2373FB4163}"/>
    <cellStyle name="Comma 4 2 3 2 4 3 2 2" xfId="15837" xr:uid="{7C90BC42-16D8-4B5E-B2D6-1A990DC25DE9}"/>
    <cellStyle name="Comma 4 2 3 2 4 3 2 2 2" xfId="33181" xr:uid="{2256889B-AF32-42A6-9704-A714ADB5662D}"/>
    <cellStyle name="Comma 4 2 3 2 4 3 2 3" xfId="24509" xr:uid="{84BB2386-9C5E-4878-9C4D-EACBC87D25C4}"/>
    <cellStyle name="Comma 4 2 3 2 4 3 3" xfId="11501" xr:uid="{71D61436-B954-43E6-A3ED-66DA683B9B3D}"/>
    <cellStyle name="Comma 4 2 3 2 4 3 3 2" xfId="28845" xr:uid="{B0C64570-D507-4B8D-829E-58834F27F734}"/>
    <cellStyle name="Comma 4 2 3 2 4 3 4" xfId="20173" xr:uid="{7512C888-9213-446E-8C69-2BA969CA40F5}"/>
    <cellStyle name="Comma 4 2 3 2 4 4" xfId="4997" xr:uid="{1017E7FE-6310-4802-9AFC-FF04A8323DB3}"/>
    <cellStyle name="Comma 4 2 3 2 4 4 2" xfId="13669" xr:uid="{0650A564-C6C5-4ADF-B48A-2BE76C039E30}"/>
    <cellStyle name="Comma 4 2 3 2 4 4 2 2" xfId="31013" xr:uid="{152DF0D1-25C5-4D7B-99E9-308FA649DE05}"/>
    <cellStyle name="Comma 4 2 3 2 4 4 3" xfId="22341" xr:uid="{A2B7D5C0-3875-44D2-8F61-D912A88FC112}"/>
    <cellStyle name="Comma 4 2 3 2 4 5" xfId="9333" xr:uid="{E6FBD3AC-55E4-459E-A8E1-424586E6F0F4}"/>
    <cellStyle name="Comma 4 2 3 2 4 5 2" xfId="26677" xr:uid="{145CE033-422C-4026-9002-8A802A7C0B94}"/>
    <cellStyle name="Comma 4 2 3 2 4 6" xfId="18005" xr:uid="{58E21010-1C80-4BF8-BCA3-BA078C055F9F}"/>
    <cellStyle name="Comma 4 2 3 2 5" xfId="1204" xr:uid="{1F2E9D91-7A10-4992-9423-315BC401F61A}"/>
    <cellStyle name="Comma 4 2 3 2 5 2" xfId="3372" xr:uid="{69509DED-A420-4A97-9639-AD7575D35E8E}"/>
    <cellStyle name="Comma 4 2 3 2 5 2 2" xfId="7708" xr:uid="{E58F5E6D-148E-4186-ABE4-C93E1D2C2988}"/>
    <cellStyle name="Comma 4 2 3 2 5 2 2 2" xfId="16380" xr:uid="{3530FC41-0D50-470A-B20F-C744BA1F1974}"/>
    <cellStyle name="Comma 4 2 3 2 5 2 2 2 2" xfId="33724" xr:uid="{255B7B52-4D73-4319-BACD-32C540E783F1}"/>
    <cellStyle name="Comma 4 2 3 2 5 2 2 3" xfId="25052" xr:uid="{172AE00E-8768-47A8-8675-1CEB81BACA18}"/>
    <cellStyle name="Comma 4 2 3 2 5 2 3" xfId="12044" xr:uid="{FDDC4CB9-5508-40D3-9E5B-BDC4012C3297}"/>
    <cellStyle name="Comma 4 2 3 2 5 2 3 2" xfId="29388" xr:uid="{64EB5236-B07C-4CC1-93E1-9883617DF090}"/>
    <cellStyle name="Comma 4 2 3 2 5 2 4" xfId="20716" xr:uid="{D87BC810-5BA3-42D8-8B98-68AAEF5BEA86}"/>
    <cellStyle name="Comma 4 2 3 2 5 3" xfId="5540" xr:uid="{D8AAE106-DE32-46B1-942E-1A4A530DB838}"/>
    <cellStyle name="Comma 4 2 3 2 5 3 2" xfId="14212" xr:uid="{30395357-D805-4D18-B950-F0B7B13B0B01}"/>
    <cellStyle name="Comma 4 2 3 2 5 3 2 2" xfId="31556" xr:uid="{D1091A1A-BDF4-497D-B82E-80F0CFED2A20}"/>
    <cellStyle name="Comma 4 2 3 2 5 3 3" xfId="22884" xr:uid="{1EC137AD-7055-4A9B-A1F0-20A488B90C30}"/>
    <cellStyle name="Comma 4 2 3 2 5 4" xfId="9876" xr:uid="{4FEF7815-261D-4393-A12D-089AE2BDEE18}"/>
    <cellStyle name="Comma 4 2 3 2 5 4 2" xfId="27220" xr:uid="{389D799C-99A9-4765-AB3F-3DFDB9813D5E}"/>
    <cellStyle name="Comma 4 2 3 2 5 5" xfId="18548" xr:uid="{F1CB0D6B-CF52-40FF-B5A9-334C5F2E2309}"/>
    <cellStyle name="Comma 4 2 3 2 6" xfId="2288" xr:uid="{D2486370-A35A-4097-A1C0-1B3775A2F605}"/>
    <cellStyle name="Comma 4 2 3 2 6 2" xfId="6624" xr:uid="{51F98888-7A4A-43B7-89BE-80937BD609FC}"/>
    <cellStyle name="Comma 4 2 3 2 6 2 2" xfId="15296" xr:uid="{70E3587C-EDAE-469F-A54B-0660E79312CB}"/>
    <cellStyle name="Comma 4 2 3 2 6 2 2 2" xfId="32640" xr:uid="{3B2CDB37-DF66-47CD-A436-9B785E69B2B1}"/>
    <cellStyle name="Comma 4 2 3 2 6 2 3" xfId="23968" xr:uid="{7C1168DD-2FEC-4549-A1C5-F1E030758029}"/>
    <cellStyle name="Comma 4 2 3 2 6 3" xfId="10960" xr:uid="{B58F19BE-9A2E-44C9-AE07-2A0EFADCF5F2}"/>
    <cellStyle name="Comma 4 2 3 2 6 3 2" xfId="28304" xr:uid="{8702FFEB-542A-4FBE-9CD7-36E112E6C0DD}"/>
    <cellStyle name="Comma 4 2 3 2 6 4" xfId="19632" xr:uid="{5EF83C5E-E748-4A2C-B3A5-28FEF5A94A59}"/>
    <cellStyle name="Comma 4 2 3 2 7" xfId="4456" xr:uid="{331F0B47-4465-49AF-9DC1-E623435F2A38}"/>
    <cellStyle name="Comma 4 2 3 2 7 2" xfId="13128" xr:uid="{395EDDC3-992E-4EFA-9536-37BCA2C655A4}"/>
    <cellStyle name="Comma 4 2 3 2 7 2 2" xfId="30472" xr:uid="{51E4DB3F-D75A-4065-9B6D-90A232A38D4F}"/>
    <cellStyle name="Comma 4 2 3 2 7 3" xfId="21800" xr:uid="{E37005ED-2F6C-4894-AFCF-138FBC5FA966}"/>
    <cellStyle name="Comma 4 2 3 2 8" xfId="8792" xr:uid="{AED1D427-8965-4F5F-983D-77D1D2167B69}"/>
    <cellStyle name="Comma 4 2 3 2 8 2" xfId="26136" xr:uid="{79882D21-F8CB-4D29-8A23-3F70A85E2B33}"/>
    <cellStyle name="Comma 4 2 3 2 9" xfId="17464" xr:uid="{B8D0BD80-8226-4C5D-B4C4-73FD71EFEAD7}"/>
    <cellStyle name="Comma 4 2 3 3" xfId="181" xr:uid="{08247445-B5AA-4665-A567-0A05395E0BDA}"/>
    <cellStyle name="Comma 4 2 3 3 2" xfId="451" xr:uid="{C44E8914-885C-4F63-A28B-249742D055C5}"/>
    <cellStyle name="Comma 4 2 3 3 2 2" xfId="992" xr:uid="{07986701-C87D-46A1-A13C-F5350D683456}"/>
    <cellStyle name="Comma 4 2 3 3 2 2 2" xfId="2076" xr:uid="{915A34D9-AAFD-4AC1-AF8F-8B347010E80F}"/>
    <cellStyle name="Comma 4 2 3 3 2 2 2 2" xfId="4244" xr:uid="{B6BDBAB4-F60F-448E-8BF9-3C4582EE54CB}"/>
    <cellStyle name="Comma 4 2 3 3 2 2 2 2 2" xfId="8580" xr:uid="{3D8E0329-B629-4DFD-BE4D-5A7CF6738E15}"/>
    <cellStyle name="Comma 4 2 3 3 2 2 2 2 2 2" xfId="17252" xr:uid="{637506B6-C989-4874-AFD8-4F60140C1F57}"/>
    <cellStyle name="Comma 4 2 3 3 2 2 2 2 2 2 2" xfId="34596" xr:uid="{720E07EC-EA82-4A91-AA33-C0778C066174}"/>
    <cellStyle name="Comma 4 2 3 3 2 2 2 2 2 3" xfId="25924" xr:uid="{F7DB95F2-EF25-4FB7-943F-8B2B8C189151}"/>
    <cellStyle name="Comma 4 2 3 3 2 2 2 2 3" xfId="12916" xr:uid="{D2DB1B8F-D51A-45C5-914B-BE68F2BA5498}"/>
    <cellStyle name="Comma 4 2 3 3 2 2 2 2 3 2" xfId="30260" xr:uid="{C4553024-F4D9-4C00-88AF-D899B572FD4E}"/>
    <cellStyle name="Comma 4 2 3 3 2 2 2 2 4" xfId="21588" xr:uid="{674BEFFF-2CDD-4C93-98F1-669D6B0AD212}"/>
    <cellStyle name="Comma 4 2 3 3 2 2 2 3" xfId="6412" xr:uid="{E9EB6811-DF68-4C67-81A0-3E0EC312016C}"/>
    <cellStyle name="Comma 4 2 3 3 2 2 2 3 2" xfId="15084" xr:uid="{888E04F2-41DF-4E7A-84FB-8C539171D8A6}"/>
    <cellStyle name="Comma 4 2 3 3 2 2 2 3 2 2" xfId="32428" xr:uid="{FB9610E9-7B8A-4AAE-A739-43A8E8F0F11F}"/>
    <cellStyle name="Comma 4 2 3 3 2 2 2 3 3" xfId="23756" xr:uid="{D1E0CD5C-73B3-4420-8A9A-62B474CA9A91}"/>
    <cellStyle name="Comma 4 2 3 3 2 2 2 4" xfId="10748" xr:uid="{351CE3B4-B844-4FD2-BD62-FBA9DD5A8E86}"/>
    <cellStyle name="Comma 4 2 3 3 2 2 2 4 2" xfId="28092" xr:uid="{BBC7ED95-AFB1-46D5-8E71-601E40DAA1E3}"/>
    <cellStyle name="Comma 4 2 3 3 2 2 2 5" xfId="19420" xr:uid="{F608F60E-ACC3-47BB-B32A-C269E50A3CB3}"/>
    <cellStyle name="Comma 4 2 3 3 2 2 3" xfId="3160" xr:uid="{232E2216-CB17-4333-B3E4-4309CAB60CBC}"/>
    <cellStyle name="Comma 4 2 3 3 2 2 3 2" xfId="7496" xr:uid="{505218BA-43F9-4C27-8E8F-D506D7A1B8B0}"/>
    <cellStyle name="Comma 4 2 3 3 2 2 3 2 2" xfId="16168" xr:uid="{5B42EE36-D72C-4A8F-AB26-676672E3270D}"/>
    <cellStyle name="Comma 4 2 3 3 2 2 3 2 2 2" xfId="33512" xr:uid="{105DA5E1-ED42-49FD-92EB-2AD9274B6DA7}"/>
    <cellStyle name="Comma 4 2 3 3 2 2 3 2 3" xfId="24840" xr:uid="{8DAA9403-2BE3-4EEC-B9CE-BF13886FF80D}"/>
    <cellStyle name="Comma 4 2 3 3 2 2 3 3" xfId="11832" xr:uid="{9D0A86DB-A979-41B5-A869-7E0E7F61B818}"/>
    <cellStyle name="Comma 4 2 3 3 2 2 3 3 2" xfId="29176" xr:uid="{6079E753-CAFB-4D6E-96EF-9A30D12199F5}"/>
    <cellStyle name="Comma 4 2 3 3 2 2 3 4" xfId="20504" xr:uid="{558ED75D-4CB2-4D68-9CD5-5EE7D6A9E7D0}"/>
    <cellStyle name="Comma 4 2 3 3 2 2 4" xfId="5328" xr:uid="{1502A90F-2B8C-46E4-BA7B-39E420B76AFA}"/>
    <cellStyle name="Comma 4 2 3 3 2 2 4 2" xfId="14000" xr:uid="{3A401948-47BF-4FF0-806D-D1D766065D78}"/>
    <cellStyle name="Comma 4 2 3 3 2 2 4 2 2" xfId="31344" xr:uid="{DD7CB6ED-3094-4C6B-BD36-E9DFA67BDB68}"/>
    <cellStyle name="Comma 4 2 3 3 2 2 4 3" xfId="22672" xr:uid="{30FBFAB7-AC23-40FF-A144-F9513BC649B8}"/>
    <cellStyle name="Comma 4 2 3 3 2 2 5" xfId="9664" xr:uid="{DC8F0F57-E415-43F2-BE5F-2E7DAA262F7D}"/>
    <cellStyle name="Comma 4 2 3 3 2 2 5 2" xfId="27008" xr:uid="{4DF38722-580D-4E76-8929-EA58B041DDEC}"/>
    <cellStyle name="Comma 4 2 3 3 2 2 6" xfId="18336" xr:uid="{80EB2F12-0305-4F4C-A02D-16AD8629BCBB}"/>
    <cellStyle name="Comma 4 2 3 3 2 3" xfId="1535" xr:uid="{5C73D614-F827-422A-BFE2-33BB986F834C}"/>
    <cellStyle name="Comma 4 2 3 3 2 3 2" xfId="3703" xr:uid="{59957F6F-1972-4325-8E47-C464BF1C16A4}"/>
    <cellStyle name="Comma 4 2 3 3 2 3 2 2" xfId="8039" xr:uid="{406D2F25-CB21-4A20-ABAB-CF19C29E697E}"/>
    <cellStyle name="Comma 4 2 3 3 2 3 2 2 2" xfId="16711" xr:uid="{CEC97AE9-90E5-4094-A2B7-CBD64483DC57}"/>
    <cellStyle name="Comma 4 2 3 3 2 3 2 2 2 2" xfId="34055" xr:uid="{C292CD78-1864-439A-B386-E087CD4A9078}"/>
    <cellStyle name="Comma 4 2 3 3 2 3 2 2 3" xfId="25383" xr:uid="{0855CC8D-5E8F-4AAE-9231-3C55DB34478F}"/>
    <cellStyle name="Comma 4 2 3 3 2 3 2 3" xfId="12375" xr:uid="{3C130708-6F3B-403E-862D-E6033FEAE812}"/>
    <cellStyle name="Comma 4 2 3 3 2 3 2 3 2" xfId="29719" xr:uid="{A6212752-4404-426A-A9BC-BD0F6BD058D4}"/>
    <cellStyle name="Comma 4 2 3 3 2 3 2 4" xfId="21047" xr:uid="{99C4F126-050F-4768-9650-240F4DD87803}"/>
    <cellStyle name="Comma 4 2 3 3 2 3 3" xfId="5871" xr:uid="{40B43FA2-80A9-4D53-BCF9-CCB082F4905A}"/>
    <cellStyle name="Comma 4 2 3 3 2 3 3 2" xfId="14543" xr:uid="{8E764FB5-E6B3-49C0-B415-112450CBF5C6}"/>
    <cellStyle name="Comma 4 2 3 3 2 3 3 2 2" xfId="31887" xr:uid="{E02C0EF4-C2D7-425C-AF8E-222031612B79}"/>
    <cellStyle name="Comma 4 2 3 3 2 3 3 3" xfId="23215" xr:uid="{B7520CC2-26B3-49F7-A0D7-034AF94BCC0E}"/>
    <cellStyle name="Comma 4 2 3 3 2 3 4" xfId="10207" xr:uid="{B93715FC-B631-40AB-8455-A700A8A7DBFE}"/>
    <cellStyle name="Comma 4 2 3 3 2 3 4 2" xfId="27551" xr:uid="{F0C057D5-2968-45B3-B408-519B103B26A5}"/>
    <cellStyle name="Comma 4 2 3 3 2 3 5" xfId="18879" xr:uid="{64DA2FFF-CDBA-40DB-9ACA-9E0FEE7C356A}"/>
    <cellStyle name="Comma 4 2 3 3 2 4" xfId="2619" xr:uid="{2503936D-6859-4E61-B085-18A8B018D41A}"/>
    <cellStyle name="Comma 4 2 3 3 2 4 2" xfId="6955" xr:uid="{267A06FC-199D-426A-B57D-F156C6DB0B31}"/>
    <cellStyle name="Comma 4 2 3 3 2 4 2 2" xfId="15627" xr:uid="{DFD0F018-2077-41F8-8600-4F556F0A377A}"/>
    <cellStyle name="Comma 4 2 3 3 2 4 2 2 2" xfId="32971" xr:uid="{1129BB96-A53E-4949-9A07-992D24098F95}"/>
    <cellStyle name="Comma 4 2 3 3 2 4 2 3" xfId="24299" xr:uid="{B779FDCF-AE82-4B2C-AFFA-6F68981F4FA9}"/>
    <cellStyle name="Comma 4 2 3 3 2 4 3" xfId="11291" xr:uid="{340BC5BA-5008-41F8-B8E3-95D6A121FACB}"/>
    <cellStyle name="Comma 4 2 3 3 2 4 3 2" xfId="28635" xr:uid="{40ABAC61-F58B-464F-A06C-C8A18FA6B034}"/>
    <cellStyle name="Comma 4 2 3 3 2 4 4" xfId="19963" xr:uid="{CD3FFDA2-F874-4893-A4C5-24BD78C83CE6}"/>
    <cellStyle name="Comma 4 2 3 3 2 5" xfId="4787" xr:uid="{32ABB0ED-936A-48BA-A797-6DE5049CE692}"/>
    <cellStyle name="Comma 4 2 3 3 2 5 2" xfId="13459" xr:uid="{B53A25AB-264B-4CE0-9550-4B195D0BF72B}"/>
    <cellStyle name="Comma 4 2 3 3 2 5 2 2" xfId="30803" xr:uid="{61620D03-187A-4F40-8FCC-7BC7C59CCA5B}"/>
    <cellStyle name="Comma 4 2 3 3 2 5 3" xfId="22131" xr:uid="{DCD53D09-00E0-4F86-8591-5035A1AD6068}"/>
    <cellStyle name="Comma 4 2 3 3 2 6" xfId="9123" xr:uid="{8549EB71-2C7E-4D0C-935D-DF677FF13CDE}"/>
    <cellStyle name="Comma 4 2 3 3 2 6 2" xfId="26467" xr:uid="{FDE60CA3-428C-40B6-BBA5-CA062A5D2DFF}"/>
    <cellStyle name="Comma 4 2 3 3 2 7" xfId="17795" xr:uid="{93AF620A-212A-485A-8A81-4932A4AC474C}"/>
    <cellStyle name="Comma 4 2 3 3 3" xfId="722" xr:uid="{B377E9F0-87ED-4C13-89AE-64146D866FD9}"/>
    <cellStyle name="Comma 4 2 3 3 3 2" xfId="1806" xr:uid="{BA6C1351-3855-4068-8A73-D34944FB0E7B}"/>
    <cellStyle name="Comma 4 2 3 3 3 2 2" xfId="3974" xr:uid="{2703F204-BF8D-4C86-8912-FAD746F33961}"/>
    <cellStyle name="Comma 4 2 3 3 3 2 2 2" xfId="8310" xr:uid="{26EBBFCA-10A0-4178-8685-D50BB09A56EA}"/>
    <cellStyle name="Comma 4 2 3 3 3 2 2 2 2" xfId="16982" xr:uid="{1F4D3B95-4F90-4823-BD10-F0820001B0A3}"/>
    <cellStyle name="Comma 4 2 3 3 3 2 2 2 2 2" xfId="34326" xr:uid="{38E36FAE-F7C8-4564-AC7F-4FAEC6BE40FE}"/>
    <cellStyle name="Comma 4 2 3 3 3 2 2 2 3" xfId="25654" xr:uid="{9231559E-BED4-4BE3-B49A-6D71B2E58007}"/>
    <cellStyle name="Comma 4 2 3 3 3 2 2 3" xfId="12646" xr:uid="{4BE5F448-4CE3-4D5F-B9E3-89BD80FAAFBF}"/>
    <cellStyle name="Comma 4 2 3 3 3 2 2 3 2" xfId="29990" xr:uid="{55F7005A-B5EE-4C83-B909-D3385E2693E0}"/>
    <cellStyle name="Comma 4 2 3 3 3 2 2 4" xfId="21318" xr:uid="{18A1950F-A067-446D-AD07-1E3E82A526D5}"/>
    <cellStyle name="Comma 4 2 3 3 3 2 3" xfId="6142" xr:uid="{E35CD532-EB32-4046-AB23-57C796B86F4D}"/>
    <cellStyle name="Comma 4 2 3 3 3 2 3 2" xfId="14814" xr:uid="{1623A2A8-7731-4EB2-A1F9-313EB78F2752}"/>
    <cellStyle name="Comma 4 2 3 3 3 2 3 2 2" xfId="32158" xr:uid="{6EAC8F19-31A9-4603-8218-CFB125EB7587}"/>
    <cellStyle name="Comma 4 2 3 3 3 2 3 3" xfId="23486" xr:uid="{7498246D-DC68-4350-9518-BC3E30CAA5CC}"/>
    <cellStyle name="Comma 4 2 3 3 3 2 4" xfId="10478" xr:uid="{E41DDE09-5929-4FED-89C8-F3BD0F72A6FA}"/>
    <cellStyle name="Comma 4 2 3 3 3 2 4 2" xfId="27822" xr:uid="{E0FC232F-ADE5-4A7B-94C9-EE40E67E9C06}"/>
    <cellStyle name="Comma 4 2 3 3 3 2 5" xfId="19150" xr:uid="{2E98EF1C-F0DB-4FCF-ACAC-8183A7E45C7F}"/>
    <cellStyle name="Comma 4 2 3 3 3 3" xfId="2890" xr:uid="{82356367-AC93-4CA0-999F-BC90FFDA869F}"/>
    <cellStyle name="Comma 4 2 3 3 3 3 2" xfId="7226" xr:uid="{338EE3D6-CF67-4F9F-BBCC-46884CA42547}"/>
    <cellStyle name="Comma 4 2 3 3 3 3 2 2" xfId="15898" xr:uid="{D2365D6F-A75B-44F8-94BE-DB9DC9E01001}"/>
    <cellStyle name="Comma 4 2 3 3 3 3 2 2 2" xfId="33242" xr:uid="{C003E878-BCEE-4779-A051-DE47B5F90F97}"/>
    <cellStyle name="Comma 4 2 3 3 3 3 2 3" xfId="24570" xr:uid="{4A1AD7FA-3039-418A-9713-658A1B6E8D74}"/>
    <cellStyle name="Comma 4 2 3 3 3 3 3" xfId="11562" xr:uid="{FB92C0FC-F095-43A4-94CC-A19B8D4983A6}"/>
    <cellStyle name="Comma 4 2 3 3 3 3 3 2" xfId="28906" xr:uid="{5126B3A7-A211-4171-B785-710D672E8BEC}"/>
    <cellStyle name="Comma 4 2 3 3 3 3 4" xfId="20234" xr:uid="{2BDCAF68-DFB5-4BAD-95FB-2DF17D911A6C}"/>
    <cellStyle name="Comma 4 2 3 3 3 4" xfId="5058" xr:uid="{49FEDB6C-264B-485A-B3B8-6E741FC4BD4E}"/>
    <cellStyle name="Comma 4 2 3 3 3 4 2" xfId="13730" xr:uid="{E1F040BC-6206-43DC-9FAC-B05B70CD85FE}"/>
    <cellStyle name="Comma 4 2 3 3 3 4 2 2" xfId="31074" xr:uid="{42856E51-CF70-4C61-8827-2D1EA80696D1}"/>
    <cellStyle name="Comma 4 2 3 3 3 4 3" xfId="22402" xr:uid="{2643F14C-6632-4BD5-9F97-A35ECC2A708B}"/>
    <cellStyle name="Comma 4 2 3 3 3 5" xfId="9394" xr:uid="{EA3E08BA-D501-4E2F-B308-B45764D8CB6B}"/>
    <cellStyle name="Comma 4 2 3 3 3 5 2" xfId="26738" xr:uid="{88C450FF-1166-48D2-828D-4BA3B1DA0D33}"/>
    <cellStyle name="Comma 4 2 3 3 3 6" xfId="18066" xr:uid="{D6E95419-BED0-4226-A71A-80F269EB55CC}"/>
    <cellStyle name="Comma 4 2 3 3 4" xfId="1265" xr:uid="{91118E48-ADCC-4425-8198-91AB03A9B7BD}"/>
    <cellStyle name="Comma 4 2 3 3 4 2" xfId="3433" xr:uid="{8F0FEB36-55A0-43F8-A5FB-54A5C6026351}"/>
    <cellStyle name="Comma 4 2 3 3 4 2 2" xfId="7769" xr:uid="{077CA398-E14D-4AD0-9072-C53479D32773}"/>
    <cellStyle name="Comma 4 2 3 3 4 2 2 2" xfId="16441" xr:uid="{6DA5E41A-136D-4224-8F8E-35309FC66B6A}"/>
    <cellStyle name="Comma 4 2 3 3 4 2 2 2 2" xfId="33785" xr:uid="{3B1947FD-6BCD-4191-8509-4BF56560C1FA}"/>
    <cellStyle name="Comma 4 2 3 3 4 2 2 3" xfId="25113" xr:uid="{92DC8D9C-A320-45C7-93F8-9319819F3534}"/>
    <cellStyle name="Comma 4 2 3 3 4 2 3" xfId="12105" xr:uid="{18DC4A43-2142-4A31-99C4-43C529DC12C4}"/>
    <cellStyle name="Comma 4 2 3 3 4 2 3 2" xfId="29449" xr:uid="{3E655CAB-A23E-4BD2-A051-84068F780831}"/>
    <cellStyle name="Comma 4 2 3 3 4 2 4" xfId="20777" xr:uid="{A0F1D53A-91DE-471B-B3A5-79BB9BE97E28}"/>
    <cellStyle name="Comma 4 2 3 3 4 3" xfId="5601" xr:uid="{4105FB3E-49E3-4BD5-BEEF-84EFB65D0DE2}"/>
    <cellStyle name="Comma 4 2 3 3 4 3 2" xfId="14273" xr:uid="{F3847A02-6FA2-4644-B557-0C98EF602D89}"/>
    <cellStyle name="Comma 4 2 3 3 4 3 2 2" xfId="31617" xr:uid="{1DB6B00E-E511-4BA4-8AD4-F1A28DA5251D}"/>
    <cellStyle name="Comma 4 2 3 3 4 3 3" xfId="22945" xr:uid="{7FBD0990-1BA5-4252-92F1-DFD85209BDB2}"/>
    <cellStyle name="Comma 4 2 3 3 4 4" xfId="9937" xr:uid="{4600401F-DE41-4672-B680-456A683C222B}"/>
    <cellStyle name="Comma 4 2 3 3 4 4 2" xfId="27281" xr:uid="{DA3F86F0-B1D3-40EB-8B46-65F48424CE0E}"/>
    <cellStyle name="Comma 4 2 3 3 4 5" xfId="18609" xr:uid="{68C2A02E-5995-4A88-B29E-E3178CC6B629}"/>
    <cellStyle name="Comma 4 2 3 3 5" xfId="2349" xr:uid="{B72A8DB2-2FD3-4B9B-AC58-0563E1C26A04}"/>
    <cellStyle name="Comma 4 2 3 3 5 2" xfId="6685" xr:uid="{992D91ED-6877-4C17-9087-43E4CE08AB0A}"/>
    <cellStyle name="Comma 4 2 3 3 5 2 2" xfId="15357" xr:uid="{6B9F1176-1E40-4778-AC8B-897F086A44A9}"/>
    <cellStyle name="Comma 4 2 3 3 5 2 2 2" xfId="32701" xr:uid="{7091AC27-5782-469B-87DD-1FCE98279ED8}"/>
    <cellStyle name="Comma 4 2 3 3 5 2 3" xfId="24029" xr:uid="{C213909A-0729-4FA3-8C1F-E54B31F128E4}"/>
    <cellStyle name="Comma 4 2 3 3 5 3" xfId="11021" xr:uid="{C027C39A-B232-4EA3-91E3-7A3ACE4D5422}"/>
    <cellStyle name="Comma 4 2 3 3 5 3 2" xfId="28365" xr:uid="{D0A781F3-24C1-4EDF-8156-1388AA8B530B}"/>
    <cellStyle name="Comma 4 2 3 3 5 4" xfId="19693" xr:uid="{97B5558B-9CEC-409D-87F8-00818265E41D}"/>
    <cellStyle name="Comma 4 2 3 3 6" xfId="4517" xr:uid="{0BA6AA32-D555-47D2-A829-0CBF64FFD651}"/>
    <cellStyle name="Comma 4 2 3 3 6 2" xfId="13189" xr:uid="{6A2F1EE6-615F-459B-80A3-63B23B49AA1B}"/>
    <cellStyle name="Comma 4 2 3 3 6 2 2" xfId="30533" xr:uid="{D46AD275-35C2-42D7-A6FC-1A8D8E76EA06}"/>
    <cellStyle name="Comma 4 2 3 3 6 3" xfId="21861" xr:uid="{AFF29954-F197-4429-8D8E-DEF7F437BEE8}"/>
    <cellStyle name="Comma 4 2 3 3 7" xfId="8853" xr:uid="{24D9C420-5971-4B6C-9F92-B79B2D962CFF}"/>
    <cellStyle name="Comma 4 2 3 3 7 2" xfId="26197" xr:uid="{592F85AD-9DC9-4A2E-8252-D72022B104EB}"/>
    <cellStyle name="Comma 4 2 3 3 8" xfId="17525" xr:uid="{37FE3D15-1CE1-4E29-9B93-6847FC658ECC}"/>
    <cellStyle name="Comma 4 2 3 4" xfId="329" xr:uid="{37E2668D-0244-4D22-B145-2ADCF8598128}"/>
    <cellStyle name="Comma 4 2 3 4 2" xfId="870" xr:uid="{2001055A-A0A7-4B56-8A60-BD103A7B715F}"/>
    <cellStyle name="Comma 4 2 3 4 2 2" xfId="1954" xr:uid="{362AB606-C3FB-4AC6-AED8-BEDFBC4736B1}"/>
    <cellStyle name="Comma 4 2 3 4 2 2 2" xfId="4122" xr:uid="{D4653532-94EE-4261-889E-1F279B51284F}"/>
    <cellStyle name="Comma 4 2 3 4 2 2 2 2" xfId="8458" xr:uid="{5BEBE4FD-DFBA-4F1B-9950-9694A14523E1}"/>
    <cellStyle name="Comma 4 2 3 4 2 2 2 2 2" xfId="17130" xr:uid="{1CF11A3E-1195-4A05-8A4D-14C00B0431D4}"/>
    <cellStyle name="Comma 4 2 3 4 2 2 2 2 2 2" xfId="34474" xr:uid="{AFCF48DF-C221-47A1-92F2-B51F3974CE09}"/>
    <cellStyle name="Comma 4 2 3 4 2 2 2 2 3" xfId="25802" xr:uid="{A37E672E-FF09-416C-9993-4A0415619814}"/>
    <cellStyle name="Comma 4 2 3 4 2 2 2 3" xfId="12794" xr:uid="{C188CFFE-49DC-4C56-BE04-9345769CACFE}"/>
    <cellStyle name="Comma 4 2 3 4 2 2 2 3 2" xfId="30138" xr:uid="{428AAB20-C665-423B-AFBE-C159F81A0A2D}"/>
    <cellStyle name="Comma 4 2 3 4 2 2 2 4" xfId="21466" xr:uid="{8D8C5BE5-A2DF-4B40-BFFE-CB0906D4A105}"/>
    <cellStyle name="Comma 4 2 3 4 2 2 3" xfId="6290" xr:uid="{8D238FD4-9042-4974-A6AC-8CB59ECF0405}"/>
    <cellStyle name="Comma 4 2 3 4 2 2 3 2" xfId="14962" xr:uid="{2EF89907-CB11-4EB9-8659-92EB36C6E225}"/>
    <cellStyle name="Comma 4 2 3 4 2 2 3 2 2" xfId="32306" xr:uid="{3074996F-FFAE-40A1-84D7-FCA408F469B0}"/>
    <cellStyle name="Comma 4 2 3 4 2 2 3 3" xfId="23634" xr:uid="{42EF0945-ACB8-48F5-B96D-61C74B8B779A}"/>
    <cellStyle name="Comma 4 2 3 4 2 2 4" xfId="10626" xr:uid="{C6A87F23-DB71-48CC-BC22-059230860F85}"/>
    <cellStyle name="Comma 4 2 3 4 2 2 4 2" xfId="27970" xr:uid="{E722AF9E-3C01-46CA-B2FB-78233681674D}"/>
    <cellStyle name="Comma 4 2 3 4 2 2 5" xfId="19298" xr:uid="{56348655-ED0A-4E9B-9CB7-5EBF54D61186}"/>
    <cellStyle name="Comma 4 2 3 4 2 3" xfId="3038" xr:uid="{58F38DE2-AED5-483C-8EF9-5DA68304F4C4}"/>
    <cellStyle name="Comma 4 2 3 4 2 3 2" xfId="7374" xr:uid="{7B29A098-FD60-4325-A762-3649DFFD701F}"/>
    <cellStyle name="Comma 4 2 3 4 2 3 2 2" xfId="16046" xr:uid="{DA8676B6-55EB-4AE3-8299-52D8F53FAD5B}"/>
    <cellStyle name="Comma 4 2 3 4 2 3 2 2 2" xfId="33390" xr:uid="{14BA38E2-FB84-444F-9426-B483F305C325}"/>
    <cellStyle name="Comma 4 2 3 4 2 3 2 3" xfId="24718" xr:uid="{5BF723E9-C277-47F3-A049-2A0A644DCB99}"/>
    <cellStyle name="Comma 4 2 3 4 2 3 3" xfId="11710" xr:uid="{E54D94B3-DA2B-434B-88E4-CCF0F78051E2}"/>
    <cellStyle name="Comma 4 2 3 4 2 3 3 2" xfId="29054" xr:uid="{1DD72251-E814-4A2E-BAD4-AB2BE9D3C99E}"/>
    <cellStyle name="Comma 4 2 3 4 2 3 4" xfId="20382" xr:uid="{B3927137-E1DA-4E3E-A2A6-FACB8BB77E5F}"/>
    <cellStyle name="Comma 4 2 3 4 2 4" xfId="5206" xr:uid="{2EB8AC6F-CAB7-41C1-A5D7-8B59C9E2A183}"/>
    <cellStyle name="Comma 4 2 3 4 2 4 2" xfId="13878" xr:uid="{2E290FC4-5211-43CC-8259-F8191AB0DB27}"/>
    <cellStyle name="Comma 4 2 3 4 2 4 2 2" xfId="31222" xr:uid="{088BDA04-B7CD-4178-80CC-7FF455639ECC}"/>
    <cellStyle name="Comma 4 2 3 4 2 4 3" xfId="22550" xr:uid="{E7A714D9-2200-4335-95A0-78849B44DAE5}"/>
    <cellStyle name="Comma 4 2 3 4 2 5" xfId="9542" xr:uid="{4DFB878A-DCD9-4B84-B683-CAB11C838922}"/>
    <cellStyle name="Comma 4 2 3 4 2 5 2" xfId="26886" xr:uid="{DBBA4076-3E76-4271-BE77-63F6725BE272}"/>
    <cellStyle name="Comma 4 2 3 4 2 6" xfId="18214" xr:uid="{CE3060A2-752C-4DE7-8A35-B2CD2167B52E}"/>
    <cellStyle name="Comma 4 2 3 4 3" xfId="1413" xr:uid="{3567A55F-5DA9-4981-934C-237DE43011D6}"/>
    <cellStyle name="Comma 4 2 3 4 3 2" xfId="3581" xr:uid="{8B638D6A-9EE3-4518-9AD5-BC5FD1E397C5}"/>
    <cellStyle name="Comma 4 2 3 4 3 2 2" xfId="7917" xr:uid="{78A9A6D9-3F9F-4988-8725-447C8F221369}"/>
    <cellStyle name="Comma 4 2 3 4 3 2 2 2" xfId="16589" xr:uid="{EACB50F9-04F3-47A0-9A48-9E8FFC7F4046}"/>
    <cellStyle name="Comma 4 2 3 4 3 2 2 2 2" xfId="33933" xr:uid="{D1C045FD-100F-4E43-AE94-B4FA235E1E41}"/>
    <cellStyle name="Comma 4 2 3 4 3 2 2 3" xfId="25261" xr:uid="{6AE5CE5D-3DB3-4C82-B4C7-2F7A4634891E}"/>
    <cellStyle name="Comma 4 2 3 4 3 2 3" xfId="12253" xr:uid="{E92E42A5-26E4-457C-A619-2568B11523C2}"/>
    <cellStyle name="Comma 4 2 3 4 3 2 3 2" xfId="29597" xr:uid="{4FC6289C-AC79-4EC1-AA29-EA8EB8FFAB1D}"/>
    <cellStyle name="Comma 4 2 3 4 3 2 4" xfId="20925" xr:uid="{64868204-AB8F-40D1-80BF-7E162E7811CA}"/>
    <cellStyle name="Comma 4 2 3 4 3 3" xfId="5749" xr:uid="{F674F96F-B67D-4851-A13A-CE6D7E480379}"/>
    <cellStyle name="Comma 4 2 3 4 3 3 2" xfId="14421" xr:uid="{9E6C3021-1268-4117-A6D8-022A4F43DD6A}"/>
    <cellStyle name="Comma 4 2 3 4 3 3 2 2" xfId="31765" xr:uid="{CEB05CA7-A6CC-455B-AA34-C117CBFC7476}"/>
    <cellStyle name="Comma 4 2 3 4 3 3 3" xfId="23093" xr:uid="{469892CE-3408-40AE-AD11-C969E52FF0E6}"/>
    <cellStyle name="Comma 4 2 3 4 3 4" xfId="10085" xr:uid="{F0B6B052-EF04-447A-865E-497961E060EA}"/>
    <cellStyle name="Comma 4 2 3 4 3 4 2" xfId="27429" xr:uid="{7A6DF417-8065-4FC6-90D7-CEF0EC4E3FA2}"/>
    <cellStyle name="Comma 4 2 3 4 3 5" xfId="18757" xr:uid="{40ED086E-A5FD-4FD4-8306-73AC0863480C}"/>
    <cellStyle name="Comma 4 2 3 4 4" xfId="2497" xr:uid="{9BD01DA3-9D26-4F96-8F94-A6CA0F00DF20}"/>
    <cellStyle name="Comma 4 2 3 4 4 2" xfId="6833" xr:uid="{69FD5D81-A764-47F9-BBF1-FEFF33F54D31}"/>
    <cellStyle name="Comma 4 2 3 4 4 2 2" xfId="15505" xr:uid="{F0CD455C-8AFD-4393-AEEE-B0791D74E745}"/>
    <cellStyle name="Comma 4 2 3 4 4 2 2 2" xfId="32849" xr:uid="{59B0AFEA-FDFF-4B61-976B-245994F9420A}"/>
    <cellStyle name="Comma 4 2 3 4 4 2 3" xfId="24177" xr:uid="{506A8F97-192B-4137-8204-B28FADE64468}"/>
    <cellStyle name="Comma 4 2 3 4 4 3" xfId="11169" xr:uid="{90385748-6A65-4CF1-9C85-584B75180209}"/>
    <cellStyle name="Comma 4 2 3 4 4 3 2" xfId="28513" xr:uid="{D2DE45BE-3E3B-405E-A359-E00B921115FE}"/>
    <cellStyle name="Comma 4 2 3 4 4 4" xfId="19841" xr:uid="{D4EA254D-580D-4F9E-95A7-AF97E713A688}"/>
    <cellStyle name="Comma 4 2 3 4 5" xfId="4665" xr:uid="{25E6BAA5-6CCE-4ED0-8316-F72B84307DD2}"/>
    <cellStyle name="Comma 4 2 3 4 5 2" xfId="13337" xr:uid="{1754B63C-4399-4A29-8107-2AD1ACF5E37A}"/>
    <cellStyle name="Comma 4 2 3 4 5 2 2" xfId="30681" xr:uid="{7707C9CF-3784-4624-A98C-D76739A2FB4A}"/>
    <cellStyle name="Comma 4 2 3 4 5 3" xfId="22009" xr:uid="{E29E7A3B-08B4-4289-B4D1-F94DDD1F38F5}"/>
    <cellStyle name="Comma 4 2 3 4 6" xfId="9001" xr:uid="{B17F2109-07FA-448A-AEE9-25C32D52A3AD}"/>
    <cellStyle name="Comma 4 2 3 4 6 2" xfId="26345" xr:uid="{2CB97159-1551-4F56-9598-146028EC5CAE}"/>
    <cellStyle name="Comma 4 2 3 4 7" xfId="17673" xr:uid="{546DF895-AE68-4A6E-B5F2-BB9537263044}"/>
    <cellStyle name="Comma 4 2 3 5" xfId="600" xr:uid="{DD31C209-EAD8-4A9A-ACFB-A1ED913CB1F3}"/>
    <cellStyle name="Comma 4 2 3 5 2" xfId="1684" xr:uid="{E9FC7BF3-A73A-4D93-97F9-FBB1CC55AAE2}"/>
    <cellStyle name="Comma 4 2 3 5 2 2" xfId="3852" xr:uid="{CEB55514-7D37-4F63-9A51-1551447A4753}"/>
    <cellStyle name="Comma 4 2 3 5 2 2 2" xfId="8188" xr:uid="{78B4BB1B-2053-4E51-9335-4524A8666676}"/>
    <cellStyle name="Comma 4 2 3 5 2 2 2 2" xfId="16860" xr:uid="{0E9DECE3-14C1-4D92-873C-877309C07BD0}"/>
    <cellStyle name="Comma 4 2 3 5 2 2 2 2 2" xfId="34204" xr:uid="{54D8D9B4-6DCC-47A9-B5C9-A12B4BB460E4}"/>
    <cellStyle name="Comma 4 2 3 5 2 2 2 3" xfId="25532" xr:uid="{8A64E695-EB11-4AC5-94F3-4628945D5FFA}"/>
    <cellStyle name="Comma 4 2 3 5 2 2 3" xfId="12524" xr:uid="{D833EB13-1354-4DCF-B1CA-693116E7D61B}"/>
    <cellStyle name="Comma 4 2 3 5 2 2 3 2" xfId="29868" xr:uid="{3AD6C308-9761-4401-9252-D4F0027B1DAF}"/>
    <cellStyle name="Comma 4 2 3 5 2 2 4" xfId="21196" xr:uid="{18A835B7-AA52-4847-A6A1-A4A4BC78D41B}"/>
    <cellStyle name="Comma 4 2 3 5 2 3" xfId="6020" xr:uid="{6CBB3432-7F3D-4277-B586-C4D0A355C395}"/>
    <cellStyle name="Comma 4 2 3 5 2 3 2" xfId="14692" xr:uid="{4C3FE89D-224A-4295-863D-DC1BE8014CFE}"/>
    <cellStyle name="Comma 4 2 3 5 2 3 2 2" xfId="32036" xr:uid="{0214BDA4-8BB4-4618-859A-C026B8F8931F}"/>
    <cellStyle name="Comma 4 2 3 5 2 3 3" xfId="23364" xr:uid="{76ABBE64-1419-49EB-A283-D8D00F9654B6}"/>
    <cellStyle name="Comma 4 2 3 5 2 4" xfId="10356" xr:uid="{8D6C2A14-41E1-453D-A66F-E1DD8DFCCB3E}"/>
    <cellStyle name="Comma 4 2 3 5 2 4 2" xfId="27700" xr:uid="{6B3C9B7A-F762-408D-BE6A-55099CF86DDC}"/>
    <cellStyle name="Comma 4 2 3 5 2 5" xfId="19028" xr:uid="{FC89EFE2-04EE-4B17-A7B5-828EC533BAD0}"/>
    <cellStyle name="Comma 4 2 3 5 3" xfId="2768" xr:uid="{926BBC7E-0A10-4D5F-A4E0-F5E7D95D22F7}"/>
    <cellStyle name="Comma 4 2 3 5 3 2" xfId="7104" xr:uid="{9E1DD3FC-6351-4F3F-A84F-7B069B85AC17}"/>
    <cellStyle name="Comma 4 2 3 5 3 2 2" xfId="15776" xr:uid="{D104E55A-0323-4147-AA87-3C0DE8C8FEE6}"/>
    <cellStyle name="Comma 4 2 3 5 3 2 2 2" xfId="33120" xr:uid="{F02D8AAC-6381-4EF7-A0CF-BAB72BC07FBB}"/>
    <cellStyle name="Comma 4 2 3 5 3 2 3" xfId="24448" xr:uid="{A09EB1F1-B5B8-4722-A468-B13122C159B1}"/>
    <cellStyle name="Comma 4 2 3 5 3 3" xfId="11440" xr:uid="{1E3B1D6B-4244-430B-A341-1B96F2C5AAC9}"/>
    <cellStyle name="Comma 4 2 3 5 3 3 2" xfId="28784" xr:uid="{405509F4-D778-4C34-83FE-10DCFB08DABC}"/>
    <cellStyle name="Comma 4 2 3 5 3 4" xfId="20112" xr:uid="{B9B585F9-8E2B-4FAC-9012-B1D67BB618A6}"/>
    <cellStyle name="Comma 4 2 3 5 4" xfId="4936" xr:uid="{BF8A7EBA-F14C-452C-AB0B-1F6AE0449A30}"/>
    <cellStyle name="Comma 4 2 3 5 4 2" xfId="13608" xr:uid="{4BE2D415-F0D2-449B-AFCD-90229CA10DC3}"/>
    <cellStyle name="Comma 4 2 3 5 4 2 2" xfId="30952" xr:uid="{CDBC6F4A-480E-4056-938F-00358C4374C5}"/>
    <cellStyle name="Comma 4 2 3 5 4 3" xfId="22280" xr:uid="{82379007-7C68-468E-A3E2-07455CC0D0B7}"/>
    <cellStyle name="Comma 4 2 3 5 5" xfId="9272" xr:uid="{B0BD5F09-0F12-4738-99FE-F47CFFEBCDBC}"/>
    <cellStyle name="Comma 4 2 3 5 5 2" xfId="26616" xr:uid="{71F0EC9F-2673-4910-BA87-76D03C1257B8}"/>
    <cellStyle name="Comma 4 2 3 5 6" xfId="17944" xr:uid="{F0D300DB-32CF-4226-ADEA-9EF71C0D0719}"/>
    <cellStyle name="Comma 4 2 3 6" xfId="1143" xr:uid="{F1BFBC92-B402-4D3F-ABBE-3FA205242C3C}"/>
    <cellStyle name="Comma 4 2 3 6 2" xfId="3311" xr:uid="{1394875B-C4F2-4F20-A5E4-173681C80469}"/>
    <cellStyle name="Comma 4 2 3 6 2 2" xfId="7647" xr:uid="{275A35E1-9784-4445-A191-CA7E0BB4C45A}"/>
    <cellStyle name="Comma 4 2 3 6 2 2 2" xfId="16319" xr:uid="{F7E8D0D4-6A17-4581-9DC4-609942B62256}"/>
    <cellStyle name="Comma 4 2 3 6 2 2 2 2" xfId="33663" xr:uid="{EA355465-6A2F-4FF5-BDA3-F5AB94E430BE}"/>
    <cellStyle name="Comma 4 2 3 6 2 2 3" xfId="24991" xr:uid="{E1B27808-1A12-40A5-BFE4-EA4C24D1F0C1}"/>
    <cellStyle name="Comma 4 2 3 6 2 3" xfId="11983" xr:uid="{31AF0B52-A93E-44CE-BDC7-D1588C0A6123}"/>
    <cellStyle name="Comma 4 2 3 6 2 3 2" xfId="29327" xr:uid="{CF185248-25E6-4C3E-9D0D-A5FF8C199952}"/>
    <cellStyle name="Comma 4 2 3 6 2 4" xfId="20655" xr:uid="{AB6FD833-A81A-4373-8B9E-1225E9A0C3F7}"/>
    <cellStyle name="Comma 4 2 3 6 3" xfId="5479" xr:uid="{5AAF72E8-CF91-4287-9EFB-3F6E28A7E8BB}"/>
    <cellStyle name="Comma 4 2 3 6 3 2" xfId="14151" xr:uid="{DDABEBEA-971C-4BA3-9646-6671C4BBBCE8}"/>
    <cellStyle name="Comma 4 2 3 6 3 2 2" xfId="31495" xr:uid="{BC251B60-3C9A-40CE-9D05-B6836889AF20}"/>
    <cellStyle name="Comma 4 2 3 6 3 3" xfId="22823" xr:uid="{1205BE89-BE7D-45AC-9225-5DBF5B09190B}"/>
    <cellStyle name="Comma 4 2 3 6 4" xfId="9815" xr:uid="{C44FCB04-590D-47C7-8DE2-9F7E2E5BE8A2}"/>
    <cellStyle name="Comma 4 2 3 6 4 2" xfId="27159" xr:uid="{5A425B6A-3AAD-4013-B615-76D94A885A3F}"/>
    <cellStyle name="Comma 4 2 3 6 5" xfId="18487" xr:uid="{28179778-9F62-4428-B2E1-7FA5D7406EE4}"/>
    <cellStyle name="Comma 4 2 3 7" xfId="2227" xr:uid="{394C4CC7-5E2B-4327-AD03-7174D34281C1}"/>
    <cellStyle name="Comma 4 2 3 7 2" xfId="6563" xr:uid="{5018E831-2B0B-42A2-99E8-EB1301229F48}"/>
    <cellStyle name="Comma 4 2 3 7 2 2" xfId="15235" xr:uid="{0BA7DC76-3EC1-44F7-AB6C-852261F3B522}"/>
    <cellStyle name="Comma 4 2 3 7 2 2 2" xfId="32579" xr:uid="{D1E5EBC0-6B72-4D9F-BCDC-7FED8F73A938}"/>
    <cellStyle name="Comma 4 2 3 7 2 3" xfId="23907" xr:uid="{1497DD77-3FF4-481D-A415-C4F8E4F5C145}"/>
    <cellStyle name="Comma 4 2 3 7 3" xfId="10899" xr:uid="{954C5A7C-9E20-4A82-AF30-8A601F1D41C2}"/>
    <cellStyle name="Comma 4 2 3 7 3 2" xfId="28243" xr:uid="{87B560C3-1308-429B-A7AA-2DD4A0B7B0F3}"/>
    <cellStyle name="Comma 4 2 3 7 4" xfId="19571" xr:uid="{CDD940B3-0E5A-4D0A-8563-C4C0BA154014}"/>
    <cellStyle name="Comma 4 2 3 8" xfId="4395" xr:uid="{E92902A6-6A58-4C64-9C78-BAFA8911BDBA}"/>
    <cellStyle name="Comma 4 2 3 8 2" xfId="13067" xr:uid="{2A15DF94-79C0-4010-9A9D-C851E75A7584}"/>
    <cellStyle name="Comma 4 2 3 8 2 2" xfId="30411" xr:uid="{64C5E7A2-B537-4420-A96A-A4DEC2E84819}"/>
    <cellStyle name="Comma 4 2 3 8 3" xfId="21739" xr:uid="{2B6DCB9C-C4CC-4346-82C5-4AEDFB0852DC}"/>
    <cellStyle name="Comma 4 2 3 9" xfId="8731" xr:uid="{1C62A615-E1DA-4444-A12C-B005159D8C7F}"/>
    <cellStyle name="Comma 4 2 3 9 2" xfId="26075" xr:uid="{3D8DAA45-160A-4779-84A7-0213349923A2}"/>
    <cellStyle name="Comma 4 2 4" xfId="72" xr:uid="{6FD6DE9A-B76D-40C6-985D-7962515B230D}"/>
    <cellStyle name="Comma 4 2 4 2" xfId="194" xr:uid="{508B3372-BB30-48EC-9438-F0884988EFC6}"/>
    <cellStyle name="Comma 4 2 4 2 2" xfId="464" xr:uid="{E024622E-6ABF-4149-882E-0C4E0A283ED1}"/>
    <cellStyle name="Comma 4 2 4 2 2 2" xfId="1005" xr:uid="{AD179156-7976-41E7-A09B-0C716E8E4C8A}"/>
    <cellStyle name="Comma 4 2 4 2 2 2 2" xfId="2089" xr:uid="{7E158F11-D0EF-481E-A08C-37306B28CBF0}"/>
    <cellStyle name="Comma 4 2 4 2 2 2 2 2" xfId="4257" xr:uid="{D1AB61E1-E1E8-4143-B403-E13D45B50362}"/>
    <cellStyle name="Comma 4 2 4 2 2 2 2 2 2" xfId="8593" xr:uid="{42D89499-3992-4526-882A-D9684812D79E}"/>
    <cellStyle name="Comma 4 2 4 2 2 2 2 2 2 2" xfId="17265" xr:uid="{B9F878A4-4775-4F9B-B0D4-70B93ECF4170}"/>
    <cellStyle name="Comma 4 2 4 2 2 2 2 2 2 2 2" xfId="34609" xr:uid="{23346BAE-330E-4986-8224-D08A9C936678}"/>
    <cellStyle name="Comma 4 2 4 2 2 2 2 2 2 3" xfId="25937" xr:uid="{2FCCDAD0-02C9-4358-8111-162F73CBECA4}"/>
    <cellStyle name="Comma 4 2 4 2 2 2 2 2 3" xfId="12929" xr:uid="{F07C07A9-C7E6-4548-A7C1-F149251E8585}"/>
    <cellStyle name="Comma 4 2 4 2 2 2 2 2 3 2" xfId="30273" xr:uid="{999002DF-36ED-45D5-88B5-1753CD90F8A8}"/>
    <cellStyle name="Comma 4 2 4 2 2 2 2 2 4" xfId="21601" xr:uid="{6E76437E-F343-43C0-9FF4-6486BCA38724}"/>
    <cellStyle name="Comma 4 2 4 2 2 2 2 3" xfId="6425" xr:uid="{84C57A92-BE5B-4250-96B5-9CB786B985DD}"/>
    <cellStyle name="Comma 4 2 4 2 2 2 2 3 2" xfId="15097" xr:uid="{3303D258-66DE-4B35-9BD6-26678CAD90D9}"/>
    <cellStyle name="Comma 4 2 4 2 2 2 2 3 2 2" xfId="32441" xr:uid="{A24A3049-B1B8-46CB-9AD0-65060D8A3CFC}"/>
    <cellStyle name="Comma 4 2 4 2 2 2 2 3 3" xfId="23769" xr:uid="{7CBF86E4-B140-4FED-B7D9-78DEB2DDB5F8}"/>
    <cellStyle name="Comma 4 2 4 2 2 2 2 4" xfId="10761" xr:uid="{D7E8AA7C-0BA5-43A3-8132-F0EB71E08DEB}"/>
    <cellStyle name="Comma 4 2 4 2 2 2 2 4 2" xfId="28105" xr:uid="{CAC8A907-5BA4-4DB5-A197-0DF4E5A13FB7}"/>
    <cellStyle name="Comma 4 2 4 2 2 2 2 5" xfId="19433" xr:uid="{043532B5-4756-40CF-B940-6555D807152A}"/>
    <cellStyle name="Comma 4 2 4 2 2 2 3" xfId="3173" xr:uid="{222A7921-E6E7-4010-BE99-5D952D8F76F1}"/>
    <cellStyle name="Comma 4 2 4 2 2 2 3 2" xfId="7509" xr:uid="{CA2E8785-DBB0-4417-9066-3E83A88288B0}"/>
    <cellStyle name="Comma 4 2 4 2 2 2 3 2 2" xfId="16181" xr:uid="{1BCFB578-ABF6-456D-810B-E45969406020}"/>
    <cellStyle name="Comma 4 2 4 2 2 2 3 2 2 2" xfId="33525" xr:uid="{46C13FA9-2502-4899-9890-0448ABE162AC}"/>
    <cellStyle name="Comma 4 2 4 2 2 2 3 2 3" xfId="24853" xr:uid="{1972354A-AA4B-49D7-BECA-F9CD44024FF5}"/>
    <cellStyle name="Comma 4 2 4 2 2 2 3 3" xfId="11845" xr:uid="{9B17977D-CB9E-4FEA-87BF-E88138DF7D8A}"/>
    <cellStyle name="Comma 4 2 4 2 2 2 3 3 2" xfId="29189" xr:uid="{F5669D53-0252-4FC5-8103-033E3221CB17}"/>
    <cellStyle name="Comma 4 2 4 2 2 2 3 4" xfId="20517" xr:uid="{684479FA-B80E-4260-BD90-094E2A9BE889}"/>
    <cellStyle name="Comma 4 2 4 2 2 2 4" xfId="5341" xr:uid="{7E43D703-48A6-4C72-9D1C-8FA04D9F02DF}"/>
    <cellStyle name="Comma 4 2 4 2 2 2 4 2" xfId="14013" xr:uid="{97CAE731-0890-4E17-BD23-AB7FD54171F3}"/>
    <cellStyle name="Comma 4 2 4 2 2 2 4 2 2" xfId="31357" xr:uid="{0253B430-E676-4719-9D3F-C0D936BFE045}"/>
    <cellStyle name="Comma 4 2 4 2 2 2 4 3" xfId="22685" xr:uid="{1648CB4F-407B-4418-8B03-A78C5ACD23E6}"/>
    <cellStyle name="Comma 4 2 4 2 2 2 5" xfId="9677" xr:uid="{82CC7C0C-57A5-4C23-9115-8EBCF5193F40}"/>
    <cellStyle name="Comma 4 2 4 2 2 2 5 2" xfId="27021" xr:uid="{F16AA52A-DF33-4145-90A0-EA6371F440DA}"/>
    <cellStyle name="Comma 4 2 4 2 2 2 6" xfId="18349" xr:uid="{279AE563-6D27-440C-B8D3-BB87A3D2ECBA}"/>
    <cellStyle name="Comma 4 2 4 2 2 3" xfId="1548" xr:uid="{C8B0BF98-056E-4796-B950-499E9D1F072C}"/>
    <cellStyle name="Comma 4 2 4 2 2 3 2" xfId="3716" xr:uid="{4E8F5D12-F1EA-4A3B-A450-B76769F151E8}"/>
    <cellStyle name="Comma 4 2 4 2 2 3 2 2" xfId="8052" xr:uid="{A7ABF64A-121C-4F9C-9E92-1BB462ABA412}"/>
    <cellStyle name="Comma 4 2 4 2 2 3 2 2 2" xfId="16724" xr:uid="{88FE0ECE-4C67-4AE7-B425-482C05A90462}"/>
    <cellStyle name="Comma 4 2 4 2 2 3 2 2 2 2" xfId="34068" xr:uid="{F8F557DA-93C5-4938-B59F-DF170ACCE650}"/>
    <cellStyle name="Comma 4 2 4 2 2 3 2 2 3" xfId="25396" xr:uid="{75F04A40-25CD-42DF-A3D6-47DB80AC1B17}"/>
    <cellStyle name="Comma 4 2 4 2 2 3 2 3" xfId="12388" xr:uid="{D3F8900E-4BB2-4224-B566-4B9E622C4DC9}"/>
    <cellStyle name="Comma 4 2 4 2 2 3 2 3 2" xfId="29732" xr:uid="{E355C404-0228-40FE-B185-3CA56FDC2AC1}"/>
    <cellStyle name="Comma 4 2 4 2 2 3 2 4" xfId="21060" xr:uid="{7208E73B-0A40-4CEE-861A-040DF3CA6A5B}"/>
    <cellStyle name="Comma 4 2 4 2 2 3 3" xfId="5884" xr:uid="{9A6AF9C5-AEE1-4F14-BDB4-666DAC97B2E7}"/>
    <cellStyle name="Comma 4 2 4 2 2 3 3 2" xfId="14556" xr:uid="{FA60356C-229F-4CB7-A0AA-F52DB8781212}"/>
    <cellStyle name="Comma 4 2 4 2 2 3 3 2 2" xfId="31900" xr:uid="{FCADC611-AD43-4EEA-BF64-692CC4D34DE5}"/>
    <cellStyle name="Comma 4 2 4 2 2 3 3 3" xfId="23228" xr:uid="{CFBF1A70-7D29-4094-86D0-0946D9218355}"/>
    <cellStyle name="Comma 4 2 4 2 2 3 4" xfId="10220" xr:uid="{70DE827F-D31D-4857-BE9F-3B1D13C3296C}"/>
    <cellStyle name="Comma 4 2 4 2 2 3 4 2" xfId="27564" xr:uid="{B9F4F6C2-B838-4A50-88DA-D1D1DC530F16}"/>
    <cellStyle name="Comma 4 2 4 2 2 3 5" xfId="18892" xr:uid="{63E37266-EF1E-41F0-9E90-E6DBBE43C003}"/>
    <cellStyle name="Comma 4 2 4 2 2 4" xfId="2632" xr:uid="{EC1D2D1C-67F7-466E-9882-52F1367CB0C8}"/>
    <cellStyle name="Comma 4 2 4 2 2 4 2" xfId="6968" xr:uid="{0A415200-70F2-426A-A312-8A7773AE9025}"/>
    <cellStyle name="Comma 4 2 4 2 2 4 2 2" xfId="15640" xr:uid="{CF3ABFD1-8F7D-4E3F-ADB9-312D0B04B754}"/>
    <cellStyle name="Comma 4 2 4 2 2 4 2 2 2" xfId="32984" xr:uid="{488745F2-26F9-4235-8695-DE5CFAD4D279}"/>
    <cellStyle name="Comma 4 2 4 2 2 4 2 3" xfId="24312" xr:uid="{09A312A5-3DB1-40AD-941A-5CAEE8F7FA66}"/>
    <cellStyle name="Comma 4 2 4 2 2 4 3" xfId="11304" xr:uid="{A4FA1D58-08E3-4601-9681-A26C193D5357}"/>
    <cellStyle name="Comma 4 2 4 2 2 4 3 2" xfId="28648" xr:uid="{62CCB633-1458-4B02-A13B-77F88405D53C}"/>
    <cellStyle name="Comma 4 2 4 2 2 4 4" xfId="19976" xr:uid="{36195553-55A8-4617-8762-976185C6015E}"/>
    <cellStyle name="Comma 4 2 4 2 2 5" xfId="4800" xr:uid="{CE537EFD-2FD0-4A38-98EF-813AA8DB4CB3}"/>
    <cellStyle name="Comma 4 2 4 2 2 5 2" xfId="13472" xr:uid="{E9C63BC2-946A-4F97-A7C0-161C4546AA6C}"/>
    <cellStyle name="Comma 4 2 4 2 2 5 2 2" xfId="30816" xr:uid="{B2E670E2-E445-458E-BA1D-AEA5974AFEDE}"/>
    <cellStyle name="Comma 4 2 4 2 2 5 3" xfId="22144" xr:uid="{C67B675A-1015-405A-9864-17DB9116F5D3}"/>
    <cellStyle name="Comma 4 2 4 2 2 6" xfId="9136" xr:uid="{EFBAE6E6-C001-42AF-AE07-222DD5933C88}"/>
    <cellStyle name="Comma 4 2 4 2 2 6 2" xfId="26480" xr:uid="{0EB6E92A-938E-4675-8542-F8DD8B4A008D}"/>
    <cellStyle name="Comma 4 2 4 2 2 7" xfId="17808" xr:uid="{8007B8E5-29EB-41D5-8596-FCF9761FFBC8}"/>
    <cellStyle name="Comma 4 2 4 2 3" xfId="735" xr:uid="{C828EF01-2787-4A3B-848F-E40562D64CFE}"/>
    <cellStyle name="Comma 4 2 4 2 3 2" xfId="1819" xr:uid="{67283F0E-89B5-4652-97B1-7BCA466CC576}"/>
    <cellStyle name="Comma 4 2 4 2 3 2 2" xfId="3987" xr:uid="{22296A6A-E1FB-4ED7-B06E-61F95F531470}"/>
    <cellStyle name="Comma 4 2 4 2 3 2 2 2" xfId="8323" xr:uid="{E1C1B155-41E7-4658-868A-3DA4F054AA7D}"/>
    <cellStyle name="Comma 4 2 4 2 3 2 2 2 2" xfId="16995" xr:uid="{CDA7D8BA-1DB0-4D42-A8D9-2D1C946F14BF}"/>
    <cellStyle name="Comma 4 2 4 2 3 2 2 2 2 2" xfId="34339" xr:uid="{5794BBF3-BB25-4455-8FA1-6D6D796C8953}"/>
    <cellStyle name="Comma 4 2 4 2 3 2 2 2 3" xfId="25667" xr:uid="{5E97708E-F225-406B-AB6C-AEA548978CE8}"/>
    <cellStyle name="Comma 4 2 4 2 3 2 2 3" xfId="12659" xr:uid="{3CB66842-B091-4DD1-9726-C55D103F0107}"/>
    <cellStyle name="Comma 4 2 4 2 3 2 2 3 2" xfId="30003" xr:uid="{35709582-7D8C-47EF-A23D-2385A3CD3646}"/>
    <cellStyle name="Comma 4 2 4 2 3 2 2 4" xfId="21331" xr:uid="{0A269066-E302-4276-AD42-312263138166}"/>
    <cellStyle name="Comma 4 2 4 2 3 2 3" xfId="6155" xr:uid="{CE912F8F-6271-4DF3-A492-ED5B2C5D300C}"/>
    <cellStyle name="Comma 4 2 4 2 3 2 3 2" xfId="14827" xr:uid="{213535E3-A724-4CA2-8B3D-7DAE530D3DD3}"/>
    <cellStyle name="Comma 4 2 4 2 3 2 3 2 2" xfId="32171" xr:uid="{F59C7FA8-DCAE-428A-9BB3-E8B725797D1D}"/>
    <cellStyle name="Comma 4 2 4 2 3 2 3 3" xfId="23499" xr:uid="{9BB95A4F-864E-44FC-A48E-DC25E8EC0E30}"/>
    <cellStyle name="Comma 4 2 4 2 3 2 4" xfId="10491" xr:uid="{8EDEEF66-7A71-4187-88AA-AE53190E7544}"/>
    <cellStyle name="Comma 4 2 4 2 3 2 4 2" xfId="27835" xr:uid="{7CEE799E-CCFA-4910-948F-D67B270F9BBA}"/>
    <cellStyle name="Comma 4 2 4 2 3 2 5" xfId="19163" xr:uid="{3A327F68-C6B0-46B7-B0BB-E176BCEB807F}"/>
    <cellStyle name="Comma 4 2 4 2 3 3" xfId="2903" xr:uid="{7F81DEEB-4DEC-47B4-84DC-488B5B09BA61}"/>
    <cellStyle name="Comma 4 2 4 2 3 3 2" xfId="7239" xr:uid="{AFA39033-E6E6-41E4-94A8-C7E46D5EF8F8}"/>
    <cellStyle name="Comma 4 2 4 2 3 3 2 2" xfId="15911" xr:uid="{22665E47-BB41-4814-8EE6-01C2C5974213}"/>
    <cellStyle name="Comma 4 2 4 2 3 3 2 2 2" xfId="33255" xr:uid="{B87ABE31-4238-4592-85F1-1D63EED246BA}"/>
    <cellStyle name="Comma 4 2 4 2 3 3 2 3" xfId="24583" xr:uid="{CBC00FC6-EDFE-4D4A-9BAC-69A7D6987694}"/>
    <cellStyle name="Comma 4 2 4 2 3 3 3" xfId="11575" xr:uid="{DF287651-D419-4CC0-998E-615CAE0F03D5}"/>
    <cellStyle name="Comma 4 2 4 2 3 3 3 2" xfId="28919" xr:uid="{398F9D52-4C9A-487F-80F0-23E359120A72}"/>
    <cellStyle name="Comma 4 2 4 2 3 3 4" xfId="20247" xr:uid="{1703166E-99EB-424F-8B73-196C87DE8FEE}"/>
    <cellStyle name="Comma 4 2 4 2 3 4" xfId="5071" xr:uid="{B744D8BE-E1FE-462F-A15F-54344A41519D}"/>
    <cellStyle name="Comma 4 2 4 2 3 4 2" xfId="13743" xr:uid="{43DD8DB5-4051-4487-9C59-D04F9AC85ABB}"/>
    <cellStyle name="Comma 4 2 4 2 3 4 2 2" xfId="31087" xr:uid="{C739CC3E-903E-46B7-91A5-3FA2DD3D26B4}"/>
    <cellStyle name="Comma 4 2 4 2 3 4 3" xfId="22415" xr:uid="{7BDB8B3D-D30D-4AB3-B506-2C2BE60210E6}"/>
    <cellStyle name="Comma 4 2 4 2 3 5" xfId="9407" xr:uid="{405B282B-78E7-46DD-8C73-66CB23F9B82E}"/>
    <cellStyle name="Comma 4 2 4 2 3 5 2" xfId="26751" xr:uid="{0ED32B47-9036-4B3E-93A7-C0B8EED2FD23}"/>
    <cellStyle name="Comma 4 2 4 2 3 6" xfId="18079" xr:uid="{C676137A-8FED-46A7-BD0C-949AA2A3E050}"/>
    <cellStyle name="Comma 4 2 4 2 4" xfId="1278" xr:uid="{0593FE02-9AD1-4B07-A4B4-497AF3D59B22}"/>
    <cellStyle name="Comma 4 2 4 2 4 2" xfId="3446" xr:uid="{BDCD0187-996C-48F0-802D-05FA9EBDDBC9}"/>
    <cellStyle name="Comma 4 2 4 2 4 2 2" xfId="7782" xr:uid="{BCFBE807-BBC9-45B2-B8C8-3CEE83042F4D}"/>
    <cellStyle name="Comma 4 2 4 2 4 2 2 2" xfId="16454" xr:uid="{857E2A06-E3FE-4541-84DB-7A984A5AB65B}"/>
    <cellStyle name="Comma 4 2 4 2 4 2 2 2 2" xfId="33798" xr:uid="{F6D10977-827D-4D51-934D-AD0ABD37DD6D}"/>
    <cellStyle name="Comma 4 2 4 2 4 2 2 3" xfId="25126" xr:uid="{F773D1A1-DF00-4BB4-8E0B-F23B57C75BFA}"/>
    <cellStyle name="Comma 4 2 4 2 4 2 3" xfId="12118" xr:uid="{3E32A4FD-D4BD-4531-9D71-5F94269FD3B2}"/>
    <cellStyle name="Comma 4 2 4 2 4 2 3 2" xfId="29462" xr:uid="{AF1368EE-1E69-4383-B7B8-7EA4B3D5D220}"/>
    <cellStyle name="Comma 4 2 4 2 4 2 4" xfId="20790" xr:uid="{4BC97DD1-138A-4EF3-A54E-EB064CED92B9}"/>
    <cellStyle name="Comma 4 2 4 2 4 3" xfId="5614" xr:uid="{E516186A-A831-46ED-AA50-7A2C25574829}"/>
    <cellStyle name="Comma 4 2 4 2 4 3 2" xfId="14286" xr:uid="{DDD356C0-E0FE-4F50-AEB5-97D0AFFFDF70}"/>
    <cellStyle name="Comma 4 2 4 2 4 3 2 2" xfId="31630" xr:uid="{4848E1D4-C7AD-4C30-8FE4-19794915FA10}"/>
    <cellStyle name="Comma 4 2 4 2 4 3 3" xfId="22958" xr:uid="{01C45BF5-A38F-4973-9824-B47BF72F81BE}"/>
    <cellStyle name="Comma 4 2 4 2 4 4" xfId="9950" xr:uid="{52A0C098-289F-42DF-90A6-6669ADD45197}"/>
    <cellStyle name="Comma 4 2 4 2 4 4 2" xfId="27294" xr:uid="{4CBC0ADB-4503-47A4-81FE-4C2108DC4371}"/>
    <cellStyle name="Comma 4 2 4 2 4 5" xfId="18622" xr:uid="{77BCDE8A-8829-4930-BA7C-B459ED7E0357}"/>
    <cellStyle name="Comma 4 2 4 2 5" xfId="2362" xr:uid="{CFE192AA-B1B1-4A05-925B-A98C1FE0A467}"/>
    <cellStyle name="Comma 4 2 4 2 5 2" xfId="6698" xr:uid="{9B678AE3-8C35-4DCD-97F4-66764C49D79B}"/>
    <cellStyle name="Comma 4 2 4 2 5 2 2" xfId="15370" xr:uid="{38CB8E98-A0E0-4AF1-8C23-EED7D74F2117}"/>
    <cellStyle name="Comma 4 2 4 2 5 2 2 2" xfId="32714" xr:uid="{8B698639-74E6-4F7C-A4DF-18F549A3392F}"/>
    <cellStyle name="Comma 4 2 4 2 5 2 3" xfId="24042" xr:uid="{E54B27E5-7BE5-422F-85D1-42FA69448622}"/>
    <cellStyle name="Comma 4 2 4 2 5 3" xfId="11034" xr:uid="{DA8A04D5-EDB0-44C9-9870-4777D5812D45}"/>
    <cellStyle name="Comma 4 2 4 2 5 3 2" xfId="28378" xr:uid="{A9E31BEC-16C7-4867-8133-03AD985A268B}"/>
    <cellStyle name="Comma 4 2 4 2 5 4" xfId="19706" xr:uid="{28EF314C-53EB-48F5-B468-5D55CED04F5E}"/>
    <cellStyle name="Comma 4 2 4 2 6" xfId="4530" xr:uid="{0266A695-F669-43BB-A9D1-A2719342B2B9}"/>
    <cellStyle name="Comma 4 2 4 2 6 2" xfId="13202" xr:uid="{77F28C26-3FFF-42D7-98EB-3301EDBAC9EE}"/>
    <cellStyle name="Comma 4 2 4 2 6 2 2" xfId="30546" xr:uid="{EC1DA24B-5E4B-4F5C-956F-78866985FEF0}"/>
    <cellStyle name="Comma 4 2 4 2 6 3" xfId="21874" xr:uid="{960F40B9-8CFF-4447-99CE-2E45B9908E12}"/>
    <cellStyle name="Comma 4 2 4 2 7" xfId="8866" xr:uid="{9F166A94-A072-4B80-9931-458ED3827C77}"/>
    <cellStyle name="Comma 4 2 4 2 7 2" xfId="26210" xr:uid="{83C5A514-76B0-4452-85CC-EABA441CFB2B}"/>
    <cellStyle name="Comma 4 2 4 2 8" xfId="17538" xr:uid="{507C0404-A3EB-4503-A235-363374ECC7FC}"/>
    <cellStyle name="Comma 4 2 4 3" xfId="342" xr:uid="{46028A4F-EF6A-44DA-9BB0-D6CBAB63A3A8}"/>
    <cellStyle name="Comma 4 2 4 3 2" xfId="883" xr:uid="{94265BFC-F983-498A-8D1E-6F12D869EF68}"/>
    <cellStyle name="Comma 4 2 4 3 2 2" xfId="1967" xr:uid="{CB95FA26-14C1-4D27-A68D-F74C529CB7D4}"/>
    <cellStyle name="Comma 4 2 4 3 2 2 2" xfId="4135" xr:uid="{DCB73AD3-CCCB-4241-B738-2648D3C1528C}"/>
    <cellStyle name="Comma 4 2 4 3 2 2 2 2" xfId="8471" xr:uid="{3FB73B71-EE4F-4E76-9DC1-BC2758AA5C2E}"/>
    <cellStyle name="Comma 4 2 4 3 2 2 2 2 2" xfId="17143" xr:uid="{08812AF2-BA39-471F-92A7-374FC2E25945}"/>
    <cellStyle name="Comma 4 2 4 3 2 2 2 2 2 2" xfId="34487" xr:uid="{4E25DCA3-124B-43DA-899C-B7195A3F623B}"/>
    <cellStyle name="Comma 4 2 4 3 2 2 2 2 3" xfId="25815" xr:uid="{F5FE7898-D6A4-47CE-854F-FE3821E164DC}"/>
    <cellStyle name="Comma 4 2 4 3 2 2 2 3" xfId="12807" xr:uid="{EF19E75C-4967-4F53-BDE3-CCB3C20D9F7A}"/>
    <cellStyle name="Comma 4 2 4 3 2 2 2 3 2" xfId="30151" xr:uid="{9FD7B121-54EC-4287-AA51-9BFE9737BDF8}"/>
    <cellStyle name="Comma 4 2 4 3 2 2 2 4" xfId="21479" xr:uid="{5AE7C6D2-77CE-4D06-8176-43CF71232B52}"/>
    <cellStyle name="Comma 4 2 4 3 2 2 3" xfId="6303" xr:uid="{759931EF-35DF-4AB9-B8CC-DBEE77948E9D}"/>
    <cellStyle name="Comma 4 2 4 3 2 2 3 2" xfId="14975" xr:uid="{9272BBFC-2101-4303-9DF3-B7F442FCE10C}"/>
    <cellStyle name="Comma 4 2 4 3 2 2 3 2 2" xfId="32319" xr:uid="{0280A65E-165E-4292-9073-E5064FD1026B}"/>
    <cellStyle name="Comma 4 2 4 3 2 2 3 3" xfId="23647" xr:uid="{894EC584-EAD2-4C72-8EC3-279CA6AC081E}"/>
    <cellStyle name="Comma 4 2 4 3 2 2 4" xfId="10639" xr:uid="{F47DDE71-457C-4A45-B8BD-BF5E931625A0}"/>
    <cellStyle name="Comma 4 2 4 3 2 2 4 2" xfId="27983" xr:uid="{AB33DEE9-9B27-403A-A0BF-531C64C39A62}"/>
    <cellStyle name="Comma 4 2 4 3 2 2 5" xfId="19311" xr:uid="{2940ED78-8541-4352-ADCB-7F8E78FF5797}"/>
    <cellStyle name="Comma 4 2 4 3 2 3" xfId="3051" xr:uid="{2DD4DE4E-C2E0-4FF7-BC17-BF9CF9AC855F}"/>
    <cellStyle name="Comma 4 2 4 3 2 3 2" xfId="7387" xr:uid="{9A1BC735-B0A0-4C04-B3F3-8A4A0CFD4455}"/>
    <cellStyle name="Comma 4 2 4 3 2 3 2 2" xfId="16059" xr:uid="{72AD58F2-5FFF-4E7F-8435-87EC2E353308}"/>
    <cellStyle name="Comma 4 2 4 3 2 3 2 2 2" xfId="33403" xr:uid="{4591B7D4-F9A4-4544-B4D4-A8F67D76DCF4}"/>
    <cellStyle name="Comma 4 2 4 3 2 3 2 3" xfId="24731" xr:uid="{E9F115FC-0ACF-4B49-A7EC-FB36E1041123}"/>
    <cellStyle name="Comma 4 2 4 3 2 3 3" xfId="11723" xr:uid="{902AE4F2-552D-4D2E-B128-02367DDF0959}"/>
    <cellStyle name="Comma 4 2 4 3 2 3 3 2" xfId="29067" xr:uid="{1E4711A9-6B64-4A97-A138-68B0ED454B6B}"/>
    <cellStyle name="Comma 4 2 4 3 2 3 4" xfId="20395" xr:uid="{755C88EB-8358-4C3A-AF6F-3C3628611746}"/>
    <cellStyle name="Comma 4 2 4 3 2 4" xfId="5219" xr:uid="{2798B7FB-CA86-4929-9C50-01658BB243AF}"/>
    <cellStyle name="Comma 4 2 4 3 2 4 2" xfId="13891" xr:uid="{F31D7372-47B0-494F-A461-472E9271B625}"/>
    <cellStyle name="Comma 4 2 4 3 2 4 2 2" xfId="31235" xr:uid="{4E677B4D-9CB2-4B5B-95E9-FC0EC7879B02}"/>
    <cellStyle name="Comma 4 2 4 3 2 4 3" xfId="22563" xr:uid="{E18C3CC4-D2FA-47FB-A6D4-4B32311EAB19}"/>
    <cellStyle name="Comma 4 2 4 3 2 5" xfId="9555" xr:uid="{ADA56F9A-E9A6-4556-801B-C244FDB0ECE9}"/>
    <cellStyle name="Comma 4 2 4 3 2 5 2" xfId="26899" xr:uid="{D95C9409-5E7B-484B-857C-830FBC921E73}"/>
    <cellStyle name="Comma 4 2 4 3 2 6" xfId="18227" xr:uid="{32C086E4-B871-4A2B-88AF-062429E5E4DA}"/>
    <cellStyle name="Comma 4 2 4 3 3" xfId="1426" xr:uid="{D2F79536-06E6-429A-8EFA-974969973EEA}"/>
    <cellStyle name="Comma 4 2 4 3 3 2" xfId="3594" xr:uid="{AD9F6459-D533-4F4E-90AB-40EADE15E71D}"/>
    <cellStyle name="Comma 4 2 4 3 3 2 2" xfId="7930" xr:uid="{129BA5A2-88C9-46E8-934F-BAA29560C661}"/>
    <cellStyle name="Comma 4 2 4 3 3 2 2 2" xfId="16602" xr:uid="{95F5EC61-7205-4DAF-BC51-C49A29A1E9A5}"/>
    <cellStyle name="Comma 4 2 4 3 3 2 2 2 2" xfId="33946" xr:uid="{DF3343AD-60E0-4EBE-88A4-9C5600AF52B1}"/>
    <cellStyle name="Comma 4 2 4 3 3 2 2 3" xfId="25274" xr:uid="{1365014B-0CCE-4925-B0DC-7CAFD27CAA8C}"/>
    <cellStyle name="Comma 4 2 4 3 3 2 3" xfId="12266" xr:uid="{CBA21598-447E-440D-94C7-6EC7BCC5557B}"/>
    <cellStyle name="Comma 4 2 4 3 3 2 3 2" xfId="29610" xr:uid="{93B41224-C95E-4E73-B9EB-BC0531DDFB54}"/>
    <cellStyle name="Comma 4 2 4 3 3 2 4" xfId="20938" xr:uid="{F7D66BE5-BFA3-4603-898E-F57481792A24}"/>
    <cellStyle name="Comma 4 2 4 3 3 3" xfId="5762" xr:uid="{0F9E2BA9-6497-4579-B0DF-BAA5202E84A0}"/>
    <cellStyle name="Comma 4 2 4 3 3 3 2" xfId="14434" xr:uid="{1960DB96-8FEF-46FD-B52B-51124F0B5702}"/>
    <cellStyle name="Comma 4 2 4 3 3 3 2 2" xfId="31778" xr:uid="{899F00BC-DB02-4ACD-B412-98F5507E691A}"/>
    <cellStyle name="Comma 4 2 4 3 3 3 3" xfId="23106" xr:uid="{A3749B3E-8BA2-4DB7-B936-6A6E1E883971}"/>
    <cellStyle name="Comma 4 2 4 3 3 4" xfId="10098" xr:uid="{95C0C06E-89C4-428B-9D2B-042B715AD2B8}"/>
    <cellStyle name="Comma 4 2 4 3 3 4 2" xfId="27442" xr:uid="{7A93CA88-1ED8-430A-9136-9E5D728A4387}"/>
    <cellStyle name="Comma 4 2 4 3 3 5" xfId="18770" xr:uid="{3EEECAE0-91F8-446B-9272-5CF53518D77A}"/>
    <cellStyle name="Comma 4 2 4 3 4" xfId="2510" xr:uid="{0BD030B4-48C7-4B59-9873-FA35B82AE81D}"/>
    <cellStyle name="Comma 4 2 4 3 4 2" xfId="6846" xr:uid="{51AE703D-D1F8-4611-864E-F3EB541DD269}"/>
    <cellStyle name="Comma 4 2 4 3 4 2 2" xfId="15518" xr:uid="{E3C9A89A-D141-4BFA-B91C-4FF820B5D4B2}"/>
    <cellStyle name="Comma 4 2 4 3 4 2 2 2" xfId="32862" xr:uid="{4310B03C-00D2-49B7-B401-B614FC3A4BE3}"/>
    <cellStyle name="Comma 4 2 4 3 4 2 3" xfId="24190" xr:uid="{C727DEFE-9371-4FC7-B764-5232C4C1E43D}"/>
    <cellStyle name="Comma 4 2 4 3 4 3" xfId="11182" xr:uid="{E7C94FED-4F18-49D3-9B07-2D1591E9F593}"/>
    <cellStyle name="Comma 4 2 4 3 4 3 2" xfId="28526" xr:uid="{0A053742-A94C-4197-A756-3233DDE285C0}"/>
    <cellStyle name="Comma 4 2 4 3 4 4" xfId="19854" xr:uid="{066577D6-0D9A-4C72-8DD0-E962EA0AB3BC}"/>
    <cellStyle name="Comma 4 2 4 3 5" xfId="4678" xr:uid="{19332587-DF17-486C-9660-D99E7D9F5D65}"/>
    <cellStyle name="Comma 4 2 4 3 5 2" xfId="13350" xr:uid="{D9D99221-45E2-4F2E-B38A-654247939E1C}"/>
    <cellStyle name="Comma 4 2 4 3 5 2 2" xfId="30694" xr:uid="{BE0A3773-6BDD-4BB1-A41B-9216CD61241A}"/>
    <cellStyle name="Comma 4 2 4 3 5 3" xfId="22022" xr:uid="{6563501C-EC2E-49CE-B326-94D17D1C0D39}"/>
    <cellStyle name="Comma 4 2 4 3 6" xfId="9014" xr:uid="{BEC3F173-2170-4E36-ABD9-F89CC80A391F}"/>
    <cellStyle name="Comma 4 2 4 3 6 2" xfId="26358" xr:uid="{E30646DD-7557-4A55-8BD3-EE7CAA86AA39}"/>
    <cellStyle name="Comma 4 2 4 3 7" xfId="17686" xr:uid="{00AD9043-DAFD-4FE8-A68E-7EFADCF2DD0D}"/>
    <cellStyle name="Comma 4 2 4 4" xfId="613" xr:uid="{73885657-BE96-4401-B7A3-BF5563852BA4}"/>
    <cellStyle name="Comma 4 2 4 4 2" xfId="1697" xr:uid="{52531006-6167-48DB-BF49-051DB767F6E5}"/>
    <cellStyle name="Comma 4 2 4 4 2 2" xfId="3865" xr:uid="{D62FD841-4BBE-4981-9C85-CF4F12A159BE}"/>
    <cellStyle name="Comma 4 2 4 4 2 2 2" xfId="8201" xr:uid="{A2B49F56-F207-468B-87E9-8C3E42DE702F}"/>
    <cellStyle name="Comma 4 2 4 4 2 2 2 2" xfId="16873" xr:uid="{DDC6C1C3-A1C1-4DF6-9309-73D8AA838743}"/>
    <cellStyle name="Comma 4 2 4 4 2 2 2 2 2" xfId="34217" xr:uid="{0883C479-E255-410D-95C9-CBBEB0E2BE5E}"/>
    <cellStyle name="Comma 4 2 4 4 2 2 2 3" xfId="25545" xr:uid="{EF95406B-3A44-456A-AE9D-FA07B3B902EE}"/>
    <cellStyle name="Comma 4 2 4 4 2 2 3" xfId="12537" xr:uid="{4C78C180-B674-4945-A7F5-BF29A86A4586}"/>
    <cellStyle name="Comma 4 2 4 4 2 2 3 2" xfId="29881" xr:uid="{BE1E7503-CF9D-473B-A740-F4AF76F83929}"/>
    <cellStyle name="Comma 4 2 4 4 2 2 4" xfId="21209" xr:uid="{2C1DCE0A-32DF-4B46-85EC-AFBEB8098E9A}"/>
    <cellStyle name="Comma 4 2 4 4 2 3" xfId="6033" xr:uid="{BA32168B-7582-4030-B51C-0A04AA4956D1}"/>
    <cellStyle name="Comma 4 2 4 4 2 3 2" xfId="14705" xr:uid="{C52F8E54-75D0-4AB6-A29D-CE7390360DB9}"/>
    <cellStyle name="Comma 4 2 4 4 2 3 2 2" xfId="32049" xr:uid="{B992EFFD-DFD0-4872-992D-CB7C911FA717}"/>
    <cellStyle name="Comma 4 2 4 4 2 3 3" xfId="23377" xr:uid="{663B0657-6575-4649-A08D-218850B1D769}"/>
    <cellStyle name="Comma 4 2 4 4 2 4" xfId="10369" xr:uid="{B553E507-50D6-4149-B730-747AED7BC049}"/>
    <cellStyle name="Comma 4 2 4 4 2 4 2" xfId="27713" xr:uid="{5FDA39DB-E7F7-4BA2-979D-DB83DC8CF184}"/>
    <cellStyle name="Comma 4 2 4 4 2 5" xfId="19041" xr:uid="{A2EE195A-6B2C-449E-BA37-9B3F864D634F}"/>
    <cellStyle name="Comma 4 2 4 4 3" xfId="2781" xr:uid="{7DBE8391-355A-4F73-8CF0-DD4C8093975D}"/>
    <cellStyle name="Comma 4 2 4 4 3 2" xfId="7117" xr:uid="{7BA437AD-C575-414B-BE98-962BDE4DF59E}"/>
    <cellStyle name="Comma 4 2 4 4 3 2 2" xfId="15789" xr:uid="{C1EF3480-69C6-4226-90CC-EA823F5AF5E9}"/>
    <cellStyle name="Comma 4 2 4 4 3 2 2 2" xfId="33133" xr:uid="{31AFADD3-ABC0-4841-A718-71FBE2723755}"/>
    <cellStyle name="Comma 4 2 4 4 3 2 3" xfId="24461" xr:uid="{2C22F5B5-C172-4D96-89CD-A7539EA2504C}"/>
    <cellStyle name="Comma 4 2 4 4 3 3" xfId="11453" xr:uid="{B9D5F289-7558-40DB-9010-D5A3C7177598}"/>
    <cellStyle name="Comma 4 2 4 4 3 3 2" xfId="28797" xr:uid="{A3429126-F0C8-4A5F-A9C3-8E2106991748}"/>
    <cellStyle name="Comma 4 2 4 4 3 4" xfId="20125" xr:uid="{4108B325-2638-431E-8BE9-B5480062298D}"/>
    <cellStyle name="Comma 4 2 4 4 4" xfId="4949" xr:uid="{A8FC2A5A-D6FB-48AB-89B5-40E368A6C910}"/>
    <cellStyle name="Comma 4 2 4 4 4 2" xfId="13621" xr:uid="{7453AA84-9A48-40E9-A073-9FB6BA1D6CB1}"/>
    <cellStyle name="Comma 4 2 4 4 4 2 2" xfId="30965" xr:uid="{AB03C788-DCE8-47A8-A85C-10D571C8A797}"/>
    <cellStyle name="Comma 4 2 4 4 4 3" xfId="22293" xr:uid="{2DFA5AC7-C87B-46A4-920C-0E5AF67BB46F}"/>
    <cellStyle name="Comma 4 2 4 4 5" xfId="9285" xr:uid="{123A7518-9166-448A-AF05-26791FD9456A}"/>
    <cellStyle name="Comma 4 2 4 4 5 2" xfId="26629" xr:uid="{4320D81D-F24D-4548-AF7C-E35E9CDF80D9}"/>
    <cellStyle name="Comma 4 2 4 4 6" xfId="17957" xr:uid="{DCA0F2A9-A509-4A61-9DB7-8453AEB121F3}"/>
    <cellStyle name="Comma 4 2 4 5" xfId="1156" xr:uid="{EDBEFF33-0C93-419A-B07C-C4CA036FB926}"/>
    <cellStyle name="Comma 4 2 4 5 2" xfId="3324" xr:uid="{CF3655C1-5A0D-4469-89F0-7602543FB1F0}"/>
    <cellStyle name="Comma 4 2 4 5 2 2" xfId="7660" xr:uid="{829D1882-54F3-4E0A-9F9A-4401DB975201}"/>
    <cellStyle name="Comma 4 2 4 5 2 2 2" xfId="16332" xr:uid="{D3929B7B-3E58-44D9-BB8D-D13140F2B728}"/>
    <cellStyle name="Comma 4 2 4 5 2 2 2 2" xfId="33676" xr:uid="{03C01B92-B541-4D44-BBB2-8D28AD3EDA50}"/>
    <cellStyle name="Comma 4 2 4 5 2 2 3" xfId="25004" xr:uid="{9EFB17FC-E023-4B53-ADD3-D7EBEE2F965C}"/>
    <cellStyle name="Comma 4 2 4 5 2 3" xfId="11996" xr:uid="{A92D0EAB-069D-4EE3-81A9-868379F169A3}"/>
    <cellStyle name="Comma 4 2 4 5 2 3 2" xfId="29340" xr:uid="{09FA66F9-76A6-4E6C-A92C-AA94AB76DFCE}"/>
    <cellStyle name="Comma 4 2 4 5 2 4" xfId="20668" xr:uid="{A4906D4E-DFFD-4FDE-A360-0CF3DBDEFE18}"/>
    <cellStyle name="Comma 4 2 4 5 3" xfId="5492" xr:uid="{BB34302D-FFED-4DA0-8F8E-932094786F6B}"/>
    <cellStyle name="Comma 4 2 4 5 3 2" xfId="14164" xr:uid="{C4BF8156-CD8B-4828-BB76-E00809361B42}"/>
    <cellStyle name="Comma 4 2 4 5 3 2 2" xfId="31508" xr:uid="{AB3EE961-7397-4CC1-86A6-6275BE6D8661}"/>
    <cellStyle name="Comma 4 2 4 5 3 3" xfId="22836" xr:uid="{225A45FF-0A81-41E3-A4F1-7562F9CD0430}"/>
    <cellStyle name="Comma 4 2 4 5 4" xfId="9828" xr:uid="{AA1416F0-DA67-4963-8BB7-D3B4F8263FAB}"/>
    <cellStyle name="Comma 4 2 4 5 4 2" xfId="27172" xr:uid="{3F3730CA-15A3-40CC-85E5-1104EB6188FC}"/>
    <cellStyle name="Comma 4 2 4 5 5" xfId="18500" xr:uid="{89470AE6-4E09-4A23-98D6-D38BBF3CD876}"/>
    <cellStyle name="Comma 4 2 4 6" xfId="2240" xr:uid="{ADAB400D-84DA-49C4-B30A-C7DC7947A333}"/>
    <cellStyle name="Comma 4 2 4 6 2" xfId="6576" xr:uid="{0D595A1A-EA85-4760-815C-4A42EC54040B}"/>
    <cellStyle name="Comma 4 2 4 6 2 2" xfId="15248" xr:uid="{501567D0-0A1F-441B-9A99-71E4301DE993}"/>
    <cellStyle name="Comma 4 2 4 6 2 2 2" xfId="32592" xr:uid="{FAB8A97F-CABA-4F66-9A4F-578872BBFFA3}"/>
    <cellStyle name="Comma 4 2 4 6 2 3" xfId="23920" xr:uid="{771C306D-98F8-4B48-95E8-264C2FBF4195}"/>
    <cellStyle name="Comma 4 2 4 6 3" xfId="10912" xr:uid="{CC659FFF-009B-4A14-B11D-67DF6FB55247}"/>
    <cellStyle name="Comma 4 2 4 6 3 2" xfId="28256" xr:uid="{ED1E3F10-DD94-4D6C-AF55-9EA95FD50E86}"/>
    <cellStyle name="Comma 4 2 4 6 4" xfId="19584" xr:uid="{A5C55F9F-B550-41FC-97EA-D11B994D0B2C}"/>
    <cellStyle name="Comma 4 2 4 7" xfId="4408" xr:uid="{81424F9A-8504-4339-AFFF-6EA391EBF571}"/>
    <cellStyle name="Comma 4 2 4 7 2" xfId="13080" xr:uid="{C384877B-5C9F-458D-926E-04A849E93426}"/>
    <cellStyle name="Comma 4 2 4 7 2 2" xfId="30424" xr:uid="{41990662-C9C0-4107-BFB7-A40D61AA2544}"/>
    <cellStyle name="Comma 4 2 4 7 3" xfId="21752" xr:uid="{470DF0B5-CDCA-408E-90B1-884F67C14DDD}"/>
    <cellStyle name="Comma 4 2 4 8" xfId="8744" xr:uid="{24A668C8-6939-47E7-BBD0-CC78692175E7}"/>
    <cellStyle name="Comma 4 2 4 8 2" xfId="26088" xr:uid="{B8893AD0-1B32-4441-A2B1-9A7975CC70A8}"/>
    <cellStyle name="Comma 4 2 4 9" xfId="17416" xr:uid="{3F9CB208-2E3B-4D25-BD55-853BA81F00CF}"/>
    <cellStyle name="Comma 4 2 5" xfId="133" xr:uid="{F84A8D21-9853-4B90-98CA-AB9D919AAF46}"/>
    <cellStyle name="Comma 4 2 5 2" xfId="403" xr:uid="{142F40F5-2656-4F62-98CA-22A3BFA87C73}"/>
    <cellStyle name="Comma 4 2 5 2 2" xfId="944" xr:uid="{E53EC6A1-0ED5-4145-9E66-8C259744F71B}"/>
    <cellStyle name="Comma 4 2 5 2 2 2" xfId="2028" xr:uid="{30D941AB-534B-4B9E-B9FD-72B8C4DC978B}"/>
    <cellStyle name="Comma 4 2 5 2 2 2 2" xfId="4196" xr:uid="{ACED98ED-3F6C-44C2-8274-548D34D96534}"/>
    <cellStyle name="Comma 4 2 5 2 2 2 2 2" xfId="8532" xr:uid="{DA9C94CC-340A-4079-92AD-C6FE0FBAB99A}"/>
    <cellStyle name="Comma 4 2 5 2 2 2 2 2 2" xfId="17204" xr:uid="{B2D1C94F-1CD7-44AA-B5F1-EAF8C3600432}"/>
    <cellStyle name="Comma 4 2 5 2 2 2 2 2 2 2" xfId="34548" xr:uid="{4BD3BE2B-BAA4-4809-A12B-8EEC5BD987BD}"/>
    <cellStyle name="Comma 4 2 5 2 2 2 2 2 3" xfId="25876" xr:uid="{579D6409-B409-479E-BE6C-2045057AC4F2}"/>
    <cellStyle name="Comma 4 2 5 2 2 2 2 3" xfId="12868" xr:uid="{EE3E470A-E760-4692-A32B-5281CF495B86}"/>
    <cellStyle name="Comma 4 2 5 2 2 2 2 3 2" xfId="30212" xr:uid="{82425488-3F57-430B-9DE8-D93C0BCB1C63}"/>
    <cellStyle name="Comma 4 2 5 2 2 2 2 4" xfId="21540" xr:uid="{2C35834C-1724-454B-B1EF-782FD140D680}"/>
    <cellStyle name="Comma 4 2 5 2 2 2 3" xfId="6364" xr:uid="{4839562B-A233-4360-BF68-CF183A1BEBD2}"/>
    <cellStyle name="Comma 4 2 5 2 2 2 3 2" xfId="15036" xr:uid="{D6BD935D-BEB8-4813-A72F-FCF1C176E946}"/>
    <cellStyle name="Comma 4 2 5 2 2 2 3 2 2" xfId="32380" xr:uid="{AD51D2D1-1AFB-4949-933D-9946465CC164}"/>
    <cellStyle name="Comma 4 2 5 2 2 2 3 3" xfId="23708" xr:uid="{294C8878-47F5-4F0D-B45C-170385E0EB1A}"/>
    <cellStyle name="Comma 4 2 5 2 2 2 4" xfId="10700" xr:uid="{FD7C222A-899A-4B0C-91CB-BC6416E8FDF0}"/>
    <cellStyle name="Comma 4 2 5 2 2 2 4 2" xfId="28044" xr:uid="{39C32B51-EB17-4845-9059-619F91B2A161}"/>
    <cellStyle name="Comma 4 2 5 2 2 2 5" xfId="19372" xr:uid="{0B572675-E0EF-41CC-B3D0-EFAEF0E93CCB}"/>
    <cellStyle name="Comma 4 2 5 2 2 3" xfId="3112" xr:uid="{E4EC5E36-BDCB-4524-8BEB-2FDE870C1BBE}"/>
    <cellStyle name="Comma 4 2 5 2 2 3 2" xfId="7448" xr:uid="{8D5D8469-AC8D-4D16-BA87-A6619FFF257B}"/>
    <cellStyle name="Comma 4 2 5 2 2 3 2 2" xfId="16120" xr:uid="{9F1ED3DA-22D8-4A3A-B632-D5D38379A30E}"/>
    <cellStyle name="Comma 4 2 5 2 2 3 2 2 2" xfId="33464" xr:uid="{A4D21930-9D3F-4B17-B634-84695D99C1B7}"/>
    <cellStyle name="Comma 4 2 5 2 2 3 2 3" xfId="24792" xr:uid="{1738EA90-30CC-47CA-81AA-7794716CFB1F}"/>
    <cellStyle name="Comma 4 2 5 2 2 3 3" xfId="11784" xr:uid="{756D5761-0403-42EE-AB66-527B566539CB}"/>
    <cellStyle name="Comma 4 2 5 2 2 3 3 2" xfId="29128" xr:uid="{286907CB-91DC-4C8A-8CB1-6B7381FEE454}"/>
    <cellStyle name="Comma 4 2 5 2 2 3 4" xfId="20456" xr:uid="{C69087BB-FA1B-4B16-ADEE-D791619E2BAA}"/>
    <cellStyle name="Comma 4 2 5 2 2 4" xfId="5280" xr:uid="{6EBD15E5-B2C3-40CD-8D9D-A0AF9A7ABFE4}"/>
    <cellStyle name="Comma 4 2 5 2 2 4 2" xfId="13952" xr:uid="{C0DD0C43-3C16-4B28-BB09-6C92EE7DE480}"/>
    <cellStyle name="Comma 4 2 5 2 2 4 2 2" xfId="31296" xr:uid="{9476208B-65B5-4F39-89E4-329C98150B6B}"/>
    <cellStyle name="Comma 4 2 5 2 2 4 3" xfId="22624" xr:uid="{3C4A00AF-9BC4-489D-93D3-3C76951B5954}"/>
    <cellStyle name="Comma 4 2 5 2 2 5" xfId="9616" xr:uid="{120E0AAD-2086-4F7D-AD55-AA298B5F2571}"/>
    <cellStyle name="Comma 4 2 5 2 2 5 2" xfId="26960" xr:uid="{84D2C335-CFB8-48E3-BEFF-F29316507EBC}"/>
    <cellStyle name="Comma 4 2 5 2 2 6" xfId="18288" xr:uid="{C90CC486-7E78-423D-8A85-8AFFF5AB3CD2}"/>
    <cellStyle name="Comma 4 2 5 2 3" xfId="1487" xr:uid="{D94014C3-A9E9-4A88-9046-15012C2CE660}"/>
    <cellStyle name="Comma 4 2 5 2 3 2" xfId="3655" xr:uid="{97DD5BE4-46EA-4BB7-BF9F-8474D4EB2AEB}"/>
    <cellStyle name="Comma 4 2 5 2 3 2 2" xfId="7991" xr:uid="{AF417D91-05FE-4A01-8D7B-B380FF8C318B}"/>
    <cellStyle name="Comma 4 2 5 2 3 2 2 2" xfId="16663" xr:uid="{DFD987A3-EA93-4D38-978F-632B32715481}"/>
    <cellStyle name="Comma 4 2 5 2 3 2 2 2 2" xfId="34007" xr:uid="{6AE16625-B461-4B82-A03D-3BA43A74A442}"/>
    <cellStyle name="Comma 4 2 5 2 3 2 2 3" xfId="25335" xr:uid="{9C33A13D-AEEA-4089-97A5-6CE3296BBC61}"/>
    <cellStyle name="Comma 4 2 5 2 3 2 3" xfId="12327" xr:uid="{AA16327D-1C35-4449-B8A6-EB523370F5C2}"/>
    <cellStyle name="Comma 4 2 5 2 3 2 3 2" xfId="29671" xr:uid="{2EA6BCED-D153-4571-8970-C794697E02EC}"/>
    <cellStyle name="Comma 4 2 5 2 3 2 4" xfId="20999" xr:uid="{1D0CD44F-E1C6-46B9-9495-F33097BC212B}"/>
    <cellStyle name="Comma 4 2 5 2 3 3" xfId="5823" xr:uid="{D41F2EC0-22F3-47B8-B58B-CDD6F0FAFB85}"/>
    <cellStyle name="Comma 4 2 5 2 3 3 2" xfId="14495" xr:uid="{44BDA0E6-1984-4708-AB9A-1E1A7DCD19D3}"/>
    <cellStyle name="Comma 4 2 5 2 3 3 2 2" xfId="31839" xr:uid="{FFF35A2F-D848-4D8C-BAE4-E34EE7118345}"/>
    <cellStyle name="Comma 4 2 5 2 3 3 3" xfId="23167" xr:uid="{958DDE55-528B-4A1E-87CC-BF8D4D0725EC}"/>
    <cellStyle name="Comma 4 2 5 2 3 4" xfId="10159" xr:uid="{85FAD366-4CD9-4BF1-B2E3-5D9341F9D3B3}"/>
    <cellStyle name="Comma 4 2 5 2 3 4 2" xfId="27503" xr:uid="{3D18F0FC-1DEF-45D9-B19F-6E2C979F9519}"/>
    <cellStyle name="Comma 4 2 5 2 3 5" xfId="18831" xr:uid="{02BF9DF2-3E31-4594-A4E3-092D4365D17D}"/>
    <cellStyle name="Comma 4 2 5 2 4" xfId="2571" xr:uid="{CBE651F8-0031-469F-8FF3-12E61A8FF76B}"/>
    <cellStyle name="Comma 4 2 5 2 4 2" xfId="6907" xr:uid="{EB5447FD-F3B1-4F10-8BF0-461897C72F7C}"/>
    <cellStyle name="Comma 4 2 5 2 4 2 2" xfId="15579" xr:uid="{64536B11-BE3C-4C4F-8C90-E0E9B4CD0268}"/>
    <cellStyle name="Comma 4 2 5 2 4 2 2 2" xfId="32923" xr:uid="{8434DB42-ED5A-4C85-BE46-397F292AAFD4}"/>
    <cellStyle name="Comma 4 2 5 2 4 2 3" xfId="24251" xr:uid="{8933AE28-D932-4B5C-A9C9-36B2999AAF7F}"/>
    <cellStyle name="Comma 4 2 5 2 4 3" xfId="11243" xr:uid="{36030442-546C-4650-8B90-D31379C8AC69}"/>
    <cellStyle name="Comma 4 2 5 2 4 3 2" xfId="28587" xr:uid="{C4C47BE7-78FA-4ECA-946F-2DF95FC774DE}"/>
    <cellStyle name="Comma 4 2 5 2 4 4" xfId="19915" xr:uid="{96E39C68-1A37-49A4-A126-AFC6B8E48CED}"/>
    <cellStyle name="Comma 4 2 5 2 5" xfId="4739" xr:uid="{0989E65B-BC95-4A39-ABF7-58C227B51038}"/>
    <cellStyle name="Comma 4 2 5 2 5 2" xfId="13411" xr:uid="{D5AF8C54-C8E8-4276-9BAA-49726F953B95}"/>
    <cellStyle name="Comma 4 2 5 2 5 2 2" xfId="30755" xr:uid="{8616D99D-6824-49DB-94B6-DAC798454D04}"/>
    <cellStyle name="Comma 4 2 5 2 5 3" xfId="22083" xr:uid="{9A1DAE58-CFD4-47B6-A71F-8877AEB1E95D}"/>
    <cellStyle name="Comma 4 2 5 2 6" xfId="9075" xr:uid="{DDE17EF3-784B-4210-A43F-3BBB7BDD11D8}"/>
    <cellStyle name="Comma 4 2 5 2 6 2" xfId="26419" xr:uid="{A21AB74F-D047-4272-B40F-82EECCFFF95F}"/>
    <cellStyle name="Comma 4 2 5 2 7" xfId="17747" xr:uid="{8ADCDDAF-A6BF-478F-AC97-17FC87AF0C58}"/>
    <cellStyle name="Comma 4 2 5 3" xfId="674" xr:uid="{1531A482-8193-498A-94AA-A8648696850E}"/>
    <cellStyle name="Comma 4 2 5 3 2" xfId="1758" xr:uid="{17C4CEE4-FDEF-49D7-9898-8D7A52CA6891}"/>
    <cellStyle name="Comma 4 2 5 3 2 2" xfId="3926" xr:uid="{DE0B6C9A-21F2-4D88-96B8-14C49DAB3054}"/>
    <cellStyle name="Comma 4 2 5 3 2 2 2" xfId="8262" xr:uid="{096CB176-FAC1-4472-AEFE-52EEE1A07E00}"/>
    <cellStyle name="Comma 4 2 5 3 2 2 2 2" xfId="16934" xr:uid="{F503737D-A9AE-4339-B900-3D7C63B8B9C2}"/>
    <cellStyle name="Comma 4 2 5 3 2 2 2 2 2" xfId="34278" xr:uid="{431D0B3D-13D0-4148-9DA1-D60644980692}"/>
    <cellStyle name="Comma 4 2 5 3 2 2 2 3" xfId="25606" xr:uid="{769E9465-0239-469F-8147-FBCB98B0DB3B}"/>
    <cellStyle name="Comma 4 2 5 3 2 2 3" xfId="12598" xr:uid="{34D3211F-8074-42EA-9B9B-9473FD5D4106}"/>
    <cellStyle name="Comma 4 2 5 3 2 2 3 2" xfId="29942" xr:uid="{8241AC60-6E99-4C62-8858-9E3097E94611}"/>
    <cellStyle name="Comma 4 2 5 3 2 2 4" xfId="21270" xr:uid="{1C624967-91F2-4796-A278-DF28CBC0803F}"/>
    <cellStyle name="Comma 4 2 5 3 2 3" xfId="6094" xr:uid="{4F75D7DC-9EFF-4BE2-BADB-4378337663D7}"/>
    <cellStyle name="Comma 4 2 5 3 2 3 2" xfId="14766" xr:uid="{475167BE-A0C4-4D09-AB0F-2B48546B2168}"/>
    <cellStyle name="Comma 4 2 5 3 2 3 2 2" xfId="32110" xr:uid="{4364B462-2A70-41C3-9BD2-D19100BCC357}"/>
    <cellStyle name="Comma 4 2 5 3 2 3 3" xfId="23438" xr:uid="{BE60057F-9BBD-45F4-B089-3BA3F44F0750}"/>
    <cellStyle name="Comma 4 2 5 3 2 4" xfId="10430" xr:uid="{9E50275D-A1D9-44F3-AED5-1C40640D7A84}"/>
    <cellStyle name="Comma 4 2 5 3 2 4 2" xfId="27774" xr:uid="{91014DDA-17FF-46C7-B8BB-80DC627D1453}"/>
    <cellStyle name="Comma 4 2 5 3 2 5" xfId="19102" xr:uid="{389E0309-33FE-4EE9-98D6-7277FAFE135C}"/>
    <cellStyle name="Comma 4 2 5 3 3" xfId="2842" xr:uid="{05047C5A-80B8-4E12-9F71-0702B2904F1F}"/>
    <cellStyle name="Comma 4 2 5 3 3 2" xfId="7178" xr:uid="{AC435F08-8A8D-411B-8961-68175668AC0A}"/>
    <cellStyle name="Comma 4 2 5 3 3 2 2" xfId="15850" xr:uid="{00E2CE32-3D20-4BA3-B32D-EC07A845052E}"/>
    <cellStyle name="Comma 4 2 5 3 3 2 2 2" xfId="33194" xr:uid="{5F1EC61F-6EA8-4074-996A-B2A8F2030119}"/>
    <cellStyle name="Comma 4 2 5 3 3 2 3" xfId="24522" xr:uid="{C31A15D7-E5AB-472E-A6AB-D3F04685D776}"/>
    <cellStyle name="Comma 4 2 5 3 3 3" xfId="11514" xr:uid="{AA91CBAF-5CCF-48FC-9A65-06BE77CB7E08}"/>
    <cellStyle name="Comma 4 2 5 3 3 3 2" xfId="28858" xr:uid="{699E3FDB-66F7-4735-805C-A96C63AB6BC3}"/>
    <cellStyle name="Comma 4 2 5 3 3 4" xfId="20186" xr:uid="{EDE79CA4-0C95-4687-B35F-BF6C25E543CA}"/>
    <cellStyle name="Comma 4 2 5 3 4" xfId="5010" xr:uid="{8AF41180-208F-42FE-9E49-0141C76AEF77}"/>
    <cellStyle name="Comma 4 2 5 3 4 2" xfId="13682" xr:uid="{AE3CE6D0-FE2E-46EC-8CE4-066363C6EF64}"/>
    <cellStyle name="Comma 4 2 5 3 4 2 2" xfId="31026" xr:uid="{989C2249-6A47-48A4-A884-40A2019FB865}"/>
    <cellStyle name="Comma 4 2 5 3 4 3" xfId="22354" xr:uid="{B2634424-F07B-45F6-AC18-2D9F68EBA9BF}"/>
    <cellStyle name="Comma 4 2 5 3 5" xfId="9346" xr:uid="{9EFDA538-E6F6-4D6D-8F90-617725140244}"/>
    <cellStyle name="Comma 4 2 5 3 5 2" xfId="26690" xr:uid="{D443CB42-DAA4-4257-8067-3E0FB86B9265}"/>
    <cellStyle name="Comma 4 2 5 3 6" xfId="18018" xr:uid="{054B1E78-859D-4712-93E0-FED9C56B5852}"/>
    <cellStyle name="Comma 4 2 5 4" xfId="1217" xr:uid="{8A032570-C89E-45AD-86D9-F3992927BDA6}"/>
    <cellStyle name="Comma 4 2 5 4 2" xfId="3385" xr:uid="{8ADC2A48-7A4C-44CF-A09B-A64D451DA884}"/>
    <cellStyle name="Comma 4 2 5 4 2 2" xfId="7721" xr:uid="{8010C7CD-9EE1-4683-89C9-9D0C85C176D5}"/>
    <cellStyle name="Comma 4 2 5 4 2 2 2" xfId="16393" xr:uid="{47E2FAA7-A1BB-49DA-9E7C-E347F966759E}"/>
    <cellStyle name="Comma 4 2 5 4 2 2 2 2" xfId="33737" xr:uid="{6DD3ABE4-A02C-422E-B44E-0E1DD8810016}"/>
    <cellStyle name="Comma 4 2 5 4 2 2 3" xfId="25065" xr:uid="{E5C43E30-D212-48A9-8FFD-32F1F3318B1A}"/>
    <cellStyle name="Comma 4 2 5 4 2 3" xfId="12057" xr:uid="{7C7D95BB-3A07-4DDE-8310-55A1EB781EC5}"/>
    <cellStyle name="Comma 4 2 5 4 2 3 2" xfId="29401" xr:uid="{2F70D348-52A3-4BE9-A8B7-646DA53D09D3}"/>
    <cellStyle name="Comma 4 2 5 4 2 4" xfId="20729" xr:uid="{14099A76-DF7B-454F-8B88-29E6EF63CFCF}"/>
    <cellStyle name="Comma 4 2 5 4 3" xfId="5553" xr:uid="{00464658-6C7E-4811-B608-1C0A73E59A91}"/>
    <cellStyle name="Comma 4 2 5 4 3 2" xfId="14225" xr:uid="{A07A84B2-B744-4432-86BD-DAD67E0BF9C5}"/>
    <cellStyle name="Comma 4 2 5 4 3 2 2" xfId="31569" xr:uid="{B376A2B3-A6F6-4E48-8F23-1D6CD698ECC8}"/>
    <cellStyle name="Comma 4 2 5 4 3 3" xfId="22897" xr:uid="{4947B03F-4A6F-4016-84F3-27F448CDF07F}"/>
    <cellStyle name="Comma 4 2 5 4 4" xfId="9889" xr:uid="{8221DD74-F9F3-4831-973F-B1F78C0071E9}"/>
    <cellStyle name="Comma 4 2 5 4 4 2" xfId="27233" xr:uid="{EE0B53C5-3AAB-4F70-9DAA-F6026464D246}"/>
    <cellStyle name="Comma 4 2 5 4 5" xfId="18561" xr:uid="{08442DFC-FB93-42E8-B4C9-87E606D6A9BE}"/>
    <cellStyle name="Comma 4 2 5 5" xfId="2301" xr:uid="{64CA4223-AFA2-4486-807F-11D6C043BA45}"/>
    <cellStyle name="Comma 4 2 5 5 2" xfId="6637" xr:uid="{2CC40B84-36C2-486F-9832-0B828D917222}"/>
    <cellStyle name="Comma 4 2 5 5 2 2" xfId="15309" xr:uid="{F8B6F6F8-E6D7-4D5A-9100-8C33E82E009D}"/>
    <cellStyle name="Comma 4 2 5 5 2 2 2" xfId="32653" xr:uid="{1ACE9CD0-DEBD-4E89-B484-0EA82F29290E}"/>
    <cellStyle name="Comma 4 2 5 5 2 3" xfId="23981" xr:uid="{06510A73-0903-47F7-8450-31D44B53A9BC}"/>
    <cellStyle name="Comma 4 2 5 5 3" xfId="10973" xr:uid="{70DD93CA-9607-4C0E-A631-23001B36BD35}"/>
    <cellStyle name="Comma 4 2 5 5 3 2" xfId="28317" xr:uid="{A5E59D35-3BB3-40A0-AD58-9BBA1BDB0692}"/>
    <cellStyle name="Comma 4 2 5 5 4" xfId="19645" xr:uid="{565DB8AC-92A1-429A-A157-8C6C3959A2D2}"/>
    <cellStyle name="Comma 4 2 5 6" xfId="4469" xr:uid="{646358A2-36FF-4A0B-BF8B-7432A88F07D6}"/>
    <cellStyle name="Comma 4 2 5 6 2" xfId="13141" xr:uid="{C4D49813-F3A8-428E-9FA7-6E2A5BBEE36D}"/>
    <cellStyle name="Comma 4 2 5 6 2 2" xfId="30485" xr:uid="{5F07BA45-E32C-4025-99E3-D2FEEC43B834}"/>
    <cellStyle name="Comma 4 2 5 6 3" xfId="21813" xr:uid="{0C331E84-D126-4CF8-B43F-C6763C5B0EF0}"/>
    <cellStyle name="Comma 4 2 5 7" xfId="8805" xr:uid="{3665C03B-ACBD-45C5-A4BD-9D0AB2C47787}"/>
    <cellStyle name="Comma 4 2 5 7 2" xfId="26149" xr:uid="{55E9DFAA-7CDE-41DA-BD35-19BA52E19119}"/>
    <cellStyle name="Comma 4 2 5 8" xfId="17477" xr:uid="{5354298B-7D77-4E2E-9CDE-9B19C94F9F6A}"/>
    <cellStyle name="Comma 4 2 6" xfId="259" xr:uid="{EF4498CB-76D5-44D5-BFEC-9B861513C309}"/>
    <cellStyle name="Comma 4 2 6 2" xfId="529" xr:uid="{2661D660-E62B-4C31-BAE7-8452A9E5586A}"/>
    <cellStyle name="Comma 4 2 6 2 2" xfId="1070" xr:uid="{85FAAECA-CC97-477F-8C63-6F452EAC5F01}"/>
    <cellStyle name="Comma 4 2 6 2 2 2" xfId="2154" xr:uid="{ED90E672-69B0-4531-A489-7757D9E13B9B}"/>
    <cellStyle name="Comma 4 2 6 2 2 2 2" xfId="4322" xr:uid="{3262C7DD-DD66-49D3-BEF8-9EA0A3B3367E}"/>
    <cellStyle name="Comma 4 2 6 2 2 2 2 2" xfId="8658" xr:uid="{9623F70C-166A-4A3A-A1B4-B565B2BDB308}"/>
    <cellStyle name="Comma 4 2 6 2 2 2 2 2 2" xfId="17330" xr:uid="{879856AF-5089-49BB-8BF9-AD8CDC987384}"/>
    <cellStyle name="Comma 4 2 6 2 2 2 2 2 2 2" xfId="34674" xr:uid="{C4758360-104B-43AB-89F9-8BC577D3238B}"/>
    <cellStyle name="Comma 4 2 6 2 2 2 2 2 3" xfId="26002" xr:uid="{09F4CBFE-14DE-452D-A23F-428FB1F29C6E}"/>
    <cellStyle name="Comma 4 2 6 2 2 2 2 3" xfId="12994" xr:uid="{0E92BFCB-DC8D-48F5-83E1-D6D67433AB1C}"/>
    <cellStyle name="Comma 4 2 6 2 2 2 2 3 2" xfId="30338" xr:uid="{33602D57-F20F-464F-B87C-20254664624B}"/>
    <cellStyle name="Comma 4 2 6 2 2 2 2 4" xfId="21666" xr:uid="{E85D36CB-40CC-44EE-86C5-51744CBAB59F}"/>
    <cellStyle name="Comma 4 2 6 2 2 2 3" xfId="6490" xr:uid="{33E7F50E-3895-4D0C-B71A-6BD70BACD5E2}"/>
    <cellStyle name="Comma 4 2 6 2 2 2 3 2" xfId="15162" xr:uid="{6BA7DE5A-8BE4-4076-A02C-B9D0FA9CAC5B}"/>
    <cellStyle name="Comma 4 2 6 2 2 2 3 2 2" xfId="32506" xr:uid="{45DB5917-FCF4-4DD3-9644-7C98CA68B170}"/>
    <cellStyle name="Comma 4 2 6 2 2 2 3 3" xfId="23834" xr:uid="{B2241797-23CF-44F8-A084-B6D6B98061D9}"/>
    <cellStyle name="Comma 4 2 6 2 2 2 4" xfId="10826" xr:uid="{EE765D1F-86CA-4F59-9366-4257720EDC46}"/>
    <cellStyle name="Comma 4 2 6 2 2 2 4 2" xfId="28170" xr:uid="{C4385652-07B2-4315-AF6B-4861C31CD34C}"/>
    <cellStyle name="Comma 4 2 6 2 2 2 5" xfId="19498" xr:uid="{B7193840-2AA2-42E1-A8AA-6DECB5E9F7AB}"/>
    <cellStyle name="Comma 4 2 6 2 2 3" xfId="3238" xr:uid="{717B0A96-18DB-4D8D-8007-EE7D5AE273DA}"/>
    <cellStyle name="Comma 4 2 6 2 2 3 2" xfId="7574" xr:uid="{4D0D47C3-4C36-4281-9C02-4B6827606911}"/>
    <cellStyle name="Comma 4 2 6 2 2 3 2 2" xfId="16246" xr:uid="{AD77B2C8-DD37-40F2-9699-BCF17DABE0B5}"/>
    <cellStyle name="Comma 4 2 6 2 2 3 2 2 2" xfId="33590" xr:uid="{DD1FC78E-1D77-4EB7-8B5C-50D6AB196EEE}"/>
    <cellStyle name="Comma 4 2 6 2 2 3 2 3" xfId="24918" xr:uid="{5E57F2EE-C2E5-43C5-98E2-B7EF35472806}"/>
    <cellStyle name="Comma 4 2 6 2 2 3 3" xfId="11910" xr:uid="{156F0A41-3ED3-404B-8B81-EA5D4AF110C9}"/>
    <cellStyle name="Comma 4 2 6 2 2 3 3 2" xfId="29254" xr:uid="{0ECD16E4-45D1-48A5-8326-804756D7C255}"/>
    <cellStyle name="Comma 4 2 6 2 2 3 4" xfId="20582" xr:uid="{A50F0E95-0333-4E0F-AA8E-3FFCDBE2B847}"/>
    <cellStyle name="Comma 4 2 6 2 2 4" xfId="5406" xr:uid="{0ADAB15D-6673-48D2-B2FC-10875655DD0D}"/>
    <cellStyle name="Comma 4 2 6 2 2 4 2" xfId="14078" xr:uid="{DF5BC336-4E54-40D3-AD08-D3AF97754604}"/>
    <cellStyle name="Comma 4 2 6 2 2 4 2 2" xfId="31422" xr:uid="{EF432BE4-57BC-42A9-BA7C-0B2D63C403B4}"/>
    <cellStyle name="Comma 4 2 6 2 2 4 3" xfId="22750" xr:uid="{DAA3F6A2-6E0E-4AA5-9C20-C42C2D3990D4}"/>
    <cellStyle name="Comma 4 2 6 2 2 5" xfId="9742" xr:uid="{A792E779-94AD-40B3-8E39-10FAC90CBAC9}"/>
    <cellStyle name="Comma 4 2 6 2 2 5 2" xfId="27086" xr:uid="{76D126F5-61D0-4174-9B7B-76C34FF2A37F}"/>
    <cellStyle name="Comma 4 2 6 2 2 6" xfId="18414" xr:uid="{F4D4E726-EEFE-45A6-AF2C-6F67BC16E090}"/>
    <cellStyle name="Comma 4 2 6 2 3" xfId="1613" xr:uid="{941F3BFB-0C02-4DD4-9F55-6183C20FFD27}"/>
    <cellStyle name="Comma 4 2 6 2 3 2" xfId="3781" xr:uid="{83E54D27-A9A8-45AF-BF69-C2779FC078B6}"/>
    <cellStyle name="Comma 4 2 6 2 3 2 2" xfId="8117" xr:uid="{1D78F851-0720-41E7-8190-43ED88BB08EF}"/>
    <cellStyle name="Comma 4 2 6 2 3 2 2 2" xfId="16789" xr:uid="{6425110B-38A9-4D00-9671-E0126D25678B}"/>
    <cellStyle name="Comma 4 2 6 2 3 2 2 2 2" xfId="34133" xr:uid="{E2FC3C56-F257-47C9-A426-36F56E0B7E1C}"/>
    <cellStyle name="Comma 4 2 6 2 3 2 2 3" xfId="25461" xr:uid="{D6A50509-5C52-4D43-970A-5C95F5B645B4}"/>
    <cellStyle name="Comma 4 2 6 2 3 2 3" xfId="12453" xr:uid="{AC58B144-8E4F-465B-AE75-C0C3351D1779}"/>
    <cellStyle name="Comma 4 2 6 2 3 2 3 2" xfId="29797" xr:uid="{A15F0F6A-6170-4FB1-957F-2FB0232F0AE8}"/>
    <cellStyle name="Comma 4 2 6 2 3 2 4" xfId="21125" xr:uid="{FAF56910-5818-43C1-95A8-464E8E27BB31}"/>
    <cellStyle name="Comma 4 2 6 2 3 3" xfId="5949" xr:uid="{E4B195DE-8ADF-465E-9C40-3A560C821F18}"/>
    <cellStyle name="Comma 4 2 6 2 3 3 2" xfId="14621" xr:uid="{91342675-0D73-47DD-ADE8-B8F928BE50BA}"/>
    <cellStyle name="Comma 4 2 6 2 3 3 2 2" xfId="31965" xr:uid="{877C3B45-A3CA-4B13-BA7F-909C088FED62}"/>
    <cellStyle name="Comma 4 2 6 2 3 3 3" xfId="23293" xr:uid="{E8FC2BE1-903B-4F55-8D50-197338D106B9}"/>
    <cellStyle name="Comma 4 2 6 2 3 4" xfId="10285" xr:uid="{0AA38F93-7938-4FE9-8219-7DC54DD98D11}"/>
    <cellStyle name="Comma 4 2 6 2 3 4 2" xfId="27629" xr:uid="{D888A3E6-BD61-4F40-BF35-AC7BCB703875}"/>
    <cellStyle name="Comma 4 2 6 2 3 5" xfId="18957" xr:uid="{0A3F50B9-58D6-4B21-9FC6-0FE7373F54C1}"/>
    <cellStyle name="Comma 4 2 6 2 4" xfId="2697" xr:uid="{1184362C-1C0B-4492-A737-3BDA11B4D3A6}"/>
    <cellStyle name="Comma 4 2 6 2 4 2" xfId="7033" xr:uid="{3913F565-BE63-4807-8351-FEF63B1E4E0C}"/>
    <cellStyle name="Comma 4 2 6 2 4 2 2" xfId="15705" xr:uid="{3A10052F-2BAF-4427-91CB-9B801EB89404}"/>
    <cellStyle name="Comma 4 2 6 2 4 2 2 2" xfId="33049" xr:uid="{1E15CA0B-6528-4A04-B6B9-628FE0BA1BD5}"/>
    <cellStyle name="Comma 4 2 6 2 4 2 3" xfId="24377" xr:uid="{5C81D483-E84A-4D3F-8645-ED30551DE149}"/>
    <cellStyle name="Comma 4 2 6 2 4 3" xfId="11369" xr:uid="{6A92F382-C732-4A58-8AB6-4089A7DB23E2}"/>
    <cellStyle name="Comma 4 2 6 2 4 3 2" xfId="28713" xr:uid="{CC9477F5-F34A-41AB-A49B-AC03BA0CE543}"/>
    <cellStyle name="Comma 4 2 6 2 4 4" xfId="20041" xr:uid="{AF8998BF-F8FC-4B67-9B10-98BC65117F97}"/>
    <cellStyle name="Comma 4 2 6 2 5" xfId="4865" xr:uid="{55985146-0D40-4714-BB51-722143B0A74E}"/>
    <cellStyle name="Comma 4 2 6 2 5 2" xfId="13537" xr:uid="{240D3E20-336E-4A5A-B49E-130D5C6DB115}"/>
    <cellStyle name="Comma 4 2 6 2 5 2 2" xfId="30881" xr:uid="{85BDD2D8-2056-4BD8-A675-5259E39714B6}"/>
    <cellStyle name="Comma 4 2 6 2 5 3" xfId="22209" xr:uid="{1A7F3657-A632-4073-855E-752C5284F733}"/>
    <cellStyle name="Comma 4 2 6 2 6" xfId="9201" xr:uid="{C43CB7C9-1307-4B67-9BF4-25CA2DC99F2E}"/>
    <cellStyle name="Comma 4 2 6 2 6 2" xfId="26545" xr:uid="{2E7A3A1D-41FF-4E0E-9DDA-CD007913DEB4}"/>
    <cellStyle name="Comma 4 2 6 2 7" xfId="17873" xr:uid="{8AD64CC0-A475-403F-B322-0FCA2FCD54BD}"/>
    <cellStyle name="Comma 4 2 6 3" xfId="800" xr:uid="{4246FF6E-5EDB-46A5-ACCD-C74832B12BAE}"/>
    <cellStyle name="Comma 4 2 6 3 2" xfId="1884" xr:uid="{A690F17C-903A-490E-8E22-91566A18B0F5}"/>
    <cellStyle name="Comma 4 2 6 3 2 2" xfId="4052" xr:uid="{AF22FF1C-2E37-481A-AD23-7DEDF5587170}"/>
    <cellStyle name="Comma 4 2 6 3 2 2 2" xfId="8388" xr:uid="{A4CE3CD8-BE54-4B93-87B8-F33BD33CE40C}"/>
    <cellStyle name="Comma 4 2 6 3 2 2 2 2" xfId="17060" xr:uid="{477B05BA-1635-465C-A723-9557D56EA90C}"/>
    <cellStyle name="Comma 4 2 6 3 2 2 2 2 2" xfId="34404" xr:uid="{835BDB3D-A6A8-4696-9DC0-8698A3F9B9CB}"/>
    <cellStyle name="Comma 4 2 6 3 2 2 2 3" xfId="25732" xr:uid="{DB1934AB-928C-4231-ABF4-DEF15C31A9E0}"/>
    <cellStyle name="Comma 4 2 6 3 2 2 3" xfId="12724" xr:uid="{2B6CE592-C060-43A3-8203-1AC922FE6983}"/>
    <cellStyle name="Comma 4 2 6 3 2 2 3 2" xfId="30068" xr:uid="{0344BF5F-3FC1-441C-8812-119C624985A9}"/>
    <cellStyle name="Comma 4 2 6 3 2 2 4" xfId="21396" xr:uid="{324D5180-3ABD-435C-899E-755252825965}"/>
    <cellStyle name="Comma 4 2 6 3 2 3" xfId="6220" xr:uid="{62188C5E-CD33-44E3-B287-85797960671C}"/>
    <cellStyle name="Comma 4 2 6 3 2 3 2" xfId="14892" xr:uid="{BAF5CFE1-B68E-4417-94A8-268B0D5FA88D}"/>
    <cellStyle name="Comma 4 2 6 3 2 3 2 2" xfId="32236" xr:uid="{770253FA-F9F3-4F10-91E4-C9C7D59DEFC1}"/>
    <cellStyle name="Comma 4 2 6 3 2 3 3" xfId="23564" xr:uid="{5AF4DCEE-E14C-4537-B736-2E7D2CBDC642}"/>
    <cellStyle name="Comma 4 2 6 3 2 4" xfId="10556" xr:uid="{AB46D93C-AC6F-41D9-A8C5-AFD81DEAEB7C}"/>
    <cellStyle name="Comma 4 2 6 3 2 4 2" xfId="27900" xr:uid="{73A905E7-44AB-4BC4-8A66-4035D617940A}"/>
    <cellStyle name="Comma 4 2 6 3 2 5" xfId="19228" xr:uid="{7E17A398-9FEE-41B3-814E-491EF2355D81}"/>
    <cellStyle name="Comma 4 2 6 3 3" xfId="2968" xr:uid="{843B6E92-E701-4587-B516-A9C1F49546DD}"/>
    <cellStyle name="Comma 4 2 6 3 3 2" xfId="7304" xr:uid="{1870D6DD-1A31-4DC3-818D-3A7D90803923}"/>
    <cellStyle name="Comma 4 2 6 3 3 2 2" xfId="15976" xr:uid="{A0483EBD-448C-4942-B044-FB18C0212161}"/>
    <cellStyle name="Comma 4 2 6 3 3 2 2 2" xfId="33320" xr:uid="{9516FE7A-A52A-4702-A9B1-B76AC19CEDAF}"/>
    <cellStyle name="Comma 4 2 6 3 3 2 3" xfId="24648" xr:uid="{77F3C7CF-9EA3-4666-82AD-17CC5D93131D}"/>
    <cellStyle name="Comma 4 2 6 3 3 3" xfId="11640" xr:uid="{5F57ABBF-481F-4DD1-B1FF-50B948CE7AD1}"/>
    <cellStyle name="Comma 4 2 6 3 3 3 2" xfId="28984" xr:uid="{9FC8EF9C-9D1A-433D-A8BE-BB7DBAC50278}"/>
    <cellStyle name="Comma 4 2 6 3 3 4" xfId="20312" xr:uid="{3DE58EAC-BCF3-4536-A9BD-1D99CC0FBCA8}"/>
    <cellStyle name="Comma 4 2 6 3 4" xfId="5136" xr:uid="{580CBB5D-3E63-4442-8220-31D43A8E92D8}"/>
    <cellStyle name="Comma 4 2 6 3 4 2" xfId="13808" xr:uid="{07AD0DEA-38E1-458B-A0D4-1BBF998B1A75}"/>
    <cellStyle name="Comma 4 2 6 3 4 2 2" xfId="31152" xr:uid="{94031B8E-3E10-4F40-8738-DDD7987706EC}"/>
    <cellStyle name="Comma 4 2 6 3 4 3" xfId="22480" xr:uid="{DA4CD774-5E22-4CA5-BCE2-069C656E9683}"/>
    <cellStyle name="Comma 4 2 6 3 5" xfId="9472" xr:uid="{9887DF36-15A8-4686-BF14-62D5ACA9BFEA}"/>
    <cellStyle name="Comma 4 2 6 3 5 2" xfId="26816" xr:uid="{60BC5F81-E091-4B75-9A0D-CC43FE273A34}"/>
    <cellStyle name="Comma 4 2 6 3 6" xfId="18144" xr:uid="{20201F3C-87D3-43D1-B29F-D916B2677B2C}"/>
    <cellStyle name="Comma 4 2 6 4" xfId="1343" xr:uid="{78148611-3FFF-4B7A-A937-B233D565E310}"/>
    <cellStyle name="Comma 4 2 6 4 2" xfId="3511" xr:uid="{E9E6D831-037A-4304-AB96-2A51E035C2B3}"/>
    <cellStyle name="Comma 4 2 6 4 2 2" xfId="7847" xr:uid="{F173334B-A29E-4625-A1D2-2E6C0F24ABB2}"/>
    <cellStyle name="Comma 4 2 6 4 2 2 2" xfId="16519" xr:uid="{32B4E753-F18C-4588-8AF7-4470F7714DC9}"/>
    <cellStyle name="Comma 4 2 6 4 2 2 2 2" xfId="33863" xr:uid="{841C50EC-F85F-4E4E-906E-D700C7596EB9}"/>
    <cellStyle name="Comma 4 2 6 4 2 2 3" xfId="25191" xr:uid="{EFC3E7E0-42BE-4BE3-80D8-D59997180A26}"/>
    <cellStyle name="Comma 4 2 6 4 2 3" xfId="12183" xr:uid="{5A2896FC-4481-4C3F-B4E1-3D7C32A00998}"/>
    <cellStyle name="Comma 4 2 6 4 2 3 2" xfId="29527" xr:uid="{F82C46C9-E2DB-4628-B23E-1E4501F1E8E5}"/>
    <cellStyle name="Comma 4 2 6 4 2 4" xfId="20855" xr:uid="{B9795F15-39FC-4073-8C62-855A51CEA838}"/>
    <cellStyle name="Comma 4 2 6 4 3" xfId="5679" xr:uid="{2B5C4690-CCA6-427C-AC32-74DD9F1AD3A8}"/>
    <cellStyle name="Comma 4 2 6 4 3 2" xfId="14351" xr:uid="{EB4C2B3D-72D5-4FFA-A8B7-C6A4193FF92A}"/>
    <cellStyle name="Comma 4 2 6 4 3 2 2" xfId="31695" xr:uid="{C1446ECD-B16E-432C-A47A-FEE01A8A2C91}"/>
    <cellStyle name="Comma 4 2 6 4 3 3" xfId="23023" xr:uid="{2BBCA2EC-7536-4D49-BE07-0088FA37F727}"/>
    <cellStyle name="Comma 4 2 6 4 4" xfId="10015" xr:uid="{88F0A760-DF2B-4F75-BE5C-71B41EBC029A}"/>
    <cellStyle name="Comma 4 2 6 4 4 2" xfId="27359" xr:uid="{987649E6-69F7-4C73-866D-C28EFF7F06C2}"/>
    <cellStyle name="Comma 4 2 6 4 5" xfId="18687" xr:uid="{2D59517D-4526-44D7-9D09-54952A57D433}"/>
    <cellStyle name="Comma 4 2 6 5" xfId="2427" xr:uid="{2FB45B29-8DB2-43E2-B3B3-E446252A35BC}"/>
    <cellStyle name="Comma 4 2 6 5 2" xfId="6763" xr:uid="{F29797CB-C383-44CA-994B-64516CB9C4AC}"/>
    <cellStyle name="Comma 4 2 6 5 2 2" xfId="15435" xr:uid="{318F4848-94B2-4A8F-9CCF-7D7076BEF656}"/>
    <cellStyle name="Comma 4 2 6 5 2 2 2" xfId="32779" xr:uid="{21844F91-EBEF-4AA9-9B9C-D051C8E7FF79}"/>
    <cellStyle name="Comma 4 2 6 5 2 3" xfId="24107" xr:uid="{4247FAB2-F10B-4B76-B10C-45D2B39ED0A8}"/>
    <cellStyle name="Comma 4 2 6 5 3" xfId="11099" xr:uid="{52E01D0F-F5DA-48FA-88A6-CED664CF25A9}"/>
    <cellStyle name="Comma 4 2 6 5 3 2" xfId="28443" xr:uid="{4365EE80-D4B2-40BB-A337-C5A0075F1B41}"/>
    <cellStyle name="Comma 4 2 6 5 4" xfId="19771" xr:uid="{C7A48ADD-96FE-48F5-A2C6-C091E7316E64}"/>
    <cellStyle name="Comma 4 2 6 6" xfId="4595" xr:uid="{38581F8F-6E35-425E-92C4-9BBA6790F424}"/>
    <cellStyle name="Comma 4 2 6 6 2" xfId="13267" xr:uid="{9EEE27A4-27F1-412A-8AEA-BC8B26E6E234}"/>
    <cellStyle name="Comma 4 2 6 6 2 2" xfId="30611" xr:uid="{CD0247F2-D33A-4985-95DD-164A8F5BCCBF}"/>
    <cellStyle name="Comma 4 2 6 6 3" xfId="21939" xr:uid="{BCAD6E52-8FD3-4D54-8D0A-8DB3732BCB6F}"/>
    <cellStyle name="Comma 4 2 6 7" xfId="8931" xr:uid="{1853C456-9DEE-4DB6-BEFA-54F196789BD0}"/>
    <cellStyle name="Comma 4 2 6 7 2" xfId="26275" xr:uid="{B4F5A6D1-A1A7-462B-AE2A-71BDDD56D5C6}"/>
    <cellStyle name="Comma 4 2 6 8" xfId="17603" xr:uid="{196D1EC3-F3EB-4455-B7C4-8BD229229E1B}"/>
    <cellStyle name="Comma 4 2 7" xfId="281" xr:uid="{AFC817E9-D969-49DA-9990-D1AE2E927312}"/>
    <cellStyle name="Comma 4 2 7 2" xfId="822" xr:uid="{37C1454E-400E-40D9-8230-DA940682673D}"/>
    <cellStyle name="Comma 4 2 7 2 2" xfId="1906" xr:uid="{65FF16E8-0718-46EE-8B75-9B88E591F920}"/>
    <cellStyle name="Comma 4 2 7 2 2 2" xfId="4074" xr:uid="{08ADB8BF-F8DC-40CE-874D-A2208AC24C37}"/>
    <cellStyle name="Comma 4 2 7 2 2 2 2" xfId="8410" xr:uid="{EA7D8EB5-A2F7-4ED5-BE93-84F38CF527B3}"/>
    <cellStyle name="Comma 4 2 7 2 2 2 2 2" xfId="17082" xr:uid="{A1BB68B7-67E8-4286-A198-11EB7D1AC7DD}"/>
    <cellStyle name="Comma 4 2 7 2 2 2 2 2 2" xfId="34426" xr:uid="{9830C2D1-3F96-4E5C-B2C7-DA5A2A7C8C12}"/>
    <cellStyle name="Comma 4 2 7 2 2 2 2 3" xfId="25754" xr:uid="{C2ED1DC9-2A69-4806-83C6-3699EB9D0119}"/>
    <cellStyle name="Comma 4 2 7 2 2 2 3" xfId="12746" xr:uid="{5C316CD1-CAFB-4792-A91E-397438E50247}"/>
    <cellStyle name="Comma 4 2 7 2 2 2 3 2" xfId="30090" xr:uid="{617973F2-6B7E-46BC-83D5-37DDC6CEF889}"/>
    <cellStyle name="Comma 4 2 7 2 2 2 4" xfId="21418" xr:uid="{F189B7F3-3613-482F-AE9E-9EAC64C2D227}"/>
    <cellStyle name="Comma 4 2 7 2 2 3" xfId="6242" xr:uid="{07D815DA-C18E-42AD-A471-79B2D74EEA2C}"/>
    <cellStyle name="Comma 4 2 7 2 2 3 2" xfId="14914" xr:uid="{E4C16C7B-79A4-46D9-87C6-F603FC4EB5DE}"/>
    <cellStyle name="Comma 4 2 7 2 2 3 2 2" xfId="32258" xr:uid="{301DF573-019C-4C24-94AB-06FE419AEFC8}"/>
    <cellStyle name="Comma 4 2 7 2 2 3 3" xfId="23586" xr:uid="{40F65EE2-9475-472E-BD1D-9CE6813C9704}"/>
    <cellStyle name="Comma 4 2 7 2 2 4" xfId="10578" xr:uid="{FF4AA582-BC37-4A86-9D18-EA81F63A3AB7}"/>
    <cellStyle name="Comma 4 2 7 2 2 4 2" xfId="27922" xr:uid="{3B20D565-6167-4D80-9726-F0C28671289D}"/>
    <cellStyle name="Comma 4 2 7 2 2 5" xfId="19250" xr:uid="{CEAED2CD-FD21-4DB4-9BC6-AC1FE2ED8E25}"/>
    <cellStyle name="Comma 4 2 7 2 3" xfId="2990" xr:uid="{D1759DCA-9E7D-4C0A-A960-D9B0F5C19B58}"/>
    <cellStyle name="Comma 4 2 7 2 3 2" xfId="7326" xr:uid="{D4D5E76E-70FC-4F8E-9614-6518BFF5A630}"/>
    <cellStyle name="Comma 4 2 7 2 3 2 2" xfId="15998" xr:uid="{C39986BC-C30C-4302-BC3D-D11CBA8FE8C5}"/>
    <cellStyle name="Comma 4 2 7 2 3 2 2 2" xfId="33342" xr:uid="{7448025D-FF31-42ED-BDAF-07DF232CF40A}"/>
    <cellStyle name="Comma 4 2 7 2 3 2 3" xfId="24670" xr:uid="{DA58985D-C70E-4471-90E8-E0EE4667AEEE}"/>
    <cellStyle name="Comma 4 2 7 2 3 3" xfId="11662" xr:uid="{9BAA0BE4-2C7A-4357-A32B-28CD764C0E83}"/>
    <cellStyle name="Comma 4 2 7 2 3 3 2" xfId="29006" xr:uid="{686EDDD1-39AA-4012-BB7B-3305A0B39FAA}"/>
    <cellStyle name="Comma 4 2 7 2 3 4" xfId="20334" xr:uid="{D01E9261-127A-467E-BA12-B6B3CA3FB580}"/>
    <cellStyle name="Comma 4 2 7 2 4" xfId="5158" xr:uid="{3C62E4EF-47E9-4FAC-85C9-8362459633A0}"/>
    <cellStyle name="Comma 4 2 7 2 4 2" xfId="13830" xr:uid="{C8BCB315-60C0-4683-8D93-5A52929C9DE1}"/>
    <cellStyle name="Comma 4 2 7 2 4 2 2" xfId="31174" xr:uid="{0A3AFB66-3846-4F3B-9E55-CA46CC1FC835}"/>
    <cellStyle name="Comma 4 2 7 2 4 3" xfId="22502" xr:uid="{83E219E8-4C4E-4C62-B4F1-A9416B9B828A}"/>
    <cellStyle name="Comma 4 2 7 2 5" xfId="9494" xr:uid="{CF691C84-ADC9-4160-A447-11130972F8B8}"/>
    <cellStyle name="Comma 4 2 7 2 5 2" xfId="26838" xr:uid="{BD2D36AE-994F-4A2D-80EF-8B903B109141}"/>
    <cellStyle name="Comma 4 2 7 2 6" xfId="18166" xr:uid="{6D1B2019-C7DC-489C-AF6E-6C78FF8C7C81}"/>
    <cellStyle name="Comma 4 2 7 3" xfId="1365" xr:uid="{452C9A7B-2DF0-4686-9A62-46526CEB7A6E}"/>
    <cellStyle name="Comma 4 2 7 3 2" xfId="3533" xr:uid="{57C1CF51-0217-4DE1-BD4C-5C564A8D3E48}"/>
    <cellStyle name="Comma 4 2 7 3 2 2" xfId="7869" xr:uid="{140A3DE4-779E-412C-8C89-7163270B049F}"/>
    <cellStyle name="Comma 4 2 7 3 2 2 2" xfId="16541" xr:uid="{B1C2F2A4-1DAF-4037-A9A1-FA941EDD8159}"/>
    <cellStyle name="Comma 4 2 7 3 2 2 2 2" xfId="33885" xr:uid="{A9B483D3-0A2A-42FF-B6B9-3D4352068CE5}"/>
    <cellStyle name="Comma 4 2 7 3 2 2 3" xfId="25213" xr:uid="{4B2E0AC6-2DCD-4BC7-87B3-6786FA2BBD07}"/>
    <cellStyle name="Comma 4 2 7 3 2 3" xfId="12205" xr:uid="{CD56CFB6-8044-4A69-9BB3-54B3829C4592}"/>
    <cellStyle name="Comma 4 2 7 3 2 3 2" xfId="29549" xr:uid="{4DC10606-886B-4ECA-B859-1DEA2FBDA69C}"/>
    <cellStyle name="Comma 4 2 7 3 2 4" xfId="20877" xr:uid="{FC1443F6-5D6B-4058-94CC-5ED08D2876A9}"/>
    <cellStyle name="Comma 4 2 7 3 3" xfId="5701" xr:uid="{350D2407-6FCB-4F07-8284-2FE53F3A4C47}"/>
    <cellStyle name="Comma 4 2 7 3 3 2" xfId="14373" xr:uid="{72511904-6F07-4871-BA5E-F26B98146D4F}"/>
    <cellStyle name="Comma 4 2 7 3 3 2 2" xfId="31717" xr:uid="{6716A7F7-2E69-41BF-BF39-CE25477CA738}"/>
    <cellStyle name="Comma 4 2 7 3 3 3" xfId="23045" xr:uid="{4198C5C7-BAEC-499E-8535-EC0CD885C6B3}"/>
    <cellStyle name="Comma 4 2 7 3 4" xfId="10037" xr:uid="{80FAE699-F19E-4F80-8879-FAF2EF9D1AA2}"/>
    <cellStyle name="Comma 4 2 7 3 4 2" xfId="27381" xr:uid="{759DC5A7-82A5-46FD-91F4-AC8FCBB6AA0C}"/>
    <cellStyle name="Comma 4 2 7 3 5" xfId="18709" xr:uid="{A53689A7-58C0-4AB2-8FB4-BA7ED7610202}"/>
    <cellStyle name="Comma 4 2 7 4" xfId="2449" xr:uid="{E0728D3C-57A4-40B8-88E2-DC3BDBE85124}"/>
    <cellStyle name="Comma 4 2 7 4 2" xfId="6785" xr:uid="{CA50B018-29AC-4E15-98F0-1F7354AC5BD7}"/>
    <cellStyle name="Comma 4 2 7 4 2 2" xfId="15457" xr:uid="{C250FA96-7F38-4531-880D-322A4A0B4BF0}"/>
    <cellStyle name="Comma 4 2 7 4 2 2 2" xfId="32801" xr:uid="{930ED408-4E5B-4A43-BB08-1B36AC8C59D7}"/>
    <cellStyle name="Comma 4 2 7 4 2 3" xfId="24129" xr:uid="{6501E7A9-160C-494D-8DB3-7D9BEB9F334E}"/>
    <cellStyle name="Comma 4 2 7 4 3" xfId="11121" xr:uid="{B894D732-8592-4B85-8E3D-D1D87CFB2578}"/>
    <cellStyle name="Comma 4 2 7 4 3 2" xfId="28465" xr:uid="{6C129149-EEF0-4422-8147-6B03BD4B84E5}"/>
    <cellStyle name="Comma 4 2 7 4 4" xfId="19793" xr:uid="{3D45D11E-D78A-4FF3-B690-B4D01760909F}"/>
    <cellStyle name="Comma 4 2 7 5" xfId="4617" xr:uid="{A4A439FB-7CBB-4D30-9019-11E8C7680721}"/>
    <cellStyle name="Comma 4 2 7 5 2" xfId="13289" xr:uid="{90344503-A8F6-47D1-A49A-EBDC4D8517F1}"/>
    <cellStyle name="Comma 4 2 7 5 2 2" xfId="30633" xr:uid="{A6587289-2F43-4D03-8563-DCEB9B8077AA}"/>
    <cellStyle name="Comma 4 2 7 5 3" xfId="21961" xr:uid="{1F99E596-2AFA-43D1-A8AC-F28BC6BF4C6B}"/>
    <cellStyle name="Comma 4 2 7 6" xfId="8953" xr:uid="{7004CF97-B80D-482D-A102-03EAA66918B1}"/>
    <cellStyle name="Comma 4 2 7 6 2" xfId="26297" xr:uid="{261A931C-F530-4958-A709-54797DA4D2F4}"/>
    <cellStyle name="Comma 4 2 7 7" xfId="17625" xr:uid="{D910BCF8-0387-4F4F-906D-1D6303283A5B}"/>
    <cellStyle name="Comma 4 2 8" xfId="552" xr:uid="{63292483-B650-4854-A03E-7715A2FBE0F1}"/>
    <cellStyle name="Comma 4 2 8 2" xfId="1636" xr:uid="{ED42345B-C0C8-4DFC-AD66-190021285A32}"/>
    <cellStyle name="Comma 4 2 8 2 2" xfId="3804" xr:uid="{E84922B1-7D6A-46B3-8D79-93F2B3A1D676}"/>
    <cellStyle name="Comma 4 2 8 2 2 2" xfId="8140" xr:uid="{20CBF1EB-16F5-4DED-B9FF-A7D1B79E1E24}"/>
    <cellStyle name="Comma 4 2 8 2 2 2 2" xfId="16812" xr:uid="{CB79F71F-2CA4-41DB-8865-4DE249AE7EC5}"/>
    <cellStyle name="Comma 4 2 8 2 2 2 2 2" xfId="34156" xr:uid="{3B9FA608-4908-4C60-BA2E-47E56557EB8F}"/>
    <cellStyle name="Comma 4 2 8 2 2 2 3" xfId="25484" xr:uid="{BD00A8C9-BA96-473E-AFC4-B7626412BC11}"/>
    <cellStyle name="Comma 4 2 8 2 2 3" xfId="12476" xr:uid="{11B8FB8A-4392-4BF8-AD36-C09BF3BB7C52}"/>
    <cellStyle name="Comma 4 2 8 2 2 3 2" xfId="29820" xr:uid="{905D4F68-4D8F-4887-AF73-521A4A6A6DA7}"/>
    <cellStyle name="Comma 4 2 8 2 2 4" xfId="21148" xr:uid="{8D5B7AEA-19E0-44C7-A77F-97999E9929D8}"/>
    <cellStyle name="Comma 4 2 8 2 3" xfId="5972" xr:uid="{86B68994-9A9E-4512-A8CA-95A2AD253FEB}"/>
    <cellStyle name="Comma 4 2 8 2 3 2" xfId="14644" xr:uid="{6DE46FB5-3E51-4948-BD6B-55419D3FFD85}"/>
    <cellStyle name="Comma 4 2 8 2 3 2 2" xfId="31988" xr:uid="{8B1E20C5-1227-450D-93EE-1A4B24C34E32}"/>
    <cellStyle name="Comma 4 2 8 2 3 3" xfId="23316" xr:uid="{2F05B764-6340-40B9-9F8A-285A166433F1}"/>
    <cellStyle name="Comma 4 2 8 2 4" xfId="10308" xr:uid="{9155D3D1-EF7B-49A9-8A51-85B3B3F322F1}"/>
    <cellStyle name="Comma 4 2 8 2 4 2" xfId="27652" xr:uid="{7588205A-ADD3-4DBF-A081-534712C9C894}"/>
    <cellStyle name="Comma 4 2 8 2 5" xfId="18980" xr:uid="{5C5C4786-990A-4330-ACC8-1147BE30F394}"/>
    <cellStyle name="Comma 4 2 8 3" xfId="2720" xr:uid="{449DAC4E-D24B-4F85-B77D-EBCB45E72FF8}"/>
    <cellStyle name="Comma 4 2 8 3 2" xfId="7056" xr:uid="{78635CFC-C6FF-416B-9A8A-6D7C5553E040}"/>
    <cellStyle name="Comma 4 2 8 3 2 2" xfId="15728" xr:uid="{AC1B8AA3-2CC5-4E08-BB6C-791D29B99CF8}"/>
    <cellStyle name="Comma 4 2 8 3 2 2 2" xfId="33072" xr:uid="{E44BAF97-05B7-4BE4-B773-78B4D7C63951}"/>
    <cellStyle name="Comma 4 2 8 3 2 3" xfId="24400" xr:uid="{DEF48B8C-AAD9-448D-A3C0-2999ADBF5996}"/>
    <cellStyle name="Comma 4 2 8 3 3" xfId="11392" xr:uid="{0F404FAC-D452-4621-867F-92F5C127184A}"/>
    <cellStyle name="Comma 4 2 8 3 3 2" xfId="28736" xr:uid="{35C53A1D-6038-4719-AA65-12A7D6FB0335}"/>
    <cellStyle name="Comma 4 2 8 3 4" xfId="20064" xr:uid="{657B79A4-8CA4-4ABB-BACD-642E8576434C}"/>
    <cellStyle name="Comma 4 2 8 4" xfId="4888" xr:uid="{546E4B9C-695F-4301-AA63-BE283A2C5410}"/>
    <cellStyle name="Comma 4 2 8 4 2" xfId="13560" xr:uid="{2D82B716-0F37-444E-9B76-283EFD46B557}"/>
    <cellStyle name="Comma 4 2 8 4 2 2" xfId="30904" xr:uid="{426EE81B-CBCF-4E5B-8A84-1F11A8BA8295}"/>
    <cellStyle name="Comma 4 2 8 4 3" xfId="22232" xr:uid="{396BE930-2A85-416C-981D-E13F86F0D68D}"/>
    <cellStyle name="Comma 4 2 8 5" xfId="9224" xr:uid="{C3C36D76-5EF5-413F-B244-8AFD7F95A6F8}"/>
    <cellStyle name="Comma 4 2 8 5 2" xfId="26568" xr:uid="{4A70B0F2-6804-444C-BA19-BFEDD24707A3}"/>
    <cellStyle name="Comma 4 2 8 6" xfId="17896" xr:uid="{DFD2D0EA-310F-48E6-B3D9-160370952FB4}"/>
    <cellStyle name="Comma 4 2 9" xfId="1095" xr:uid="{408383D0-7953-4AF4-9FC0-E642F07F7D10}"/>
    <cellStyle name="Comma 4 2 9 2" xfId="3263" xr:uid="{736A4F9B-E159-4CC6-A584-9EE60EFF00F6}"/>
    <cellStyle name="Comma 4 2 9 2 2" xfId="7599" xr:uid="{929C740C-DA30-440E-96E1-91B8E258C1BA}"/>
    <cellStyle name="Comma 4 2 9 2 2 2" xfId="16271" xr:uid="{27F4A327-3BCA-4F2A-9367-A81360D5EDF2}"/>
    <cellStyle name="Comma 4 2 9 2 2 2 2" xfId="33615" xr:uid="{F377E08A-8319-47A9-A75D-3831E7E5B245}"/>
    <cellStyle name="Comma 4 2 9 2 2 3" xfId="24943" xr:uid="{7752F3D1-7025-4F32-A9E9-65D95C4CB1A5}"/>
    <cellStyle name="Comma 4 2 9 2 3" xfId="11935" xr:uid="{DF4A1058-0D09-4C99-BE62-6BD0F0BF555F}"/>
    <cellStyle name="Comma 4 2 9 2 3 2" xfId="29279" xr:uid="{F2121877-F2C7-4B78-9601-41EF3BD91545}"/>
    <cellStyle name="Comma 4 2 9 2 4" xfId="20607" xr:uid="{4AD3DFAE-316C-461D-AEB2-BA8E4F4F5302}"/>
    <cellStyle name="Comma 4 2 9 3" xfId="5431" xr:uid="{36807B6B-8C84-4DDD-A6C0-B3BFD57E3795}"/>
    <cellStyle name="Comma 4 2 9 3 2" xfId="14103" xr:uid="{628C154E-CE32-4402-8AB3-A1A963DA9B1D}"/>
    <cellStyle name="Comma 4 2 9 3 2 2" xfId="31447" xr:uid="{E7C3325A-75EB-42C2-9E9E-AA2431F81001}"/>
    <cellStyle name="Comma 4 2 9 3 3" xfId="22775" xr:uid="{48E05AEB-A979-4E5D-841D-BB8117715E89}"/>
    <cellStyle name="Comma 4 2 9 4" xfId="9767" xr:uid="{FD9F7644-F1DB-40A8-8C9F-2AC4B19FB604}"/>
    <cellStyle name="Comma 4 2 9 4 2" xfId="27111" xr:uid="{12ABEF38-1488-485F-94A2-95D2AFDB89AC}"/>
    <cellStyle name="Comma 4 2 9 5" xfId="18439" xr:uid="{9E27CCA6-BFEF-4EFC-B789-42EA2332B773}"/>
    <cellStyle name="Comma 4 3" xfId="21" xr:uid="{266B7D78-BBAE-40DE-96E8-3482D0078C67}"/>
    <cellStyle name="Comma 4 3 10" xfId="8693" xr:uid="{4BF70454-6532-4B30-B5A6-CD44A9E28222}"/>
    <cellStyle name="Comma 4 3 10 2" xfId="26037" xr:uid="{F315294B-FA71-4090-A881-00BBDC7BB48D}"/>
    <cellStyle name="Comma 4 3 11" xfId="17365" xr:uid="{7E0E56AB-EF57-4A97-AEFA-1BA5B62836D8}"/>
    <cellStyle name="Comma 4 3 2" xfId="82" xr:uid="{51A6CB82-91AA-42C2-9BD0-0771D7D6CAF2}"/>
    <cellStyle name="Comma 4 3 2 2" xfId="204" xr:uid="{4D841401-B53B-4A1C-8BC2-D29FEB3133F3}"/>
    <cellStyle name="Comma 4 3 2 2 2" xfId="474" xr:uid="{661B7BFA-34D5-4BB0-871D-FF18DFCA2B19}"/>
    <cellStyle name="Comma 4 3 2 2 2 2" xfId="1015" xr:uid="{18FC39F6-E513-4C27-AB42-4EC8C62C65B8}"/>
    <cellStyle name="Comma 4 3 2 2 2 2 2" xfId="2099" xr:uid="{0F62AEC4-907E-4377-9EB4-58A612E32566}"/>
    <cellStyle name="Comma 4 3 2 2 2 2 2 2" xfId="4267" xr:uid="{CA28FE43-938B-4706-916B-01EDDB7A88BA}"/>
    <cellStyle name="Comma 4 3 2 2 2 2 2 2 2" xfId="8603" xr:uid="{F8943F9E-3F06-48D7-8EF5-BB5D63CF9A26}"/>
    <cellStyle name="Comma 4 3 2 2 2 2 2 2 2 2" xfId="17275" xr:uid="{CF63E2AD-C7A4-4D19-93C0-21A748B6B594}"/>
    <cellStyle name="Comma 4 3 2 2 2 2 2 2 2 2 2" xfId="34619" xr:uid="{9182371C-5F78-4584-9154-6FE33BB72401}"/>
    <cellStyle name="Comma 4 3 2 2 2 2 2 2 2 3" xfId="25947" xr:uid="{7340B6C2-7BFD-4B75-957B-8967513838A9}"/>
    <cellStyle name="Comma 4 3 2 2 2 2 2 2 3" xfId="12939" xr:uid="{07E29B94-13DE-4447-92C1-5340C15D2E02}"/>
    <cellStyle name="Comma 4 3 2 2 2 2 2 2 3 2" xfId="30283" xr:uid="{70A1983D-0C1E-4E9F-9026-DC6D6069932B}"/>
    <cellStyle name="Comma 4 3 2 2 2 2 2 2 4" xfId="21611" xr:uid="{3907C041-61D4-4239-ADCB-EABC9D04F94E}"/>
    <cellStyle name="Comma 4 3 2 2 2 2 2 3" xfId="6435" xr:uid="{F6E8D8E5-97D0-4383-A1D1-0F9D5E169E2E}"/>
    <cellStyle name="Comma 4 3 2 2 2 2 2 3 2" xfId="15107" xr:uid="{E4EE1190-9E20-4C53-911E-4E242DB9F39A}"/>
    <cellStyle name="Comma 4 3 2 2 2 2 2 3 2 2" xfId="32451" xr:uid="{419D714F-6891-40E5-8FF1-7C8D3D3462EA}"/>
    <cellStyle name="Comma 4 3 2 2 2 2 2 3 3" xfId="23779" xr:uid="{9FEF599E-004B-4E36-8C86-B007B38C6A08}"/>
    <cellStyle name="Comma 4 3 2 2 2 2 2 4" xfId="10771" xr:uid="{EA416571-3614-4110-A1C2-C7754813A9DF}"/>
    <cellStyle name="Comma 4 3 2 2 2 2 2 4 2" xfId="28115" xr:uid="{826D3703-5CD3-4E09-8ED9-501A762597B8}"/>
    <cellStyle name="Comma 4 3 2 2 2 2 2 5" xfId="19443" xr:uid="{28DC7113-3610-4C36-9F8E-1EE34EE8E15D}"/>
    <cellStyle name="Comma 4 3 2 2 2 2 3" xfId="3183" xr:uid="{39E72B91-8567-4CEC-B298-3285EDEB45D3}"/>
    <cellStyle name="Comma 4 3 2 2 2 2 3 2" xfId="7519" xr:uid="{376CFBED-B961-4D4E-A659-AB44CE6B9C5D}"/>
    <cellStyle name="Comma 4 3 2 2 2 2 3 2 2" xfId="16191" xr:uid="{9E642009-3EB3-4B57-ABC7-E510AD3D489C}"/>
    <cellStyle name="Comma 4 3 2 2 2 2 3 2 2 2" xfId="33535" xr:uid="{95DA5A2D-3B7E-4BB4-81AF-44A01BC4A0E4}"/>
    <cellStyle name="Comma 4 3 2 2 2 2 3 2 3" xfId="24863" xr:uid="{7FB1801B-B351-412A-809E-B1F1182407F9}"/>
    <cellStyle name="Comma 4 3 2 2 2 2 3 3" xfId="11855" xr:uid="{38722FF3-8008-443B-A92B-408D739B4492}"/>
    <cellStyle name="Comma 4 3 2 2 2 2 3 3 2" xfId="29199" xr:uid="{A6B03612-D345-4AF6-B8E9-24B6CDBC1012}"/>
    <cellStyle name="Comma 4 3 2 2 2 2 3 4" xfId="20527" xr:uid="{D359BC56-4C00-4659-9291-22F7E4C4B771}"/>
    <cellStyle name="Comma 4 3 2 2 2 2 4" xfId="5351" xr:uid="{B681E592-6789-479A-8A87-257C60BC6F6F}"/>
    <cellStyle name="Comma 4 3 2 2 2 2 4 2" xfId="14023" xr:uid="{602EE74E-7AFE-4664-851B-8BEBD596D3B9}"/>
    <cellStyle name="Comma 4 3 2 2 2 2 4 2 2" xfId="31367" xr:uid="{F97D90AB-9036-4C69-9723-32835F2396DB}"/>
    <cellStyle name="Comma 4 3 2 2 2 2 4 3" xfId="22695" xr:uid="{A2E4DD7C-C350-45D4-AF10-159918DF3FDD}"/>
    <cellStyle name="Comma 4 3 2 2 2 2 5" xfId="9687" xr:uid="{CB024BE9-7C16-44A1-8435-DE814C7AB2C4}"/>
    <cellStyle name="Comma 4 3 2 2 2 2 5 2" xfId="27031" xr:uid="{285EE976-F74A-4FE6-BB3E-EED41FA351BE}"/>
    <cellStyle name="Comma 4 3 2 2 2 2 6" xfId="18359" xr:uid="{52BDF6C7-06C4-408C-AAF9-AF285E3CFA46}"/>
    <cellStyle name="Comma 4 3 2 2 2 3" xfId="1558" xr:uid="{E7AE23F7-EAC5-445A-AFB4-2B0BFC58E858}"/>
    <cellStyle name="Comma 4 3 2 2 2 3 2" xfId="3726" xr:uid="{8BE1569F-5DD3-48A7-9079-5F9CA6F88D98}"/>
    <cellStyle name="Comma 4 3 2 2 2 3 2 2" xfId="8062" xr:uid="{1736876A-246B-452D-971A-BF7263735A57}"/>
    <cellStyle name="Comma 4 3 2 2 2 3 2 2 2" xfId="16734" xr:uid="{B2E532FA-63E4-4A19-9075-71855DD874D8}"/>
    <cellStyle name="Comma 4 3 2 2 2 3 2 2 2 2" xfId="34078" xr:uid="{6494126A-532F-41EB-85A6-4D5E17208AB3}"/>
    <cellStyle name="Comma 4 3 2 2 2 3 2 2 3" xfId="25406" xr:uid="{93E2512A-825A-497C-9CA5-4324270A4174}"/>
    <cellStyle name="Comma 4 3 2 2 2 3 2 3" xfId="12398" xr:uid="{1868575F-2AE2-4946-9A1B-AB6C8D8A3BF1}"/>
    <cellStyle name="Comma 4 3 2 2 2 3 2 3 2" xfId="29742" xr:uid="{26D4C0DE-DFB6-4F59-A0ED-0224C6DA42EE}"/>
    <cellStyle name="Comma 4 3 2 2 2 3 2 4" xfId="21070" xr:uid="{BA076594-F2C0-4DC7-8D89-ED50F4FB6795}"/>
    <cellStyle name="Comma 4 3 2 2 2 3 3" xfId="5894" xr:uid="{F896D5EF-6827-4427-9C25-AD98205E4056}"/>
    <cellStyle name="Comma 4 3 2 2 2 3 3 2" xfId="14566" xr:uid="{90C39BDE-6912-4114-BD07-1FD4001A450B}"/>
    <cellStyle name="Comma 4 3 2 2 2 3 3 2 2" xfId="31910" xr:uid="{859E83B8-3E5C-46D9-AA43-880239CB5A15}"/>
    <cellStyle name="Comma 4 3 2 2 2 3 3 3" xfId="23238" xr:uid="{033FC262-8050-497F-B15D-E110F5E523B8}"/>
    <cellStyle name="Comma 4 3 2 2 2 3 4" xfId="10230" xr:uid="{E2B5DF6D-A09B-4289-9A53-49162C22717A}"/>
    <cellStyle name="Comma 4 3 2 2 2 3 4 2" xfId="27574" xr:uid="{A2435655-D6B3-4996-9693-3558574EF666}"/>
    <cellStyle name="Comma 4 3 2 2 2 3 5" xfId="18902" xr:uid="{6EF9DB17-E5EE-4D6D-A4E7-78B017BD0187}"/>
    <cellStyle name="Comma 4 3 2 2 2 4" xfId="2642" xr:uid="{D899BC98-E07A-4FA9-99BB-82E39EDA3B0E}"/>
    <cellStyle name="Comma 4 3 2 2 2 4 2" xfId="6978" xr:uid="{A42DA920-60E7-4814-8F79-094F74298E14}"/>
    <cellStyle name="Comma 4 3 2 2 2 4 2 2" xfId="15650" xr:uid="{0366284E-4046-4C02-8545-6167341281B0}"/>
    <cellStyle name="Comma 4 3 2 2 2 4 2 2 2" xfId="32994" xr:uid="{D3BF5A49-731B-4D9C-94CF-5A1EE7E80BCC}"/>
    <cellStyle name="Comma 4 3 2 2 2 4 2 3" xfId="24322" xr:uid="{D91FA2E8-A825-46D3-A2CA-062EF04BDEBC}"/>
    <cellStyle name="Comma 4 3 2 2 2 4 3" xfId="11314" xr:uid="{1B160FC0-1E6C-41BD-BCFF-E90E93ECE602}"/>
    <cellStyle name="Comma 4 3 2 2 2 4 3 2" xfId="28658" xr:uid="{8993B4E3-F300-4E7C-833D-0A1049598277}"/>
    <cellStyle name="Comma 4 3 2 2 2 4 4" xfId="19986" xr:uid="{D3AF7F54-F7F6-41AF-8A43-54B265F99450}"/>
    <cellStyle name="Comma 4 3 2 2 2 5" xfId="4810" xr:uid="{30ADDB0E-8DA1-466F-BB91-3C986BD85D9B}"/>
    <cellStyle name="Comma 4 3 2 2 2 5 2" xfId="13482" xr:uid="{7984BA53-3671-4661-BF3C-E090CB37B02D}"/>
    <cellStyle name="Comma 4 3 2 2 2 5 2 2" xfId="30826" xr:uid="{8A9A0DF6-8949-4930-B12F-1AD850EA55EA}"/>
    <cellStyle name="Comma 4 3 2 2 2 5 3" xfId="22154" xr:uid="{62D2AC21-F854-4BFA-846D-B001E511AB42}"/>
    <cellStyle name="Comma 4 3 2 2 2 6" xfId="9146" xr:uid="{740EF14E-690C-4091-B24C-942E4C049824}"/>
    <cellStyle name="Comma 4 3 2 2 2 6 2" xfId="26490" xr:uid="{288D1EBC-2383-4F60-943E-DEB904D8F749}"/>
    <cellStyle name="Comma 4 3 2 2 2 7" xfId="17818" xr:uid="{78704B51-3B7E-4122-8162-8F5827FDDF1C}"/>
    <cellStyle name="Comma 4 3 2 2 3" xfId="745" xr:uid="{FCA83133-C12A-4B6D-8440-455AD433FA60}"/>
    <cellStyle name="Comma 4 3 2 2 3 2" xfId="1829" xr:uid="{C250B6AA-8F62-4CCB-8D59-372E20BB0D67}"/>
    <cellStyle name="Comma 4 3 2 2 3 2 2" xfId="3997" xr:uid="{3FAAEEDA-27AD-441D-B0C4-FE866986978A}"/>
    <cellStyle name="Comma 4 3 2 2 3 2 2 2" xfId="8333" xr:uid="{82A383CD-9FE7-404F-833C-99E639112EC5}"/>
    <cellStyle name="Comma 4 3 2 2 3 2 2 2 2" xfId="17005" xr:uid="{32A01585-761E-42C3-83D7-61A5695DE543}"/>
    <cellStyle name="Comma 4 3 2 2 3 2 2 2 2 2" xfId="34349" xr:uid="{3BFE9DF9-F2FD-4D18-AE5A-F4A730F56BEA}"/>
    <cellStyle name="Comma 4 3 2 2 3 2 2 2 3" xfId="25677" xr:uid="{91477C47-7B84-4C12-9DAE-E4A47191F87D}"/>
    <cellStyle name="Comma 4 3 2 2 3 2 2 3" xfId="12669" xr:uid="{5E7022EB-9664-4EAB-BB1E-C75759B25EB4}"/>
    <cellStyle name="Comma 4 3 2 2 3 2 2 3 2" xfId="30013" xr:uid="{D988B64B-0A19-42C5-8FCA-D371DD6EC92B}"/>
    <cellStyle name="Comma 4 3 2 2 3 2 2 4" xfId="21341" xr:uid="{7CC1EC7E-C4F1-49E2-805E-064323B414E4}"/>
    <cellStyle name="Comma 4 3 2 2 3 2 3" xfId="6165" xr:uid="{DCFCA95A-35EC-40EB-86C2-9326676F61CE}"/>
    <cellStyle name="Comma 4 3 2 2 3 2 3 2" xfId="14837" xr:uid="{06A8B98E-A546-40EA-AF08-2F47F24928D6}"/>
    <cellStyle name="Comma 4 3 2 2 3 2 3 2 2" xfId="32181" xr:uid="{05835AC3-200B-441A-99F0-F1894DBD58C8}"/>
    <cellStyle name="Comma 4 3 2 2 3 2 3 3" xfId="23509" xr:uid="{C86D7F69-66AD-45C5-B229-BFBA336CD222}"/>
    <cellStyle name="Comma 4 3 2 2 3 2 4" xfId="10501" xr:uid="{580ED969-5F89-41E5-A290-63844402B40A}"/>
    <cellStyle name="Comma 4 3 2 2 3 2 4 2" xfId="27845" xr:uid="{FE54A611-0E87-40B5-9A4B-671B4D7253C9}"/>
    <cellStyle name="Comma 4 3 2 2 3 2 5" xfId="19173" xr:uid="{54A50194-24CD-44DD-9646-FD17A500CA3C}"/>
    <cellStyle name="Comma 4 3 2 2 3 3" xfId="2913" xr:uid="{CFEA2C53-0622-461F-9398-ECAD510C619E}"/>
    <cellStyle name="Comma 4 3 2 2 3 3 2" xfId="7249" xr:uid="{82F41D08-796A-47D9-A66F-ACB66C51B424}"/>
    <cellStyle name="Comma 4 3 2 2 3 3 2 2" xfId="15921" xr:uid="{D41EE3ED-BC39-4590-8EC9-77ECA10D287F}"/>
    <cellStyle name="Comma 4 3 2 2 3 3 2 2 2" xfId="33265" xr:uid="{F175290A-80E8-429D-A635-ECD781E4CA88}"/>
    <cellStyle name="Comma 4 3 2 2 3 3 2 3" xfId="24593" xr:uid="{586B5269-2EBA-4DC8-919E-1EA5F93D06F3}"/>
    <cellStyle name="Comma 4 3 2 2 3 3 3" xfId="11585" xr:uid="{5503B22C-538D-458F-BF61-036AAEE6C6D4}"/>
    <cellStyle name="Comma 4 3 2 2 3 3 3 2" xfId="28929" xr:uid="{94C46C00-12B4-4D88-B3D2-45AC21175EB1}"/>
    <cellStyle name="Comma 4 3 2 2 3 3 4" xfId="20257" xr:uid="{F76382E9-6E0B-49E2-8CCB-A297FBA3F53A}"/>
    <cellStyle name="Comma 4 3 2 2 3 4" xfId="5081" xr:uid="{06FF3D13-0430-46B5-B96D-4380EB07EB13}"/>
    <cellStyle name="Comma 4 3 2 2 3 4 2" xfId="13753" xr:uid="{6A7B1325-F66A-4243-A4CC-EF79AA01A9A4}"/>
    <cellStyle name="Comma 4 3 2 2 3 4 2 2" xfId="31097" xr:uid="{66689EDD-03BA-43B7-A1A8-D169F7DC71C8}"/>
    <cellStyle name="Comma 4 3 2 2 3 4 3" xfId="22425" xr:uid="{65465282-36CD-4F22-A267-7DE4C979F302}"/>
    <cellStyle name="Comma 4 3 2 2 3 5" xfId="9417" xr:uid="{A0898FCE-90E5-43CC-A90D-DF7EA0E2C4D1}"/>
    <cellStyle name="Comma 4 3 2 2 3 5 2" xfId="26761" xr:uid="{8A8BA144-6969-4FDB-B7B4-854F8D09B508}"/>
    <cellStyle name="Comma 4 3 2 2 3 6" xfId="18089" xr:uid="{9A06748A-3C22-4192-A924-F3AB3200B71F}"/>
    <cellStyle name="Comma 4 3 2 2 4" xfId="1288" xr:uid="{E3D4CCBB-7FFD-4ED7-B4F6-D6E1D2522166}"/>
    <cellStyle name="Comma 4 3 2 2 4 2" xfId="3456" xr:uid="{DC68D0B9-F30E-4645-9CD5-52484039B524}"/>
    <cellStyle name="Comma 4 3 2 2 4 2 2" xfId="7792" xr:uid="{5B8E99C5-D6A8-4A4D-BE86-88B0CE2E4889}"/>
    <cellStyle name="Comma 4 3 2 2 4 2 2 2" xfId="16464" xr:uid="{DD5A1222-C8EB-41A6-A6F1-E48B422120BE}"/>
    <cellStyle name="Comma 4 3 2 2 4 2 2 2 2" xfId="33808" xr:uid="{B2BB6F58-0006-4C1A-986D-9C4A035B418F}"/>
    <cellStyle name="Comma 4 3 2 2 4 2 2 3" xfId="25136" xr:uid="{EDBB30F2-3625-45E0-A708-60A7F578C116}"/>
    <cellStyle name="Comma 4 3 2 2 4 2 3" xfId="12128" xr:uid="{465CA168-9AF1-4DBD-BEC1-BE9EF5104E87}"/>
    <cellStyle name="Comma 4 3 2 2 4 2 3 2" xfId="29472" xr:uid="{9F940B45-A285-4CCF-9BF3-665AFA1530C3}"/>
    <cellStyle name="Comma 4 3 2 2 4 2 4" xfId="20800" xr:uid="{57D4368F-A497-4FB9-B93C-A702C3C2BF05}"/>
    <cellStyle name="Comma 4 3 2 2 4 3" xfId="5624" xr:uid="{738CB7BD-4427-40CF-8682-E4DABDFE73F5}"/>
    <cellStyle name="Comma 4 3 2 2 4 3 2" xfId="14296" xr:uid="{C7DEF9FF-6B5C-43B3-9633-E3178EF152A1}"/>
    <cellStyle name="Comma 4 3 2 2 4 3 2 2" xfId="31640" xr:uid="{CBB7D5F9-446B-4C78-A1AC-7F89DFC6F272}"/>
    <cellStyle name="Comma 4 3 2 2 4 3 3" xfId="22968" xr:uid="{3831762A-00C7-48F8-9345-DEB63417A7C7}"/>
    <cellStyle name="Comma 4 3 2 2 4 4" xfId="9960" xr:uid="{5FEF67DE-18B1-4FB7-BAA4-D051B5FA1C03}"/>
    <cellStyle name="Comma 4 3 2 2 4 4 2" xfId="27304" xr:uid="{6F4131C5-D63A-497E-A8D8-77C18E1E65CA}"/>
    <cellStyle name="Comma 4 3 2 2 4 5" xfId="18632" xr:uid="{3D9DF91D-D2D9-4930-8543-49A30E78C023}"/>
    <cellStyle name="Comma 4 3 2 2 5" xfId="2372" xr:uid="{7537AF87-F760-4DC9-86F2-65DFBFDA64CC}"/>
    <cellStyle name="Comma 4 3 2 2 5 2" xfId="6708" xr:uid="{18EA2CDF-DE0D-4D62-B226-00FC61D022AB}"/>
    <cellStyle name="Comma 4 3 2 2 5 2 2" xfId="15380" xr:uid="{7A4BF599-967B-4733-B0D8-630B7C16C0FD}"/>
    <cellStyle name="Comma 4 3 2 2 5 2 2 2" xfId="32724" xr:uid="{34312CAC-D069-4204-A4FD-B91512D192FE}"/>
    <cellStyle name="Comma 4 3 2 2 5 2 3" xfId="24052" xr:uid="{28086560-8FB7-41DD-B47B-9E76891FFE80}"/>
    <cellStyle name="Comma 4 3 2 2 5 3" xfId="11044" xr:uid="{52176609-0481-4B1C-AF34-927C22CD0B4D}"/>
    <cellStyle name="Comma 4 3 2 2 5 3 2" xfId="28388" xr:uid="{5CE67B30-C65B-404F-992D-8AF13515CEDE}"/>
    <cellStyle name="Comma 4 3 2 2 5 4" xfId="19716" xr:uid="{9E9B8D84-F454-409C-A0E9-B7983A5CF4EA}"/>
    <cellStyle name="Comma 4 3 2 2 6" xfId="4540" xr:uid="{F8349450-CDD5-4633-AE09-D914FA46910F}"/>
    <cellStyle name="Comma 4 3 2 2 6 2" xfId="13212" xr:uid="{D6254C08-9C2B-44BA-B155-8C30C1B27D02}"/>
    <cellStyle name="Comma 4 3 2 2 6 2 2" xfId="30556" xr:uid="{4E5BAF3E-0AB4-4904-8039-46A1782190EE}"/>
    <cellStyle name="Comma 4 3 2 2 6 3" xfId="21884" xr:uid="{279DB064-878F-4A05-A9A8-3897050C89ED}"/>
    <cellStyle name="Comma 4 3 2 2 7" xfId="8876" xr:uid="{B87C9CC2-A015-4D4D-925A-E922D14F981F}"/>
    <cellStyle name="Comma 4 3 2 2 7 2" xfId="26220" xr:uid="{A6244C0E-57C7-4004-B952-21369493E677}"/>
    <cellStyle name="Comma 4 3 2 2 8" xfId="17548" xr:uid="{741E041D-22AF-46B4-BDA9-617F052D58E5}"/>
    <cellStyle name="Comma 4 3 2 3" xfId="352" xr:uid="{A6A663AC-50E1-4A52-80FF-462D25E6C6C9}"/>
    <cellStyle name="Comma 4 3 2 3 2" xfId="893" xr:uid="{D4E46DE1-8793-46E7-AD07-87431ED563C4}"/>
    <cellStyle name="Comma 4 3 2 3 2 2" xfId="1977" xr:uid="{04609ED5-4886-4E44-B834-3427ACDA438D}"/>
    <cellStyle name="Comma 4 3 2 3 2 2 2" xfId="4145" xr:uid="{75CE5C90-D42A-4321-B72B-53FE60E2636C}"/>
    <cellStyle name="Comma 4 3 2 3 2 2 2 2" xfId="8481" xr:uid="{5D2A45FE-5FDC-4251-9126-66694AF21995}"/>
    <cellStyle name="Comma 4 3 2 3 2 2 2 2 2" xfId="17153" xr:uid="{CDA3F706-AD1C-4E43-8A1F-6B7978E25632}"/>
    <cellStyle name="Comma 4 3 2 3 2 2 2 2 2 2" xfId="34497" xr:uid="{0AB5526F-D2CD-449D-8593-8F4BF8E8E37D}"/>
    <cellStyle name="Comma 4 3 2 3 2 2 2 2 3" xfId="25825" xr:uid="{A9EFB0F0-2A45-4E9D-A437-1E44F0A87561}"/>
    <cellStyle name="Comma 4 3 2 3 2 2 2 3" xfId="12817" xr:uid="{7BE62F20-C2A1-4948-9A03-042188319D6C}"/>
    <cellStyle name="Comma 4 3 2 3 2 2 2 3 2" xfId="30161" xr:uid="{2EA52C0D-69BD-40F1-88A2-1EDE07DFC05D}"/>
    <cellStyle name="Comma 4 3 2 3 2 2 2 4" xfId="21489" xr:uid="{07E527C2-CD97-431E-8955-BCDF5CC3F2EA}"/>
    <cellStyle name="Comma 4 3 2 3 2 2 3" xfId="6313" xr:uid="{B544DDBB-033C-4214-AD4D-36F4047581C9}"/>
    <cellStyle name="Comma 4 3 2 3 2 2 3 2" xfId="14985" xr:uid="{AB46D582-6D71-4EBA-8859-B6AC0D5869E1}"/>
    <cellStyle name="Comma 4 3 2 3 2 2 3 2 2" xfId="32329" xr:uid="{40477915-2A7C-4466-B973-506B992B8EE0}"/>
    <cellStyle name="Comma 4 3 2 3 2 2 3 3" xfId="23657" xr:uid="{50D7FABC-ED65-40E6-AD95-DD363952940E}"/>
    <cellStyle name="Comma 4 3 2 3 2 2 4" xfId="10649" xr:uid="{CC93254D-FEB9-4882-9320-2A6D3F30E206}"/>
    <cellStyle name="Comma 4 3 2 3 2 2 4 2" xfId="27993" xr:uid="{048D943C-E404-4838-9C96-DD1CE9BAAC8E}"/>
    <cellStyle name="Comma 4 3 2 3 2 2 5" xfId="19321" xr:uid="{5B23B02B-5A49-4DF2-AE3B-2DE7133C8AF7}"/>
    <cellStyle name="Comma 4 3 2 3 2 3" xfId="3061" xr:uid="{BC87BFE4-1146-4A4D-B349-A0573F6E1E9B}"/>
    <cellStyle name="Comma 4 3 2 3 2 3 2" xfId="7397" xr:uid="{7A8FA5CD-4F69-4C33-B29D-AAA50C147042}"/>
    <cellStyle name="Comma 4 3 2 3 2 3 2 2" xfId="16069" xr:uid="{EBAE72DE-4EE2-4BC4-B120-48F26A1BAFC6}"/>
    <cellStyle name="Comma 4 3 2 3 2 3 2 2 2" xfId="33413" xr:uid="{C29E090F-463A-4738-9F2A-B4500ECCEFE9}"/>
    <cellStyle name="Comma 4 3 2 3 2 3 2 3" xfId="24741" xr:uid="{B04E9663-3524-4EA5-80CD-892E4E734EFE}"/>
    <cellStyle name="Comma 4 3 2 3 2 3 3" xfId="11733" xr:uid="{670794CC-7473-4EFB-8233-172E41B321E0}"/>
    <cellStyle name="Comma 4 3 2 3 2 3 3 2" xfId="29077" xr:uid="{4FD3A7DC-DA9A-4BAE-9C60-09D853EEF3A1}"/>
    <cellStyle name="Comma 4 3 2 3 2 3 4" xfId="20405" xr:uid="{AA2BE216-C530-46CF-88BD-3E6417F62134}"/>
    <cellStyle name="Comma 4 3 2 3 2 4" xfId="5229" xr:uid="{EA726FDB-BD3C-4CE2-85B7-7FE9397E79C8}"/>
    <cellStyle name="Comma 4 3 2 3 2 4 2" xfId="13901" xr:uid="{6E742EDF-4A7A-4C9D-9B81-C2680775B19B}"/>
    <cellStyle name="Comma 4 3 2 3 2 4 2 2" xfId="31245" xr:uid="{A6D1FBB8-CDBF-4380-A68A-7B7E9DEB1491}"/>
    <cellStyle name="Comma 4 3 2 3 2 4 3" xfId="22573" xr:uid="{9B670C39-21D2-4253-9098-78254E21E83C}"/>
    <cellStyle name="Comma 4 3 2 3 2 5" xfId="9565" xr:uid="{74BAA76F-4D78-4B9C-85A3-E8920EE772A7}"/>
    <cellStyle name="Comma 4 3 2 3 2 5 2" xfId="26909" xr:uid="{52B57D60-ED2F-4035-BCC0-26D02A7251FD}"/>
    <cellStyle name="Comma 4 3 2 3 2 6" xfId="18237" xr:uid="{4104D0D8-92D4-4ABE-9BE9-FA60A6A24B89}"/>
    <cellStyle name="Comma 4 3 2 3 3" xfId="1436" xr:uid="{7DC2A575-74F0-4DF2-9DF0-9965480CD0A6}"/>
    <cellStyle name="Comma 4 3 2 3 3 2" xfId="3604" xr:uid="{9BA963B6-2A95-4DDC-AC58-3F6503017554}"/>
    <cellStyle name="Comma 4 3 2 3 3 2 2" xfId="7940" xr:uid="{4B198AA4-D030-4558-97FA-31518C674BAA}"/>
    <cellStyle name="Comma 4 3 2 3 3 2 2 2" xfId="16612" xr:uid="{CC2E4F32-01FC-4F09-B870-03A304C81484}"/>
    <cellStyle name="Comma 4 3 2 3 3 2 2 2 2" xfId="33956" xr:uid="{72B1270D-F1BE-483B-90A7-528E151D9D01}"/>
    <cellStyle name="Comma 4 3 2 3 3 2 2 3" xfId="25284" xr:uid="{FBEBE81C-3F3A-499E-A7FB-1125B13C09C0}"/>
    <cellStyle name="Comma 4 3 2 3 3 2 3" xfId="12276" xr:uid="{A4B2738A-B43C-4293-884E-E4F41414DBF0}"/>
    <cellStyle name="Comma 4 3 2 3 3 2 3 2" xfId="29620" xr:uid="{D3CCB0BE-6DAE-4706-9105-31574887A5D0}"/>
    <cellStyle name="Comma 4 3 2 3 3 2 4" xfId="20948" xr:uid="{E14F36B6-3CBC-46A1-A758-E10F7F842C9F}"/>
    <cellStyle name="Comma 4 3 2 3 3 3" xfId="5772" xr:uid="{B19EE6EE-922F-44E5-B79C-6532EC57871A}"/>
    <cellStyle name="Comma 4 3 2 3 3 3 2" xfId="14444" xr:uid="{B31EEDA9-4E22-4036-A35B-7DBB37F86584}"/>
    <cellStyle name="Comma 4 3 2 3 3 3 2 2" xfId="31788" xr:uid="{BEE53B85-0DE3-46D1-8A28-B0130BA0504A}"/>
    <cellStyle name="Comma 4 3 2 3 3 3 3" xfId="23116" xr:uid="{E24943F5-285C-4AEE-8383-4FF959094DD7}"/>
    <cellStyle name="Comma 4 3 2 3 3 4" xfId="10108" xr:uid="{53F102FB-8E0C-44E7-8D2D-34EAE9440E5A}"/>
    <cellStyle name="Comma 4 3 2 3 3 4 2" xfId="27452" xr:uid="{36DFA5E7-8939-4E25-8870-039FD0715B8D}"/>
    <cellStyle name="Comma 4 3 2 3 3 5" xfId="18780" xr:uid="{5122C425-01D7-4994-86DD-A8ACB2AFA650}"/>
    <cellStyle name="Comma 4 3 2 3 4" xfId="2520" xr:uid="{AA17E026-D26B-48C8-BE84-197923DA77B8}"/>
    <cellStyle name="Comma 4 3 2 3 4 2" xfId="6856" xr:uid="{BEF1BA3D-4F08-418F-BF37-EDB11321D042}"/>
    <cellStyle name="Comma 4 3 2 3 4 2 2" xfId="15528" xr:uid="{7CFF99AF-809F-4837-8401-252EF4D84E69}"/>
    <cellStyle name="Comma 4 3 2 3 4 2 2 2" xfId="32872" xr:uid="{B0C061E5-61B3-4668-B763-9E1A529B3ED5}"/>
    <cellStyle name="Comma 4 3 2 3 4 2 3" xfId="24200" xr:uid="{10CCAE69-051A-4BE6-8D58-2AB2FCC45EF3}"/>
    <cellStyle name="Comma 4 3 2 3 4 3" xfId="11192" xr:uid="{09EF64B9-F805-44B5-8235-02CF178FD9D9}"/>
    <cellStyle name="Comma 4 3 2 3 4 3 2" xfId="28536" xr:uid="{C1E29108-81B1-4E18-82F6-09F01AF0C84F}"/>
    <cellStyle name="Comma 4 3 2 3 4 4" xfId="19864" xr:uid="{6275EFC2-F2B6-40B1-9682-02B3DCF0A956}"/>
    <cellStyle name="Comma 4 3 2 3 5" xfId="4688" xr:uid="{ED738865-A2B4-4AEF-BC84-C57678B9C1C1}"/>
    <cellStyle name="Comma 4 3 2 3 5 2" xfId="13360" xr:uid="{64EA4587-60B4-4717-B5F0-9F422CE597BF}"/>
    <cellStyle name="Comma 4 3 2 3 5 2 2" xfId="30704" xr:uid="{3B02C17F-5D23-42E2-89BB-1816C6BCB5C9}"/>
    <cellStyle name="Comma 4 3 2 3 5 3" xfId="22032" xr:uid="{E080C489-8915-4022-9613-C9514BD8767C}"/>
    <cellStyle name="Comma 4 3 2 3 6" xfId="9024" xr:uid="{64E36F8A-D3B6-4A24-94E3-FB9BB9E14013}"/>
    <cellStyle name="Comma 4 3 2 3 6 2" xfId="26368" xr:uid="{1F291184-777B-456E-95FE-06141CC67D94}"/>
    <cellStyle name="Comma 4 3 2 3 7" xfId="17696" xr:uid="{15D75D1A-FF27-4A79-93FD-C4534185BAC8}"/>
    <cellStyle name="Comma 4 3 2 4" xfId="623" xr:uid="{CB5E9A21-4811-4778-9F26-85054C0A77D6}"/>
    <cellStyle name="Comma 4 3 2 4 2" xfId="1707" xr:uid="{5E4826A2-2EC8-4F44-A40E-E50446F0DAC8}"/>
    <cellStyle name="Comma 4 3 2 4 2 2" xfId="3875" xr:uid="{D5E129C7-9D80-4B6E-8F59-9277D00B1139}"/>
    <cellStyle name="Comma 4 3 2 4 2 2 2" xfId="8211" xr:uid="{A47AF3B7-4F87-4150-9401-B63C77E35A16}"/>
    <cellStyle name="Comma 4 3 2 4 2 2 2 2" xfId="16883" xr:uid="{EBCF10DF-155B-484D-9704-AD13311D6D7C}"/>
    <cellStyle name="Comma 4 3 2 4 2 2 2 2 2" xfId="34227" xr:uid="{175FD9D0-ACB3-4461-8B60-D57D79FD8D4F}"/>
    <cellStyle name="Comma 4 3 2 4 2 2 2 3" xfId="25555" xr:uid="{B3064536-FCC1-41AB-BF03-27813FD59866}"/>
    <cellStyle name="Comma 4 3 2 4 2 2 3" xfId="12547" xr:uid="{292CA66A-2E06-4D20-9CBF-C18B58964728}"/>
    <cellStyle name="Comma 4 3 2 4 2 2 3 2" xfId="29891" xr:uid="{C0909A48-AE4B-4113-BA49-6A62FF7354D5}"/>
    <cellStyle name="Comma 4 3 2 4 2 2 4" xfId="21219" xr:uid="{9635A5E2-3207-4B4B-AE5A-6278BCDB33AF}"/>
    <cellStyle name="Comma 4 3 2 4 2 3" xfId="6043" xr:uid="{9F7F7872-B9D8-4AD9-96AA-C3EFB4480FA4}"/>
    <cellStyle name="Comma 4 3 2 4 2 3 2" xfId="14715" xr:uid="{00749F41-BAE9-46B1-A77A-8FCDE58C7D46}"/>
    <cellStyle name="Comma 4 3 2 4 2 3 2 2" xfId="32059" xr:uid="{33AA7943-F9CB-4BC4-AEC9-178710A177B3}"/>
    <cellStyle name="Comma 4 3 2 4 2 3 3" xfId="23387" xr:uid="{7CB75688-94FA-42E7-97AD-7BA63903C1BC}"/>
    <cellStyle name="Comma 4 3 2 4 2 4" xfId="10379" xr:uid="{810BD7C9-7D84-4645-B902-15867EE25CE2}"/>
    <cellStyle name="Comma 4 3 2 4 2 4 2" xfId="27723" xr:uid="{A9F65642-8942-4E7F-9B6D-22A812ED2374}"/>
    <cellStyle name="Comma 4 3 2 4 2 5" xfId="19051" xr:uid="{F7829E87-D2A0-44C6-AD83-F72557373EDA}"/>
    <cellStyle name="Comma 4 3 2 4 3" xfId="2791" xr:uid="{13A84467-F9FF-4436-AA3A-467F8E9A02BC}"/>
    <cellStyle name="Comma 4 3 2 4 3 2" xfId="7127" xr:uid="{5DEB0766-306E-4970-B442-451F88F1270D}"/>
    <cellStyle name="Comma 4 3 2 4 3 2 2" xfId="15799" xr:uid="{49839E7A-F118-4082-809D-0E4B40C0A71E}"/>
    <cellStyle name="Comma 4 3 2 4 3 2 2 2" xfId="33143" xr:uid="{9AB0FFA8-C67A-4BD9-9AEE-DA5EB80EE7A3}"/>
    <cellStyle name="Comma 4 3 2 4 3 2 3" xfId="24471" xr:uid="{40B3662E-6825-41AB-B5BA-257B6A5FCD39}"/>
    <cellStyle name="Comma 4 3 2 4 3 3" xfId="11463" xr:uid="{D307D05F-B111-46A8-A60B-3052AE89661E}"/>
    <cellStyle name="Comma 4 3 2 4 3 3 2" xfId="28807" xr:uid="{996C76B4-7839-4B43-9C54-0AE5C84189E1}"/>
    <cellStyle name="Comma 4 3 2 4 3 4" xfId="20135" xr:uid="{0EB7AF74-89C7-4CAF-BDAA-D6CFAC31187D}"/>
    <cellStyle name="Comma 4 3 2 4 4" xfId="4959" xr:uid="{A4FD29A7-E583-4E77-8643-603BBF5DE17D}"/>
    <cellStyle name="Comma 4 3 2 4 4 2" xfId="13631" xr:uid="{F7F68B58-DADC-40A7-AC72-F8087D7ED2E9}"/>
    <cellStyle name="Comma 4 3 2 4 4 2 2" xfId="30975" xr:uid="{D7402E5D-0BFE-4D34-9CF1-BEE22CEC0EC2}"/>
    <cellStyle name="Comma 4 3 2 4 4 3" xfId="22303" xr:uid="{9D1A8A34-A793-4922-AF4E-C7EE295962EE}"/>
    <cellStyle name="Comma 4 3 2 4 5" xfId="9295" xr:uid="{440ABE13-0417-467D-AA51-0532608941BF}"/>
    <cellStyle name="Comma 4 3 2 4 5 2" xfId="26639" xr:uid="{25095F2D-C97D-47E0-8EC0-FE9CE893CE22}"/>
    <cellStyle name="Comma 4 3 2 4 6" xfId="17967" xr:uid="{7B4C3DA7-5CBD-49B3-A5B7-BEA14690241A}"/>
    <cellStyle name="Comma 4 3 2 5" xfId="1166" xr:uid="{075D8281-C2B1-488F-A8AF-071E954DC656}"/>
    <cellStyle name="Comma 4 3 2 5 2" xfId="3334" xr:uid="{5B87B2B6-821C-4F16-A6B9-BB44240D360E}"/>
    <cellStyle name="Comma 4 3 2 5 2 2" xfId="7670" xr:uid="{E603ACCA-9BD2-4A8C-AA20-35B21BFFAC38}"/>
    <cellStyle name="Comma 4 3 2 5 2 2 2" xfId="16342" xr:uid="{5111E267-AE45-4EBC-8BCE-5AC4A24413BB}"/>
    <cellStyle name="Comma 4 3 2 5 2 2 2 2" xfId="33686" xr:uid="{F0CD0FCC-FBE2-4AEA-8D8B-CDBC099314FA}"/>
    <cellStyle name="Comma 4 3 2 5 2 2 3" xfId="25014" xr:uid="{24AE3D03-E1A5-4BE6-AB97-A98037B6FC41}"/>
    <cellStyle name="Comma 4 3 2 5 2 3" xfId="12006" xr:uid="{8FE17877-BA0A-490C-8A2A-D4A0977AA269}"/>
    <cellStyle name="Comma 4 3 2 5 2 3 2" xfId="29350" xr:uid="{1ACD1820-9058-435E-9C59-A6E801CC7A07}"/>
    <cellStyle name="Comma 4 3 2 5 2 4" xfId="20678" xr:uid="{4492FFE2-8A0C-4C84-B23C-9FD5C31EE70E}"/>
    <cellStyle name="Comma 4 3 2 5 3" xfId="5502" xr:uid="{562204C7-C213-4189-9473-81A65F5B74C3}"/>
    <cellStyle name="Comma 4 3 2 5 3 2" xfId="14174" xr:uid="{DD4ADD68-8132-48A9-9CD4-B19DA7003AE3}"/>
    <cellStyle name="Comma 4 3 2 5 3 2 2" xfId="31518" xr:uid="{BC76EA77-B5F3-4294-8BD7-D790A32A8405}"/>
    <cellStyle name="Comma 4 3 2 5 3 3" xfId="22846" xr:uid="{85342A62-0BA8-442B-8960-EE37BB8AA03F}"/>
    <cellStyle name="Comma 4 3 2 5 4" xfId="9838" xr:uid="{3DD1596E-000B-4180-BDCB-E6D113FA581A}"/>
    <cellStyle name="Comma 4 3 2 5 4 2" xfId="27182" xr:uid="{3E4EFC57-97C8-478D-A796-52FA2F251C5F}"/>
    <cellStyle name="Comma 4 3 2 5 5" xfId="18510" xr:uid="{1E8BC303-533A-4493-8FC6-B2358A3F32F7}"/>
    <cellStyle name="Comma 4 3 2 6" xfId="2250" xr:uid="{9440F643-247A-4A64-8A2E-BB5E5056888D}"/>
    <cellStyle name="Comma 4 3 2 6 2" xfId="6586" xr:uid="{7B001782-994C-4EB6-B235-6DC5399625C9}"/>
    <cellStyle name="Comma 4 3 2 6 2 2" xfId="15258" xr:uid="{C5723DC9-B23D-403F-89BE-A6CD9AB5939D}"/>
    <cellStyle name="Comma 4 3 2 6 2 2 2" xfId="32602" xr:uid="{DFE4350B-8568-400B-868A-87EBB2E3FE9C}"/>
    <cellStyle name="Comma 4 3 2 6 2 3" xfId="23930" xr:uid="{789F0B61-E5A5-42F9-B9DA-C42B7525F8E7}"/>
    <cellStyle name="Comma 4 3 2 6 3" xfId="10922" xr:uid="{A963C274-8179-4B24-A150-B4B96E5D3E03}"/>
    <cellStyle name="Comma 4 3 2 6 3 2" xfId="28266" xr:uid="{6302D535-F537-4C8D-BDF8-FF8F3E156CD5}"/>
    <cellStyle name="Comma 4 3 2 6 4" xfId="19594" xr:uid="{AFC0FFE9-1097-4174-AF88-D308409D2F6B}"/>
    <cellStyle name="Comma 4 3 2 7" xfId="4418" xr:uid="{ECA35631-A60F-4D7B-8084-3344641EF273}"/>
    <cellStyle name="Comma 4 3 2 7 2" xfId="13090" xr:uid="{0EB544DF-0DA2-47C9-A7C7-E205E0B2C141}"/>
    <cellStyle name="Comma 4 3 2 7 2 2" xfId="30434" xr:uid="{99A06BCC-F69B-4531-8DA7-25ABDB2469E9}"/>
    <cellStyle name="Comma 4 3 2 7 3" xfId="21762" xr:uid="{187FA793-20CC-40F6-8B02-BD818BD84B1B}"/>
    <cellStyle name="Comma 4 3 2 8" xfId="8754" xr:uid="{86E00BCE-1863-45A2-87EC-352E1884DDE3}"/>
    <cellStyle name="Comma 4 3 2 8 2" xfId="26098" xr:uid="{8CFC0BF4-18A0-43A5-9A7E-E6B1F1138FAE}"/>
    <cellStyle name="Comma 4 3 2 9" xfId="17426" xr:uid="{AC67EECD-1061-4085-9C7A-A3947A884970}"/>
    <cellStyle name="Comma 4 3 3" xfId="143" xr:uid="{8B792FB6-B8C2-4CC5-94C2-95B258AD5032}"/>
    <cellStyle name="Comma 4 3 3 2" xfId="413" xr:uid="{C5D7E98A-454E-4AFC-9BD1-C5858A8779D7}"/>
    <cellStyle name="Comma 4 3 3 2 2" xfId="954" xr:uid="{0DD85714-AE3F-460D-ADDF-ED3F36053268}"/>
    <cellStyle name="Comma 4 3 3 2 2 2" xfId="2038" xr:uid="{51062D06-61E0-4551-923A-2A038C0FAC19}"/>
    <cellStyle name="Comma 4 3 3 2 2 2 2" xfId="4206" xr:uid="{5E85312E-1C82-4C9F-BF99-F6E363D3030A}"/>
    <cellStyle name="Comma 4 3 3 2 2 2 2 2" xfId="8542" xr:uid="{E50897AC-C80D-4B7D-BD20-D8B819B33C68}"/>
    <cellStyle name="Comma 4 3 3 2 2 2 2 2 2" xfId="17214" xr:uid="{926D2667-9745-405C-8333-4676E9D6B7E5}"/>
    <cellStyle name="Comma 4 3 3 2 2 2 2 2 2 2" xfId="34558" xr:uid="{56C7AB54-2B32-4855-9848-2B8B5FD969EC}"/>
    <cellStyle name="Comma 4 3 3 2 2 2 2 2 3" xfId="25886" xr:uid="{F67D8516-A250-40DB-95B0-D204570B2EFF}"/>
    <cellStyle name="Comma 4 3 3 2 2 2 2 3" xfId="12878" xr:uid="{C2ADFD19-3D57-4796-A48C-B2CB761FB768}"/>
    <cellStyle name="Comma 4 3 3 2 2 2 2 3 2" xfId="30222" xr:uid="{9FAAFAC0-3957-413B-A31F-71F2A05B16DD}"/>
    <cellStyle name="Comma 4 3 3 2 2 2 2 4" xfId="21550" xr:uid="{184A627B-DE80-4B2A-AC66-8E8F8384178C}"/>
    <cellStyle name="Comma 4 3 3 2 2 2 3" xfId="6374" xr:uid="{B6518313-988D-4333-BBE3-F2753E81D0B9}"/>
    <cellStyle name="Comma 4 3 3 2 2 2 3 2" xfId="15046" xr:uid="{310D03DB-C88E-4A59-AF4C-BF7FC84909EA}"/>
    <cellStyle name="Comma 4 3 3 2 2 2 3 2 2" xfId="32390" xr:uid="{40527E63-EDC2-477A-91A1-57F2FCA20C64}"/>
    <cellStyle name="Comma 4 3 3 2 2 2 3 3" xfId="23718" xr:uid="{ED2C093B-097F-4C5B-8CA6-B7F71F784B2B}"/>
    <cellStyle name="Comma 4 3 3 2 2 2 4" xfId="10710" xr:uid="{509191A2-F3D4-466D-895D-128BC45C5724}"/>
    <cellStyle name="Comma 4 3 3 2 2 2 4 2" xfId="28054" xr:uid="{D0501625-130F-4B2C-8073-4425988BFF10}"/>
    <cellStyle name="Comma 4 3 3 2 2 2 5" xfId="19382" xr:uid="{4F091CD1-4D81-4CAC-9CCD-B06A2A3760C5}"/>
    <cellStyle name="Comma 4 3 3 2 2 3" xfId="3122" xr:uid="{DD352F8C-1E18-4AED-BEC2-74CD13F690AF}"/>
    <cellStyle name="Comma 4 3 3 2 2 3 2" xfId="7458" xr:uid="{B18FF284-5C8C-4155-B068-34458E0EED1B}"/>
    <cellStyle name="Comma 4 3 3 2 2 3 2 2" xfId="16130" xr:uid="{5A1112D1-47A4-4CC0-8168-A2139A4CCC2E}"/>
    <cellStyle name="Comma 4 3 3 2 2 3 2 2 2" xfId="33474" xr:uid="{E2166495-B595-4F38-8390-F42AC0782AF6}"/>
    <cellStyle name="Comma 4 3 3 2 2 3 2 3" xfId="24802" xr:uid="{C2B2DDA9-E2E3-4A7A-84FF-EA3B297CCB82}"/>
    <cellStyle name="Comma 4 3 3 2 2 3 3" xfId="11794" xr:uid="{28B17BE4-D587-454B-B4D5-6BF762652F38}"/>
    <cellStyle name="Comma 4 3 3 2 2 3 3 2" xfId="29138" xr:uid="{6A1DB7D0-1288-4260-82C4-CB01566272AD}"/>
    <cellStyle name="Comma 4 3 3 2 2 3 4" xfId="20466" xr:uid="{0E58F14C-44CA-4F88-B596-99F72C1FF6A1}"/>
    <cellStyle name="Comma 4 3 3 2 2 4" xfId="5290" xr:uid="{1C7EFF8E-F294-4E22-BAEF-E71BA7E496D1}"/>
    <cellStyle name="Comma 4 3 3 2 2 4 2" xfId="13962" xr:uid="{5AFDC2AE-76A9-4E2E-B39B-5CACAF8A74DF}"/>
    <cellStyle name="Comma 4 3 3 2 2 4 2 2" xfId="31306" xr:uid="{C6FF19E1-46C5-4D33-A5CE-F60F92058EF6}"/>
    <cellStyle name="Comma 4 3 3 2 2 4 3" xfId="22634" xr:uid="{6AC5EA55-A631-4AD2-9A78-09579D6B29A7}"/>
    <cellStyle name="Comma 4 3 3 2 2 5" xfId="9626" xr:uid="{475F8F13-C386-4E4E-8ED7-9BF2AAB3E155}"/>
    <cellStyle name="Comma 4 3 3 2 2 5 2" xfId="26970" xr:uid="{BED71D70-58C6-4592-9E57-10F997123B59}"/>
    <cellStyle name="Comma 4 3 3 2 2 6" xfId="18298" xr:uid="{9FAEB166-2F3F-4F50-9D48-C586C414D403}"/>
    <cellStyle name="Comma 4 3 3 2 3" xfId="1497" xr:uid="{B60257D4-2568-4B19-A8C8-107248402E6A}"/>
    <cellStyle name="Comma 4 3 3 2 3 2" xfId="3665" xr:uid="{B83BE280-9B3E-4BEF-9FB1-E10C7CD41D06}"/>
    <cellStyle name="Comma 4 3 3 2 3 2 2" xfId="8001" xr:uid="{2788BFB7-AC0B-4690-BA92-3DBE20055EF6}"/>
    <cellStyle name="Comma 4 3 3 2 3 2 2 2" xfId="16673" xr:uid="{43E2260E-FE80-4AC9-9069-0A8383878BFB}"/>
    <cellStyle name="Comma 4 3 3 2 3 2 2 2 2" xfId="34017" xr:uid="{05033468-DC74-4E35-9FBE-271C2CEDD771}"/>
    <cellStyle name="Comma 4 3 3 2 3 2 2 3" xfId="25345" xr:uid="{CD0726C8-E63A-4359-AD90-9A9D12FAC236}"/>
    <cellStyle name="Comma 4 3 3 2 3 2 3" xfId="12337" xr:uid="{2E763A4A-8B5E-4BF5-BEC1-A93770A357C0}"/>
    <cellStyle name="Comma 4 3 3 2 3 2 3 2" xfId="29681" xr:uid="{6C5EB5C7-76BA-4BC7-97BD-CA625EA2D3B1}"/>
    <cellStyle name="Comma 4 3 3 2 3 2 4" xfId="21009" xr:uid="{33D07821-8DDB-4088-9D38-B36B524F7969}"/>
    <cellStyle name="Comma 4 3 3 2 3 3" xfId="5833" xr:uid="{085E9C89-5A1C-4E2D-B042-AA25D161A6E2}"/>
    <cellStyle name="Comma 4 3 3 2 3 3 2" xfId="14505" xr:uid="{23A274A8-22E7-43A7-BB1F-9A2B31272907}"/>
    <cellStyle name="Comma 4 3 3 2 3 3 2 2" xfId="31849" xr:uid="{813EF775-2C7C-48E4-93D6-06EC5BCD859E}"/>
    <cellStyle name="Comma 4 3 3 2 3 3 3" xfId="23177" xr:uid="{25139E57-463A-4F1D-B4DD-3F383DD300C0}"/>
    <cellStyle name="Comma 4 3 3 2 3 4" xfId="10169" xr:uid="{70146CAC-5771-46C5-BFB5-DB3520A7EEE5}"/>
    <cellStyle name="Comma 4 3 3 2 3 4 2" xfId="27513" xr:uid="{77E883B1-59ED-4713-A5BB-AA9A5293B654}"/>
    <cellStyle name="Comma 4 3 3 2 3 5" xfId="18841" xr:uid="{E164ABA4-9F1C-4DC9-AA5E-73A05D6F70E7}"/>
    <cellStyle name="Comma 4 3 3 2 4" xfId="2581" xr:uid="{EA3BC1BF-CB5C-47F4-9FC4-CD2277F58C1D}"/>
    <cellStyle name="Comma 4 3 3 2 4 2" xfId="6917" xr:uid="{CC9860DE-7619-4F1C-9EB8-465FBDD1EFCE}"/>
    <cellStyle name="Comma 4 3 3 2 4 2 2" xfId="15589" xr:uid="{93B13E55-E646-4882-86AC-C85278BC40A0}"/>
    <cellStyle name="Comma 4 3 3 2 4 2 2 2" xfId="32933" xr:uid="{4906CAC2-EBAA-49D7-8283-15406D566893}"/>
    <cellStyle name="Comma 4 3 3 2 4 2 3" xfId="24261" xr:uid="{D31344F7-B90A-4754-A086-6FCBFF703B61}"/>
    <cellStyle name="Comma 4 3 3 2 4 3" xfId="11253" xr:uid="{69145B31-FBF4-4972-BC43-9B0F50E572CF}"/>
    <cellStyle name="Comma 4 3 3 2 4 3 2" xfId="28597" xr:uid="{6759EFC2-62B7-47FF-A74E-C7CEA84B3029}"/>
    <cellStyle name="Comma 4 3 3 2 4 4" xfId="19925" xr:uid="{5216541B-A9DC-4EDE-93C2-324C372F877C}"/>
    <cellStyle name="Comma 4 3 3 2 5" xfId="4749" xr:uid="{E6D2766B-C654-45A3-B4CB-CA03896A8ECA}"/>
    <cellStyle name="Comma 4 3 3 2 5 2" xfId="13421" xr:uid="{BA99ACFB-CACD-43CC-B47B-BC786FBF3FFA}"/>
    <cellStyle name="Comma 4 3 3 2 5 2 2" xfId="30765" xr:uid="{F315216C-9FF2-46F5-B536-C1F326A09089}"/>
    <cellStyle name="Comma 4 3 3 2 5 3" xfId="22093" xr:uid="{BA44C9C6-BA33-4D86-9300-E87631ECB89C}"/>
    <cellStyle name="Comma 4 3 3 2 6" xfId="9085" xr:uid="{94A2EE73-AE16-471F-8F05-C3D15BD96DB3}"/>
    <cellStyle name="Comma 4 3 3 2 6 2" xfId="26429" xr:uid="{44E87410-9469-4697-99BB-83411CEB0EA9}"/>
    <cellStyle name="Comma 4 3 3 2 7" xfId="17757" xr:uid="{F3EFE300-AFC4-4FB9-A902-47A3CA62BA53}"/>
    <cellStyle name="Comma 4 3 3 3" xfId="684" xr:uid="{A1FA4ABC-542F-46EA-B901-D455543C594F}"/>
    <cellStyle name="Comma 4 3 3 3 2" xfId="1768" xr:uid="{74A42DD4-F179-4574-B37B-30B9E3AD84AD}"/>
    <cellStyle name="Comma 4 3 3 3 2 2" xfId="3936" xr:uid="{3EFB57F7-03CF-44C0-A909-3EF853208D90}"/>
    <cellStyle name="Comma 4 3 3 3 2 2 2" xfId="8272" xr:uid="{E05DC215-DD73-45EC-B17A-735700A76914}"/>
    <cellStyle name="Comma 4 3 3 3 2 2 2 2" xfId="16944" xr:uid="{F5651B19-8789-4776-92D9-3CFA9800E6C8}"/>
    <cellStyle name="Comma 4 3 3 3 2 2 2 2 2" xfId="34288" xr:uid="{BE50C2E1-B4BB-4B5E-99A1-06E7C5E71F91}"/>
    <cellStyle name="Comma 4 3 3 3 2 2 2 3" xfId="25616" xr:uid="{DAB9914D-AF5A-4BD3-859F-D5A61BB1825E}"/>
    <cellStyle name="Comma 4 3 3 3 2 2 3" xfId="12608" xr:uid="{131984CB-ECD4-4F1A-A3C0-419BACCC0CC8}"/>
    <cellStyle name="Comma 4 3 3 3 2 2 3 2" xfId="29952" xr:uid="{9C4326B6-131F-49CD-9DF4-0EF76A168ACE}"/>
    <cellStyle name="Comma 4 3 3 3 2 2 4" xfId="21280" xr:uid="{22B8BDEF-0FE0-41FD-92E6-BC1478A0375F}"/>
    <cellStyle name="Comma 4 3 3 3 2 3" xfId="6104" xr:uid="{14AEB8BE-1EF4-4D0B-8B4F-554A00553D2E}"/>
    <cellStyle name="Comma 4 3 3 3 2 3 2" xfId="14776" xr:uid="{07106128-AC98-4865-9C9A-F0F69738A085}"/>
    <cellStyle name="Comma 4 3 3 3 2 3 2 2" xfId="32120" xr:uid="{F91BA6E5-5EDE-4FEB-B3AD-3C6F56AA167D}"/>
    <cellStyle name="Comma 4 3 3 3 2 3 3" xfId="23448" xr:uid="{4650DC69-1CCB-4923-BAA7-D2AB71E2B18F}"/>
    <cellStyle name="Comma 4 3 3 3 2 4" xfId="10440" xr:uid="{22A8398C-ABEE-49A9-9642-40F48015A407}"/>
    <cellStyle name="Comma 4 3 3 3 2 4 2" xfId="27784" xr:uid="{C6A0DFA6-A2DB-4D9D-814F-1DA41595A3F2}"/>
    <cellStyle name="Comma 4 3 3 3 2 5" xfId="19112" xr:uid="{67C5DD3E-80A8-4465-90C6-8AE1B1B83E47}"/>
    <cellStyle name="Comma 4 3 3 3 3" xfId="2852" xr:uid="{AEB896B7-8BFA-4FA6-B9B7-D327D21D5003}"/>
    <cellStyle name="Comma 4 3 3 3 3 2" xfId="7188" xr:uid="{495E332A-4A7A-476C-86E7-29549256A626}"/>
    <cellStyle name="Comma 4 3 3 3 3 2 2" xfId="15860" xr:uid="{97474C99-5646-4D22-B044-E78F109F35FE}"/>
    <cellStyle name="Comma 4 3 3 3 3 2 2 2" xfId="33204" xr:uid="{CD3FDFDD-096C-4F05-B3CF-E6DA54EDED8D}"/>
    <cellStyle name="Comma 4 3 3 3 3 2 3" xfId="24532" xr:uid="{B42DF982-112A-4628-88A5-883C56743642}"/>
    <cellStyle name="Comma 4 3 3 3 3 3" xfId="11524" xr:uid="{1B292B21-AD70-4FF1-801B-2707FDF0B605}"/>
    <cellStyle name="Comma 4 3 3 3 3 3 2" xfId="28868" xr:uid="{2FCFD2AE-2CF4-462F-BDD5-8D1FB3550097}"/>
    <cellStyle name="Comma 4 3 3 3 3 4" xfId="20196" xr:uid="{FA43F56E-7420-4E50-94C3-97501889BE80}"/>
    <cellStyle name="Comma 4 3 3 3 4" xfId="5020" xr:uid="{61FFABC5-0390-4147-8CC1-246C4E888B78}"/>
    <cellStyle name="Comma 4 3 3 3 4 2" xfId="13692" xr:uid="{119E7EBC-3767-4C71-9D7F-3B261E1E25B2}"/>
    <cellStyle name="Comma 4 3 3 3 4 2 2" xfId="31036" xr:uid="{CB8F0E98-E193-4B09-B9BA-DAADE135F2AD}"/>
    <cellStyle name="Comma 4 3 3 3 4 3" xfId="22364" xr:uid="{745DAE16-7317-4D5E-8C00-ECA564AD10D6}"/>
    <cellStyle name="Comma 4 3 3 3 5" xfId="9356" xr:uid="{6CB079B6-555F-43DD-B4B1-34E7B58011C4}"/>
    <cellStyle name="Comma 4 3 3 3 5 2" xfId="26700" xr:uid="{52E2AB11-46E3-4A6C-814B-E315D0996DB4}"/>
    <cellStyle name="Comma 4 3 3 3 6" xfId="18028" xr:uid="{79604911-3B3A-405A-A578-2D567DE1ED38}"/>
    <cellStyle name="Comma 4 3 3 4" xfId="1227" xr:uid="{BD9D9F5F-C205-4722-8390-D63E882A9C7D}"/>
    <cellStyle name="Comma 4 3 3 4 2" xfId="3395" xr:uid="{5BA05F9D-DDA9-4498-B0D8-2E0787AAFEAA}"/>
    <cellStyle name="Comma 4 3 3 4 2 2" xfId="7731" xr:uid="{4480F624-0FA6-4B49-BDF3-B951FCFED11C}"/>
    <cellStyle name="Comma 4 3 3 4 2 2 2" xfId="16403" xr:uid="{4A9050A6-9259-449E-91BB-24AADA399FE6}"/>
    <cellStyle name="Comma 4 3 3 4 2 2 2 2" xfId="33747" xr:uid="{6D83817B-3CFF-48E4-BFE3-11C19773CEBE}"/>
    <cellStyle name="Comma 4 3 3 4 2 2 3" xfId="25075" xr:uid="{7FDEEBDE-8132-42E8-AA39-94AAC8E63D1E}"/>
    <cellStyle name="Comma 4 3 3 4 2 3" xfId="12067" xr:uid="{F1C537F5-448F-43C2-B962-EBBEE899C33B}"/>
    <cellStyle name="Comma 4 3 3 4 2 3 2" xfId="29411" xr:uid="{DD80F5FC-CF7C-4490-A6FB-B6A67B424B85}"/>
    <cellStyle name="Comma 4 3 3 4 2 4" xfId="20739" xr:uid="{BA0DE269-5467-4821-A391-B72C357ABF4D}"/>
    <cellStyle name="Comma 4 3 3 4 3" xfId="5563" xr:uid="{3F5CA1E4-BBFC-43F6-9A2E-85C576AB7356}"/>
    <cellStyle name="Comma 4 3 3 4 3 2" xfId="14235" xr:uid="{B1FED275-8B16-42A1-A52D-EEF987B2B4D6}"/>
    <cellStyle name="Comma 4 3 3 4 3 2 2" xfId="31579" xr:uid="{C84BEACB-E5A2-4FCB-B2A0-513921F380E0}"/>
    <cellStyle name="Comma 4 3 3 4 3 3" xfId="22907" xr:uid="{1925626B-DCE3-4A7A-A185-D14547556B39}"/>
    <cellStyle name="Comma 4 3 3 4 4" xfId="9899" xr:uid="{47251646-BAB5-4B0E-9887-72D07451F775}"/>
    <cellStyle name="Comma 4 3 3 4 4 2" xfId="27243" xr:uid="{63C1C36B-D34E-4219-9490-4464F087B75A}"/>
    <cellStyle name="Comma 4 3 3 4 5" xfId="18571" xr:uid="{6804C1DC-5648-4E62-96BD-D66370903C7B}"/>
    <cellStyle name="Comma 4 3 3 5" xfId="2311" xr:uid="{C23255B8-8A5F-4899-BFF6-CD0B6E89A5E7}"/>
    <cellStyle name="Comma 4 3 3 5 2" xfId="6647" xr:uid="{FB3478FB-AE0B-46D9-BC7E-0561467D7D04}"/>
    <cellStyle name="Comma 4 3 3 5 2 2" xfId="15319" xr:uid="{312129BD-E6CD-4DCE-859F-C98B7DA54490}"/>
    <cellStyle name="Comma 4 3 3 5 2 2 2" xfId="32663" xr:uid="{0323351C-E9F5-4F8E-87F5-A2F9052D9803}"/>
    <cellStyle name="Comma 4 3 3 5 2 3" xfId="23991" xr:uid="{0DB12F74-9EA0-4FCF-8B87-5A0CB444DB8C}"/>
    <cellStyle name="Comma 4 3 3 5 3" xfId="10983" xr:uid="{0E4E26BD-7363-4E11-B0D1-46AB566352C2}"/>
    <cellStyle name="Comma 4 3 3 5 3 2" xfId="28327" xr:uid="{DF2B57BB-5F10-46E1-8E5F-CB384DADC4FB}"/>
    <cellStyle name="Comma 4 3 3 5 4" xfId="19655" xr:uid="{1C1AA7E3-7BD7-4F45-99C1-073BBC77D5AE}"/>
    <cellStyle name="Comma 4 3 3 6" xfId="4479" xr:uid="{F99588AE-185C-4754-8EB8-6A36E3E7DAC3}"/>
    <cellStyle name="Comma 4 3 3 6 2" xfId="13151" xr:uid="{C9CB39C2-F40D-4066-92EF-D692C7F94E21}"/>
    <cellStyle name="Comma 4 3 3 6 2 2" xfId="30495" xr:uid="{BD7139CD-BF4F-4047-8E67-52BA332E4693}"/>
    <cellStyle name="Comma 4 3 3 6 3" xfId="21823" xr:uid="{0E0F2CAC-9550-47EF-B00D-737FED0F19CC}"/>
    <cellStyle name="Comma 4 3 3 7" xfId="8815" xr:uid="{7D53352B-84BA-4754-9A7A-B7F167030140}"/>
    <cellStyle name="Comma 4 3 3 7 2" xfId="26159" xr:uid="{B13BAD95-D481-4839-8860-F2BCF309D01C}"/>
    <cellStyle name="Comma 4 3 3 8" xfId="17487" xr:uid="{FC177BF5-0315-491B-8CAC-34D34B9AD604}"/>
    <cellStyle name="Comma 4 3 4" xfId="267" xr:uid="{B3CD56DC-4022-45AD-BB93-50A2CDA188B8}"/>
    <cellStyle name="Comma 4 3 4 2" xfId="537" xr:uid="{C8BF090B-2120-41B0-BE00-9CE773E9236B}"/>
    <cellStyle name="Comma 4 3 4 2 2" xfId="1078" xr:uid="{13D0D3F5-141D-4282-A79A-B5690471FAD3}"/>
    <cellStyle name="Comma 4 3 4 2 2 2" xfId="2162" xr:uid="{A5654FB9-02F7-4B32-BEE1-563AB8A3D865}"/>
    <cellStyle name="Comma 4 3 4 2 2 2 2" xfId="4330" xr:uid="{F41D4C33-F6CC-4EB3-82CB-A077FC2A364F}"/>
    <cellStyle name="Comma 4 3 4 2 2 2 2 2" xfId="8666" xr:uid="{5A76F86F-0C24-4817-A3B4-AC7F0F4C314F}"/>
    <cellStyle name="Comma 4 3 4 2 2 2 2 2 2" xfId="17338" xr:uid="{0A171F80-078C-43A1-B572-EA449A03F5E7}"/>
    <cellStyle name="Comma 4 3 4 2 2 2 2 2 2 2" xfId="34682" xr:uid="{77B16E7F-19AD-48ED-969D-6D1D48E48E73}"/>
    <cellStyle name="Comma 4 3 4 2 2 2 2 2 3" xfId="26010" xr:uid="{B0EEC97B-0DDF-4116-A34B-82CEA70946FA}"/>
    <cellStyle name="Comma 4 3 4 2 2 2 2 3" xfId="13002" xr:uid="{DFA02D61-7026-41EC-BEFD-3C1C7FDFA646}"/>
    <cellStyle name="Comma 4 3 4 2 2 2 2 3 2" xfId="30346" xr:uid="{397BD156-D92D-4468-99EE-49F2854A401B}"/>
    <cellStyle name="Comma 4 3 4 2 2 2 2 4" xfId="21674" xr:uid="{04BF7B98-72A4-414A-A0EC-78EC0D745E11}"/>
    <cellStyle name="Comma 4 3 4 2 2 2 3" xfId="6498" xr:uid="{ED7C41FD-0D77-49D8-AD50-9B58491F3B91}"/>
    <cellStyle name="Comma 4 3 4 2 2 2 3 2" xfId="15170" xr:uid="{4253AFBC-120C-4566-8CCA-8BC1853C7BC6}"/>
    <cellStyle name="Comma 4 3 4 2 2 2 3 2 2" xfId="32514" xr:uid="{D4EEB197-AD83-41DD-BD74-090777635706}"/>
    <cellStyle name="Comma 4 3 4 2 2 2 3 3" xfId="23842" xr:uid="{132D7C62-120B-4EB6-9D4F-61E4099010D5}"/>
    <cellStyle name="Comma 4 3 4 2 2 2 4" xfId="10834" xr:uid="{F54EE468-4C35-4724-8240-44458F1AD187}"/>
    <cellStyle name="Comma 4 3 4 2 2 2 4 2" xfId="28178" xr:uid="{7E9982AF-0663-4FDB-8396-AA6523E9AAF4}"/>
    <cellStyle name="Comma 4 3 4 2 2 2 5" xfId="19506" xr:uid="{A776A34B-08DA-4F37-80D6-3214296417C1}"/>
    <cellStyle name="Comma 4 3 4 2 2 3" xfId="3246" xr:uid="{F96FF774-16B0-436B-A35D-6B54035EFA41}"/>
    <cellStyle name="Comma 4 3 4 2 2 3 2" xfId="7582" xr:uid="{FB215318-047A-44A5-9B14-F9DEAB04BAD4}"/>
    <cellStyle name="Comma 4 3 4 2 2 3 2 2" xfId="16254" xr:uid="{21F1C464-797A-43AD-90A5-1644068D631A}"/>
    <cellStyle name="Comma 4 3 4 2 2 3 2 2 2" xfId="33598" xr:uid="{EBD53AFE-A041-411F-9629-4EF798C15575}"/>
    <cellStyle name="Comma 4 3 4 2 2 3 2 3" xfId="24926" xr:uid="{34F4C3DB-2D5A-43A7-BD91-35985571680D}"/>
    <cellStyle name="Comma 4 3 4 2 2 3 3" xfId="11918" xr:uid="{56D54160-AF80-4ABF-B301-06EE0E5FFDD1}"/>
    <cellStyle name="Comma 4 3 4 2 2 3 3 2" xfId="29262" xr:uid="{0FAD669C-FB9C-4F0B-9F08-94AE6E02974E}"/>
    <cellStyle name="Comma 4 3 4 2 2 3 4" xfId="20590" xr:uid="{D08BDD18-6A64-4121-9496-E9FAA8B4DFFE}"/>
    <cellStyle name="Comma 4 3 4 2 2 4" xfId="5414" xr:uid="{12D67C38-E073-431C-9A56-52115A469EB5}"/>
    <cellStyle name="Comma 4 3 4 2 2 4 2" xfId="14086" xr:uid="{9AAD0D91-1899-405A-92C8-9FE8C19869E6}"/>
    <cellStyle name="Comma 4 3 4 2 2 4 2 2" xfId="31430" xr:uid="{89F3DB47-98FA-44CA-8B8C-93001835267E}"/>
    <cellStyle name="Comma 4 3 4 2 2 4 3" xfId="22758" xr:uid="{7CFDB84F-4198-4A23-A1C6-84AE4BE8B2BD}"/>
    <cellStyle name="Comma 4 3 4 2 2 5" xfId="9750" xr:uid="{44741F7F-EBEA-4D0E-9D7A-47490D28B594}"/>
    <cellStyle name="Comma 4 3 4 2 2 5 2" xfId="27094" xr:uid="{1E4A1047-4287-4C0B-9ABE-721F5F120056}"/>
    <cellStyle name="Comma 4 3 4 2 2 6" xfId="18422" xr:uid="{A0D05506-657F-4746-B55E-8BA3703767C2}"/>
    <cellStyle name="Comma 4 3 4 2 3" xfId="1621" xr:uid="{3EC9D420-95BD-4C3B-B817-CDEF8480EC66}"/>
    <cellStyle name="Comma 4 3 4 2 3 2" xfId="3789" xr:uid="{C960D918-D1A8-4734-80F6-57FA09FA6A97}"/>
    <cellStyle name="Comma 4 3 4 2 3 2 2" xfId="8125" xr:uid="{6ECD61C8-ADFE-491A-8D51-9FDDB67CDF7F}"/>
    <cellStyle name="Comma 4 3 4 2 3 2 2 2" xfId="16797" xr:uid="{AD9B8050-4E0B-488D-805A-F9C96659B153}"/>
    <cellStyle name="Comma 4 3 4 2 3 2 2 2 2" xfId="34141" xr:uid="{4EB52F1D-495F-4111-A10D-A6DEC193FC87}"/>
    <cellStyle name="Comma 4 3 4 2 3 2 2 3" xfId="25469" xr:uid="{F4AEB114-BAC6-4A3D-89EE-C685363E3E69}"/>
    <cellStyle name="Comma 4 3 4 2 3 2 3" xfId="12461" xr:uid="{CFCE658E-8A0B-41F4-A1BE-61A0C09CEA9A}"/>
    <cellStyle name="Comma 4 3 4 2 3 2 3 2" xfId="29805" xr:uid="{6803DAA1-D7D3-4DE3-A6CB-FA7BEB0C1B47}"/>
    <cellStyle name="Comma 4 3 4 2 3 2 4" xfId="21133" xr:uid="{1D80B9C0-5F19-420B-A73E-AC6106A0740C}"/>
    <cellStyle name="Comma 4 3 4 2 3 3" xfId="5957" xr:uid="{C985CC8D-6D88-4F9C-A44A-844C386BE028}"/>
    <cellStyle name="Comma 4 3 4 2 3 3 2" xfId="14629" xr:uid="{8A5C9B77-2DDB-4063-AE66-1D1764418224}"/>
    <cellStyle name="Comma 4 3 4 2 3 3 2 2" xfId="31973" xr:uid="{8C28D0F0-6A26-4EA1-9D45-F93C9D6D4D73}"/>
    <cellStyle name="Comma 4 3 4 2 3 3 3" xfId="23301" xr:uid="{66747F5B-1062-461A-9656-6EEAC97CDE24}"/>
    <cellStyle name="Comma 4 3 4 2 3 4" xfId="10293" xr:uid="{4BB629DD-1A1A-4524-B062-4DDF44F47302}"/>
    <cellStyle name="Comma 4 3 4 2 3 4 2" xfId="27637" xr:uid="{5238396D-1D97-4F3F-81C0-1715A2B0B5A4}"/>
    <cellStyle name="Comma 4 3 4 2 3 5" xfId="18965" xr:uid="{C2FE4298-4356-4126-8220-E43A01B2D694}"/>
    <cellStyle name="Comma 4 3 4 2 4" xfId="2705" xr:uid="{3E684F16-A0ED-473E-BF45-458BDC6C4FE7}"/>
    <cellStyle name="Comma 4 3 4 2 4 2" xfId="7041" xr:uid="{02FD2269-2C16-4497-8732-E15B6F3D5A0C}"/>
    <cellStyle name="Comma 4 3 4 2 4 2 2" xfId="15713" xr:uid="{2AE3D1F0-F73D-49BC-9707-250F2DEA05FA}"/>
    <cellStyle name="Comma 4 3 4 2 4 2 2 2" xfId="33057" xr:uid="{6F9AE5B1-81B1-490E-B533-ACBC03EA6418}"/>
    <cellStyle name="Comma 4 3 4 2 4 2 3" xfId="24385" xr:uid="{1D8476E1-1519-4533-97C8-0A0FB4155DEA}"/>
    <cellStyle name="Comma 4 3 4 2 4 3" xfId="11377" xr:uid="{713C91F3-99E7-4E03-B6EB-DE5CF545571A}"/>
    <cellStyle name="Comma 4 3 4 2 4 3 2" xfId="28721" xr:uid="{EE99AAB4-4562-4E6C-AF2C-6241BE478F5B}"/>
    <cellStyle name="Comma 4 3 4 2 4 4" xfId="20049" xr:uid="{6C5174E9-BAB6-4256-BB03-1683E51D6184}"/>
    <cellStyle name="Comma 4 3 4 2 5" xfId="4873" xr:uid="{E3F97EDD-7574-4553-BEA3-1572AF9441AC}"/>
    <cellStyle name="Comma 4 3 4 2 5 2" xfId="13545" xr:uid="{72B7A323-C440-4965-BC81-FFE851CA3F56}"/>
    <cellStyle name="Comma 4 3 4 2 5 2 2" xfId="30889" xr:uid="{ED06CE5A-EB12-4E23-97ED-68E1270D6721}"/>
    <cellStyle name="Comma 4 3 4 2 5 3" xfId="22217" xr:uid="{82DC28DF-9D0B-4FB2-BD44-E6DE701A22F2}"/>
    <cellStyle name="Comma 4 3 4 2 6" xfId="9209" xr:uid="{F8A9834B-4261-41A2-90E7-83193C6B795B}"/>
    <cellStyle name="Comma 4 3 4 2 6 2" xfId="26553" xr:uid="{0D00C716-83D1-49BC-A766-78DB8BC957B7}"/>
    <cellStyle name="Comma 4 3 4 2 7" xfId="17881" xr:uid="{8DD16EBB-8106-4329-8C08-62BF378079C4}"/>
    <cellStyle name="Comma 4 3 4 3" xfId="808" xr:uid="{C32ACE7E-B4AD-4846-A774-8C5E90E04221}"/>
    <cellStyle name="Comma 4 3 4 3 2" xfId="1892" xr:uid="{218CEFDE-7444-43DA-BADC-480D502B5BF0}"/>
    <cellStyle name="Comma 4 3 4 3 2 2" xfId="4060" xr:uid="{96F6B347-2FA3-4A32-8B29-172AC8CDBBA5}"/>
    <cellStyle name="Comma 4 3 4 3 2 2 2" xfId="8396" xr:uid="{E1B13DD7-C51E-45CB-B05E-FB282378C9A1}"/>
    <cellStyle name="Comma 4 3 4 3 2 2 2 2" xfId="17068" xr:uid="{4FDE7DE2-593B-45A4-B6B8-C433FC1BF42D}"/>
    <cellStyle name="Comma 4 3 4 3 2 2 2 2 2" xfId="34412" xr:uid="{46CAE96D-38F2-4D47-9B01-212D5D0A5840}"/>
    <cellStyle name="Comma 4 3 4 3 2 2 2 3" xfId="25740" xr:uid="{4696D404-911B-4512-A838-4A81D79C3A7D}"/>
    <cellStyle name="Comma 4 3 4 3 2 2 3" xfId="12732" xr:uid="{95C3199E-9B8D-4E27-9E47-BAAEB608142D}"/>
    <cellStyle name="Comma 4 3 4 3 2 2 3 2" xfId="30076" xr:uid="{95AB1551-99D7-4317-90DD-0AE8C6B3A035}"/>
    <cellStyle name="Comma 4 3 4 3 2 2 4" xfId="21404" xr:uid="{3D8722EB-92C4-456B-A64F-1E1997AF600B}"/>
    <cellStyle name="Comma 4 3 4 3 2 3" xfId="6228" xr:uid="{ADE594B0-FCDF-4298-B3C0-F0B5DF873FF9}"/>
    <cellStyle name="Comma 4 3 4 3 2 3 2" xfId="14900" xr:uid="{6CA00FFC-B21C-4FD2-BB01-08BA0D88CF3A}"/>
    <cellStyle name="Comma 4 3 4 3 2 3 2 2" xfId="32244" xr:uid="{3877EF8A-08F7-4F6D-860D-5AAA90C8773F}"/>
    <cellStyle name="Comma 4 3 4 3 2 3 3" xfId="23572" xr:uid="{287D77D0-5D24-4412-951A-2518B4541414}"/>
    <cellStyle name="Comma 4 3 4 3 2 4" xfId="10564" xr:uid="{5F66E8AC-BC88-4D86-8C95-666EB2BE9567}"/>
    <cellStyle name="Comma 4 3 4 3 2 4 2" xfId="27908" xr:uid="{ADF2F1B6-CD4D-41E1-AE0B-D9FE7AC5D229}"/>
    <cellStyle name="Comma 4 3 4 3 2 5" xfId="19236" xr:uid="{556A4B8C-AFDA-4119-8600-26438C22A5E6}"/>
    <cellStyle name="Comma 4 3 4 3 3" xfId="2976" xr:uid="{184FED04-0F6A-4839-A1A9-52D2E203AE27}"/>
    <cellStyle name="Comma 4 3 4 3 3 2" xfId="7312" xr:uid="{6AF175A5-D3EE-41A8-B690-51CFA0E3F30A}"/>
    <cellStyle name="Comma 4 3 4 3 3 2 2" xfId="15984" xr:uid="{04DF113F-EA3C-40AE-B81F-DB867804FBCC}"/>
    <cellStyle name="Comma 4 3 4 3 3 2 2 2" xfId="33328" xr:uid="{68235307-C291-45FB-8E90-346889A58F76}"/>
    <cellStyle name="Comma 4 3 4 3 3 2 3" xfId="24656" xr:uid="{0B756E61-FF76-4B38-8F3C-BCBA8C7E7BF6}"/>
    <cellStyle name="Comma 4 3 4 3 3 3" xfId="11648" xr:uid="{17DFD3B3-565B-4AD9-86B7-716DC9A60C8D}"/>
    <cellStyle name="Comma 4 3 4 3 3 3 2" xfId="28992" xr:uid="{2274059A-13C0-43BA-A394-00978A79068E}"/>
    <cellStyle name="Comma 4 3 4 3 3 4" xfId="20320" xr:uid="{C348AFAF-7BD8-423D-BC54-F29A7ED94E8C}"/>
    <cellStyle name="Comma 4 3 4 3 4" xfId="5144" xr:uid="{9B7D9307-78CE-47D8-AD16-D8A5226CD080}"/>
    <cellStyle name="Comma 4 3 4 3 4 2" xfId="13816" xr:uid="{5258A930-771E-43EA-A858-C8D6C2EC6BDF}"/>
    <cellStyle name="Comma 4 3 4 3 4 2 2" xfId="31160" xr:uid="{CE1B6025-287C-4A47-87B1-C7E8602E6681}"/>
    <cellStyle name="Comma 4 3 4 3 4 3" xfId="22488" xr:uid="{27CCC9FB-C25E-4EA6-A063-456EEB6D23DB}"/>
    <cellStyle name="Comma 4 3 4 3 5" xfId="9480" xr:uid="{D5D5620A-3ADE-4B6F-AE9B-B2CA97D038C4}"/>
    <cellStyle name="Comma 4 3 4 3 5 2" xfId="26824" xr:uid="{9608A562-9F6B-4020-ACBF-C34BFBD2A561}"/>
    <cellStyle name="Comma 4 3 4 3 6" xfId="18152" xr:uid="{4E0156FE-E917-4486-8076-6AFDC4A4F940}"/>
    <cellStyle name="Comma 4 3 4 4" xfId="1351" xr:uid="{967CECFA-D398-4823-8F4F-0F899DD71F08}"/>
    <cellStyle name="Comma 4 3 4 4 2" xfId="3519" xr:uid="{55DABD06-7025-4CCC-B854-9DAD8EC15B4D}"/>
    <cellStyle name="Comma 4 3 4 4 2 2" xfId="7855" xr:uid="{12C83155-DD25-448F-89A5-54F010CE1AEF}"/>
    <cellStyle name="Comma 4 3 4 4 2 2 2" xfId="16527" xr:uid="{BBF00617-EAB4-4D87-848E-82ABC16F3974}"/>
    <cellStyle name="Comma 4 3 4 4 2 2 2 2" xfId="33871" xr:uid="{D8186A44-9396-4369-AE59-8045B01E5D4D}"/>
    <cellStyle name="Comma 4 3 4 4 2 2 3" xfId="25199" xr:uid="{D98D46B2-78C7-4408-9641-4C9921F7B605}"/>
    <cellStyle name="Comma 4 3 4 4 2 3" xfId="12191" xr:uid="{B63F63BC-2659-4AC6-82D3-AE17C3E65FE8}"/>
    <cellStyle name="Comma 4 3 4 4 2 3 2" xfId="29535" xr:uid="{3FB4D21F-C74D-4A83-BCD7-4567CF5062C7}"/>
    <cellStyle name="Comma 4 3 4 4 2 4" xfId="20863" xr:uid="{ECB9B949-1976-4664-AB29-18A5ABDD4F29}"/>
    <cellStyle name="Comma 4 3 4 4 3" xfId="5687" xr:uid="{3645B56C-96EC-48B7-BF43-D061CB9702BB}"/>
    <cellStyle name="Comma 4 3 4 4 3 2" xfId="14359" xr:uid="{B0AB5E72-CFC6-4FD5-8CD3-F1F4CB765BEE}"/>
    <cellStyle name="Comma 4 3 4 4 3 2 2" xfId="31703" xr:uid="{8B1E5B5B-1ACF-49F5-9082-C372907EFB00}"/>
    <cellStyle name="Comma 4 3 4 4 3 3" xfId="23031" xr:uid="{6711BE83-BAAC-4C62-AA2C-0922D483C733}"/>
    <cellStyle name="Comma 4 3 4 4 4" xfId="10023" xr:uid="{1D3A7BBF-3A52-461C-AD3A-CD893E23B3D8}"/>
    <cellStyle name="Comma 4 3 4 4 4 2" xfId="27367" xr:uid="{D185D600-D8BB-48B0-8CA5-42D712A7107D}"/>
    <cellStyle name="Comma 4 3 4 4 5" xfId="18695" xr:uid="{113423D8-EA2B-4687-88D8-5E62FB2BB4DE}"/>
    <cellStyle name="Comma 4 3 4 5" xfId="2435" xr:uid="{A9D8CF5E-70F7-4048-BC8B-8E753965C113}"/>
    <cellStyle name="Comma 4 3 4 5 2" xfId="6771" xr:uid="{B895B578-53DF-4629-A724-77F2B294ED59}"/>
    <cellStyle name="Comma 4 3 4 5 2 2" xfId="15443" xr:uid="{1BFAF3A6-4BA0-4790-99FD-5E8FBCCB0769}"/>
    <cellStyle name="Comma 4 3 4 5 2 2 2" xfId="32787" xr:uid="{377D0F92-F7C6-4DAB-8701-62F2E789FCEA}"/>
    <cellStyle name="Comma 4 3 4 5 2 3" xfId="24115" xr:uid="{90BE0408-7AE8-48D9-9A32-C473F949AC62}"/>
    <cellStyle name="Comma 4 3 4 5 3" xfId="11107" xr:uid="{A64B2143-B890-46B9-97D3-AB80BBD0F4E7}"/>
    <cellStyle name="Comma 4 3 4 5 3 2" xfId="28451" xr:uid="{C65BEDEB-EA03-43B3-B774-58203035DD36}"/>
    <cellStyle name="Comma 4 3 4 5 4" xfId="19779" xr:uid="{1D65CAEA-1BE0-4923-9481-3619280DF2CD}"/>
    <cellStyle name="Comma 4 3 4 6" xfId="4603" xr:uid="{4DC33E6A-31E0-4814-B12A-1C9823865723}"/>
    <cellStyle name="Comma 4 3 4 6 2" xfId="13275" xr:uid="{48D69CDC-CD91-4B93-91C3-81261EC48801}"/>
    <cellStyle name="Comma 4 3 4 6 2 2" xfId="30619" xr:uid="{6425183B-83E1-4757-B77F-35E445A25074}"/>
    <cellStyle name="Comma 4 3 4 6 3" xfId="21947" xr:uid="{958FF095-633E-46BB-A569-EF3230DECBBD}"/>
    <cellStyle name="Comma 4 3 4 7" xfId="8939" xr:uid="{A698A189-FE24-457F-B3B1-1F462DC8F6B3}"/>
    <cellStyle name="Comma 4 3 4 7 2" xfId="26283" xr:uid="{25703316-07D6-4D4A-B1B0-C31139D1B581}"/>
    <cellStyle name="Comma 4 3 4 8" xfId="17611" xr:uid="{221BE1B9-85E5-433A-8726-2FFF9004FD20}"/>
    <cellStyle name="Comma 4 3 5" xfId="291" xr:uid="{C69BC959-9B00-43FC-946F-F757B4D7427F}"/>
    <cellStyle name="Comma 4 3 5 2" xfId="832" xr:uid="{D97D8D56-BF90-4794-84EE-98EA3B8FDE19}"/>
    <cellStyle name="Comma 4 3 5 2 2" xfId="1916" xr:uid="{A884313E-7CB7-4C3D-97EC-0094336DA7C2}"/>
    <cellStyle name="Comma 4 3 5 2 2 2" xfId="4084" xr:uid="{E2513889-2B50-4B00-AC36-9EDA8F9EB91B}"/>
    <cellStyle name="Comma 4 3 5 2 2 2 2" xfId="8420" xr:uid="{403204BE-2C92-4DE3-AD92-7164330CF4C8}"/>
    <cellStyle name="Comma 4 3 5 2 2 2 2 2" xfId="17092" xr:uid="{A02E3562-0037-463A-8EFB-2BA43915CF15}"/>
    <cellStyle name="Comma 4 3 5 2 2 2 2 2 2" xfId="34436" xr:uid="{6A74B952-9A19-4B6B-A13F-0FF0094D20FC}"/>
    <cellStyle name="Comma 4 3 5 2 2 2 2 3" xfId="25764" xr:uid="{97F4596B-F6DB-4B38-A033-3B0C93B8A5F1}"/>
    <cellStyle name="Comma 4 3 5 2 2 2 3" xfId="12756" xr:uid="{C2CBE096-070E-4DBA-8CC1-D2CA38B061A1}"/>
    <cellStyle name="Comma 4 3 5 2 2 2 3 2" xfId="30100" xr:uid="{6BBE4CF7-530E-46C2-BBE8-A35A65FD65CC}"/>
    <cellStyle name="Comma 4 3 5 2 2 2 4" xfId="21428" xr:uid="{2E22886A-1FA6-4B7B-8457-FA0AE186AEFC}"/>
    <cellStyle name="Comma 4 3 5 2 2 3" xfId="6252" xr:uid="{96A39C94-8946-42CE-8624-0D9D1965C944}"/>
    <cellStyle name="Comma 4 3 5 2 2 3 2" xfId="14924" xr:uid="{9C0B1EF1-40A5-4F93-B2C2-886CE0059DB8}"/>
    <cellStyle name="Comma 4 3 5 2 2 3 2 2" xfId="32268" xr:uid="{B56E9CD7-83E7-499E-9591-5BC99CB18400}"/>
    <cellStyle name="Comma 4 3 5 2 2 3 3" xfId="23596" xr:uid="{9F571FF3-D5D8-4E7B-809F-6BD52408AD60}"/>
    <cellStyle name="Comma 4 3 5 2 2 4" xfId="10588" xr:uid="{C89A69CF-6668-4ED7-B120-BF616736BF50}"/>
    <cellStyle name="Comma 4 3 5 2 2 4 2" xfId="27932" xr:uid="{558B6EE1-8CED-41FB-B5B6-02D2C6F4A939}"/>
    <cellStyle name="Comma 4 3 5 2 2 5" xfId="19260" xr:uid="{D74D43F2-F8B5-4B41-A393-686B140D6413}"/>
    <cellStyle name="Comma 4 3 5 2 3" xfId="3000" xr:uid="{EAAECB0D-640D-495B-88F0-DB4B3318B4A0}"/>
    <cellStyle name="Comma 4 3 5 2 3 2" xfId="7336" xr:uid="{519D18B8-3533-4F26-90B3-91EF858B9583}"/>
    <cellStyle name="Comma 4 3 5 2 3 2 2" xfId="16008" xr:uid="{5BC46F28-2A47-485F-8CA2-67FC4724F133}"/>
    <cellStyle name="Comma 4 3 5 2 3 2 2 2" xfId="33352" xr:uid="{34C40B78-8DB1-4B4D-8ABC-2748EFDA7B00}"/>
    <cellStyle name="Comma 4 3 5 2 3 2 3" xfId="24680" xr:uid="{FB23C13F-636A-4AFF-97E7-12F3E3D68F8F}"/>
    <cellStyle name="Comma 4 3 5 2 3 3" xfId="11672" xr:uid="{C6D0C07B-35AB-4EEF-A04E-B5C6FDDEE2CC}"/>
    <cellStyle name="Comma 4 3 5 2 3 3 2" xfId="29016" xr:uid="{1C6D2BF6-C887-45FE-BEF1-3D9CABDA4C1C}"/>
    <cellStyle name="Comma 4 3 5 2 3 4" xfId="20344" xr:uid="{56DA3E85-5ED7-4E59-9E23-5B47E04F7C30}"/>
    <cellStyle name="Comma 4 3 5 2 4" xfId="5168" xr:uid="{50DC291F-90E9-4887-9986-D9C8ED3F9C4B}"/>
    <cellStyle name="Comma 4 3 5 2 4 2" xfId="13840" xr:uid="{B0AA7DF8-DC0E-44E3-B7E4-63F3A0E17897}"/>
    <cellStyle name="Comma 4 3 5 2 4 2 2" xfId="31184" xr:uid="{29E2E45B-F473-4FFF-A445-9E8D052F4E19}"/>
    <cellStyle name="Comma 4 3 5 2 4 3" xfId="22512" xr:uid="{CDF20123-02A8-4B76-8FD8-F059810FE908}"/>
    <cellStyle name="Comma 4 3 5 2 5" xfId="9504" xr:uid="{31BB5D91-5D31-461C-91D6-2BEB0D943531}"/>
    <cellStyle name="Comma 4 3 5 2 5 2" xfId="26848" xr:uid="{E671FA68-9D03-4392-BCC7-9BC0643EFE08}"/>
    <cellStyle name="Comma 4 3 5 2 6" xfId="18176" xr:uid="{7CB7EA64-3323-43F0-A8EF-F70926B57CCD}"/>
    <cellStyle name="Comma 4 3 5 3" xfId="1375" xr:uid="{A252E486-5DE8-4FA6-8375-0B6676AED700}"/>
    <cellStyle name="Comma 4 3 5 3 2" xfId="3543" xr:uid="{51FFB355-1A84-42F8-8E37-C5E6D23E1F75}"/>
    <cellStyle name="Comma 4 3 5 3 2 2" xfId="7879" xr:uid="{4C19E169-BA2F-43E1-8DEC-FA10AB7A7CBF}"/>
    <cellStyle name="Comma 4 3 5 3 2 2 2" xfId="16551" xr:uid="{B519A6A8-0849-4C52-8D5E-D98D3B04801B}"/>
    <cellStyle name="Comma 4 3 5 3 2 2 2 2" xfId="33895" xr:uid="{5A2E0761-C835-40CB-82C1-F5BE75FF2E18}"/>
    <cellStyle name="Comma 4 3 5 3 2 2 3" xfId="25223" xr:uid="{A9FC6B06-6CCA-4748-9F29-47079E9BFE06}"/>
    <cellStyle name="Comma 4 3 5 3 2 3" xfId="12215" xr:uid="{DB33E8A9-BC66-4899-B2D3-4CD2746FEAB0}"/>
    <cellStyle name="Comma 4 3 5 3 2 3 2" xfId="29559" xr:uid="{40C79B9E-ABAE-4562-92A2-26F3526D6A01}"/>
    <cellStyle name="Comma 4 3 5 3 2 4" xfId="20887" xr:uid="{86D373CE-2654-4519-BB9B-A213029BB9A5}"/>
    <cellStyle name="Comma 4 3 5 3 3" xfId="5711" xr:uid="{0D47F14E-C0BA-4FD5-96D9-7F9F6BE5B4ED}"/>
    <cellStyle name="Comma 4 3 5 3 3 2" xfId="14383" xr:uid="{D6CDA25A-420F-4C2E-A271-B9CF41817764}"/>
    <cellStyle name="Comma 4 3 5 3 3 2 2" xfId="31727" xr:uid="{983FE72C-DAED-4EEC-A6B7-C5942F463C6A}"/>
    <cellStyle name="Comma 4 3 5 3 3 3" xfId="23055" xr:uid="{317628B4-E41F-4F85-A76C-E5D592AF79F6}"/>
    <cellStyle name="Comma 4 3 5 3 4" xfId="10047" xr:uid="{A39508C8-D2DA-47B5-9FE9-79D896BE1E08}"/>
    <cellStyle name="Comma 4 3 5 3 4 2" xfId="27391" xr:uid="{41410148-593A-44F1-AFDA-E8DD9E59E00B}"/>
    <cellStyle name="Comma 4 3 5 3 5" xfId="18719" xr:uid="{A4AD3974-D661-498F-A40E-D209894C034E}"/>
    <cellStyle name="Comma 4 3 5 4" xfId="2459" xr:uid="{1FAA8A55-76A5-4EE7-82E5-C7D71C97E357}"/>
    <cellStyle name="Comma 4 3 5 4 2" xfId="6795" xr:uid="{10C37CA6-BB3F-4201-8174-AE2A33C5EE43}"/>
    <cellStyle name="Comma 4 3 5 4 2 2" xfId="15467" xr:uid="{8C600792-7826-43C6-97BA-8451A47F278F}"/>
    <cellStyle name="Comma 4 3 5 4 2 2 2" xfId="32811" xr:uid="{808A2207-1DCF-409A-A84F-036EFF415164}"/>
    <cellStyle name="Comma 4 3 5 4 2 3" xfId="24139" xr:uid="{6660A929-3C44-4618-B945-C566D4D88326}"/>
    <cellStyle name="Comma 4 3 5 4 3" xfId="11131" xr:uid="{E4B2B751-D59C-4BE1-AF7C-E69E9F22B5D2}"/>
    <cellStyle name="Comma 4 3 5 4 3 2" xfId="28475" xr:uid="{5C8EBB63-AD2A-4334-BEAC-AB11F9A0C5F0}"/>
    <cellStyle name="Comma 4 3 5 4 4" xfId="19803" xr:uid="{4D989106-C358-4954-A535-E27AC8320571}"/>
    <cellStyle name="Comma 4 3 5 5" xfId="4627" xr:uid="{5D03DABF-2A8B-47CD-8713-C823F475CA46}"/>
    <cellStyle name="Comma 4 3 5 5 2" xfId="13299" xr:uid="{C95C8268-84C6-4062-8FD6-5D6A1E5346D6}"/>
    <cellStyle name="Comma 4 3 5 5 2 2" xfId="30643" xr:uid="{CA7B809A-ED32-4391-AD1F-242E3B889A00}"/>
    <cellStyle name="Comma 4 3 5 5 3" xfId="21971" xr:uid="{872DF4B1-F3D8-43DB-9C84-ED072161527F}"/>
    <cellStyle name="Comma 4 3 5 6" xfId="8963" xr:uid="{FFE7A13F-C346-44EF-844D-5C9B60A23C97}"/>
    <cellStyle name="Comma 4 3 5 6 2" xfId="26307" xr:uid="{2E695E37-6533-4EF5-B53C-444AA9AD342B}"/>
    <cellStyle name="Comma 4 3 5 7" xfId="17635" xr:uid="{51888038-E4D4-4703-BE2F-1960290B3E54}"/>
    <cellStyle name="Comma 4 3 6" xfId="562" xr:uid="{A42DE79D-23AC-4228-962A-EA3A2EF8C345}"/>
    <cellStyle name="Comma 4 3 6 2" xfId="1646" xr:uid="{8D5757BE-BBDC-4929-99D2-59CFBA5C43C1}"/>
    <cellStyle name="Comma 4 3 6 2 2" xfId="3814" xr:uid="{DC99A2EA-878C-4D0A-BD40-B7EEBDBA31BA}"/>
    <cellStyle name="Comma 4 3 6 2 2 2" xfId="8150" xr:uid="{AB7EFE77-6251-4A20-AE16-CF4B5CE5BC7E}"/>
    <cellStyle name="Comma 4 3 6 2 2 2 2" xfId="16822" xr:uid="{03EE422F-6A58-499E-B031-0E76BA351A77}"/>
    <cellStyle name="Comma 4 3 6 2 2 2 2 2" xfId="34166" xr:uid="{AF743018-1170-4B5C-9BD2-442F9A0F8AA5}"/>
    <cellStyle name="Comma 4 3 6 2 2 2 3" xfId="25494" xr:uid="{5C128E05-DFBB-435B-96F5-E11DB95AB919}"/>
    <cellStyle name="Comma 4 3 6 2 2 3" xfId="12486" xr:uid="{42ED9508-1A73-4D7D-A6C3-6A2902CFAAA7}"/>
    <cellStyle name="Comma 4 3 6 2 2 3 2" xfId="29830" xr:uid="{F80F8FDC-6FD6-4A40-BCF8-06CEDA09802B}"/>
    <cellStyle name="Comma 4 3 6 2 2 4" xfId="21158" xr:uid="{CE206B92-BF09-4235-BED4-97B50C29961D}"/>
    <cellStyle name="Comma 4 3 6 2 3" xfId="5982" xr:uid="{84E0D43B-3240-4725-B4B2-35FF57348149}"/>
    <cellStyle name="Comma 4 3 6 2 3 2" xfId="14654" xr:uid="{6C498B7C-56E6-4889-AB48-451F7C78B68B}"/>
    <cellStyle name="Comma 4 3 6 2 3 2 2" xfId="31998" xr:uid="{33708B0A-ECED-42FC-B210-049A75E8556B}"/>
    <cellStyle name="Comma 4 3 6 2 3 3" xfId="23326" xr:uid="{B4DBC9CD-D5D0-4256-99AD-839437FA6372}"/>
    <cellStyle name="Comma 4 3 6 2 4" xfId="10318" xr:uid="{679236A6-06C8-444D-B131-35EF4021544D}"/>
    <cellStyle name="Comma 4 3 6 2 4 2" xfId="27662" xr:uid="{3F13979A-8466-493E-A592-83B270215DEC}"/>
    <cellStyle name="Comma 4 3 6 2 5" xfId="18990" xr:uid="{396CCCF3-6D63-45D1-BE9E-CA6E68EF2EC0}"/>
    <cellStyle name="Comma 4 3 6 3" xfId="2730" xr:uid="{87BC496C-677B-4152-8247-856BBC1E045B}"/>
    <cellStyle name="Comma 4 3 6 3 2" xfId="7066" xr:uid="{E0FBBCD3-623A-4885-AF1B-CDF8EB5E4DDC}"/>
    <cellStyle name="Comma 4 3 6 3 2 2" xfId="15738" xr:uid="{D83849EB-B20D-4245-8D65-F94158C17163}"/>
    <cellStyle name="Comma 4 3 6 3 2 2 2" xfId="33082" xr:uid="{C746A32E-6014-41B7-8BA5-F21FA97A7A2A}"/>
    <cellStyle name="Comma 4 3 6 3 2 3" xfId="24410" xr:uid="{B7B5E6AD-9BFA-4D46-91B9-6E334019360A}"/>
    <cellStyle name="Comma 4 3 6 3 3" xfId="11402" xr:uid="{9C84BF77-4FBB-45BE-8698-6494E61294DD}"/>
    <cellStyle name="Comma 4 3 6 3 3 2" xfId="28746" xr:uid="{790F0F0C-8E03-4E0E-956B-3712F59AE651}"/>
    <cellStyle name="Comma 4 3 6 3 4" xfId="20074" xr:uid="{0DC4C495-2BD6-4D16-9F60-E41678BB6060}"/>
    <cellStyle name="Comma 4 3 6 4" xfId="4898" xr:uid="{C5C33C30-F760-4F0E-B84B-DAE10168020E}"/>
    <cellStyle name="Comma 4 3 6 4 2" xfId="13570" xr:uid="{07B37A6F-3CF2-4741-9002-5DCD41875D2D}"/>
    <cellStyle name="Comma 4 3 6 4 2 2" xfId="30914" xr:uid="{AD1BFB96-4E2E-4DAC-AB13-9A660B549489}"/>
    <cellStyle name="Comma 4 3 6 4 3" xfId="22242" xr:uid="{B7BC7942-6F4C-499B-AA5B-2BC911F15419}"/>
    <cellStyle name="Comma 4 3 6 5" xfId="9234" xr:uid="{9B76E3E1-A698-4D0C-8A01-5716251B89E0}"/>
    <cellStyle name="Comma 4 3 6 5 2" xfId="26578" xr:uid="{5ADAE829-FF2B-4A47-B8A5-AAC1B80A57A4}"/>
    <cellStyle name="Comma 4 3 6 6" xfId="17906" xr:uid="{7087A0AE-BA76-4889-AF14-B3623F41E6AE}"/>
    <cellStyle name="Comma 4 3 7" xfId="1105" xr:uid="{1C4F512A-DD2F-42B1-8726-2741620DAEB3}"/>
    <cellStyle name="Comma 4 3 7 2" xfId="3273" xr:uid="{A682078D-9104-43F4-9335-838FD02A1594}"/>
    <cellStyle name="Comma 4 3 7 2 2" xfId="7609" xr:uid="{E537432A-62A9-4B5E-85BD-9440C5A8E980}"/>
    <cellStyle name="Comma 4 3 7 2 2 2" xfId="16281" xr:uid="{E167ADB5-7C87-48C6-8E95-2AC8CBB01B9A}"/>
    <cellStyle name="Comma 4 3 7 2 2 2 2" xfId="33625" xr:uid="{DC8676AA-102F-411F-A327-E85037D8B249}"/>
    <cellStyle name="Comma 4 3 7 2 2 3" xfId="24953" xr:uid="{8FC16AF2-901E-4735-B1D0-23E417CAACDB}"/>
    <cellStyle name="Comma 4 3 7 2 3" xfId="11945" xr:uid="{0BF0CECC-3BF6-4062-9926-D02311FE7AE1}"/>
    <cellStyle name="Comma 4 3 7 2 3 2" xfId="29289" xr:uid="{33861F33-7BE3-4245-9C48-078B15D35664}"/>
    <cellStyle name="Comma 4 3 7 2 4" xfId="20617" xr:uid="{23AF950B-C4FA-4D01-9A04-0D2CCE28E207}"/>
    <cellStyle name="Comma 4 3 7 3" xfId="5441" xr:uid="{9D28FFF2-72B0-4B9F-8A06-F9E28D4DC4C3}"/>
    <cellStyle name="Comma 4 3 7 3 2" xfId="14113" xr:uid="{63F6BD06-8129-47F7-A95C-66958F929774}"/>
    <cellStyle name="Comma 4 3 7 3 2 2" xfId="31457" xr:uid="{8066329E-ECAC-4CEA-8EB4-FEFB7FCC95EE}"/>
    <cellStyle name="Comma 4 3 7 3 3" xfId="22785" xr:uid="{42313072-9EB6-4A8F-A4FF-FA871590D5EF}"/>
    <cellStyle name="Comma 4 3 7 4" xfId="9777" xr:uid="{B435795C-894D-4CA3-9CE9-410C5F4E1FA3}"/>
    <cellStyle name="Comma 4 3 7 4 2" xfId="27121" xr:uid="{157B00F4-9B08-41ED-8B76-A6F444D6C28A}"/>
    <cellStyle name="Comma 4 3 7 5" xfId="18449" xr:uid="{69A98492-DD81-4B6E-B2D8-DE66B739DF46}"/>
    <cellStyle name="Comma 4 3 8" xfId="2189" xr:uid="{A549453D-D449-40D3-932A-7B6438FB5500}"/>
    <cellStyle name="Comma 4 3 8 2" xfId="6525" xr:uid="{88C81487-0A31-4721-9B83-413BD3C85088}"/>
    <cellStyle name="Comma 4 3 8 2 2" xfId="15197" xr:uid="{DF477463-1E49-480B-B35F-1171C92C5CC3}"/>
    <cellStyle name="Comma 4 3 8 2 2 2" xfId="32541" xr:uid="{810312C5-804B-4555-88F3-A7A096333AAF}"/>
    <cellStyle name="Comma 4 3 8 2 3" xfId="23869" xr:uid="{AB43B4FB-441A-4CE0-A622-C87D944FA314}"/>
    <cellStyle name="Comma 4 3 8 3" xfId="10861" xr:uid="{F63E58E9-183B-491A-B184-7FB074A9DD7A}"/>
    <cellStyle name="Comma 4 3 8 3 2" xfId="28205" xr:uid="{EDCD37E3-D7B6-4919-A6C9-EA464EE98511}"/>
    <cellStyle name="Comma 4 3 8 4" xfId="19533" xr:uid="{D39346B4-3180-4725-8CD1-2EDEFE1CDF63}"/>
    <cellStyle name="Comma 4 3 9" xfId="4357" xr:uid="{42409280-2788-437C-B331-6877E9761717}"/>
    <cellStyle name="Comma 4 3 9 2" xfId="13029" xr:uid="{201E54EF-DA4A-44C8-9C82-CCF1167B9246}"/>
    <cellStyle name="Comma 4 3 9 2 2" xfId="30373" xr:uid="{83144D28-5A56-4D1F-B5E7-358923B172C4}"/>
    <cellStyle name="Comma 4 3 9 3" xfId="21701" xr:uid="{9177B48A-CBE3-432B-B994-3A6F3379932A}"/>
    <cellStyle name="Comma 4 4" xfId="38" xr:uid="{9A4AE1E7-39E6-43AB-BFA7-E98B6AFD3EE4}"/>
    <cellStyle name="Comma 4 4 10" xfId="17382" xr:uid="{E9540C69-7221-4BAB-A326-306B78911162}"/>
    <cellStyle name="Comma 4 4 2" xfId="99" xr:uid="{ED588F7A-FAD4-4C30-92A8-AE16828E767F}"/>
    <cellStyle name="Comma 4 4 2 2" xfId="221" xr:uid="{BC67842E-C0EA-4B40-9927-133473A4A3D0}"/>
    <cellStyle name="Comma 4 4 2 2 2" xfId="491" xr:uid="{BA885D4B-A9A5-45F6-ACA3-53905758EE78}"/>
    <cellStyle name="Comma 4 4 2 2 2 2" xfId="1032" xr:uid="{F008A6EA-3C9A-472E-9845-DBB53CB846D6}"/>
    <cellStyle name="Comma 4 4 2 2 2 2 2" xfId="2116" xr:uid="{A6DD3ECC-9E73-4535-A9F4-DF1D6A4451CB}"/>
    <cellStyle name="Comma 4 4 2 2 2 2 2 2" xfId="4284" xr:uid="{8A23D595-844D-4D26-BDFE-9A8EB80AFB6B}"/>
    <cellStyle name="Comma 4 4 2 2 2 2 2 2 2" xfId="8620" xr:uid="{D815CDF5-938E-420C-AE9F-BD8107B422D8}"/>
    <cellStyle name="Comma 4 4 2 2 2 2 2 2 2 2" xfId="17292" xr:uid="{2C093482-4E8D-41D6-9B23-E2BD30CD180C}"/>
    <cellStyle name="Comma 4 4 2 2 2 2 2 2 2 2 2" xfId="34636" xr:uid="{31D23DA6-D9F6-4C85-8F0B-8A8EBB524EE0}"/>
    <cellStyle name="Comma 4 4 2 2 2 2 2 2 2 3" xfId="25964" xr:uid="{6B1E8228-CEE1-481E-9208-23D256ACD45A}"/>
    <cellStyle name="Comma 4 4 2 2 2 2 2 2 3" xfId="12956" xr:uid="{EF50AEE6-0B5B-43C3-96EA-B2C752D37E01}"/>
    <cellStyle name="Comma 4 4 2 2 2 2 2 2 3 2" xfId="30300" xr:uid="{B7A8CF49-E431-411C-869D-1EE197A74EF7}"/>
    <cellStyle name="Comma 4 4 2 2 2 2 2 2 4" xfId="21628" xr:uid="{39B9FC1E-EADE-49B8-8A6C-EB7572DA277E}"/>
    <cellStyle name="Comma 4 4 2 2 2 2 2 3" xfId="6452" xr:uid="{07EB8859-0FCA-4DE6-A165-B61F85DE000D}"/>
    <cellStyle name="Comma 4 4 2 2 2 2 2 3 2" xfId="15124" xr:uid="{C25A6DF1-C57D-430C-982C-DCD1870E0256}"/>
    <cellStyle name="Comma 4 4 2 2 2 2 2 3 2 2" xfId="32468" xr:uid="{5C28EA2A-2258-4D9E-83B6-C246102E7CA3}"/>
    <cellStyle name="Comma 4 4 2 2 2 2 2 3 3" xfId="23796" xr:uid="{31B31992-FB60-404D-AC1C-6B16794275EE}"/>
    <cellStyle name="Comma 4 4 2 2 2 2 2 4" xfId="10788" xr:uid="{51D163FA-A824-4B7E-81EF-5B51259AA0DF}"/>
    <cellStyle name="Comma 4 4 2 2 2 2 2 4 2" xfId="28132" xr:uid="{64CB374D-FCE5-410A-9656-E31D5C024C50}"/>
    <cellStyle name="Comma 4 4 2 2 2 2 2 5" xfId="19460" xr:uid="{13F60A0A-4774-41B9-BF7C-53B8D57DCAE8}"/>
    <cellStyle name="Comma 4 4 2 2 2 2 3" xfId="3200" xr:uid="{0B31B8F0-C54C-4DF3-830B-32E4231BB925}"/>
    <cellStyle name="Comma 4 4 2 2 2 2 3 2" xfId="7536" xr:uid="{C860B696-61D6-4B62-9D61-6156EBE8F830}"/>
    <cellStyle name="Comma 4 4 2 2 2 2 3 2 2" xfId="16208" xr:uid="{E2C7C7F5-2419-4B48-B1CD-50C5FC183ACE}"/>
    <cellStyle name="Comma 4 4 2 2 2 2 3 2 2 2" xfId="33552" xr:uid="{A43F5A66-58BC-435F-9ED3-652A07B63B62}"/>
    <cellStyle name="Comma 4 4 2 2 2 2 3 2 3" xfId="24880" xr:uid="{5BC55611-8706-484C-8288-12AA26E1DCBB}"/>
    <cellStyle name="Comma 4 4 2 2 2 2 3 3" xfId="11872" xr:uid="{D8FCC4BC-2A09-40C3-9F45-775419512AF2}"/>
    <cellStyle name="Comma 4 4 2 2 2 2 3 3 2" xfId="29216" xr:uid="{100455F7-E71C-4C3F-97F4-DA41EC9B503D}"/>
    <cellStyle name="Comma 4 4 2 2 2 2 3 4" xfId="20544" xr:uid="{2CF8D798-4871-47E0-94B6-1B88CBC55AEE}"/>
    <cellStyle name="Comma 4 4 2 2 2 2 4" xfId="5368" xr:uid="{027519F2-C4AF-431F-BDD6-54F017DE1010}"/>
    <cellStyle name="Comma 4 4 2 2 2 2 4 2" xfId="14040" xr:uid="{C2B474AC-269E-4D13-8A6B-8D22B4EF4883}"/>
    <cellStyle name="Comma 4 4 2 2 2 2 4 2 2" xfId="31384" xr:uid="{669E712C-073A-4CEB-8EA2-124EF041309F}"/>
    <cellStyle name="Comma 4 4 2 2 2 2 4 3" xfId="22712" xr:uid="{FBB5D3F0-AC3B-4B5C-82D9-F24D53D973EF}"/>
    <cellStyle name="Comma 4 4 2 2 2 2 5" xfId="9704" xr:uid="{E49857D7-73F0-4525-9836-F797B7126C6E}"/>
    <cellStyle name="Comma 4 4 2 2 2 2 5 2" xfId="27048" xr:uid="{45ACEF03-0551-4A7F-A7FE-B67A3CAA6AD8}"/>
    <cellStyle name="Comma 4 4 2 2 2 2 6" xfId="18376" xr:uid="{E518ABD0-DBC7-43A0-A880-B72724073A25}"/>
    <cellStyle name="Comma 4 4 2 2 2 3" xfId="1575" xr:uid="{6DBA32C8-7ACC-4969-B623-3F23E6B37340}"/>
    <cellStyle name="Comma 4 4 2 2 2 3 2" xfId="3743" xr:uid="{27219D6B-6D50-475A-904C-EB512CCA43A1}"/>
    <cellStyle name="Comma 4 4 2 2 2 3 2 2" xfId="8079" xr:uid="{6228AF2F-0223-4CAB-9E3D-F5C24D0A7A92}"/>
    <cellStyle name="Comma 4 4 2 2 2 3 2 2 2" xfId="16751" xr:uid="{E13E2903-8037-48C1-88CA-9313E84A990E}"/>
    <cellStyle name="Comma 4 4 2 2 2 3 2 2 2 2" xfId="34095" xr:uid="{1727DFBF-2C5D-4A91-A538-9DC48425E8F9}"/>
    <cellStyle name="Comma 4 4 2 2 2 3 2 2 3" xfId="25423" xr:uid="{F10A55DF-789C-47FF-A96E-F278FB25C7E3}"/>
    <cellStyle name="Comma 4 4 2 2 2 3 2 3" xfId="12415" xr:uid="{C65AB616-5903-413B-908B-0996B4696A0D}"/>
    <cellStyle name="Comma 4 4 2 2 2 3 2 3 2" xfId="29759" xr:uid="{4FFD19DF-DDEB-4582-B444-34974684AFE0}"/>
    <cellStyle name="Comma 4 4 2 2 2 3 2 4" xfId="21087" xr:uid="{EC64F045-8425-4B57-A335-7CB07F0F7BFE}"/>
    <cellStyle name="Comma 4 4 2 2 2 3 3" xfId="5911" xr:uid="{28F8EC3A-F7DE-4301-B0FB-A0410DEA2084}"/>
    <cellStyle name="Comma 4 4 2 2 2 3 3 2" xfId="14583" xr:uid="{42A96F14-DE9B-4C9A-AF46-09B5224B10A7}"/>
    <cellStyle name="Comma 4 4 2 2 2 3 3 2 2" xfId="31927" xr:uid="{083A2D3C-694D-4DAE-B406-1CAAD915A614}"/>
    <cellStyle name="Comma 4 4 2 2 2 3 3 3" xfId="23255" xr:uid="{B4ED271F-CD90-4C36-A74B-3A2CCEF16D40}"/>
    <cellStyle name="Comma 4 4 2 2 2 3 4" xfId="10247" xr:uid="{E18A95C8-60F5-454C-9C84-3060D17AC226}"/>
    <cellStyle name="Comma 4 4 2 2 2 3 4 2" xfId="27591" xr:uid="{52D6A446-7110-4B3D-8A9A-1CF6FF176AC3}"/>
    <cellStyle name="Comma 4 4 2 2 2 3 5" xfId="18919" xr:uid="{118C4607-9973-4331-BA0B-047C146986DB}"/>
    <cellStyle name="Comma 4 4 2 2 2 4" xfId="2659" xr:uid="{7A299268-BD33-4859-BDA7-BB24D739F0CA}"/>
    <cellStyle name="Comma 4 4 2 2 2 4 2" xfId="6995" xr:uid="{88E13EB3-BCD1-4A88-801F-72CFC81D6CBD}"/>
    <cellStyle name="Comma 4 4 2 2 2 4 2 2" xfId="15667" xr:uid="{43140F76-6B2C-4ABD-9C25-B720D9725B4C}"/>
    <cellStyle name="Comma 4 4 2 2 2 4 2 2 2" xfId="33011" xr:uid="{2DE0BDF4-FBFC-4335-B8E6-12EEB200289B}"/>
    <cellStyle name="Comma 4 4 2 2 2 4 2 3" xfId="24339" xr:uid="{C1EC20CB-6E41-4195-B870-629780278075}"/>
    <cellStyle name="Comma 4 4 2 2 2 4 3" xfId="11331" xr:uid="{F5BA3689-18E3-442F-BA31-F3B41A120212}"/>
    <cellStyle name="Comma 4 4 2 2 2 4 3 2" xfId="28675" xr:uid="{91B25894-F480-4FE6-A22E-6397D6752B81}"/>
    <cellStyle name="Comma 4 4 2 2 2 4 4" xfId="20003" xr:uid="{A92370D2-FAD6-42E8-B8AB-23935C282A61}"/>
    <cellStyle name="Comma 4 4 2 2 2 5" xfId="4827" xr:uid="{D5FF588E-9E3E-4FF0-A331-2254BB0A700D}"/>
    <cellStyle name="Comma 4 4 2 2 2 5 2" xfId="13499" xr:uid="{4927797F-1607-4B11-8A7A-0C6EBFD065C1}"/>
    <cellStyle name="Comma 4 4 2 2 2 5 2 2" xfId="30843" xr:uid="{504ABE93-3748-4ACF-984E-7120EFDA6223}"/>
    <cellStyle name="Comma 4 4 2 2 2 5 3" xfId="22171" xr:uid="{59BB3A63-6449-4310-9A17-07971AEC3A37}"/>
    <cellStyle name="Comma 4 4 2 2 2 6" xfId="9163" xr:uid="{BA97007E-0D94-4456-AEAF-61CB888F6399}"/>
    <cellStyle name="Comma 4 4 2 2 2 6 2" xfId="26507" xr:uid="{1A666A86-BBE7-482A-A070-9428E9104F00}"/>
    <cellStyle name="Comma 4 4 2 2 2 7" xfId="17835" xr:uid="{E7B8AC92-5567-4EFB-A6AB-E52D16D6A0E1}"/>
    <cellStyle name="Comma 4 4 2 2 3" xfId="762" xr:uid="{8BF28CB4-AD8C-4093-B3C0-344E9A2CC0E4}"/>
    <cellStyle name="Comma 4 4 2 2 3 2" xfId="1846" xr:uid="{274E98D8-5A15-44EA-971F-AB01596E5D91}"/>
    <cellStyle name="Comma 4 4 2 2 3 2 2" xfId="4014" xr:uid="{6E6BCBDB-335F-4D0F-B48C-D2440B3D97C8}"/>
    <cellStyle name="Comma 4 4 2 2 3 2 2 2" xfId="8350" xr:uid="{CE4A89EC-D1AA-4F78-8BC6-AE782F417B69}"/>
    <cellStyle name="Comma 4 4 2 2 3 2 2 2 2" xfId="17022" xr:uid="{3C07F0BF-3D83-48E8-B2F8-1116834642DF}"/>
    <cellStyle name="Comma 4 4 2 2 3 2 2 2 2 2" xfId="34366" xr:uid="{059CC4AD-2257-49B1-BFB9-8297A05484C1}"/>
    <cellStyle name="Comma 4 4 2 2 3 2 2 2 3" xfId="25694" xr:uid="{52F451C2-1E2A-40C9-92F0-5C429916ADA3}"/>
    <cellStyle name="Comma 4 4 2 2 3 2 2 3" xfId="12686" xr:uid="{36EA9D95-216A-4785-AA16-68EB2BA4766C}"/>
    <cellStyle name="Comma 4 4 2 2 3 2 2 3 2" xfId="30030" xr:uid="{12D8F5FF-A348-4DC8-AB50-8738C8E43D27}"/>
    <cellStyle name="Comma 4 4 2 2 3 2 2 4" xfId="21358" xr:uid="{521D2F14-D0D4-4083-84DA-C9048657BF86}"/>
    <cellStyle name="Comma 4 4 2 2 3 2 3" xfId="6182" xr:uid="{76076C49-990F-43AD-A7E7-2F11EC06FC08}"/>
    <cellStyle name="Comma 4 4 2 2 3 2 3 2" xfId="14854" xr:uid="{228DDC50-B39C-4FBB-B491-A8E723381D22}"/>
    <cellStyle name="Comma 4 4 2 2 3 2 3 2 2" xfId="32198" xr:uid="{FCF12A58-EEA3-4854-B184-15767AE09D4E}"/>
    <cellStyle name="Comma 4 4 2 2 3 2 3 3" xfId="23526" xr:uid="{34182162-C4D7-4DB6-BBFA-44F6816A56DA}"/>
    <cellStyle name="Comma 4 4 2 2 3 2 4" xfId="10518" xr:uid="{541E605E-9A2E-4E71-B126-BAF76D7F9533}"/>
    <cellStyle name="Comma 4 4 2 2 3 2 4 2" xfId="27862" xr:uid="{5323EDAE-26FB-4B27-B1D4-783FF30049D0}"/>
    <cellStyle name="Comma 4 4 2 2 3 2 5" xfId="19190" xr:uid="{7536A7DF-3EA6-4589-BE8B-2EF90FD7BB50}"/>
    <cellStyle name="Comma 4 4 2 2 3 3" xfId="2930" xr:uid="{625BCD69-B8DB-47D5-88AB-76E901C7D495}"/>
    <cellStyle name="Comma 4 4 2 2 3 3 2" xfId="7266" xr:uid="{14EA7935-F359-4137-8BC8-1C9CFAE8EEA8}"/>
    <cellStyle name="Comma 4 4 2 2 3 3 2 2" xfId="15938" xr:uid="{DB786210-65A1-484D-BD9C-5D0F91A87DED}"/>
    <cellStyle name="Comma 4 4 2 2 3 3 2 2 2" xfId="33282" xr:uid="{201523BE-6ADC-484A-9B55-83528E51DC93}"/>
    <cellStyle name="Comma 4 4 2 2 3 3 2 3" xfId="24610" xr:uid="{2A4D0D39-389B-47C5-85C6-E041909B3B09}"/>
    <cellStyle name="Comma 4 4 2 2 3 3 3" xfId="11602" xr:uid="{A5AC78A9-52B1-4273-9CF8-E60893C54E6C}"/>
    <cellStyle name="Comma 4 4 2 2 3 3 3 2" xfId="28946" xr:uid="{290B9CE3-D009-48D1-832A-0CD9AA1767CF}"/>
    <cellStyle name="Comma 4 4 2 2 3 3 4" xfId="20274" xr:uid="{09502232-791D-4E2C-B284-6C24F253199F}"/>
    <cellStyle name="Comma 4 4 2 2 3 4" xfId="5098" xr:uid="{09062FF7-BF33-4BE3-9628-4F86526EF4C9}"/>
    <cellStyle name="Comma 4 4 2 2 3 4 2" xfId="13770" xr:uid="{F8FE099E-6783-4150-B119-F0C321E9C349}"/>
    <cellStyle name="Comma 4 4 2 2 3 4 2 2" xfId="31114" xr:uid="{330A69CE-4712-40D7-8D8B-59408AD4D780}"/>
    <cellStyle name="Comma 4 4 2 2 3 4 3" xfId="22442" xr:uid="{CA0464C6-75CA-4860-9F0D-93E921AD327E}"/>
    <cellStyle name="Comma 4 4 2 2 3 5" xfId="9434" xr:uid="{2CD435E8-EABF-4144-9A97-5DF8D1C0B50B}"/>
    <cellStyle name="Comma 4 4 2 2 3 5 2" xfId="26778" xr:uid="{F53D01F7-5E08-46B6-87C0-496A2E51FEC1}"/>
    <cellStyle name="Comma 4 4 2 2 3 6" xfId="18106" xr:uid="{DEE82846-D277-4BCB-B39C-FA59851D0298}"/>
    <cellStyle name="Comma 4 4 2 2 4" xfId="1305" xr:uid="{7E2A3305-1C91-479C-815A-15E15491E423}"/>
    <cellStyle name="Comma 4 4 2 2 4 2" xfId="3473" xr:uid="{85D35D3C-09CB-4163-AF9D-9CFCB802A7CA}"/>
    <cellStyle name="Comma 4 4 2 2 4 2 2" xfId="7809" xr:uid="{F822B42A-CBB2-4F73-BB9C-37D85DA043A8}"/>
    <cellStyle name="Comma 4 4 2 2 4 2 2 2" xfId="16481" xr:uid="{B5EDAFBE-FBB5-4BCF-9E23-DA1AFF5A2812}"/>
    <cellStyle name="Comma 4 4 2 2 4 2 2 2 2" xfId="33825" xr:uid="{740D97D2-F351-463F-8627-B0E703DDF604}"/>
    <cellStyle name="Comma 4 4 2 2 4 2 2 3" xfId="25153" xr:uid="{63DB8B39-E27E-4914-B260-85CCF95C7C94}"/>
    <cellStyle name="Comma 4 4 2 2 4 2 3" xfId="12145" xr:uid="{885871BF-3B3E-4841-B492-5AFC39A326DF}"/>
    <cellStyle name="Comma 4 4 2 2 4 2 3 2" xfId="29489" xr:uid="{A7967715-7BA0-4942-A69A-32B4D418B9BC}"/>
    <cellStyle name="Comma 4 4 2 2 4 2 4" xfId="20817" xr:uid="{7AD832E1-EBCC-4D52-8C13-B1B92215F5BA}"/>
    <cellStyle name="Comma 4 4 2 2 4 3" xfId="5641" xr:uid="{5CE8561A-899B-4C2D-88C3-62BD8FB84DDF}"/>
    <cellStyle name="Comma 4 4 2 2 4 3 2" xfId="14313" xr:uid="{C7881AC4-B505-48BA-B405-E9E8C04D03FB}"/>
    <cellStyle name="Comma 4 4 2 2 4 3 2 2" xfId="31657" xr:uid="{6851B5C2-6C65-4C47-B28A-00A895CC27D6}"/>
    <cellStyle name="Comma 4 4 2 2 4 3 3" xfId="22985" xr:uid="{91C64727-9552-48CD-981B-219102ABE3FA}"/>
    <cellStyle name="Comma 4 4 2 2 4 4" xfId="9977" xr:uid="{7B093046-2244-4D2A-B0C8-7AC4F3F63ED6}"/>
    <cellStyle name="Comma 4 4 2 2 4 4 2" xfId="27321" xr:uid="{FE588A71-994D-47E9-831A-5F12B0D0EFB0}"/>
    <cellStyle name="Comma 4 4 2 2 4 5" xfId="18649" xr:uid="{2454B779-A979-4A95-9F53-0A15CA45C7BA}"/>
    <cellStyle name="Comma 4 4 2 2 5" xfId="2389" xr:uid="{79B60812-3A78-4199-8D8D-2DA2F8F1788E}"/>
    <cellStyle name="Comma 4 4 2 2 5 2" xfId="6725" xr:uid="{F9C7CDA6-0026-40FA-8264-6E7FB3DBBEBA}"/>
    <cellStyle name="Comma 4 4 2 2 5 2 2" xfId="15397" xr:uid="{87148920-4954-4A06-BB8C-93DA7E007B2D}"/>
    <cellStyle name="Comma 4 4 2 2 5 2 2 2" xfId="32741" xr:uid="{AAC9D4B6-9008-48E1-9B9D-682F8F346088}"/>
    <cellStyle name="Comma 4 4 2 2 5 2 3" xfId="24069" xr:uid="{315ED6B6-DD03-4F26-835D-F26D2E36CF62}"/>
    <cellStyle name="Comma 4 4 2 2 5 3" xfId="11061" xr:uid="{D728D398-2C74-403A-B90A-69CBA7EFEDF9}"/>
    <cellStyle name="Comma 4 4 2 2 5 3 2" xfId="28405" xr:uid="{C1F98CAF-8A67-465B-83BF-DF8362B6E851}"/>
    <cellStyle name="Comma 4 4 2 2 5 4" xfId="19733" xr:uid="{96C6315E-E922-437C-A888-168495913862}"/>
    <cellStyle name="Comma 4 4 2 2 6" xfId="4557" xr:uid="{BE9E0A23-0A0D-42AE-B90B-E10D48993C66}"/>
    <cellStyle name="Comma 4 4 2 2 6 2" xfId="13229" xr:uid="{EDA5AB42-096B-4486-A11D-5EF1BF4B763E}"/>
    <cellStyle name="Comma 4 4 2 2 6 2 2" xfId="30573" xr:uid="{4D314707-76E1-4371-9E38-8B32281025B4}"/>
    <cellStyle name="Comma 4 4 2 2 6 3" xfId="21901" xr:uid="{20F59BFA-9E35-4467-93E5-B9866F370D4B}"/>
    <cellStyle name="Comma 4 4 2 2 7" xfId="8893" xr:uid="{9049439A-5CE1-44C1-9DF1-D56F7FC18500}"/>
    <cellStyle name="Comma 4 4 2 2 7 2" xfId="26237" xr:uid="{95EDFFC7-4141-41DB-9E92-BC7CDC491433}"/>
    <cellStyle name="Comma 4 4 2 2 8" xfId="17565" xr:uid="{32B1E5EF-CFE1-4791-A49E-785673CF212D}"/>
    <cellStyle name="Comma 4 4 2 3" xfId="369" xr:uid="{08CD5DF0-F099-4570-AE1C-2C0814D8928B}"/>
    <cellStyle name="Comma 4 4 2 3 2" xfId="910" xr:uid="{92549645-8CE1-460C-B6EB-433A2C38509D}"/>
    <cellStyle name="Comma 4 4 2 3 2 2" xfId="1994" xr:uid="{BB2A4A75-8DB7-4AF7-9B76-2ABB2E012D33}"/>
    <cellStyle name="Comma 4 4 2 3 2 2 2" xfId="4162" xr:uid="{2AE6621E-790C-436E-A916-81F1D1B36B28}"/>
    <cellStyle name="Comma 4 4 2 3 2 2 2 2" xfId="8498" xr:uid="{DCD69A2A-A16B-4D38-8EAB-6924AC38589E}"/>
    <cellStyle name="Comma 4 4 2 3 2 2 2 2 2" xfId="17170" xr:uid="{18672AEE-3F55-445F-8A3D-BB04DE2793BE}"/>
    <cellStyle name="Comma 4 4 2 3 2 2 2 2 2 2" xfId="34514" xr:uid="{08FA2B58-B5DF-423D-AA2C-FECF171C3B14}"/>
    <cellStyle name="Comma 4 4 2 3 2 2 2 2 3" xfId="25842" xr:uid="{931F64BB-F531-4C89-9E03-D7914EB06B5C}"/>
    <cellStyle name="Comma 4 4 2 3 2 2 2 3" xfId="12834" xr:uid="{A401F38B-40AC-4ED5-8ABD-BCBE1DBFE53F}"/>
    <cellStyle name="Comma 4 4 2 3 2 2 2 3 2" xfId="30178" xr:uid="{1315128D-9310-460F-B1A6-564EAC3ADD8C}"/>
    <cellStyle name="Comma 4 4 2 3 2 2 2 4" xfId="21506" xr:uid="{30DC344D-B28D-4F21-ADF6-EC56D22F972E}"/>
    <cellStyle name="Comma 4 4 2 3 2 2 3" xfId="6330" xr:uid="{A34E660A-E89F-49F1-99D9-E6EED38F8EE7}"/>
    <cellStyle name="Comma 4 4 2 3 2 2 3 2" xfId="15002" xr:uid="{910CDFCC-C84E-4EB1-9142-5829BA03C0D6}"/>
    <cellStyle name="Comma 4 4 2 3 2 2 3 2 2" xfId="32346" xr:uid="{40CA0815-4404-4654-B84A-6803C0F9AA1B}"/>
    <cellStyle name="Comma 4 4 2 3 2 2 3 3" xfId="23674" xr:uid="{F582D2C0-50A4-4B85-8E9B-4B9316B5034F}"/>
    <cellStyle name="Comma 4 4 2 3 2 2 4" xfId="10666" xr:uid="{6E5D33DD-2831-4CF0-82CC-4DA4887D0AF9}"/>
    <cellStyle name="Comma 4 4 2 3 2 2 4 2" xfId="28010" xr:uid="{FA1CDACC-C244-4B53-9146-0722ED52F0AA}"/>
    <cellStyle name="Comma 4 4 2 3 2 2 5" xfId="19338" xr:uid="{C6F95105-421B-498F-85DF-333291CCD6B6}"/>
    <cellStyle name="Comma 4 4 2 3 2 3" xfId="3078" xr:uid="{D840FFA0-7B81-4A40-B695-2FC92F6C4E08}"/>
    <cellStyle name="Comma 4 4 2 3 2 3 2" xfId="7414" xr:uid="{AAFAEEE2-F7E7-41D1-8152-3197257B16B1}"/>
    <cellStyle name="Comma 4 4 2 3 2 3 2 2" xfId="16086" xr:uid="{DCBCF93B-72B6-450E-810D-B9B8F59BE107}"/>
    <cellStyle name="Comma 4 4 2 3 2 3 2 2 2" xfId="33430" xr:uid="{09482890-5136-4369-86B9-446CF1E568FD}"/>
    <cellStyle name="Comma 4 4 2 3 2 3 2 3" xfId="24758" xr:uid="{DF7C6E8C-A00D-4D1F-B221-4DC6207B8187}"/>
    <cellStyle name="Comma 4 4 2 3 2 3 3" xfId="11750" xr:uid="{053CC37A-F157-4E50-A742-27059DD203E5}"/>
    <cellStyle name="Comma 4 4 2 3 2 3 3 2" xfId="29094" xr:uid="{CBAD71D6-3083-4C7F-B122-AA71EE16AC49}"/>
    <cellStyle name="Comma 4 4 2 3 2 3 4" xfId="20422" xr:uid="{D38E536D-82FC-4D32-8096-F0D7EB47D589}"/>
    <cellStyle name="Comma 4 4 2 3 2 4" xfId="5246" xr:uid="{09CFFB3E-E37C-4EB1-8BC4-250C89D839FE}"/>
    <cellStyle name="Comma 4 4 2 3 2 4 2" xfId="13918" xr:uid="{E35C087A-00E3-47B4-9661-BAC121737C8C}"/>
    <cellStyle name="Comma 4 4 2 3 2 4 2 2" xfId="31262" xr:uid="{7C10D791-2739-41CE-A1A4-0E6D279EDA05}"/>
    <cellStyle name="Comma 4 4 2 3 2 4 3" xfId="22590" xr:uid="{797CB341-7180-4424-A251-5037C4ED36ED}"/>
    <cellStyle name="Comma 4 4 2 3 2 5" xfId="9582" xr:uid="{EC5EAAA7-184D-4A0F-B5F4-BBF2BFBD6094}"/>
    <cellStyle name="Comma 4 4 2 3 2 5 2" xfId="26926" xr:uid="{444DF605-5B98-4085-A16A-12BF8371DC79}"/>
    <cellStyle name="Comma 4 4 2 3 2 6" xfId="18254" xr:uid="{740BD9A0-8203-4D98-8526-AB909A2D440F}"/>
    <cellStyle name="Comma 4 4 2 3 3" xfId="1453" xr:uid="{40117614-EEC3-4F94-9F23-38FD70EDA438}"/>
    <cellStyle name="Comma 4 4 2 3 3 2" xfId="3621" xr:uid="{FA24B92C-40B5-49CE-BF78-33CD1A63B285}"/>
    <cellStyle name="Comma 4 4 2 3 3 2 2" xfId="7957" xr:uid="{F8EFD35F-B398-4602-887A-05EE0012B78A}"/>
    <cellStyle name="Comma 4 4 2 3 3 2 2 2" xfId="16629" xr:uid="{24C71637-28EA-4FC3-9F8D-17BD09E1F3F1}"/>
    <cellStyle name="Comma 4 4 2 3 3 2 2 2 2" xfId="33973" xr:uid="{4E6AB06F-70FA-4CC3-8637-76EE1F023EBD}"/>
    <cellStyle name="Comma 4 4 2 3 3 2 2 3" xfId="25301" xr:uid="{90735584-3EF4-446B-8CDF-D269CDD70BFB}"/>
    <cellStyle name="Comma 4 4 2 3 3 2 3" xfId="12293" xr:uid="{D3DCF94D-592E-4F58-A66A-349094E62A81}"/>
    <cellStyle name="Comma 4 4 2 3 3 2 3 2" xfId="29637" xr:uid="{DC1E9581-E204-4E58-A84C-B1B8B925A37D}"/>
    <cellStyle name="Comma 4 4 2 3 3 2 4" xfId="20965" xr:uid="{309CAD88-5BED-4821-B201-B997A3D9F604}"/>
    <cellStyle name="Comma 4 4 2 3 3 3" xfId="5789" xr:uid="{B3AD0846-50D4-45CC-8F98-8AE8418A4556}"/>
    <cellStyle name="Comma 4 4 2 3 3 3 2" xfId="14461" xr:uid="{CC819ED3-551C-4D12-9F1C-8101E609AD27}"/>
    <cellStyle name="Comma 4 4 2 3 3 3 2 2" xfId="31805" xr:uid="{01639CE8-6364-40CC-9BA4-9F1596D7C965}"/>
    <cellStyle name="Comma 4 4 2 3 3 3 3" xfId="23133" xr:uid="{73D9E6A4-FFFE-4D7D-92AC-C45407D24488}"/>
    <cellStyle name="Comma 4 4 2 3 3 4" xfId="10125" xr:uid="{9BF9E375-EC4E-482B-A54B-42E154D778F8}"/>
    <cellStyle name="Comma 4 4 2 3 3 4 2" xfId="27469" xr:uid="{B6C6A639-7C0B-4A69-92F3-AA0594D40A9A}"/>
    <cellStyle name="Comma 4 4 2 3 3 5" xfId="18797" xr:uid="{A5ECF8DE-8092-4AB7-92CC-4CC95DA67D87}"/>
    <cellStyle name="Comma 4 4 2 3 4" xfId="2537" xr:uid="{414803E1-0902-438F-B85F-EE56D6F8130D}"/>
    <cellStyle name="Comma 4 4 2 3 4 2" xfId="6873" xr:uid="{CB6F4172-EE1D-4855-854F-1D10DC955901}"/>
    <cellStyle name="Comma 4 4 2 3 4 2 2" xfId="15545" xr:uid="{2DDC1673-F18E-493D-84C0-F9D209CBDBC2}"/>
    <cellStyle name="Comma 4 4 2 3 4 2 2 2" xfId="32889" xr:uid="{7BAB0FD4-2C24-42FF-849C-5178C4BEADDA}"/>
    <cellStyle name="Comma 4 4 2 3 4 2 3" xfId="24217" xr:uid="{844055EC-0463-4A77-A48A-200A7F32E492}"/>
    <cellStyle name="Comma 4 4 2 3 4 3" xfId="11209" xr:uid="{68839A43-A9B8-4D9B-9170-EE4A5A40DBBF}"/>
    <cellStyle name="Comma 4 4 2 3 4 3 2" xfId="28553" xr:uid="{6CC9DB38-11B9-4037-9826-E50CA9B5E89C}"/>
    <cellStyle name="Comma 4 4 2 3 4 4" xfId="19881" xr:uid="{CD7D0F4F-662B-4E8A-88F6-D833ABE026DF}"/>
    <cellStyle name="Comma 4 4 2 3 5" xfId="4705" xr:uid="{4CA9F9F1-DCF1-4049-9E04-90F4E4B27E02}"/>
    <cellStyle name="Comma 4 4 2 3 5 2" xfId="13377" xr:uid="{852E27BF-30BA-44FA-8A7A-1FE20FBCDBEB}"/>
    <cellStyle name="Comma 4 4 2 3 5 2 2" xfId="30721" xr:uid="{74009FB0-59B3-4585-A0D7-6520BEC4D240}"/>
    <cellStyle name="Comma 4 4 2 3 5 3" xfId="22049" xr:uid="{70B88B1C-A134-45E8-91AD-D1704D0F60C3}"/>
    <cellStyle name="Comma 4 4 2 3 6" xfId="9041" xr:uid="{64DBC882-4522-4C45-9756-08E5EA2CEB5F}"/>
    <cellStyle name="Comma 4 4 2 3 6 2" xfId="26385" xr:uid="{C041BEA1-0150-4085-8EEA-239622C45666}"/>
    <cellStyle name="Comma 4 4 2 3 7" xfId="17713" xr:uid="{5A8ED20A-5E4D-4968-A4D8-5FD4A4D3441F}"/>
    <cellStyle name="Comma 4 4 2 4" xfId="640" xr:uid="{EE5CB5AF-C743-418F-B8DD-FCFA4C686345}"/>
    <cellStyle name="Comma 4 4 2 4 2" xfId="1724" xr:uid="{0A6112AB-A40B-430C-AD9B-9C86AA408B7D}"/>
    <cellStyle name="Comma 4 4 2 4 2 2" xfId="3892" xr:uid="{45A50BB8-0D23-4416-B831-A961F3C00A8E}"/>
    <cellStyle name="Comma 4 4 2 4 2 2 2" xfId="8228" xr:uid="{FD5B8176-B1D4-4D9D-8C88-1EFBEAF0F3A4}"/>
    <cellStyle name="Comma 4 4 2 4 2 2 2 2" xfId="16900" xr:uid="{C3F1A7D4-18FB-4399-AD3A-0DBF4BE1149E}"/>
    <cellStyle name="Comma 4 4 2 4 2 2 2 2 2" xfId="34244" xr:uid="{0AF5BAC2-2892-4928-A293-0DD0EE6CEFDF}"/>
    <cellStyle name="Comma 4 4 2 4 2 2 2 3" xfId="25572" xr:uid="{F3E29998-C893-4EC3-90CD-55BFA4F60A0F}"/>
    <cellStyle name="Comma 4 4 2 4 2 2 3" xfId="12564" xr:uid="{DB27F40F-57C7-4AB3-8E07-1EF22F68CB19}"/>
    <cellStyle name="Comma 4 4 2 4 2 2 3 2" xfId="29908" xr:uid="{81EFE4AC-46DA-402A-A4D1-201187FBA937}"/>
    <cellStyle name="Comma 4 4 2 4 2 2 4" xfId="21236" xr:uid="{E5F58030-7FDC-4EC4-86EC-003B94AF4069}"/>
    <cellStyle name="Comma 4 4 2 4 2 3" xfId="6060" xr:uid="{2FC8E12B-3A0A-4523-85BC-5B33124E6F95}"/>
    <cellStyle name="Comma 4 4 2 4 2 3 2" xfId="14732" xr:uid="{1A292125-DEA1-4B61-8916-48C4EC2D69B7}"/>
    <cellStyle name="Comma 4 4 2 4 2 3 2 2" xfId="32076" xr:uid="{98E0061E-242C-425A-920B-B2BFB9071EB1}"/>
    <cellStyle name="Comma 4 4 2 4 2 3 3" xfId="23404" xr:uid="{AFD4EF76-4A48-4F6F-AEB1-21E11CD091A3}"/>
    <cellStyle name="Comma 4 4 2 4 2 4" xfId="10396" xr:uid="{EC3E00C1-3B6E-42F9-ACF4-ADFA4D4DED83}"/>
    <cellStyle name="Comma 4 4 2 4 2 4 2" xfId="27740" xr:uid="{368471D8-3893-4520-B6A6-D86266230684}"/>
    <cellStyle name="Comma 4 4 2 4 2 5" xfId="19068" xr:uid="{B0A31567-54E0-4233-B2C7-075EEDB6BD01}"/>
    <cellStyle name="Comma 4 4 2 4 3" xfId="2808" xr:uid="{06409033-B2BD-4B0C-86D8-D878CF4E28D9}"/>
    <cellStyle name="Comma 4 4 2 4 3 2" xfId="7144" xr:uid="{1379EDE5-99D2-4E20-BE92-3719C6E4C3C5}"/>
    <cellStyle name="Comma 4 4 2 4 3 2 2" xfId="15816" xr:uid="{A03BF43F-FF41-4C83-89F9-A1690CBBF772}"/>
    <cellStyle name="Comma 4 4 2 4 3 2 2 2" xfId="33160" xr:uid="{0AB84DFC-D9F2-4261-8EC5-798C676C3DE7}"/>
    <cellStyle name="Comma 4 4 2 4 3 2 3" xfId="24488" xr:uid="{2DBE860C-0A19-4DD0-8829-E13BF4E3347A}"/>
    <cellStyle name="Comma 4 4 2 4 3 3" xfId="11480" xr:uid="{E31E45DF-80DF-4366-B9A6-54BC19B8DECB}"/>
    <cellStyle name="Comma 4 4 2 4 3 3 2" xfId="28824" xr:uid="{04832F8F-AD89-4005-83AB-68A2EACA41A6}"/>
    <cellStyle name="Comma 4 4 2 4 3 4" xfId="20152" xr:uid="{AEDD6E81-03D5-4EDA-8FF9-9521758689ED}"/>
    <cellStyle name="Comma 4 4 2 4 4" xfId="4976" xr:uid="{195296A2-BE22-42B1-9974-7DB3FF971B4F}"/>
    <cellStyle name="Comma 4 4 2 4 4 2" xfId="13648" xr:uid="{2C602A58-49C3-4474-91B8-DD45C428E557}"/>
    <cellStyle name="Comma 4 4 2 4 4 2 2" xfId="30992" xr:uid="{E20755F5-3D5D-4DBE-97FE-BA89331A8875}"/>
    <cellStyle name="Comma 4 4 2 4 4 3" xfId="22320" xr:uid="{B76FF3EF-82BC-4737-88EC-151D7CA48D31}"/>
    <cellStyle name="Comma 4 4 2 4 5" xfId="9312" xr:uid="{114AE38C-9179-4CF1-A358-79078E8AB64C}"/>
    <cellStyle name="Comma 4 4 2 4 5 2" xfId="26656" xr:uid="{F5466C46-6817-42ED-87EA-B96AF3E969B6}"/>
    <cellStyle name="Comma 4 4 2 4 6" xfId="17984" xr:uid="{5E4512DA-A832-4133-AA20-38D06FDE898B}"/>
    <cellStyle name="Comma 4 4 2 5" xfId="1183" xr:uid="{4699C052-9488-403E-9DB9-6BFC8B97CBE7}"/>
    <cellStyle name="Comma 4 4 2 5 2" xfId="3351" xr:uid="{39F30E60-FB58-4C49-9F28-9272955255D9}"/>
    <cellStyle name="Comma 4 4 2 5 2 2" xfId="7687" xr:uid="{C9B2E3C4-62EE-4567-B923-3F59BA5BCD5B}"/>
    <cellStyle name="Comma 4 4 2 5 2 2 2" xfId="16359" xr:uid="{11A0EDEB-E5FD-49A7-AA0F-14177609F68E}"/>
    <cellStyle name="Comma 4 4 2 5 2 2 2 2" xfId="33703" xr:uid="{2497C465-B118-4746-82F1-BFC968EBBF66}"/>
    <cellStyle name="Comma 4 4 2 5 2 2 3" xfId="25031" xr:uid="{DE8CC28B-414C-47E7-940D-5AF6978D77D9}"/>
    <cellStyle name="Comma 4 4 2 5 2 3" xfId="12023" xr:uid="{C277E275-A5E1-4A6C-8E9B-923A019B69DC}"/>
    <cellStyle name="Comma 4 4 2 5 2 3 2" xfId="29367" xr:uid="{A112070B-3D3D-49C3-B07F-F706622E3664}"/>
    <cellStyle name="Comma 4 4 2 5 2 4" xfId="20695" xr:uid="{B9DFFCFC-4844-4C43-8997-725DADC1EBB7}"/>
    <cellStyle name="Comma 4 4 2 5 3" xfId="5519" xr:uid="{8FE0FB72-225B-4F0F-9B7F-3AA8E4AC1CBB}"/>
    <cellStyle name="Comma 4 4 2 5 3 2" xfId="14191" xr:uid="{FE21B311-1709-41FB-B629-769AC4BB8B18}"/>
    <cellStyle name="Comma 4 4 2 5 3 2 2" xfId="31535" xr:uid="{110326EA-9829-434A-9620-6F4356993FC5}"/>
    <cellStyle name="Comma 4 4 2 5 3 3" xfId="22863" xr:uid="{946E269F-7009-4C68-BDDE-EFF2BF676006}"/>
    <cellStyle name="Comma 4 4 2 5 4" xfId="9855" xr:uid="{E24E2624-0535-4E9A-8DE0-EC0EDA5943FC}"/>
    <cellStyle name="Comma 4 4 2 5 4 2" xfId="27199" xr:uid="{A5083DE7-5091-42BC-A757-7ACA3386CE9E}"/>
    <cellStyle name="Comma 4 4 2 5 5" xfId="18527" xr:uid="{C9F75CAD-3AB1-40B9-B9CF-0F9B006BE0A5}"/>
    <cellStyle name="Comma 4 4 2 6" xfId="2267" xr:uid="{B1637C81-AD37-48F1-B2FF-FE4A52DC9B26}"/>
    <cellStyle name="Comma 4 4 2 6 2" xfId="6603" xr:uid="{B6D1A148-E234-4C15-BFFA-E84CF8854331}"/>
    <cellStyle name="Comma 4 4 2 6 2 2" xfId="15275" xr:uid="{664F71DF-6694-4405-B90A-68C14B8C4C28}"/>
    <cellStyle name="Comma 4 4 2 6 2 2 2" xfId="32619" xr:uid="{3EB449D7-A3D9-43FC-A2DB-1B461F947F40}"/>
    <cellStyle name="Comma 4 4 2 6 2 3" xfId="23947" xr:uid="{91FEFFCD-ABED-4CEA-B8E7-425EE58933C6}"/>
    <cellStyle name="Comma 4 4 2 6 3" xfId="10939" xr:uid="{AA12E378-AF4A-437D-9588-0E170B5F6030}"/>
    <cellStyle name="Comma 4 4 2 6 3 2" xfId="28283" xr:uid="{9560CE2E-C77B-4406-8BDC-E802B83038E5}"/>
    <cellStyle name="Comma 4 4 2 6 4" xfId="19611" xr:uid="{401AEFA8-6A21-4C85-BED5-3D35DCE019B7}"/>
    <cellStyle name="Comma 4 4 2 7" xfId="4435" xr:uid="{1F08E4F9-0052-4EDB-964C-D0FDC0D10724}"/>
    <cellStyle name="Comma 4 4 2 7 2" xfId="13107" xr:uid="{E3E756F7-9C27-4659-8B43-995DD2905A0A}"/>
    <cellStyle name="Comma 4 4 2 7 2 2" xfId="30451" xr:uid="{A12D19D1-1F51-4131-AA02-22DA955DCFD2}"/>
    <cellStyle name="Comma 4 4 2 7 3" xfId="21779" xr:uid="{E5DA3893-6F11-4F0A-8C1E-20E71BD317AE}"/>
    <cellStyle name="Comma 4 4 2 8" xfId="8771" xr:uid="{79037DCE-C90B-4481-888E-B5389FFF434F}"/>
    <cellStyle name="Comma 4 4 2 8 2" xfId="26115" xr:uid="{8909693A-8847-4639-A7E7-1F032B6F90F9}"/>
    <cellStyle name="Comma 4 4 2 9" xfId="17443" xr:uid="{C6CEA83C-36C5-4193-A7DA-A8F265580962}"/>
    <cellStyle name="Comma 4 4 3" xfId="160" xr:uid="{DC5DD5B8-383F-4EED-94EA-EDBB750016AA}"/>
    <cellStyle name="Comma 4 4 3 2" xfId="430" xr:uid="{5D5E8BA6-F9D3-4713-AE90-C25119F3CB63}"/>
    <cellStyle name="Comma 4 4 3 2 2" xfId="971" xr:uid="{391BC55E-65FD-4EBC-B3AE-8F2930CE5EB8}"/>
    <cellStyle name="Comma 4 4 3 2 2 2" xfId="2055" xr:uid="{D355331D-F688-4DAA-81B7-BF72154AA1D1}"/>
    <cellStyle name="Comma 4 4 3 2 2 2 2" xfId="4223" xr:uid="{473BF21B-487F-4538-AF04-9007BE94F005}"/>
    <cellStyle name="Comma 4 4 3 2 2 2 2 2" xfId="8559" xr:uid="{D6B428FF-1F9E-4A08-B96E-8D2B2F28A9F6}"/>
    <cellStyle name="Comma 4 4 3 2 2 2 2 2 2" xfId="17231" xr:uid="{F07D17C0-F68D-4CF1-BE22-10AD9CCA2940}"/>
    <cellStyle name="Comma 4 4 3 2 2 2 2 2 2 2" xfId="34575" xr:uid="{B9B64F71-4AF3-40E8-AEF8-80ECC5BB53E9}"/>
    <cellStyle name="Comma 4 4 3 2 2 2 2 2 3" xfId="25903" xr:uid="{338B4527-D16D-4A9A-B831-008CBFCF94F4}"/>
    <cellStyle name="Comma 4 4 3 2 2 2 2 3" xfId="12895" xr:uid="{B0A337EE-724C-4366-B3AC-F9E955E0101C}"/>
    <cellStyle name="Comma 4 4 3 2 2 2 2 3 2" xfId="30239" xr:uid="{18C27D6C-0598-4BED-AE93-4E416C58F07F}"/>
    <cellStyle name="Comma 4 4 3 2 2 2 2 4" xfId="21567" xr:uid="{A89825A5-1784-4D18-A278-55ADD3A3B598}"/>
    <cellStyle name="Comma 4 4 3 2 2 2 3" xfId="6391" xr:uid="{E712EFF8-272D-4FB6-876F-15FF0D8C5147}"/>
    <cellStyle name="Comma 4 4 3 2 2 2 3 2" xfId="15063" xr:uid="{FAE3C69D-D26B-4E18-93B9-8CFE2B3B82D8}"/>
    <cellStyle name="Comma 4 4 3 2 2 2 3 2 2" xfId="32407" xr:uid="{98FDE3C7-655C-4055-B20D-2E85B4864443}"/>
    <cellStyle name="Comma 4 4 3 2 2 2 3 3" xfId="23735" xr:uid="{78C24CE9-AE9B-4F69-AF15-72375E4EC53D}"/>
    <cellStyle name="Comma 4 4 3 2 2 2 4" xfId="10727" xr:uid="{3691B1C8-5CED-4833-89D0-026C69F6368F}"/>
    <cellStyle name="Comma 4 4 3 2 2 2 4 2" xfId="28071" xr:uid="{581CB6B9-DAB9-47C8-B296-A1004EE9BFE5}"/>
    <cellStyle name="Comma 4 4 3 2 2 2 5" xfId="19399" xr:uid="{B9FB16DA-0801-4905-80AC-17E1C48C653F}"/>
    <cellStyle name="Comma 4 4 3 2 2 3" xfId="3139" xr:uid="{FA944B14-1024-4148-865C-C06E6AD1E903}"/>
    <cellStyle name="Comma 4 4 3 2 2 3 2" xfId="7475" xr:uid="{6D2B5D5C-DFA8-4DA7-B8DA-FAC59454323D}"/>
    <cellStyle name="Comma 4 4 3 2 2 3 2 2" xfId="16147" xr:uid="{8385B46B-6F35-45FF-88EA-AC77A1609C72}"/>
    <cellStyle name="Comma 4 4 3 2 2 3 2 2 2" xfId="33491" xr:uid="{FCC395EE-A19D-469E-93F8-76217A1354DB}"/>
    <cellStyle name="Comma 4 4 3 2 2 3 2 3" xfId="24819" xr:uid="{FAF42945-9CDC-44F5-8D0F-27EEA961C979}"/>
    <cellStyle name="Comma 4 4 3 2 2 3 3" xfId="11811" xr:uid="{EA18A1D8-DF6D-4349-BD29-527E8AA7112A}"/>
    <cellStyle name="Comma 4 4 3 2 2 3 3 2" xfId="29155" xr:uid="{F78DF41B-00CC-4DB3-8E1B-9AB966934E3C}"/>
    <cellStyle name="Comma 4 4 3 2 2 3 4" xfId="20483" xr:uid="{1AF3E528-7DDA-418B-B64E-D132C92250F8}"/>
    <cellStyle name="Comma 4 4 3 2 2 4" xfId="5307" xr:uid="{1D81F8F3-775C-42E5-80F6-9BC4A2DEDD7B}"/>
    <cellStyle name="Comma 4 4 3 2 2 4 2" xfId="13979" xr:uid="{3575EEDB-7DE3-4F0A-AA10-64F24A30AE87}"/>
    <cellStyle name="Comma 4 4 3 2 2 4 2 2" xfId="31323" xr:uid="{3E6CBE38-E605-466D-A382-71DA75D77786}"/>
    <cellStyle name="Comma 4 4 3 2 2 4 3" xfId="22651" xr:uid="{B48BF98A-E123-41D2-8993-3E6BDEEDDDE3}"/>
    <cellStyle name="Comma 4 4 3 2 2 5" xfId="9643" xr:uid="{8A88AD6A-F829-4F5B-BE62-2F00CB482744}"/>
    <cellStyle name="Comma 4 4 3 2 2 5 2" xfId="26987" xr:uid="{7058E949-8238-4B2C-8F78-5D5D4C21256E}"/>
    <cellStyle name="Comma 4 4 3 2 2 6" xfId="18315" xr:uid="{49743214-69A3-40C8-BF8E-4D94D0653ADD}"/>
    <cellStyle name="Comma 4 4 3 2 3" xfId="1514" xr:uid="{B0872103-6397-43E1-8B57-D98F04C98438}"/>
    <cellStyle name="Comma 4 4 3 2 3 2" xfId="3682" xr:uid="{70BDA658-C8EB-4A21-A34B-3BC1A7102166}"/>
    <cellStyle name="Comma 4 4 3 2 3 2 2" xfId="8018" xr:uid="{19DA165E-F2A8-4490-A5AB-439E622B6F58}"/>
    <cellStyle name="Comma 4 4 3 2 3 2 2 2" xfId="16690" xr:uid="{6CF3EB9F-97D9-47A3-878F-588BF20D19AA}"/>
    <cellStyle name="Comma 4 4 3 2 3 2 2 2 2" xfId="34034" xr:uid="{A64E8A03-F715-4F55-B044-D1E892F51B82}"/>
    <cellStyle name="Comma 4 4 3 2 3 2 2 3" xfId="25362" xr:uid="{B9AD7B7E-5A3C-4C31-9F80-6D2C427091D0}"/>
    <cellStyle name="Comma 4 4 3 2 3 2 3" xfId="12354" xr:uid="{B8A49682-8431-4C71-B9D7-C2CE57686FBD}"/>
    <cellStyle name="Comma 4 4 3 2 3 2 3 2" xfId="29698" xr:uid="{F35C617C-CCBA-4F03-8F1C-AE0E1BD3A665}"/>
    <cellStyle name="Comma 4 4 3 2 3 2 4" xfId="21026" xr:uid="{A3E7A55C-4F37-4D8E-8914-5BACB7CA478B}"/>
    <cellStyle name="Comma 4 4 3 2 3 3" xfId="5850" xr:uid="{667D3A8C-0D1A-402C-9B93-1E2DD7661B94}"/>
    <cellStyle name="Comma 4 4 3 2 3 3 2" xfId="14522" xr:uid="{CD8A46E6-AF89-4BBD-B614-D3816C6A7B9E}"/>
    <cellStyle name="Comma 4 4 3 2 3 3 2 2" xfId="31866" xr:uid="{E540F24A-6E70-4966-81F5-1F03DA6D5BA1}"/>
    <cellStyle name="Comma 4 4 3 2 3 3 3" xfId="23194" xr:uid="{7FE3D21C-3EA9-4F73-B0FF-70AACC922DF8}"/>
    <cellStyle name="Comma 4 4 3 2 3 4" xfId="10186" xr:uid="{0FD4BD3C-5F6D-4512-9ACB-BC5B1E9178C3}"/>
    <cellStyle name="Comma 4 4 3 2 3 4 2" xfId="27530" xr:uid="{4DEA2391-754A-4CAB-93BE-34EA393A1C4A}"/>
    <cellStyle name="Comma 4 4 3 2 3 5" xfId="18858" xr:uid="{2E9B841D-1A2C-4583-B533-EA9BAC3D8D04}"/>
    <cellStyle name="Comma 4 4 3 2 4" xfId="2598" xr:uid="{885DA198-4E8A-4E9C-8549-EA1556213998}"/>
    <cellStyle name="Comma 4 4 3 2 4 2" xfId="6934" xr:uid="{43F1F397-1018-48FD-9214-F77B7825A233}"/>
    <cellStyle name="Comma 4 4 3 2 4 2 2" xfId="15606" xr:uid="{B2B763B3-ED45-426C-A28C-FFF32FBD9EA2}"/>
    <cellStyle name="Comma 4 4 3 2 4 2 2 2" xfId="32950" xr:uid="{FE9997D1-16B3-4CF4-9381-9D8B0165E1D8}"/>
    <cellStyle name="Comma 4 4 3 2 4 2 3" xfId="24278" xr:uid="{071F065A-D024-4BBF-A6DF-B64502654B30}"/>
    <cellStyle name="Comma 4 4 3 2 4 3" xfId="11270" xr:uid="{B8337C7A-834D-4717-B459-01D761F119C3}"/>
    <cellStyle name="Comma 4 4 3 2 4 3 2" xfId="28614" xr:uid="{25046E9D-A29B-48BE-A450-4C4946ABF483}"/>
    <cellStyle name="Comma 4 4 3 2 4 4" xfId="19942" xr:uid="{15E49F22-52C9-465B-A5EB-F681D2A9F832}"/>
    <cellStyle name="Comma 4 4 3 2 5" xfId="4766" xr:uid="{E73E948B-65D8-4840-802C-315E03C239D6}"/>
    <cellStyle name="Comma 4 4 3 2 5 2" xfId="13438" xr:uid="{F6DBD3A6-ED70-4733-9F2B-F684E15E83C9}"/>
    <cellStyle name="Comma 4 4 3 2 5 2 2" xfId="30782" xr:uid="{AA9253B6-5A8F-4E5B-ACD9-1AF642FAEA57}"/>
    <cellStyle name="Comma 4 4 3 2 5 3" xfId="22110" xr:uid="{6C0FA03E-698A-4839-866D-3C27BC72047C}"/>
    <cellStyle name="Comma 4 4 3 2 6" xfId="9102" xr:uid="{3A982033-AA4F-436D-9B23-CE7EF97467BA}"/>
    <cellStyle name="Comma 4 4 3 2 6 2" xfId="26446" xr:uid="{E8ADE125-D2AE-407C-B1B8-B60BF9275C31}"/>
    <cellStyle name="Comma 4 4 3 2 7" xfId="17774" xr:uid="{A2C03BC4-3E37-44FE-900A-231FFF6EFD2B}"/>
    <cellStyle name="Comma 4 4 3 3" xfId="701" xr:uid="{C17A5719-2E4A-4E12-9F84-95179F15CB7E}"/>
    <cellStyle name="Comma 4 4 3 3 2" xfId="1785" xr:uid="{5BFE6293-96B5-411A-8875-6F3FE8C25691}"/>
    <cellStyle name="Comma 4 4 3 3 2 2" xfId="3953" xr:uid="{E0C5BE5E-F64D-4F1A-9360-03E744381EC7}"/>
    <cellStyle name="Comma 4 4 3 3 2 2 2" xfId="8289" xr:uid="{C2D0EDE8-1D06-451C-A13E-F0956EDD40AA}"/>
    <cellStyle name="Comma 4 4 3 3 2 2 2 2" xfId="16961" xr:uid="{866E028E-6C7D-460F-BAC0-739525C7EF18}"/>
    <cellStyle name="Comma 4 4 3 3 2 2 2 2 2" xfId="34305" xr:uid="{06601A28-686F-430A-B89A-30D884E690A7}"/>
    <cellStyle name="Comma 4 4 3 3 2 2 2 3" xfId="25633" xr:uid="{19BAA128-758E-43AA-9EDD-3CC5B29C5DCE}"/>
    <cellStyle name="Comma 4 4 3 3 2 2 3" xfId="12625" xr:uid="{953D4184-4C2E-4B3C-9CC2-E4AF23FAD56F}"/>
    <cellStyle name="Comma 4 4 3 3 2 2 3 2" xfId="29969" xr:uid="{5044CD5B-EB3D-4E84-A09D-829A5081930E}"/>
    <cellStyle name="Comma 4 4 3 3 2 2 4" xfId="21297" xr:uid="{415425BD-978C-4974-97FE-8BF5E499EDCB}"/>
    <cellStyle name="Comma 4 4 3 3 2 3" xfId="6121" xr:uid="{312D138B-8904-410D-8D93-FA32C36F9509}"/>
    <cellStyle name="Comma 4 4 3 3 2 3 2" xfId="14793" xr:uid="{3FE6FDDA-A7CF-4C91-94C7-4D73268675DE}"/>
    <cellStyle name="Comma 4 4 3 3 2 3 2 2" xfId="32137" xr:uid="{38C7D6B2-0679-41A2-9CA8-747F4AB2C767}"/>
    <cellStyle name="Comma 4 4 3 3 2 3 3" xfId="23465" xr:uid="{68D0C6AB-0732-406A-8B5D-930EA3CB59A4}"/>
    <cellStyle name="Comma 4 4 3 3 2 4" xfId="10457" xr:uid="{6C243AC4-F958-44EB-A8AE-EC749672F1CA}"/>
    <cellStyle name="Comma 4 4 3 3 2 4 2" xfId="27801" xr:uid="{86772FCD-D8A1-44EE-B34F-E91E1679CE7B}"/>
    <cellStyle name="Comma 4 4 3 3 2 5" xfId="19129" xr:uid="{C1932792-D2FA-4597-9B8F-05E1C88BFBFB}"/>
    <cellStyle name="Comma 4 4 3 3 3" xfId="2869" xr:uid="{9096A2E7-F149-48F0-BD6B-4E0448DA0165}"/>
    <cellStyle name="Comma 4 4 3 3 3 2" xfId="7205" xr:uid="{77457027-3B51-4B87-9316-ADF4E8C8DDC9}"/>
    <cellStyle name="Comma 4 4 3 3 3 2 2" xfId="15877" xr:uid="{C73D2119-AF0F-4F07-8698-036D9F08C0D3}"/>
    <cellStyle name="Comma 4 4 3 3 3 2 2 2" xfId="33221" xr:uid="{9F35461A-E2A3-4024-8D63-241AB485CFF0}"/>
    <cellStyle name="Comma 4 4 3 3 3 2 3" xfId="24549" xr:uid="{07D5FFED-6862-419C-B67B-F4CDDA924F23}"/>
    <cellStyle name="Comma 4 4 3 3 3 3" xfId="11541" xr:uid="{923E1293-155D-4C01-9FFD-FF9DB8CA0FE2}"/>
    <cellStyle name="Comma 4 4 3 3 3 3 2" xfId="28885" xr:uid="{8586DA22-9A41-4451-93BF-3FC016478536}"/>
    <cellStyle name="Comma 4 4 3 3 3 4" xfId="20213" xr:uid="{69139F34-3646-43EA-8023-3E4C1C52AE60}"/>
    <cellStyle name="Comma 4 4 3 3 4" xfId="5037" xr:uid="{BCC1E13B-9EC0-4DB5-960C-FFAFEA92D4B0}"/>
    <cellStyle name="Comma 4 4 3 3 4 2" xfId="13709" xr:uid="{53F92B90-E22F-4319-B325-D281566D28EB}"/>
    <cellStyle name="Comma 4 4 3 3 4 2 2" xfId="31053" xr:uid="{BA981728-2434-42F3-BA9A-5FA83E7BAE63}"/>
    <cellStyle name="Comma 4 4 3 3 4 3" xfId="22381" xr:uid="{8112D746-D3E4-4197-86D2-F0338A03CABC}"/>
    <cellStyle name="Comma 4 4 3 3 5" xfId="9373" xr:uid="{4E89B02D-D2EB-440C-8C23-DE5C374E1AB9}"/>
    <cellStyle name="Comma 4 4 3 3 5 2" xfId="26717" xr:uid="{6AEC07B5-2454-40D3-83A9-DE51188AAB08}"/>
    <cellStyle name="Comma 4 4 3 3 6" xfId="18045" xr:uid="{2E67FB63-E6D2-458E-9147-525571BF86CA}"/>
    <cellStyle name="Comma 4 4 3 4" xfId="1244" xr:uid="{D96C52D1-709D-465A-B2F1-BC9246F1E537}"/>
    <cellStyle name="Comma 4 4 3 4 2" xfId="3412" xr:uid="{A53D9F48-F522-4AD4-98BB-B083F3A9968A}"/>
    <cellStyle name="Comma 4 4 3 4 2 2" xfId="7748" xr:uid="{7EDAB61F-4975-4DB8-97F7-8A37295F3250}"/>
    <cellStyle name="Comma 4 4 3 4 2 2 2" xfId="16420" xr:uid="{C668EBD8-500A-467F-9C2B-7A3AB7A94B2A}"/>
    <cellStyle name="Comma 4 4 3 4 2 2 2 2" xfId="33764" xr:uid="{BA53EC9E-5879-461A-BC92-18D0DA840CA9}"/>
    <cellStyle name="Comma 4 4 3 4 2 2 3" xfId="25092" xr:uid="{FA1FD168-746D-4D6F-A827-174F247390CE}"/>
    <cellStyle name="Comma 4 4 3 4 2 3" xfId="12084" xr:uid="{BBA0570B-6C01-4B0E-879D-64465E41DC20}"/>
    <cellStyle name="Comma 4 4 3 4 2 3 2" xfId="29428" xr:uid="{B82B3924-84BA-434E-AB98-9F4A2B0FDA19}"/>
    <cellStyle name="Comma 4 4 3 4 2 4" xfId="20756" xr:uid="{8733AD27-93E6-4A74-AAB1-D0A6A3619F17}"/>
    <cellStyle name="Comma 4 4 3 4 3" xfId="5580" xr:uid="{77CC02C6-774B-465B-99DE-84F43AB1FB13}"/>
    <cellStyle name="Comma 4 4 3 4 3 2" xfId="14252" xr:uid="{4566BE9F-1BE2-4B4D-8F1F-0C5A8B9D6A48}"/>
    <cellStyle name="Comma 4 4 3 4 3 2 2" xfId="31596" xr:uid="{7E4A7DB6-0724-42B7-9E99-26FE07B84E55}"/>
    <cellStyle name="Comma 4 4 3 4 3 3" xfId="22924" xr:uid="{FDD3264A-7842-4D22-96EB-0B20788B3EEB}"/>
    <cellStyle name="Comma 4 4 3 4 4" xfId="9916" xr:uid="{64A83EBE-9CD2-41DD-B49E-E86BBD92A26B}"/>
    <cellStyle name="Comma 4 4 3 4 4 2" xfId="27260" xr:uid="{90F8E827-E6CC-40A6-B3B3-42F697BD2CD6}"/>
    <cellStyle name="Comma 4 4 3 4 5" xfId="18588" xr:uid="{4D6FE1E3-188C-432E-B570-DDCE1DD06303}"/>
    <cellStyle name="Comma 4 4 3 5" xfId="2328" xr:uid="{BE83DFE6-9CD6-4A5F-BD48-449ACAF5016A}"/>
    <cellStyle name="Comma 4 4 3 5 2" xfId="6664" xr:uid="{BC1A3F5E-164C-4ED6-821C-039B715487BF}"/>
    <cellStyle name="Comma 4 4 3 5 2 2" xfId="15336" xr:uid="{0C5470EA-3268-4E6E-9B73-1F4F285FC711}"/>
    <cellStyle name="Comma 4 4 3 5 2 2 2" xfId="32680" xr:uid="{75332A28-F3C9-410D-BFAD-02033C90A3E0}"/>
    <cellStyle name="Comma 4 4 3 5 2 3" xfId="24008" xr:uid="{B7334593-83A6-42E0-9058-877FA64009FB}"/>
    <cellStyle name="Comma 4 4 3 5 3" xfId="11000" xr:uid="{14E46B5C-4526-4FA6-A55D-9B87436DDF1A}"/>
    <cellStyle name="Comma 4 4 3 5 3 2" xfId="28344" xr:uid="{1BC2C5C0-42AA-4AE4-84A1-B56487443793}"/>
    <cellStyle name="Comma 4 4 3 5 4" xfId="19672" xr:uid="{EF8EFB9B-AD0B-416F-9B07-9E1F8EB6306E}"/>
    <cellStyle name="Comma 4 4 3 6" xfId="4496" xr:uid="{0178AB93-7DF3-41BA-92C2-D6AC23E211AD}"/>
    <cellStyle name="Comma 4 4 3 6 2" xfId="13168" xr:uid="{6855F63C-C849-4D85-8771-EAB3369C336D}"/>
    <cellStyle name="Comma 4 4 3 6 2 2" xfId="30512" xr:uid="{B38B4941-AA9F-4810-92F6-320D6D44D9D3}"/>
    <cellStyle name="Comma 4 4 3 6 3" xfId="21840" xr:uid="{BFA21A41-0FD1-45BD-A8B8-C07B37272134}"/>
    <cellStyle name="Comma 4 4 3 7" xfId="8832" xr:uid="{4E03884F-53DF-4CA2-A866-B6201BDC0790}"/>
    <cellStyle name="Comma 4 4 3 7 2" xfId="26176" xr:uid="{6D239EB3-A55D-413D-92E7-2D33921FD7E3}"/>
    <cellStyle name="Comma 4 4 3 8" xfId="17504" xr:uid="{06A4C94F-482A-4AF8-86CC-0B05C8BC2205}"/>
    <cellStyle name="Comma 4 4 4" xfId="308" xr:uid="{37981DCF-7CCA-405E-AB1F-B3F882B899EE}"/>
    <cellStyle name="Comma 4 4 4 2" xfId="849" xr:uid="{4D405383-BE14-462F-8324-926B0507F15C}"/>
    <cellStyle name="Comma 4 4 4 2 2" xfId="1933" xr:uid="{6EA20EAD-0FDA-46CE-8681-8034E0E7EA75}"/>
    <cellStyle name="Comma 4 4 4 2 2 2" xfId="4101" xr:uid="{2739AA55-999A-46B8-B9A0-08455AD2AC55}"/>
    <cellStyle name="Comma 4 4 4 2 2 2 2" xfId="8437" xr:uid="{268EEC2F-0F97-430A-9EFA-211E55548A6E}"/>
    <cellStyle name="Comma 4 4 4 2 2 2 2 2" xfId="17109" xr:uid="{6D28E80C-1131-4D28-81C9-9C2E62B723A0}"/>
    <cellStyle name="Comma 4 4 4 2 2 2 2 2 2" xfId="34453" xr:uid="{F2CBE3B9-42B7-4B48-9B36-FA465A54CD19}"/>
    <cellStyle name="Comma 4 4 4 2 2 2 2 3" xfId="25781" xr:uid="{CC883273-C17B-4094-8E4C-A4DC482199C5}"/>
    <cellStyle name="Comma 4 4 4 2 2 2 3" xfId="12773" xr:uid="{AF3A2BFC-CD11-4218-8DDE-E58DDB5DD503}"/>
    <cellStyle name="Comma 4 4 4 2 2 2 3 2" xfId="30117" xr:uid="{BCBFD2F7-CDCB-498E-8D8A-1056C2C3DAB4}"/>
    <cellStyle name="Comma 4 4 4 2 2 2 4" xfId="21445" xr:uid="{85CBE61E-5F06-4AE6-B86A-AFF2E9D61039}"/>
    <cellStyle name="Comma 4 4 4 2 2 3" xfId="6269" xr:uid="{7C54C183-6059-4AD9-B976-520DA5B99446}"/>
    <cellStyle name="Comma 4 4 4 2 2 3 2" xfId="14941" xr:uid="{10ACCB18-E180-4ADD-BDBF-B1865BA1ECCB}"/>
    <cellStyle name="Comma 4 4 4 2 2 3 2 2" xfId="32285" xr:uid="{8915F03D-54C0-4CB8-BA3E-35916F033FFC}"/>
    <cellStyle name="Comma 4 4 4 2 2 3 3" xfId="23613" xr:uid="{6BE4C689-871D-4735-90DA-37D1160E4B9F}"/>
    <cellStyle name="Comma 4 4 4 2 2 4" xfId="10605" xr:uid="{EC1067D7-F65A-4213-9908-C6B9FDE00D65}"/>
    <cellStyle name="Comma 4 4 4 2 2 4 2" xfId="27949" xr:uid="{888E7B24-6892-46FE-828C-514757CC1591}"/>
    <cellStyle name="Comma 4 4 4 2 2 5" xfId="19277" xr:uid="{55C63A7C-5171-4B5A-BB26-5A9E178ECD25}"/>
    <cellStyle name="Comma 4 4 4 2 3" xfId="3017" xr:uid="{E8FC7C94-92CB-4927-84A4-0A95B7758E7F}"/>
    <cellStyle name="Comma 4 4 4 2 3 2" xfId="7353" xr:uid="{9A734839-9A18-46B9-89A6-5B06096C17CF}"/>
    <cellStyle name="Comma 4 4 4 2 3 2 2" xfId="16025" xr:uid="{C6D9F553-9440-41B3-B4F9-B6B9FF71A0EE}"/>
    <cellStyle name="Comma 4 4 4 2 3 2 2 2" xfId="33369" xr:uid="{FA9AD6F1-C372-4141-B179-0AC721E3A5F3}"/>
    <cellStyle name="Comma 4 4 4 2 3 2 3" xfId="24697" xr:uid="{546DE061-E7D9-4669-A127-6955AE0D4E50}"/>
    <cellStyle name="Comma 4 4 4 2 3 3" xfId="11689" xr:uid="{8FCF3954-0242-45AF-B31B-2C60D8A10020}"/>
    <cellStyle name="Comma 4 4 4 2 3 3 2" xfId="29033" xr:uid="{8583B8D1-5A22-4F57-BF1E-8988A27B3EE4}"/>
    <cellStyle name="Comma 4 4 4 2 3 4" xfId="20361" xr:uid="{B3F8A4EA-F61E-421F-84A7-44CC31D77BEC}"/>
    <cellStyle name="Comma 4 4 4 2 4" xfId="5185" xr:uid="{1F1F3326-B419-4A74-AD42-33E0CEE9A9DD}"/>
    <cellStyle name="Comma 4 4 4 2 4 2" xfId="13857" xr:uid="{DB81B5B7-B7D4-4920-8431-D03A268A16A4}"/>
    <cellStyle name="Comma 4 4 4 2 4 2 2" xfId="31201" xr:uid="{E8C62B94-9B17-45A6-BFF5-1EAB6A2E0AF0}"/>
    <cellStyle name="Comma 4 4 4 2 4 3" xfId="22529" xr:uid="{F5F5449D-0972-4D7A-8F6A-0B107B4773F8}"/>
    <cellStyle name="Comma 4 4 4 2 5" xfId="9521" xr:uid="{AA2143E0-5E91-4343-A244-02FC0BA78AF9}"/>
    <cellStyle name="Comma 4 4 4 2 5 2" xfId="26865" xr:uid="{1114B970-746F-4557-A78E-0D7FBC469319}"/>
    <cellStyle name="Comma 4 4 4 2 6" xfId="18193" xr:uid="{2D79AAC6-ED84-4292-8251-1DF00929D239}"/>
    <cellStyle name="Comma 4 4 4 3" xfId="1392" xr:uid="{B18BE7C5-DBC3-4F50-8CD3-DF0FBAEA8C55}"/>
    <cellStyle name="Comma 4 4 4 3 2" xfId="3560" xr:uid="{5661F62E-46A8-49D3-8BAC-8EA304E6EBAB}"/>
    <cellStyle name="Comma 4 4 4 3 2 2" xfId="7896" xr:uid="{039DF4ED-4F98-49A7-8D63-2F2A2F78AD3E}"/>
    <cellStyle name="Comma 4 4 4 3 2 2 2" xfId="16568" xr:uid="{F2A4086E-B456-4713-9F45-C73067797B98}"/>
    <cellStyle name="Comma 4 4 4 3 2 2 2 2" xfId="33912" xr:uid="{2604F7E8-10BD-4131-BDDC-318BA31A68E2}"/>
    <cellStyle name="Comma 4 4 4 3 2 2 3" xfId="25240" xr:uid="{95BE386E-A862-489F-A1E8-1C7C6A6A288A}"/>
    <cellStyle name="Comma 4 4 4 3 2 3" xfId="12232" xr:uid="{51C9C176-F47C-403C-AB48-6461E242FA67}"/>
    <cellStyle name="Comma 4 4 4 3 2 3 2" xfId="29576" xr:uid="{30D214EC-E2BF-43ED-A9D4-198599F13051}"/>
    <cellStyle name="Comma 4 4 4 3 2 4" xfId="20904" xr:uid="{7600BE7C-1A26-441E-A9AB-C9369D390226}"/>
    <cellStyle name="Comma 4 4 4 3 3" xfId="5728" xr:uid="{E81222A3-8FCB-4A9E-9F01-C562286E4D1C}"/>
    <cellStyle name="Comma 4 4 4 3 3 2" xfId="14400" xr:uid="{09B7BCC0-C393-4D1E-800C-A930230CE595}"/>
    <cellStyle name="Comma 4 4 4 3 3 2 2" xfId="31744" xr:uid="{A8E4EE04-B6A8-40C5-9587-3E10C17CCB64}"/>
    <cellStyle name="Comma 4 4 4 3 3 3" xfId="23072" xr:uid="{E365ECCB-AE38-463C-BF67-7712C8F551B1}"/>
    <cellStyle name="Comma 4 4 4 3 4" xfId="10064" xr:uid="{5C68657B-D6A0-4BD4-8CCE-F457EBD12D82}"/>
    <cellStyle name="Comma 4 4 4 3 4 2" xfId="27408" xr:uid="{C014AE46-628B-492C-A0A5-65E220CC3912}"/>
    <cellStyle name="Comma 4 4 4 3 5" xfId="18736" xr:uid="{3F18762B-C820-4CEF-A70C-CB854D0C13DD}"/>
    <cellStyle name="Comma 4 4 4 4" xfId="2476" xr:uid="{FE50ABC4-19A3-4B88-9351-B63EC8D360DF}"/>
    <cellStyle name="Comma 4 4 4 4 2" xfId="6812" xr:uid="{67C87AC8-9E07-44CF-83F6-030E560C2AF8}"/>
    <cellStyle name="Comma 4 4 4 4 2 2" xfId="15484" xr:uid="{E44D1F35-EB5B-4DB5-B219-19C7829B79A3}"/>
    <cellStyle name="Comma 4 4 4 4 2 2 2" xfId="32828" xr:uid="{6C8E31DB-E511-4CAF-A207-32E54DBD3462}"/>
    <cellStyle name="Comma 4 4 4 4 2 3" xfId="24156" xr:uid="{6CDDCA6C-A8BA-4517-B5FC-B62AC005C4FC}"/>
    <cellStyle name="Comma 4 4 4 4 3" xfId="11148" xr:uid="{165CE71C-EDA9-4D24-A672-872D80214BC1}"/>
    <cellStyle name="Comma 4 4 4 4 3 2" xfId="28492" xr:uid="{39073881-90D7-4FEC-B397-CCDD73826D80}"/>
    <cellStyle name="Comma 4 4 4 4 4" xfId="19820" xr:uid="{55C99EC7-A540-4A7D-BCCC-2D9EAE594F04}"/>
    <cellStyle name="Comma 4 4 4 5" xfId="4644" xr:uid="{C8BE0A00-3630-4307-BBCA-93EDCAD38C24}"/>
    <cellStyle name="Comma 4 4 4 5 2" xfId="13316" xr:uid="{F0033249-BBB9-4153-AE05-4542A5839D3C}"/>
    <cellStyle name="Comma 4 4 4 5 2 2" xfId="30660" xr:uid="{471301C6-5A4F-47F7-B4BC-FB259E52ABDB}"/>
    <cellStyle name="Comma 4 4 4 5 3" xfId="21988" xr:uid="{A0C1D6B3-7C29-4DA1-BCB0-5139A340D6AA}"/>
    <cellStyle name="Comma 4 4 4 6" xfId="8980" xr:uid="{8090FD91-97F9-48BA-A453-FBC1729CF565}"/>
    <cellStyle name="Comma 4 4 4 6 2" xfId="26324" xr:uid="{440461F3-F23E-4389-B4AA-458C727580D5}"/>
    <cellStyle name="Comma 4 4 4 7" xfId="17652" xr:uid="{03708695-73DA-4E8F-9E9D-48EDBCBAC41C}"/>
    <cellStyle name="Comma 4 4 5" xfId="579" xr:uid="{CC995B53-F89E-4419-AD93-F743AD24041A}"/>
    <cellStyle name="Comma 4 4 5 2" xfId="1663" xr:uid="{36FEDEEE-90B1-478C-A03B-B19AB87D1FD4}"/>
    <cellStyle name="Comma 4 4 5 2 2" xfId="3831" xr:uid="{46393E8B-7D0B-4A8E-B655-CEB1B7E6DF1F}"/>
    <cellStyle name="Comma 4 4 5 2 2 2" xfId="8167" xr:uid="{D43B5A77-87C4-4986-9A3A-4430C488369A}"/>
    <cellStyle name="Comma 4 4 5 2 2 2 2" xfId="16839" xr:uid="{0B216DC8-4353-484D-99B9-7BC7DEF83B0B}"/>
    <cellStyle name="Comma 4 4 5 2 2 2 2 2" xfId="34183" xr:uid="{1662E152-5E15-4A39-93BE-69B72E0D33E6}"/>
    <cellStyle name="Comma 4 4 5 2 2 2 3" xfId="25511" xr:uid="{152D3B05-C346-4AD7-A049-3FA7262BF6E9}"/>
    <cellStyle name="Comma 4 4 5 2 2 3" xfId="12503" xr:uid="{69691C81-D1CD-4D1B-9340-164E16AC6C81}"/>
    <cellStyle name="Comma 4 4 5 2 2 3 2" xfId="29847" xr:uid="{6E2F8996-5998-418A-A6E2-F20555D8EBC7}"/>
    <cellStyle name="Comma 4 4 5 2 2 4" xfId="21175" xr:uid="{10C795D9-D2B6-491D-A0A7-FB446EC608A9}"/>
    <cellStyle name="Comma 4 4 5 2 3" xfId="5999" xr:uid="{94C04BA9-0797-4CBF-994E-DC2AD2DE84B1}"/>
    <cellStyle name="Comma 4 4 5 2 3 2" xfId="14671" xr:uid="{2C541FA1-2052-4FA0-BBF0-EC2CD8C34F80}"/>
    <cellStyle name="Comma 4 4 5 2 3 2 2" xfId="32015" xr:uid="{C9DA6142-CA5D-4E44-A446-C801ED926F18}"/>
    <cellStyle name="Comma 4 4 5 2 3 3" xfId="23343" xr:uid="{27AB364A-3705-453B-9FC0-43BE5DB4A378}"/>
    <cellStyle name="Comma 4 4 5 2 4" xfId="10335" xr:uid="{4E6CD0DE-6931-439B-B1D7-2B48125C56AB}"/>
    <cellStyle name="Comma 4 4 5 2 4 2" xfId="27679" xr:uid="{3E772BD0-100D-4A83-9BE3-FD3E806EE456}"/>
    <cellStyle name="Comma 4 4 5 2 5" xfId="19007" xr:uid="{3C469B26-80DA-4402-8C6A-413EB9DC575A}"/>
    <cellStyle name="Comma 4 4 5 3" xfId="2747" xr:uid="{D47A112E-2071-48EA-BFCF-1C030FC44717}"/>
    <cellStyle name="Comma 4 4 5 3 2" xfId="7083" xr:uid="{CE971D75-5160-4421-9AA1-750898921977}"/>
    <cellStyle name="Comma 4 4 5 3 2 2" xfId="15755" xr:uid="{A0EF26E3-8B4C-4D02-B673-DE1384098908}"/>
    <cellStyle name="Comma 4 4 5 3 2 2 2" xfId="33099" xr:uid="{DFE352D6-5206-417A-89B6-A12D196FF55E}"/>
    <cellStyle name="Comma 4 4 5 3 2 3" xfId="24427" xr:uid="{C1215705-238B-4142-A929-840B27C2DE68}"/>
    <cellStyle name="Comma 4 4 5 3 3" xfId="11419" xr:uid="{B0CF99D1-D4C9-4C34-8899-903DA775B1F4}"/>
    <cellStyle name="Comma 4 4 5 3 3 2" xfId="28763" xr:uid="{779D11C8-0824-4F13-AE44-64B6E0B72600}"/>
    <cellStyle name="Comma 4 4 5 3 4" xfId="20091" xr:uid="{3D41A42D-0FAD-4C68-84FA-52C71684B0B8}"/>
    <cellStyle name="Comma 4 4 5 4" xfId="4915" xr:uid="{2F4B07DF-90BA-43C0-9AE2-DA453E1078B8}"/>
    <cellStyle name="Comma 4 4 5 4 2" xfId="13587" xr:uid="{DD378F95-928C-4776-8C93-0285FC9E2E43}"/>
    <cellStyle name="Comma 4 4 5 4 2 2" xfId="30931" xr:uid="{3B2EFC8B-CAD4-4F34-A47F-8778ADD50BE6}"/>
    <cellStyle name="Comma 4 4 5 4 3" xfId="22259" xr:uid="{9E0A35EF-D46B-4E21-87AF-40EFC4EAD416}"/>
    <cellStyle name="Comma 4 4 5 5" xfId="9251" xr:uid="{D6334FCB-B41C-414B-94AB-B5E4888D833B}"/>
    <cellStyle name="Comma 4 4 5 5 2" xfId="26595" xr:uid="{AF03B300-7E98-4804-A6CB-5D7A733D1C8A}"/>
    <cellStyle name="Comma 4 4 5 6" xfId="17923" xr:uid="{B7E7705E-1299-4C1B-BAB7-E864CC7AC512}"/>
    <cellStyle name="Comma 4 4 6" xfId="1122" xr:uid="{93E498AE-1CDD-48B0-B17D-883AA7503A31}"/>
    <cellStyle name="Comma 4 4 6 2" xfId="3290" xr:uid="{D4B94258-EDC1-4D50-AA08-6020C09AB1B5}"/>
    <cellStyle name="Comma 4 4 6 2 2" xfId="7626" xr:uid="{FD7EF99B-C21A-481B-83BE-ABD619C6632D}"/>
    <cellStyle name="Comma 4 4 6 2 2 2" xfId="16298" xr:uid="{47E0D05F-A7F5-414F-A5D3-909C8571982E}"/>
    <cellStyle name="Comma 4 4 6 2 2 2 2" xfId="33642" xr:uid="{3EADD4A8-2B4C-4A90-BBD8-580E609C6F29}"/>
    <cellStyle name="Comma 4 4 6 2 2 3" xfId="24970" xr:uid="{91599A11-8729-468B-914F-18DD1625AD60}"/>
    <cellStyle name="Comma 4 4 6 2 3" xfId="11962" xr:uid="{3BAD9B17-4D4B-4E09-8519-20805D916A32}"/>
    <cellStyle name="Comma 4 4 6 2 3 2" xfId="29306" xr:uid="{E97FCD43-8528-43A0-B19C-39BAF6106F4D}"/>
    <cellStyle name="Comma 4 4 6 2 4" xfId="20634" xr:uid="{AEF77D16-34CC-4ADE-9375-31A751EDF55C}"/>
    <cellStyle name="Comma 4 4 6 3" xfId="5458" xr:uid="{D3E31BB8-491C-491F-A50E-9610871481FE}"/>
    <cellStyle name="Comma 4 4 6 3 2" xfId="14130" xr:uid="{B80AA88F-12F0-47F2-A3D3-FC73A983D3E1}"/>
    <cellStyle name="Comma 4 4 6 3 2 2" xfId="31474" xr:uid="{E9160B27-CFA1-4FAB-987C-31ADEEA98FB2}"/>
    <cellStyle name="Comma 4 4 6 3 3" xfId="22802" xr:uid="{81F44F57-A34C-4D8F-8B7E-08A0C01AB29B}"/>
    <cellStyle name="Comma 4 4 6 4" xfId="9794" xr:uid="{5FA22854-4E84-4B02-9E72-6AE9AAE58D58}"/>
    <cellStyle name="Comma 4 4 6 4 2" xfId="27138" xr:uid="{1CA16479-4B76-49D0-A235-FC8B8C05DAB2}"/>
    <cellStyle name="Comma 4 4 6 5" xfId="18466" xr:uid="{C59A2DF8-43CB-4FB1-B007-0456F94A3BF5}"/>
    <cellStyle name="Comma 4 4 7" xfId="2206" xr:uid="{76DE7137-42D6-4CA6-9217-36AF979911FB}"/>
    <cellStyle name="Comma 4 4 7 2" xfId="6542" xr:uid="{FC9D2BF8-A9D4-4615-871B-2A1D8B9BA0F1}"/>
    <cellStyle name="Comma 4 4 7 2 2" xfId="15214" xr:uid="{4E8CEF54-6DCC-4DC5-949E-75BF96D0005C}"/>
    <cellStyle name="Comma 4 4 7 2 2 2" xfId="32558" xr:uid="{AA7DB75C-F80A-4F8F-8F73-19D56D804D94}"/>
    <cellStyle name="Comma 4 4 7 2 3" xfId="23886" xr:uid="{635AECC6-4053-4774-9363-D2C5007DC48F}"/>
    <cellStyle name="Comma 4 4 7 3" xfId="10878" xr:uid="{1CF76C6F-36F6-495C-BA7D-1F0668C8F089}"/>
    <cellStyle name="Comma 4 4 7 3 2" xfId="28222" xr:uid="{1178BEA4-E0A0-48E4-AED1-097C4CF8E4BE}"/>
    <cellStyle name="Comma 4 4 7 4" xfId="19550" xr:uid="{A96BFFFB-AB7E-4552-A2DE-24AC7B88A046}"/>
    <cellStyle name="Comma 4 4 8" xfId="4374" xr:uid="{1CE6577A-B0AC-4D3C-A3A2-C365DBF2982B}"/>
    <cellStyle name="Comma 4 4 8 2" xfId="13046" xr:uid="{6BB33009-48F8-46AE-BF4E-53398C3F6B4F}"/>
    <cellStyle name="Comma 4 4 8 2 2" xfId="30390" xr:uid="{4E1FE393-7C7F-4ED7-9CE0-59D721625ADF}"/>
    <cellStyle name="Comma 4 4 8 3" xfId="21718" xr:uid="{A90D7C13-275F-49B1-A0DA-D2AB33897CA6}"/>
    <cellStyle name="Comma 4 4 9" xfId="8710" xr:uid="{FDEB540E-E29E-4CFE-9E54-590C0EC8EEF7}"/>
    <cellStyle name="Comma 4 4 9 2" xfId="26054" xr:uid="{DE27DF8E-3A8B-422D-A8EA-4C8448BF2428}"/>
    <cellStyle name="Comma 4 5" xfId="46" xr:uid="{4A3CC70A-6277-4DEE-B166-EB7407FA8487}"/>
    <cellStyle name="Comma 4 5 10" xfId="17390" xr:uid="{E0EBDD9C-C68F-41E2-808E-5C957C9881D2}"/>
    <cellStyle name="Comma 4 5 2" xfId="107" xr:uid="{B37509BC-516B-4686-ABB8-C785F3F00C60}"/>
    <cellStyle name="Comma 4 5 2 2" xfId="229" xr:uid="{8C72BB00-BA39-4AC4-8989-0CC2C39B5205}"/>
    <cellStyle name="Comma 4 5 2 2 2" xfId="499" xr:uid="{BCE3A757-BFDF-4F0B-BFDC-BF428BD4B248}"/>
    <cellStyle name="Comma 4 5 2 2 2 2" xfId="1040" xr:uid="{95021160-A314-4DE7-94B3-4292CEEE4598}"/>
    <cellStyle name="Comma 4 5 2 2 2 2 2" xfId="2124" xr:uid="{53215354-BB30-4BEB-B993-BA1C0E755966}"/>
    <cellStyle name="Comma 4 5 2 2 2 2 2 2" xfId="4292" xr:uid="{3A6D7401-4A7C-4AE0-8811-950A343CFA25}"/>
    <cellStyle name="Comma 4 5 2 2 2 2 2 2 2" xfId="8628" xr:uid="{11D60F6D-2ABF-4203-A3E3-619E33440019}"/>
    <cellStyle name="Comma 4 5 2 2 2 2 2 2 2 2" xfId="17300" xr:uid="{EFDCA848-6A8D-4984-92C9-14C23C460D45}"/>
    <cellStyle name="Comma 4 5 2 2 2 2 2 2 2 2 2" xfId="34644" xr:uid="{2C2CF91A-342F-4FB9-942E-BB7492EE0EC2}"/>
    <cellStyle name="Comma 4 5 2 2 2 2 2 2 2 3" xfId="25972" xr:uid="{E5EFABDE-123E-41DB-8FC5-842A73029D79}"/>
    <cellStyle name="Comma 4 5 2 2 2 2 2 2 3" xfId="12964" xr:uid="{98C58412-8A98-4C95-9BCA-25389334DD2D}"/>
    <cellStyle name="Comma 4 5 2 2 2 2 2 2 3 2" xfId="30308" xr:uid="{1C782F0A-7714-4965-9C48-9BA22F81A9A1}"/>
    <cellStyle name="Comma 4 5 2 2 2 2 2 2 4" xfId="21636" xr:uid="{60C75BC4-2071-49FF-A75C-5F33D45D87E1}"/>
    <cellStyle name="Comma 4 5 2 2 2 2 2 3" xfId="6460" xr:uid="{B4E919AC-33C8-461E-9A71-B0178E9C44B0}"/>
    <cellStyle name="Comma 4 5 2 2 2 2 2 3 2" xfId="15132" xr:uid="{B1E6A506-E39C-49F5-8C7E-DBD4F1AEA029}"/>
    <cellStyle name="Comma 4 5 2 2 2 2 2 3 2 2" xfId="32476" xr:uid="{0E732A0E-4A6A-4A0F-9F8C-248E6F08BEA3}"/>
    <cellStyle name="Comma 4 5 2 2 2 2 2 3 3" xfId="23804" xr:uid="{833A9FBC-7640-4CC9-BDC6-BD0F6E6AFE57}"/>
    <cellStyle name="Comma 4 5 2 2 2 2 2 4" xfId="10796" xr:uid="{29787FCB-318B-4BC4-BD7A-C4DC11205AEC}"/>
    <cellStyle name="Comma 4 5 2 2 2 2 2 4 2" xfId="28140" xr:uid="{E6B0BA11-2D08-4F70-8828-5F6B9C170FF8}"/>
    <cellStyle name="Comma 4 5 2 2 2 2 2 5" xfId="19468" xr:uid="{A435626D-3B92-473D-8578-E053CAB907B9}"/>
    <cellStyle name="Comma 4 5 2 2 2 2 3" xfId="3208" xr:uid="{6D3381BB-6662-4B21-B718-4C9A6FE9886E}"/>
    <cellStyle name="Comma 4 5 2 2 2 2 3 2" xfId="7544" xr:uid="{EFDA3425-D886-4A34-853A-368331834BB4}"/>
    <cellStyle name="Comma 4 5 2 2 2 2 3 2 2" xfId="16216" xr:uid="{3CBAAA98-0952-4930-9A51-B5B8528C46B9}"/>
    <cellStyle name="Comma 4 5 2 2 2 2 3 2 2 2" xfId="33560" xr:uid="{7E629DDA-D551-45DD-920A-003C276AEA7D}"/>
    <cellStyle name="Comma 4 5 2 2 2 2 3 2 3" xfId="24888" xr:uid="{77C0412E-65DB-44E2-885F-413E5720C35F}"/>
    <cellStyle name="Comma 4 5 2 2 2 2 3 3" xfId="11880" xr:uid="{3341BF7D-BF96-47CB-82FD-A70AD522B716}"/>
    <cellStyle name="Comma 4 5 2 2 2 2 3 3 2" xfId="29224" xr:uid="{23F8038A-1040-470E-94B7-9E381DC10011}"/>
    <cellStyle name="Comma 4 5 2 2 2 2 3 4" xfId="20552" xr:uid="{2FB55016-7EBB-42A3-96A9-1FA15A7609DC}"/>
    <cellStyle name="Comma 4 5 2 2 2 2 4" xfId="5376" xr:uid="{8624085B-D8DB-4452-838E-F146D2D402FC}"/>
    <cellStyle name="Comma 4 5 2 2 2 2 4 2" xfId="14048" xr:uid="{821C61D1-8A4F-4B99-A7BD-574A066B4A2C}"/>
    <cellStyle name="Comma 4 5 2 2 2 2 4 2 2" xfId="31392" xr:uid="{BC9CEF0B-ADA3-4D08-8346-FA88C07980C9}"/>
    <cellStyle name="Comma 4 5 2 2 2 2 4 3" xfId="22720" xr:uid="{4E77F1F4-5AFF-4E13-9E1D-360A1702AA52}"/>
    <cellStyle name="Comma 4 5 2 2 2 2 5" xfId="9712" xr:uid="{E19A59FC-B97D-4FD3-81D6-6A20059CD0BB}"/>
    <cellStyle name="Comma 4 5 2 2 2 2 5 2" xfId="27056" xr:uid="{87FEBD3A-A880-40CD-9357-AEDE478A7553}"/>
    <cellStyle name="Comma 4 5 2 2 2 2 6" xfId="18384" xr:uid="{18822CD0-1C1E-4CAC-8D39-0728ACF9E873}"/>
    <cellStyle name="Comma 4 5 2 2 2 3" xfId="1583" xr:uid="{AF0E8CDD-F406-4EFE-9ACD-BC24F8926411}"/>
    <cellStyle name="Comma 4 5 2 2 2 3 2" xfId="3751" xr:uid="{98010FE3-8C30-49DE-ACFE-4A450CE8FC34}"/>
    <cellStyle name="Comma 4 5 2 2 2 3 2 2" xfId="8087" xr:uid="{F4DCB38E-B729-4D14-BCCB-201559826AAF}"/>
    <cellStyle name="Comma 4 5 2 2 2 3 2 2 2" xfId="16759" xr:uid="{B5B92993-147C-43EC-A99C-244D1877C41B}"/>
    <cellStyle name="Comma 4 5 2 2 2 3 2 2 2 2" xfId="34103" xr:uid="{234D9BAD-3C73-4CC3-8F2C-BE0798EF4812}"/>
    <cellStyle name="Comma 4 5 2 2 2 3 2 2 3" xfId="25431" xr:uid="{EAAA8C12-9EBD-4030-925E-1BE5FD371174}"/>
    <cellStyle name="Comma 4 5 2 2 2 3 2 3" xfId="12423" xr:uid="{10B04E91-29BB-4B5E-AF67-4988BC53A01D}"/>
    <cellStyle name="Comma 4 5 2 2 2 3 2 3 2" xfId="29767" xr:uid="{5A4E0674-ABEC-4FD4-A5CD-7D74F2DAB327}"/>
    <cellStyle name="Comma 4 5 2 2 2 3 2 4" xfId="21095" xr:uid="{CB1A1274-15B6-41AD-B9B0-B0895FBCD616}"/>
    <cellStyle name="Comma 4 5 2 2 2 3 3" xfId="5919" xr:uid="{9C557BD8-5C46-4274-8261-D8EBA2A14353}"/>
    <cellStyle name="Comma 4 5 2 2 2 3 3 2" xfId="14591" xr:uid="{1448D489-6B21-4A4E-B588-CEC6BFF92EF8}"/>
    <cellStyle name="Comma 4 5 2 2 2 3 3 2 2" xfId="31935" xr:uid="{0C452536-C1FB-4277-A859-32BDD1AB4B15}"/>
    <cellStyle name="Comma 4 5 2 2 2 3 3 3" xfId="23263" xr:uid="{227AFC9D-A3CC-450F-81FC-4EB2807F49C4}"/>
    <cellStyle name="Comma 4 5 2 2 2 3 4" xfId="10255" xr:uid="{ACDD2E51-A2B9-46FC-B454-782AB9D654E9}"/>
    <cellStyle name="Comma 4 5 2 2 2 3 4 2" xfId="27599" xr:uid="{72CCCEEE-4AAE-43D4-8A3C-35E475F013E6}"/>
    <cellStyle name="Comma 4 5 2 2 2 3 5" xfId="18927" xr:uid="{440ED805-592D-4DAA-B6EF-EFDDD058BF36}"/>
    <cellStyle name="Comma 4 5 2 2 2 4" xfId="2667" xr:uid="{00516FB5-2E22-4631-80FD-36ADA30D7964}"/>
    <cellStyle name="Comma 4 5 2 2 2 4 2" xfId="7003" xr:uid="{36DA70BA-24E5-4A66-9B08-B836C1D778C2}"/>
    <cellStyle name="Comma 4 5 2 2 2 4 2 2" xfId="15675" xr:uid="{FB61363B-C089-489B-90A2-FCF5F38C8307}"/>
    <cellStyle name="Comma 4 5 2 2 2 4 2 2 2" xfId="33019" xr:uid="{9E6C7A70-3566-4E92-A2EA-18A42A78DBB4}"/>
    <cellStyle name="Comma 4 5 2 2 2 4 2 3" xfId="24347" xr:uid="{1A945BF2-164B-4FB6-ACA0-A70013E2CB5D}"/>
    <cellStyle name="Comma 4 5 2 2 2 4 3" xfId="11339" xr:uid="{33C12A62-EA17-4062-9793-0CB9C297EEFB}"/>
    <cellStyle name="Comma 4 5 2 2 2 4 3 2" xfId="28683" xr:uid="{6B52E328-33F1-4D77-8EBD-B6BC142F1E0C}"/>
    <cellStyle name="Comma 4 5 2 2 2 4 4" xfId="20011" xr:uid="{D860C888-BB9F-4B2E-A19E-103D18546686}"/>
    <cellStyle name="Comma 4 5 2 2 2 5" xfId="4835" xr:uid="{DE3EC93F-FCEE-47E9-A2D0-DC2084889B0A}"/>
    <cellStyle name="Comma 4 5 2 2 2 5 2" xfId="13507" xr:uid="{BE95EE85-6CFF-45D5-8E52-B3E3592F2F94}"/>
    <cellStyle name="Comma 4 5 2 2 2 5 2 2" xfId="30851" xr:uid="{8F597763-3791-43C4-A51B-B5F073FD569B}"/>
    <cellStyle name="Comma 4 5 2 2 2 5 3" xfId="22179" xr:uid="{D7DC1558-5F96-41C1-A553-F5CAFD3A0EE5}"/>
    <cellStyle name="Comma 4 5 2 2 2 6" xfId="9171" xr:uid="{D784F64F-7EC6-452A-B80D-87F93D7F8128}"/>
    <cellStyle name="Comma 4 5 2 2 2 6 2" xfId="26515" xr:uid="{D97AF13A-AC98-407C-9E0A-EE41205B9BB8}"/>
    <cellStyle name="Comma 4 5 2 2 2 7" xfId="17843" xr:uid="{700B762D-2416-4A24-B2FE-3A890F50884D}"/>
    <cellStyle name="Comma 4 5 2 2 3" xfId="770" xr:uid="{AAB27E9E-77C4-4837-98C7-1518D85777BF}"/>
    <cellStyle name="Comma 4 5 2 2 3 2" xfId="1854" xr:uid="{F9AD7330-EBA8-4739-B515-580AFAA8CDDE}"/>
    <cellStyle name="Comma 4 5 2 2 3 2 2" xfId="4022" xr:uid="{10F05D37-5E10-4794-AFCE-4F6906934E7F}"/>
    <cellStyle name="Comma 4 5 2 2 3 2 2 2" xfId="8358" xr:uid="{4A244768-5541-4613-9B76-4C2C24F4F778}"/>
    <cellStyle name="Comma 4 5 2 2 3 2 2 2 2" xfId="17030" xr:uid="{B6B6D08C-1E2E-489D-899E-86EF81523725}"/>
    <cellStyle name="Comma 4 5 2 2 3 2 2 2 2 2" xfId="34374" xr:uid="{0EFD3BDB-F5E5-4C06-A155-46DECC9C86D2}"/>
    <cellStyle name="Comma 4 5 2 2 3 2 2 2 3" xfId="25702" xr:uid="{49F5D14C-1FF2-4280-820F-4C0D896FC657}"/>
    <cellStyle name="Comma 4 5 2 2 3 2 2 3" xfId="12694" xr:uid="{2800905C-1961-4E1F-8E67-9B3D2E31716A}"/>
    <cellStyle name="Comma 4 5 2 2 3 2 2 3 2" xfId="30038" xr:uid="{7B48F329-51AC-4740-BD49-31B8F1D4CF4B}"/>
    <cellStyle name="Comma 4 5 2 2 3 2 2 4" xfId="21366" xr:uid="{E8051D71-4255-4CF9-BF5E-D92D4FD6C955}"/>
    <cellStyle name="Comma 4 5 2 2 3 2 3" xfId="6190" xr:uid="{640EEDAF-842B-428B-AA4E-037B4CCFA163}"/>
    <cellStyle name="Comma 4 5 2 2 3 2 3 2" xfId="14862" xr:uid="{00943018-8B0E-45F4-BDC7-69BA1BC67000}"/>
    <cellStyle name="Comma 4 5 2 2 3 2 3 2 2" xfId="32206" xr:uid="{E2FA0658-0873-4E85-BB97-7C166DA1FD2B}"/>
    <cellStyle name="Comma 4 5 2 2 3 2 3 3" xfId="23534" xr:uid="{512D22BB-A019-4972-8D65-E755499BB946}"/>
    <cellStyle name="Comma 4 5 2 2 3 2 4" xfId="10526" xr:uid="{0D2A64AD-E3B5-4EBB-940F-7BEAAB5FEEA9}"/>
    <cellStyle name="Comma 4 5 2 2 3 2 4 2" xfId="27870" xr:uid="{EB483A17-BD32-424D-ABD4-58FF7DF4CDC9}"/>
    <cellStyle name="Comma 4 5 2 2 3 2 5" xfId="19198" xr:uid="{E7BE808C-5B03-4AC9-B508-70D6F1843D45}"/>
    <cellStyle name="Comma 4 5 2 2 3 3" xfId="2938" xr:uid="{01521CCF-5CD5-4D3C-93D5-199D1BF33931}"/>
    <cellStyle name="Comma 4 5 2 2 3 3 2" xfId="7274" xr:uid="{D971F556-E4D5-450F-B03C-0E1BEAB60446}"/>
    <cellStyle name="Comma 4 5 2 2 3 3 2 2" xfId="15946" xr:uid="{C00BD760-74AB-455B-8264-4F6EBAE2BB6C}"/>
    <cellStyle name="Comma 4 5 2 2 3 3 2 2 2" xfId="33290" xr:uid="{14BBA5C5-2B29-4710-AEA7-71AAB721E808}"/>
    <cellStyle name="Comma 4 5 2 2 3 3 2 3" xfId="24618" xr:uid="{A74CBE6F-AF07-41A6-B3E4-F59B338DC391}"/>
    <cellStyle name="Comma 4 5 2 2 3 3 3" xfId="11610" xr:uid="{7B58F0CC-0175-4FD5-B397-9CFD23AF9E32}"/>
    <cellStyle name="Comma 4 5 2 2 3 3 3 2" xfId="28954" xr:uid="{517B4C7B-3638-46A9-83F2-BD8245EC859F}"/>
    <cellStyle name="Comma 4 5 2 2 3 3 4" xfId="20282" xr:uid="{BF8CF455-F8FC-42D9-935A-422BA7CE18F5}"/>
    <cellStyle name="Comma 4 5 2 2 3 4" xfId="5106" xr:uid="{06168BA9-90E4-45CA-AB53-880D3F1841B1}"/>
    <cellStyle name="Comma 4 5 2 2 3 4 2" xfId="13778" xr:uid="{7B49E082-DF08-475C-B67D-CE794A35BA80}"/>
    <cellStyle name="Comma 4 5 2 2 3 4 2 2" xfId="31122" xr:uid="{F0C382E3-2B65-4BBD-A0B1-1ED322658208}"/>
    <cellStyle name="Comma 4 5 2 2 3 4 3" xfId="22450" xr:uid="{E0C8B8CC-97C8-4336-881B-E73286BA99BB}"/>
    <cellStyle name="Comma 4 5 2 2 3 5" xfId="9442" xr:uid="{531D12EA-F16F-4FFB-AD11-FFF493E7F5C5}"/>
    <cellStyle name="Comma 4 5 2 2 3 5 2" xfId="26786" xr:uid="{F72506A6-03D1-406F-81C6-7A0E00D2894C}"/>
    <cellStyle name="Comma 4 5 2 2 3 6" xfId="18114" xr:uid="{C4039502-4D46-4201-92C3-C1A854F13CE5}"/>
    <cellStyle name="Comma 4 5 2 2 4" xfId="1313" xr:uid="{5EFE5269-E7F9-40D0-8623-42AFE34821A6}"/>
    <cellStyle name="Comma 4 5 2 2 4 2" xfId="3481" xr:uid="{BA5B1F93-A04F-4EC3-AE1E-7687C475647B}"/>
    <cellStyle name="Comma 4 5 2 2 4 2 2" xfId="7817" xr:uid="{92ECD99D-214B-4B73-B285-30A3B9CF6948}"/>
    <cellStyle name="Comma 4 5 2 2 4 2 2 2" xfId="16489" xr:uid="{7CFA40BE-4541-40AC-A3EF-AB42A5C4AEB5}"/>
    <cellStyle name="Comma 4 5 2 2 4 2 2 2 2" xfId="33833" xr:uid="{74EE200A-5957-4797-8050-AFC049310AC0}"/>
    <cellStyle name="Comma 4 5 2 2 4 2 2 3" xfId="25161" xr:uid="{2CA10B76-B890-4457-A972-96BC0E980DDE}"/>
    <cellStyle name="Comma 4 5 2 2 4 2 3" xfId="12153" xr:uid="{576A382F-AF4A-4EC7-A517-C74506E5E70F}"/>
    <cellStyle name="Comma 4 5 2 2 4 2 3 2" xfId="29497" xr:uid="{79DC09A0-49A4-43D8-8DF3-22103D77ACB5}"/>
    <cellStyle name="Comma 4 5 2 2 4 2 4" xfId="20825" xr:uid="{D0331E1E-5EC6-4D66-A0EC-9BC537F359EB}"/>
    <cellStyle name="Comma 4 5 2 2 4 3" xfId="5649" xr:uid="{9285D3C7-FB3E-4BD3-BB3D-49F708218B63}"/>
    <cellStyle name="Comma 4 5 2 2 4 3 2" xfId="14321" xr:uid="{32435DD5-E476-474E-81CB-D88626C3C248}"/>
    <cellStyle name="Comma 4 5 2 2 4 3 2 2" xfId="31665" xr:uid="{8A9A5AF3-9E85-4AC4-8C1D-3BA3507F06F4}"/>
    <cellStyle name="Comma 4 5 2 2 4 3 3" xfId="22993" xr:uid="{BADB23FD-3FBB-4900-B16D-5422E842FB76}"/>
    <cellStyle name="Comma 4 5 2 2 4 4" xfId="9985" xr:uid="{EA766E08-7C2D-4B79-8333-AF70ED659FF4}"/>
    <cellStyle name="Comma 4 5 2 2 4 4 2" xfId="27329" xr:uid="{D9BBEFC9-F53C-4A4E-9FC9-9FE275135A4E}"/>
    <cellStyle name="Comma 4 5 2 2 4 5" xfId="18657" xr:uid="{F924DED1-EDBF-4DA0-B7E0-E8264AAB1BF9}"/>
    <cellStyle name="Comma 4 5 2 2 5" xfId="2397" xr:uid="{DAE8CEDE-EBE0-4F0B-A7EF-D6E683AB1161}"/>
    <cellStyle name="Comma 4 5 2 2 5 2" xfId="6733" xr:uid="{0D50EE98-E66E-4352-90E1-7D25A1699909}"/>
    <cellStyle name="Comma 4 5 2 2 5 2 2" xfId="15405" xr:uid="{7DF5911C-639A-4B40-8DEE-0B2BD656345E}"/>
    <cellStyle name="Comma 4 5 2 2 5 2 2 2" xfId="32749" xr:uid="{2E3A60F4-8B4F-43FF-B2F6-29FE5B8DBF5E}"/>
    <cellStyle name="Comma 4 5 2 2 5 2 3" xfId="24077" xr:uid="{419D9070-A733-4C4D-A7E2-81243173A988}"/>
    <cellStyle name="Comma 4 5 2 2 5 3" xfId="11069" xr:uid="{D1A4668C-007C-465C-B5A5-02A06FDA17CE}"/>
    <cellStyle name="Comma 4 5 2 2 5 3 2" xfId="28413" xr:uid="{427C9BF0-8220-46E2-AA89-713F317CC352}"/>
    <cellStyle name="Comma 4 5 2 2 5 4" xfId="19741" xr:uid="{638A31BA-15DB-44AF-8030-2FB641314087}"/>
    <cellStyle name="Comma 4 5 2 2 6" xfId="4565" xr:uid="{0CB00F1D-9B44-43CE-AE1F-3FA683C4E3A0}"/>
    <cellStyle name="Comma 4 5 2 2 6 2" xfId="13237" xr:uid="{B043008A-637A-4605-AAE6-67267A84C82F}"/>
    <cellStyle name="Comma 4 5 2 2 6 2 2" xfId="30581" xr:uid="{360DA755-D912-4752-86E7-8B289E12866B}"/>
    <cellStyle name="Comma 4 5 2 2 6 3" xfId="21909" xr:uid="{1A6B83B2-561A-47F6-99C3-44C14B260576}"/>
    <cellStyle name="Comma 4 5 2 2 7" xfId="8901" xr:uid="{05B10C58-982D-4FD0-AF60-96F520F5F883}"/>
    <cellStyle name="Comma 4 5 2 2 7 2" xfId="26245" xr:uid="{33237ADE-3CB9-49A8-A88A-3C6813F725D2}"/>
    <cellStyle name="Comma 4 5 2 2 8" xfId="17573" xr:uid="{3EF62B1A-E8C0-4AFE-AD75-742B734B4533}"/>
    <cellStyle name="Comma 4 5 2 3" xfId="377" xr:uid="{E4295F45-61A6-468D-BEAC-4DB2ABBA2B13}"/>
    <cellStyle name="Comma 4 5 2 3 2" xfId="918" xr:uid="{11446868-C0A0-4B00-8031-1A2EECE5BB8B}"/>
    <cellStyle name="Comma 4 5 2 3 2 2" xfId="2002" xr:uid="{23D3CF29-6152-44A8-9EF4-B655967F8E40}"/>
    <cellStyle name="Comma 4 5 2 3 2 2 2" xfId="4170" xr:uid="{A7C837D8-AC25-4B42-ABAA-F91CF2BD8C27}"/>
    <cellStyle name="Comma 4 5 2 3 2 2 2 2" xfId="8506" xr:uid="{CA7640F7-D55D-4547-A252-FB321D26156B}"/>
    <cellStyle name="Comma 4 5 2 3 2 2 2 2 2" xfId="17178" xr:uid="{05F61BDA-2558-432F-8B57-D28EBEBC3D20}"/>
    <cellStyle name="Comma 4 5 2 3 2 2 2 2 2 2" xfId="34522" xr:uid="{B80A0B55-AE6D-4A86-9BBA-CF35CB864D2C}"/>
    <cellStyle name="Comma 4 5 2 3 2 2 2 2 3" xfId="25850" xr:uid="{AE27FC48-3087-435E-87DD-493E25AC87F0}"/>
    <cellStyle name="Comma 4 5 2 3 2 2 2 3" xfId="12842" xr:uid="{C11B4D73-F8C1-4BC4-B214-5AB2072B51C7}"/>
    <cellStyle name="Comma 4 5 2 3 2 2 2 3 2" xfId="30186" xr:uid="{DF922857-EC92-4BF7-AE6E-10D810F294E7}"/>
    <cellStyle name="Comma 4 5 2 3 2 2 2 4" xfId="21514" xr:uid="{77EC9853-94AB-4E14-A8AC-E770AE2E4CAA}"/>
    <cellStyle name="Comma 4 5 2 3 2 2 3" xfId="6338" xr:uid="{D3C22C42-17DF-441A-A6F8-799A5BF18D85}"/>
    <cellStyle name="Comma 4 5 2 3 2 2 3 2" xfId="15010" xr:uid="{F3772B3F-AB36-4361-ACE2-5EFF8FDE938C}"/>
    <cellStyle name="Comma 4 5 2 3 2 2 3 2 2" xfId="32354" xr:uid="{E63DACCF-677B-4FF7-906F-9931C4096B4A}"/>
    <cellStyle name="Comma 4 5 2 3 2 2 3 3" xfId="23682" xr:uid="{8A281CC4-291C-4FFF-B069-45A449F7DAAB}"/>
    <cellStyle name="Comma 4 5 2 3 2 2 4" xfId="10674" xr:uid="{DD5AB13B-8551-4026-9038-9DCD081308F5}"/>
    <cellStyle name="Comma 4 5 2 3 2 2 4 2" xfId="28018" xr:uid="{DF5DAF89-3BF2-4FB8-9A1E-0891133A4F3B}"/>
    <cellStyle name="Comma 4 5 2 3 2 2 5" xfId="19346" xr:uid="{C8760503-131A-40FA-8419-6287AED41CA1}"/>
    <cellStyle name="Comma 4 5 2 3 2 3" xfId="3086" xr:uid="{62061512-D817-47FB-93B6-4D5B0E286E78}"/>
    <cellStyle name="Comma 4 5 2 3 2 3 2" xfId="7422" xr:uid="{BD9DB19B-0500-4FCD-A189-F38C63077557}"/>
    <cellStyle name="Comma 4 5 2 3 2 3 2 2" xfId="16094" xr:uid="{F94DF3E3-CF44-40B4-8DF0-F5642F2BDB38}"/>
    <cellStyle name="Comma 4 5 2 3 2 3 2 2 2" xfId="33438" xr:uid="{5C88C28E-4397-477A-9503-CA9848A3732D}"/>
    <cellStyle name="Comma 4 5 2 3 2 3 2 3" xfId="24766" xr:uid="{4625A597-70D8-4795-AB5C-85465812F8F4}"/>
    <cellStyle name="Comma 4 5 2 3 2 3 3" xfId="11758" xr:uid="{70DDFD3C-D3E0-4A78-B5E7-B6860E7DC810}"/>
    <cellStyle name="Comma 4 5 2 3 2 3 3 2" xfId="29102" xr:uid="{E30B73B3-257B-43D3-9B90-1B78920028D4}"/>
    <cellStyle name="Comma 4 5 2 3 2 3 4" xfId="20430" xr:uid="{862AFEA8-E347-4088-B8C4-F5B215BC2B43}"/>
    <cellStyle name="Comma 4 5 2 3 2 4" xfId="5254" xr:uid="{6CCBC9B6-C23D-4A91-AC02-ADDC9D3EBB65}"/>
    <cellStyle name="Comma 4 5 2 3 2 4 2" xfId="13926" xr:uid="{13E90A5B-AFF5-410E-B92C-137A2FED6E4C}"/>
    <cellStyle name="Comma 4 5 2 3 2 4 2 2" xfId="31270" xr:uid="{8630AEA5-C354-40E5-8DBB-2D56DA66985B}"/>
    <cellStyle name="Comma 4 5 2 3 2 4 3" xfId="22598" xr:uid="{99A639FD-661A-4E30-AB71-018E3F773ADA}"/>
    <cellStyle name="Comma 4 5 2 3 2 5" xfId="9590" xr:uid="{5A01211E-0F06-4DA2-953F-C3A839C6C526}"/>
    <cellStyle name="Comma 4 5 2 3 2 5 2" xfId="26934" xr:uid="{ED6BCCDE-E339-4808-A1AC-248CC8EE77D8}"/>
    <cellStyle name="Comma 4 5 2 3 2 6" xfId="18262" xr:uid="{D415C554-4942-4984-B4AF-1F83904DB381}"/>
    <cellStyle name="Comma 4 5 2 3 3" xfId="1461" xr:uid="{439B4C20-6028-4942-9311-1752AE71B49E}"/>
    <cellStyle name="Comma 4 5 2 3 3 2" xfId="3629" xr:uid="{4DF77AB4-EE50-4B3B-BEBD-0AA714E4148F}"/>
    <cellStyle name="Comma 4 5 2 3 3 2 2" xfId="7965" xr:uid="{DAFA98E7-4555-461D-87ED-DBBD20547CDD}"/>
    <cellStyle name="Comma 4 5 2 3 3 2 2 2" xfId="16637" xr:uid="{6FC3CD80-09CF-470C-A4B1-B3F9E69924F0}"/>
    <cellStyle name="Comma 4 5 2 3 3 2 2 2 2" xfId="33981" xr:uid="{AC4A921A-586B-47D7-8BA0-A7E228B3AD2E}"/>
    <cellStyle name="Comma 4 5 2 3 3 2 2 3" xfId="25309" xr:uid="{B12D8DE5-165B-4BC6-A551-3CD00A3CE433}"/>
    <cellStyle name="Comma 4 5 2 3 3 2 3" xfId="12301" xr:uid="{4994E3C6-172A-4116-ADCC-8E990980EE3B}"/>
    <cellStyle name="Comma 4 5 2 3 3 2 3 2" xfId="29645" xr:uid="{624B3537-C1B9-4679-9426-08007416013E}"/>
    <cellStyle name="Comma 4 5 2 3 3 2 4" xfId="20973" xr:uid="{B9244F66-3B05-4754-8BB6-6A842CA7C9E7}"/>
    <cellStyle name="Comma 4 5 2 3 3 3" xfId="5797" xr:uid="{EF221655-6BB4-4488-BDD9-9ACC8762F0B5}"/>
    <cellStyle name="Comma 4 5 2 3 3 3 2" xfId="14469" xr:uid="{31BE9426-05D1-4E7A-BAE9-E069CB6B04FF}"/>
    <cellStyle name="Comma 4 5 2 3 3 3 2 2" xfId="31813" xr:uid="{B3C59559-AABD-47B1-BF18-0C34B233086A}"/>
    <cellStyle name="Comma 4 5 2 3 3 3 3" xfId="23141" xr:uid="{9126335D-AD41-4F96-BB9E-6BC80FB66021}"/>
    <cellStyle name="Comma 4 5 2 3 3 4" xfId="10133" xr:uid="{226C5F85-9A68-4828-B040-B27BC46EB149}"/>
    <cellStyle name="Comma 4 5 2 3 3 4 2" xfId="27477" xr:uid="{3FE063D8-CBCE-4301-853D-4664CB561A7E}"/>
    <cellStyle name="Comma 4 5 2 3 3 5" xfId="18805" xr:uid="{53EE7ABE-1781-4113-94E5-4C56F90DB586}"/>
    <cellStyle name="Comma 4 5 2 3 4" xfId="2545" xr:uid="{3C7FC496-F7BD-4458-8D6F-0E35E29F0B9B}"/>
    <cellStyle name="Comma 4 5 2 3 4 2" xfId="6881" xr:uid="{996DC29B-73CC-4C0A-BFF0-BBD306BFDB6C}"/>
    <cellStyle name="Comma 4 5 2 3 4 2 2" xfId="15553" xr:uid="{B337A8F0-7ABA-48DA-A353-635C68F7D697}"/>
    <cellStyle name="Comma 4 5 2 3 4 2 2 2" xfId="32897" xr:uid="{958E0E19-452B-42E1-990C-9A5222CD3747}"/>
    <cellStyle name="Comma 4 5 2 3 4 2 3" xfId="24225" xr:uid="{C51B8C21-89BC-48AA-B8EF-403EA53A2A71}"/>
    <cellStyle name="Comma 4 5 2 3 4 3" xfId="11217" xr:uid="{C2CB5960-DD32-4621-AD18-4F67CF2EB3DB}"/>
    <cellStyle name="Comma 4 5 2 3 4 3 2" xfId="28561" xr:uid="{0765D577-7084-4FA1-BEFC-C87347E27B05}"/>
    <cellStyle name="Comma 4 5 2 3 4 4" xfId="19889" xr:uid="{E7E92908-2734-4F70-A217-3A914D33BF32}"/>
    <cellStyle name="Comma 4 5 2 3 5" xfId="4713" xr:uid="{4526DD37-6B71-41D2-9638-F91750B34D7B}"/>
    <cellStyle name="Comma 4 5 2 3 5 2" xfId="13385" xr:uid="{91C843F0-6782-49A3-8E08-C0FE98153E15}"/>
    <cellStyle name="Comma 4 5 2 3 5 2 2" xfId="30729" xr:uid="{07058956-E06D-4579-9656-E7D040E0F7A1}"/>
    <cellStyle name="Comma 4 5 2 3 5 3" xfId="22057" xr:uid="{F1EA9232-419C-4EF5-BAF1-40C811837C75}"/>
    <cellStyle name="Comma 4 5 2 3 6" xfId="9049" xr:uid="{81AB312D-C9ED-47F7-AF76-599B063E0E95}"/>
    <cellStyle name="Comma 4 5 2 3 6 2" xfId="26393" xr:uid="{C6CFA8C9-69DC-4A8E-85B1-34AD7EC135B9}"/>
    <cellStyle name="Comma 4 5 2 3 7" xfId="17721" xr:uid="{3C804934-6336-45E2-9964-919CFD85FC7A}"/>
    <cellStyle name="Comma 4 5 2 4" xfId="648" xr:uid="{93D321AB-F012-43A9-A13D-02BD606EEF8D}"/>
    <cellStyle name="Comma 4 5 2 4 2" xfId="1732" xr:uid="{6BBC0B10-25F1-4953-ABB2-1AE40BEDD6C0}"/>
    <cellStyle name="Comma 4 5 2 4 2 2" xfId="3900" xr:uid="{D3703C80-861E-4306-BAB9-F25307C31951}"/>
    <cellStyle name="Comma 4 5 2 4 2 2 2" xfId="8236" xr:uid="{E74522D2-4BD8-43CF-B8C5-B3A9343717AC}"/>
    <cellStyle name="Comma 4 5 2 4 2 2 2 2" xfId="16908" xr:uid="{05C66565-D37D-45A0-B744-A1AEF29A28BA}"/>
    <cellStyle name="Comma 4 5 2 4 2 2 2 2 2" xfId="34252" xr:uid="{BB5A8F69-BFC9-4277-ABF4-7C366AC15427}"/>
    <cellStyle name="Comma 4 5 2 4 2 2 2 3" xfId="25580" xr:uid="{0F08FB39-B59E-4114-AD53-D9F72F1A4ED8}"/>
    <cellStyle name="Comma 4 5 2 4 2 2 3" xfId="12572" xr:uid="{2157089D-5953-4B64-AA23-41C18EFC9662}"/>
    <cellStyle name="Comma 4 5 2 4 2 2 3 2" xfId="29916" xr:uid="{58CCAA23-60E1-444E-800B-3472FFCB0479}"/>
    <cellStyle name="Comma 4 5 2 4 2 2 4" xfId="21244" xr:uid="{6F1BFD55-7D7B-44A3-8250-878F5CC8DE1B}"/>
    <cellStyle name="Comma 4 5 2 4 2 3" xfId="6068" xr:uid="{2D874EA3-65C8-4BBE-B0E9-2C666DFB5A82}"/>
    <cellStyle name="Comma 4 5 2 4 2 3 2" xfId="14740" xr:uid="{22FB09EC-9883-4A31-B30C-CA5DB1FE4E3D}"/>
    <cellStyle name="Comma 4 5 2 4 2 3 2 2" xfId="32084" xr:uid="{109E174E-B3D6-47A1-BC0B-C01E8975DC48}"/>
    <cellStyle name="Comma 4 5 2 4 2 3 3" xfId="23412" xr:uid="{49BE4438-B778-48AB-8982-38EB159AF2B3}"/>
    <cellStyle name="Comma 4 5 2 4 2 4" xfId="10404" xr:uid="{4A39277A-B830-4CAC-BFA5-872578DECE79}"/>
    <cellStyle name="Comma 4 5 2 4 2 4 2" xfId="27748" xr:uid="{1443BA29-0B95-4682-A9DC-A5E71FBC1B6A}"/>
    <cellStyle name="Comma 4 5 2 4 2 5" xfId="19076" xr:uid="{AE6883BF-572B-4852-B015-798359537164}"/>
    <cellStyle name="Comma 4 5 2 4 3" xfId="2816" xr:uid="{EEE808F8-A97E-404C-B334-B5FE927D945F}"/>
    <cellStyle name="Comma 4 5 2 4 3 2" xfId="7152" xr:uid="{3CEC3B7A-6F9A-4A0F-BDB4-77EA143F8E2A}"/>
    <cellStyle name="Comma 4 5 2 4 3 2 2" xfId="15824" xr:uid="{8FF8AD7E-2508-4092-BAA8-45CA7F490D2B}"/>
    <cellStyle name="Comma 4 5 2 4 3 2 2 2" xfId="33168" xr:uid="{6E8E682D-658D-4A31-9577-EEBA711FD3B5}"/>
    <cellStyle name="Comma 4 5 2 4 3 2 3" xfId="24496" xr:uid="{766A5D97-1B4F-4F54-8B7C-224727C20D5D}"/>
    <cellStyle name="Comma 4 5 2 4 3 3" xfId="11488" xr:uid="{30AFC260-CE94-488E-9F67-B030EF0B0BEA}"/>
    <cellStyle name="Comma 4 5 2 4 3 3 2" xfId="28832" xr:uid="{AE0444B0-8AEC-40D6-B733-0B10C0BC24FD}"/>
    <cellStyle name="Comma 4 5 2 4 3 4" xfId="20160" xr:uid="{4B86253A-50DC-4428-A321-2D490AE134E6}"/>
    <cellStyle name="Comma 4 5 2 4 4" xfId="4984" xr:uid="{6FB14340-FCDF-46DF-8048-AA67E06051B5}"/>
    <cellStyle name="Comma 4 5 2 4 4 2" xfId="13656" xr:uid="{631DA2A6-FD92-472F-BD0A-B0860D4ED071}"/>
    <cellStyle name="Comma 4 5 2 4 4 2 2" xfId="31000" xr:uid="{A583A95B-F0E6-45A8-B47E-FEDE24FA69E1}"/>
    <cellStyle name="Comma 4 5 2 4 4 3" xfId="22328" xr:uid="{4F20BE89-1A2A-4B60-B115-F5C0E8893500}"/>
    <cellStyle name="Comma 4 5 2 4 5" xfId="9320" xr:uid="{3A5407B0-570B-4A0D-80E4-439DFF689839}"/>
    <cellStyle name="Comma 4 5 2 4 5 2" xfId="26664" xr:uid="{0403B7BE-A157-49A9-ACA6-B7471DC61814}"/>
    <cellStyle name="Comma 4 5 2 4 6" xfId="17992" xr:uid="{B1EFEAE5-2A7F-4CC4-8EA3-CCFD824F2587}"/>
    <cellStyle name="Comma 4 5 2 5" xfId="1191" xr:uid="{C4728882-F578-444C-97EC-A0B740F4B8ED}"/>
    <cellStyle name="Comma 4 5 2 5 2" xfId="3359" xr:uid="{60D02185-2D30-472E-AA2A-93813059524C}"/>
    <cellStyle name="Comma 4 5 2 5 2 2" xfId="7695" xr:uid="{12CEBCDE-F89D-4076-B564-ADE3A40220DD}"/>
    <cellStyle name="Comma 4 5 2 5 2 2 2" xfId="16367" xr:uid="{BACE0A51-4C24-4B70-982E-D7C23DD87ECF}"/>
    <cellStyle name="Comma 4 5 2 5 2 2 2 2" xfId="33711" xr:uid="{A78E9E4F-B754-48C4-A609-6877C9626E48}"/>
    <cellStyle name="Comma 4 5 2 5 2 2 3" xfId="25039" xr:uid="{04B8F94A-B43B-491D-A1D1-B4F56F8F1324}"/>
    <cellStyle name="Comma 4 5 2 5 2 3" xfId="12031" xr:uid="{6DA385A8-EF8A-4B7E-AD6D-933AA53D7838}"/>
    <cellStyle name="Comma 4 5 2 5 2 3 2" xfId="29375" xr:uid="{3B682669-9DB4-469F-80A2-37E5941A51A9}"/>
    <cellStyle name="Comma 4 5 2 5 2 4" xfId="20703" xr:uid="{95DFF8F4-DD89-4224-8E65-037F9915628D}"/>
    <cellStyle name="Comma 4 5 2 5 3" xfId="5527" xr:uid="{AC85B7FD-E6A8-4A47-AF2A-1EDC736FECF9}"/>
    <cellStyle name="Comma 4 5 2 5 3 2" xfId="14199" xr:uid="{3F1BEB94-96ED-4FEF-B2D2-F82FB0CE77D0}"/>
    <cellStyle name="Comma 4 5 2 5 3 2 2" xfId="31543" xr:uid="{D4F8CE4D-6196-40A8-91A8-AC89F5C64CC5}"/>
    <cellStyle name="Comma 4 5 2 5 3 3" xfId="22871" xr:uid="{675EDFA6-44CD-4AE9-87E3-81EAB87AEFFD}"/>
    <cellStyle name="Comma 4 5 2 5 4" xfId="9863" xr:uid="{59086E80-3D33-4232-BE8F-6F7C082DD761}"/>
    <cellStyle name="Comma 4 5 2 5 4 2" xfId="27207" xr:uid="{582CD6BE-10DF-4359-A427-714F80C406F7}"/>
    <cellStyle name="Comma 4 5 2 5 5" xfId="18535" xr:uid="{C4E481A5-0044-433A-8451-EB91DB3DF161}"/>
    <cellStyle name="Comma 4 5 2 6" xfId="2275" xr:uid="{41FAB3F5-6D94-4DD8-BB85-8091F1E45210}"/>
    <cellStyle name="Comma 4 5 2 6 2" xfId="6611" xr:uid="{2DF03C5B-CE90-4A89-A103-F1106D509430}"/>
    <cellStyle name="Comma 4 5 2 6 2 2" xfId="15283" xr:uid="{4C67DDB2-6186-4C63-B806-6252BD297B91}"/>
    <cellStyle name="Comma 4 5 2 6 2 2 2" xfId="32627" xr:uid="{D0C25E36-E901-4543-8BFB-EDED8FBD9626}"/>
    <cellStyle name="Comma 4 5 2 6 2 3" xfId="23955" xr:uid="{1C67172B-CAB4-4410-A481-AB43263B2BE6}"/>
    <cellStyle name="Comma 4 5 2 6 3" xfId="10947" xr:uid="{6E6DE5B0-6FD3-426F-8A8E-39370D5DECA6}"/>
    <cellStyle name="Comma 4 5 2 6 3 2" xfId="28291" xr:uid="{E2EB121A-05C2-4A22-95B4-C9DF68FAF52F}"/>
    <cellStyle name="Comma 4 5 2 6 4" xfId="19619" xr:uid="{E0F7A7E4-C7F0-4243-814F-199B4467B516}"/>
    <cellStyle name="Comma 4 5 2 7" xfId="4443" xr:uid="{4F2B32D1-341A-4025-B45B-A33BC4D6C56E}"/>
    <cellStyle name="Comma 4 5 2 7 2" xfId="13115" xr:uid="{DA65BD60-BF7C-40F2-8891-DEAA14C5F2CD}"/>
    <cellStyle name="Comma 4 5 2 7 2 2" xfId="30459" xr:uid="{34217705-C15E-451B-A747-01FCD9C5FB73}"/>
    <cellStyle name="Comma 4 5 2 7 3" xfId="21787" xr:uid="{32A2DCB2-EE83-4DD0-BF90-A40788B372E3}"/>
    <cellStyle name="Comma 4 5 2 8" xfId="8779" xr:uid="{334C8098-370C-4298-8AA0-2929F6D68D8D}"/>
    <cellStyle name="Comma 4 5 2 8 2" xfId="26123" xr:uid="{A5F30337-C94E-47EE-BD23-8BE08D25CA11}"/>
    <cellStyle name="Comma 4 5 2 9" xfId="17451" xr:uid="{A812CA0A-F065-4191-8F95-A193104E314E}"/>
    <cellStyle name="Comma 4 5 3" xfId="168" xr:uid="{1ACBDB47-46DD-4AF5-97E7-0B1EC72EF22D}"/>
    <cellStyle name="Comma 4 5 3 2" xfId="438" xr:uid="{0293BF8E-055B-480F-986E-B80F9CDDA666}"/>
    <cellStyle name="Comma 4 5 3 2 2" xfId="979" xr:uid="{ABB292E9-7ED5-47DE-859B-A52C485A2769}"/>
    <cellStyle name="Comma 4 5 3 2 2 2" xfId="2063" xr:uid="{4D5D07A5-F0DE-4AD3-AD5E-D48C9219F7A0}"/>
    <cellStyle name="Comma 4 5 3 2 2 2 2" xfId="4231" xr:uid="{F209C2CF-0EDB-4847-8721-B522212E4FFC}"/>
    <cellStyle name="Comma 4 5 3 2 2 2 2 2" xfId="8567" xr:uid="{82CA10BE-5E0E-480C-B884-7143F222DF9E}"/>
    <cellStyle name="Comma 4 5 3 2 2 2 2 2 2" xfId="17239" xr:uid="{5395F9E4-E1AB-4091-AF2A-CE2E88728233}"/>
    <cellStyle name="Comma 4 5 3 2 2 2 2 2 2 2" xfId="34583" xr:uid="{D83501FE-8B76-41E6-A46B-3BC904047A5E}"/>
    <cellStyle name="Comma 4 5 3 2 2 2 2 2 3" xfId="25911" xr:uid="{D2ED6F60-899D-44D1-8DE7-CD1815E8121D}"/>
    <cellStyle name="Comma 4 5 3 2 2 2 2 3" xfId="12903" xr:uid="{4BAC60E3-434F-47AA-BEBB-66E00920F69A}"/>
    <cellStyle name="Comma 4 5 3 2 2 2 2 3 2" xfId="30247" xr:uid="{19E77D99-64BE-43E3-97A8-65AE7E564DCE}"/>
    <cellStyle name="Comma 4 5 3 2 2 2 2 4" xfId="21575" xr:uid="{8BDBE663-B618-4920-A378-002E790AC04F}"/>
    <cellStyle name="Comma 4 5 3 2 2 2 3" xfId="6399" xr:uid="{CC2A5899-27B4-4CEE-B2D7-7FE8CA7DC9E5}"/>
    <cellStyle name="Comma 4 5 3 2 2 2 3 2" xfId="15071" xr:uid="{EF8F1320-70E3-4786-B054-D4C5B8BC408F}"/>
    <cellStyle name="Comma 4 5 3 2 2 2 3 2 2" xfId="32415" xr:uid="{A11EE6D1-AD4F-45FD-B044-7E148A200383}"/>
    <cellStyle name="Comma 4 5 3 2 2 2 3 3" xfId="23743" xr:uid="{55CF1F66-0C10-4CCE-845D-B386DB62EDBD}"/>
    <cellStyle name="Comma 4 5 3 2 2 2 4" xfId="10735" xr:uid="{DAF6B733-CA85-4AC4-9A11-3F47F2C9B1DF}"/>
    <cellStyle name="Comma 4 5 3 2 2 2 4 2" xfId="28079" xr:uid="{D40B9F5A-40CA-4A6E-9735-02A9A3C7553C}"/>
    <cellStyle name="Comma 4 5 3 2 2 2 5" xfId="19407" xr:uid="{382F310D-FD15-4764-B49F-E6776A042389}"/>
    <cellStyle name="Comma 4 5 3 2 2 3" xfId="3147" xr:uid="{7B9313CB-8814-46B6-920E-60E9CAC191EC}"/>
    <cellStyle name="Comma 4 5 3 2 2 3 2" xfId="7483" xr:uid="{99398C51-273A-432A-B77E-81875351666B}"/>
    <cellStyle name="Comma 4 5 3 2 2 3 2 2" xfId="16155" xr:uid="{B8FB8746-B1B7-4F15-99DE-E9DF26DB98C2}"/>
    <cellStyle name="Comma 4 5 3 2 2 3 2 2 2" xfId="33499" xr:uid="{14E35CA4-E815-4209-999A-D5842B1F4885}"/>
    <cellStyle name="Comma 4 5 3 2 2 3 2 3" xfId="24827" xr:uid="{429E38B0-2819-4060-A623-9A4515656AAD}"/>
    <cellStyle name="Comma 4 5 3 2 2 3 3" xfId="11819" xr:uid="{BA2EA6D0-F505-4B55-9AFD-B07480CB667B}"/>
    <cellStyle name="Comma 4 5 3 2 2 3 3 2" xfId="29163" xr:uid="{0D91EAE6-8882-4FA3-8DCF-134393FAEDBE}"/>
    <cellStyle name="Comma 4 5 3 2 2 3 4" xfId="20491" xr:uid="{08653A3E-C51B-4ABD-9135-9A27B582B931}"/>
    <cellStyle name="Comma 4 5 3 2 2 4" xfId="5315" xr:uid="{1AE3E949-A5F5-45EC-9768-7AABDA32B9F2}"/>
    <cellStyle name="Comma 4 5 3 2 2 4 2" xfId="13987" xr:uid="{1DF95D34-FFA7-4F05-9068-33D0F4012290}"/>
    <cellStyle name="Comma 4 5 3 2 2 4 2 2" xfId="31331" xr:uid="{7F1EFDEF-ADF2-4F5D-8B58-A0FC54267C60}"/>
    <cellStyle name="Comma 4 5 3 2 2 4 3" xfId="22659" xr:uid="{8C845FC9-DEE6-4580-9EF3-6C5647C3A726}"/>
    <cellStyle name="Comma 4 5 3 2 2 5" xfId="9651" xr:uid="{03DFB7AB-C8AC-4F15-A0A4-8D2807876F06}"/>
    <cellStyle name="Comma 4 5 3 2 2 5 2" xfId="26995" xr:uid="{DC5A685A-5C58-4D72-9329-6B08B535AF8A}"/>
    <cellStyle name="Comma 4 5 3 2 2 6" xfId="18323" xr:uid="{D9D155FB-5E20-499B-B997-9C74FEF63E27}"/>
    <cellStyle name="Comma 4 5 3 2 3" xfId="1522" xr:uid="{433CC6CD-7688-4D4E-872D-E9BF0F0D9897}"/>
    <cellStyle name="Comma 4 5 3 2 3 2" xfId="3690" xr:uid="{5FE986A6-EC93-49FE-BB47-035976C78ABC}"/>
    <cellStyle name="Comma 4 5 3 2 3 2 2" xfId="8026" xr:uid="{232CE9D4-2916-4AA0-8897-32177CF3B234}"/>
    <cellStyle name="Comma 4 5 3 2 3 2 2 2" xfId="16698" xr:uid="{C0D2160B-B756-4171-A70A-7B9ECFC29604}"/>
    <cellStyle name="Comma 4 5 3 2 3 2 2 2 2" xfId="34042" xr:uid="{C337DD98-8CC9-4B95-A12C-2562C42790D3}"/>
    <cellStyle name="Comma 4 5 3 2 3 2 2 3" xfId="25370" xr:uid="{AF52BB29-84FB-43E4-9563-CB64FA99C4DE}"/>
    <cellStyle name="Comma 4 5 3 2 3 2 3" xfId="12362" xr:uid="{FF21AADE-4133-40C0-A654-91D7D495591F}"/>
    <cellStyle name="Comma 4 5 3 2 3 2 3 2" xfId="29706" xr:uid="{988ABC38-78C0-4119-BF86-70EF964FC955}"/>
    <cellStyle name="Comma 4 5 3 2 3 2 4" xfId="21034" xr:uid="{EC48F869-9FE8-4947-A693-F0B90C7317C9}"/>
    <cellStyle name="Comma 4 5 3 2 3 3" xfId="5858" xr:uid="{6C23EE49-70F7-45DD-8C8D-D3ED2DC5D4B5}"/>
    <cellStyle name="Comma 4 5 3 2 3 3 2" xfId="14530" xr:uid="{13B47B9C-086D-492B-9769-CB87D2AF33A7}"/>
    <cellStyle name="Comma 4 5 3 2 3 3 2 2" xfId="31874" xr:uid="{D5A546DB-8EF9-4932-8265-3742DE140A5B}"/>
    <cellStyle name="Comma 4 5 3 2 3 3 3" xfId="23202" xr:uid="{463C9864-B24E-47EC-B0A5-5C310829F23F}"/>
    <cellStyle name="Comma 4 5 3 2 3 4" xfId="10194" xr:uid="{5B67B870-6DA7-4516-A1D8-AF1788B18E14}"/>
    <cellStyle name="Comma 4 5 3 2 3 4 2" xfId="27538" xr:uid="{E022DA3E-CC30-4C54-8E9A-77536CFECAF6}"/>
    <cellStyle name="Comma 4 5 3 2 3 5" xfId="18866" xr:uid="{E3C51FAE-808F-4DD0-A48A-385594382903}"/>
    <cellStyle name="Comma 4 5 3 2 4" xfId="2606" xr:uid="{ECDEB3B2-8BE3-4BA6-8D54-E5A901BA81C8}"/>
    <cellStyle name="Comma 4 5 3 2 4 2" xfId="6942" xr:uid="{34C506C8-00FF-48C2-ADF9-63839235A5A8}"/>
    <cellStyle name="Comma 4 5 3 2 4 2 2" xfId="15614" xr:uid="{BDFE706C-156E-4BCD-9370-557C171FACD2}"/>
    <cellStyle name="Comma 4 5 3 2 4 2 2 2" xfId="32958" xr:uid="{82EB6089-C961-4641-8EE5-E1EAF7B800D8}"/>
    <cellStyle name="Comma 4 5 3 2 4 2 3" xfId="24286" xr:uid="{7695F882-FB54-42AF-B983-58891B187D9E}"/>
    <cellStyle name="Comma 4 5 3 2 4 3" xfId="11278" xr:uid="{D8752C0F-822F-4700-9C5A-CC1C9BD4872C}"/>
    <cellStyle name="Comma 4 5 3 2 4 3 2" xfId="28622" xr:uid="{8F5A63D9-8163-48CF-B64B-B317AABBF512}"/>
    <cellStyle name="Comma 4 5 3 2 4 4" xfId="19950" xr:uid="{064B696B-E283-42CD-AABE-F7FB9C29A1FA}"/>
    <cellStyle name="Comma 4 5 3 2 5" xfId="4774" xr:uid="{D685D64F-E998-4DF5-94FF-9DEDE05D7412}"/>
    <cellStyle name="Comma 4 5 3 2 5 2" xfId="13446" xr:uid="{660FB0F5-88BE-4BA2-BBE1-2E25FFAB0957}"/>
    <cellStyle name="Comma 4 5 3 2 5 2 2" xfId="30790" xr:uid="{CD6474A8-9E7A-4266-90D5-D20E89FA49BE}"/>
    <cellStyle name="Comma 4 5 3 2 5 3" xfId="22118" xr:uid="{826C8E9A-6A37-48F4-9D40-34464012AA1D}"/>
    <cellStyle name="Comma 4 5 3 2 6" xfId="9110" xr:uid="{2F91FEAB-5F30-47E1-BF11-69AC5B97469B}"/>
    <cellStyle name="Comma 4 5 3 2 6 2" xfId="26454" xr:uid="{7489CA8B-4F08-4E71-8449-12D8B1221076}"/>
    <cellStyle name="Comma 4 5 3 2 7" xfId="17782" xr:uid="{4FB1ECA4-063E-4D8D-A289-E0B9F4C581E1}"/>
    <cellStyle name="Comma 4 5 3 3" xfId="709" xr:uid="{A0994BC1-9D84-4C1A-B396-59FBA011691F}"/>
    <cellStyle name="Comma 4 5 3 3 2" xfId="1793" xr:uid="{4C0CCD84-CB61-462D-A89F-ADC10927CDF2}"/>
    <cellStyle name="Comma 4 5 3 3 2 2" xfId="3961" xr:uid="{8AF461D5-3FF8-4E2B-B0E9-DFE1B2E829FF}"/>
    <cellStyle name="Comma 4 5 3 3 2 2 2" xfId="8297" xr:uid="{C8D083CE-7A56-495F-884C-C12DCBA8F85B}"/>
    <cellStyle name="Comma 4 5 3 3 2 2 2 2" xfId="16969" xr:uid="{DD93FF50-E564-4B16-989D-5483188E7E76}"/>
    <cellStyle name="Comma 4 5 3 3 2 2 2 2 2" xfId="34313" xr:uid="{2F5CC280-74DC-467C-A9AE-6148FF0B2A51}"/>
    <cellStyle name="Comma 4 5 3 3 2 2 2 3" xfId="25641" xr:uid="{DC4FB7D0-F83E-4936-83B2-B6C81F3E8B2D}"/>
    <cellStyle name="Comma 4 5 3 3 2 2 3" xfId="12633" xr:uid="{B599FC9A-43CB-44E3-BE3D-EDB44EBDB5BA}"/>
    <cellStyle name="Comma 4 5 3 3 2 2 3 2" xfId="29977" xr:uid="{837F99E9-CC1D-4333-A419-8F0E56E6D4B5}"/>
    <cellStyle name="Comma 4 5 3 3 2 2 4" xfId="21305" xr:uid="{BA26F4EB-4138-457A-BDC0-03D9557CCD20}"/>
    <cellStyle name="Comma 4 5 3 3 2 3" xfId="6129" xr:uid="{5F347A37-4789-4EA7-9764-29A318FE55FC}"/>
    <cellStyle name="Comma 4 5 3 3 2 3 2" xfId="14801" xr:uid="{1701499B-002D-4099-8903-B55CBAC50CE5}"/>
    <cellStyle name="Comma 4 5 3 3 2 3 2 2" xfId="32145" xr:uid="{964A5EA6-ED1B-4836-879E-CBFA5D642720}"/>
    <cellStyle name="Comma 4 5 3 3 2 3 3" xfId="23473" xr:uid="{11A52A21-9053-40D4-90E4-F04C0B8F3324}"/>
    <cellStyle name="Comma 4 5 3 3 2 4" xfId="10465" xr:uid="{261EAFE2-D580-461C-A776-BE23BDA9BF49}"/>
    <cellStyle name="Comma 4 5 3 3 2 4 2" xfId="27809" xr:uid="{B6CC7236-2C91-4EF4-8E4C-13E16BD01D05}"/>
    <cellStyle name="Comma 4 5 3 3 2 5" xfId="19137" xr:uid="{F95C278B-6C9B-40A1-822E-B52D2151AA31}"/>
    <cellStyle name="Comma 4 5 3 3 3" xfId="2877" xr:uid="{AB06B7BF-8C56-478C-B12C-B8D972C7AB7F}"/>
    <cellStyle name="Comma 4 5 3 3 3 2" xfId="7213" xr:uid="{60F6ED36-7759-46C1-9AE0-FCF209DB2F40}"/>
    <cellStyle name="Comma 4 5 3 3 3 2 2" xfId="15885" xr:uid="{42931844-ECD6-4FB4-BF51-980196AB5925}"/>
    <cellStyle name="Comma 4 5 3 3 3 2 2 2" xfId="33229" xr:uid="{9844BA54-C58A-40F4-999D-2280023642D8}"/>
    <cellStyle name="Comma 4 5 3 3 3 2 3" xfId="24557" xr:uid="{9F4D047C-55D5-4148-B604-699C16AF2300}"/>
    <cellStyle name="Comma 4 5 3 3 3 3" xfId="11549" xr:uid="{ACDB2B9A-9C21-47BB-A706-10E64775BDE5}"/>
    <cellStyle name="Comma 4 5 3 3 3 3 2" xfId="28893" xr:uid="{32A43D00-5693-4D02-AC29-818C5B5B1C6A}"/>
    <cellStyle name="Comma 4 5 3 3 3 4" xfId="20221" xr:uid="{197ECA57-3DDC-4624-BBAF-F92D0521BB4B}"/>
    <cellStyle name="Comma 4 5 3 3 4" xfId="5045" xr:uid="{DF3B2211-219B-4227-9DD4-92F79ABE8874}"/>
    <cellStyle name="Comma 4 5 3 3 4 2" xfId="13717" xr:uid="{7523501E-53D1-4D12-9A7A-A91587B60297}"/>
    <cellStyle name="Comma 4 5 3 3 4 2 2" xfId="31061" xr:uid="{BEB7BBBE-F615-4270-999B-9C528A748BE9}"/>
    <cellStyle name="Comma 4 5 3 3 4 3" xfId="22389" xr:uid="{BC4A0330-FF95-49C0-AB08-2D424672357B}"/>
    <cellStyle name="Comma 4 5 3 3 5" xfId="9381" xr:uid="{A554432E-64C7-4E31-8B38-621F03E9A542}"/>
    <cellStyle name="Comma 4 5 3 3 5 2" xfId="26725" xr:uid="{4EED4ECE-3018-4A75-B18C-D05B57531988}"/>
    <cellStyle name="Comma 4 5 3 3 6" xfId="18053" xr:uid="{DA6B40B2-60CC-4A17-8144-8B0E45B590A6}"/>
    <cellStyle name="Comma 4 5 3 4" xfId="1252" xr:uid="{F12954FF-C558-4767-A16C-2C4C0CC22D6A}"/>
    <cellStyle name="Comma 4 5 3 4 2" xfId="3420" xr:uid="{AC2AD850-0A0B-4166-8084-0754BBE4AFA4}"/>
    <cellStyle name="Comma 4 5 3 4 2 2" xfId="7756" xr:uid="{6CDCFB3E-F7DD-43F1-8779-60240A6F7B67}"/>
    <cellStyle name="Comma 4 5 3 4 2 2 2" xfId="16428" xr:uid="{F43991B9-A4A7-4C8C-8F32-643DDF0B350A}"/>
    <cellStyle name="Comma 4 5 3 4 2 2 2 2" xfId="33772" xr:uid="{4ACD08F8-1190-415C-B62F-16D4FA8E5BD3}"/>
    <cellStyle name="Comma 4 5 3 4 2 2 3" xfId="25100" xr:uid="{3F9068F1-8405-41C4-9511-4CF9E0395C89}"/>
    <cellStyle name="Comma 4 5 3 4 2 3" xfId="12092" xr:uid="{C1685329-B478-4C8B-B9F2-8F04A7046DA8}"/>
    <cellStyle name="Comma 4 5 3 4 2 3 2" xfId="29436" xr:uid="{2CAA1E87-45E9-44EF-B3A7-132B2CEBB7A2}"/>
    <cellStyle name="Comma 4 5 3 4 2 4" xfId="20764" xr:uid="{83BFC86D-2636-4717-8396-62416C051200}"/>
    <cellStyle name="Comma 4 5 3 4 3" xfId="5588" xr:uid="{C4509947-1891-4DAE-AFFB-1951907B437E}"/>
    <cellStyle name="Comma 4 5 3 4 3 2" xfId="14260" xr:uid="{4EB96D72-A003-45BB-A333-AE95D67ED378}"/>
    <cellStyle name="Comma 4 5 3 4 3 2 2" xfId="31604" xr:uid="{01C94F7B-2F56-4992-BFF8-C862CA75E5FC}"/>
    <cellStyle name="Comma 4 5 3 4 3 3" xfId="22932" xr:uid="{C265F9DE-0B34-4BDB-8B9D-41D811075C8C}"/>
    <cellStyle name="Comma 4 5 3 4 4" xfId="9924" xr:uid="{D72A1C9D-9424-4022-878B-0CAA12492D80}"/>
    <cellStyle name="Comma 4 5 3 4 4 2" xfId="27268" xr:uid="{773A9974-2789-455C-9B30-E305C7B9061A}"/>
    <cellStyle name="Comma 4 5 3 4 5" xfId="18596" xr:uid="{C473200C-44E1-465E-A634-97A9D0B459C6}"/>
    <cellStyle name="Comma 4 5 3 5" xfId="2336" xr:uid="{9FA24FC0-31AE-43F1-81E8-9EF163DD5726}"/>
    <cellStyle name="Comma 4 5 3 5 2" xfId="6672" xr:uid="{3309D05F-4BAA-49D5-B1A1-1C4866C3888D}"/>
    <cellStyle name="Comma 4 5 3 5 2 2" xfId="15344" xr:uid="{6ED26533-9858-403A-8389-5FF7BDFEC280}"/>
    <cellStyle name="Comma 4 5 3 5 2 2 2" xfId="32688" xr:uid="{A935A8C7-1E74-4599-8A01-9C3F3DFE3933}"/>
    <cellStyle name="Comma 4 5 3 5 2 3" xfId="24016" xr:uid="{B6555233-1EB8-4AB3-9F52-BC410DE4F734}"/>
    <cellStyle name="Comma 4 5 3 5 3" xfId="11008" xr:uid="{1608D48C-A587-44B7-A4AF-B19DF7552AA5}"/>
    <cellStyle name="Comma 4 5 3 5 3 2" xfId="28352" xr:uid="{BA5E3496-2DC8-4F49-A35F-3A84D01E0DBE}"/>
    <cellStyle name="Comma 4 5 3 5 4" xfId="19680" xr:uid="{9FD6E069-85B9-4CC5-9179-DAAE7A7BBBC3}"/>
    <cellStyle name="Comma 4 5 3 6" xfId="4504" xr:uid="{4795F154-B0FC-4F8F-80D3-D54969A3BD77}"/>
    <cellStyle name="Comma 4 5 3 6 2" xfId="13176" xr:uid="{59F24577-6941-4A43-87EE-4F2ED00FB7C0}"/>
    <cellStyle name="Comma 4 5 3 6 2 2" xfId="30520" xr:uid="{AFA4485E-64BD-4114-A970-77BD6134A47A}"/>
    <cellStyle name="Comma 4 5 3 6 3" xfId="21848" xr:uid="{651FF8FD-C438-4169-A1F0-3850539A09E9}"/>
    <cellStyle name="Comma 4 5 3 7" xfId="8840" xr:uid="{DCE87D4C-683F-45E9-99DA-97176EAEAB5E}"/>
    <cellStyle name="Comma 4 5 3 7 2" xfId="26184" xr:uid="{BC946B95-23FB-4E20-8E0F-7CA0B00F4284}"/>
    <cellStyle name="Comma 4 5 3 8" xfId="17512" xr:uid="{EF2ACE04-E3A4-4346-99C8-CF8F9B195237}"/>
    <cellStyle name="Comma 4 5 4" xfId="316" xr:uid="{6DB90B24-A524-4720-A434-D28BD746B3AB}"/>
    <cellStyle name="Comma 4 5 4 2" xfId="857" xr:uid="{85076156-E791-467A-9DF4-FE11846D7642}"/>
    <cellStyle name="Comma 4 5 4 2 2" xfId="1941" xr:uid="{6A8DEF79-CD52-4DCA-B511-BC03550C75CA}"/>
    <cellStyle name="Comma 4 5 4 2 2 2" xfId="4109" xr:uid="{BEAC0C85-1D3B-4E4E-A7FC-9D51A6C5E458}"/>
    <cellStyle name="Comma 4 5 4 2 2 2 2" xfId="8445" xr:uid="{38BFE071-3398-404B-AD84-CB3607A2C431}"/>
    <cellStyle name="Comma 4 5 4 2 2 2 2 2" xfId="17117" xr:uid="{BBA7B0FA-A412-4839-850E-AA80AECD245E}"/>
    <cellStyle name="Comma 4 5 4 2 2 2 2 2 2" xfId="34461" xr:uid="{B3E2F4B9-66C3-4898-9AF5-A95096D20E6E}"/>
    <cellStyle name="Comma 4 5 4 2 2 2 2 3" xfId="25789" xr:uid="{E18635BC-C464-4C29-96B3-D5D6A4F4101F}"/>
    <cellStyle name="Comma 4 5 4 2 2 2 3" xfId="12781" xr:uid="{EBBE088C-758C-4B51-8608-6CFECFE49E67}"/>
    <cellStyle name="Comma 4 5 4 2 2 2 3 2" xfId="30125" xr:uid="{54CA7E23-A939-483D-B19A-DBEBCE0FAC11}"/>
    <cellStyle name="Comma 4 5 4 2 2 2 4" xfId="21453" xr:uid="{4BD724FF-CA0B-4536-8711-4940C539360D}"/>
    <cellStyle name="Comma 4 5 4 2 2 3" xfId="6277" xr:uid="{2B6A340E-C360-41DB-AB8B-A8119E22641B}"/>
    <cellStyle name="Comma 4 5 4 2 2 3 2" xfId="14949" xr:uid="{9B0B5B34-8946-4EF5-BCD4-2E16205C3595}"/>
    <cellStyle name="Comma 4 5 4 2 2 3 2 2" xfId="32293" xr:uid="{21600540-9E91-42BD-A85E-1E54C3BC001D}"/>
    <cellStyle name="Comma 4 5 4 2 2 3 3" xfId="23621" xr:uid="{717CA933-8FEB-413F-AF51-7BAFEF8EDB51}"/>
    <cellStyle name="Comma 4 5 4 2 2 4" xfId="10613" xr:uid="{26CA32C3-67DF-4A6C-AADF-0E2428161462}"/>
    <cellStyle name="Comma 4 5 4 2 2 4 2" xfId="27957" xr:uid="{CE330D0E-02F6-4435-8B8C-FF8D3E8C764D}"/>
    <cellStyle name="Comma 4 5 4 2 2 5" xfId="19285" xr:uid="{CB72A951-29E0-4D95-B18D-BCB64FE97FC2}"/>
    <cellStyle name="Comma 4 5 4 2 3" xfId="3025" xr:uid="{2AEFBDD0-4FB7-4672-922D-D7A5F2D4DCB3}"/>
    <cellStyle name="Comma 4 5 4 2 3 2" xfId="7361" xr:uid="{2780EA7B-0888-4A2B-BA1E-6BC80E588FC4}"/>
    <cellStyle name="Comma 4 5 4 2 3 2 2" xfId="16033" xr:uid="{D7F4D842-4524-430C-ADF5-8F6DD2CED2E0}"/>
    <cellStyle name="Comma 4 5 4 2 3 2 2 2" xfId="33377" xr:uid="{57D28192-A6D9-4EAC-B902-CD5FD178FBA2}"/>
    <cellStyle name="Comma 4 5 4 2 3 2 3" xfId="24705" xr:uid="{40EC6525-117E-4499-A30F-839F2A4F12D9}"/>
    <cellStyle name="Comma 4 5 4 2 3 3" xfId="11697" xr:uid="{009386E6-1D72-481E-ACF2-AB3A5F6002DC}"/>
    <cellStyle name="Comma 4 5 4 2 3 3 2" xfId="29041" xr:uid="{6153BDE3-6DAA-4A01-AE39-4223EF0EF6EA}"/>
    <cellStyle name="Comma 4 5 4 2 3 4" xfId="20369" xr:uid="{81ADDB24-EF63-4CF5-B662-D5FAEB731309}"/>
    <cellStyle name="Comma 4 5 4 2 4" xfId="5193" xr:uid="{21D34682-D135-47DB-94C6-A5E0479B0037}"/>
    <cellStyle name="Comma 4 5 4 2 4 2" xfId="13865" xr:uid="{0EE9A0F2-D9F4-4249-949E-81BFCBF6A9C2}"/>
    <cellStyle name="Comma 4 5 4 2 4 2 2" xfId="31209" xr:uid="{BF749409-CB39-407A-99CD-FC4C51ABB02E}"/>
    <cellStyle name="Comma 4 5 4 2 4 3" xfId="22537" xr:uid="{629AEE63-2166-4BDC-882F-4DC740C5AB22}"/>
    <cellStyle name="Comma 4 5 4 2 5" xfId="9529" xr:uid="{3BA86162-8A33-4357-934E-92CB09C64B6D}"/>
    <cellStyle name="Comma 4 5 4 2 5 2" xfId="26873" xr:uid="{0573711F-1E9B-489A-AD24-F90B74B67957}"/>
    <cellStyle name="Comma 4 5 4 2 6" xfId="18201" xr:uid="{43C5016F-1EAB-4322-A6EE-FED100A0DD71}"/>
    <cellStyle name="Comma 4 5 4 3" xfId="1400" xr:uid="{FD5D912C-EEDF-40B2-975A-07D73EDE1BBD}"/>
    <cellStyle name="Comma 4 5 4 3 2" xfId="3568" xr:uid="{1483E7C4-B310-4D18-AED0-EE96DA6983C3}"/>
    <cellStyle name="Comma 4 5 4 3 2 2" xfId="7904" xr:uid="{41DA620F-449F-4992-B9EB-B45F33415950}"/>
    <cellStyle name="Comma 4 5 4 3 2 2 2" xfId="16576" xr:uid="{4DC3B9E4-D198-4816-9433-0C0CDD652CC8}"/>
    <cellStyle name="Comma 4 5 4 3 2 2 2 2" xfId="33920" xr:uid="{F7FE802F-A47F-404C-AA13-DDB3D10BDED6}"/>
    <cellStyle name="Comma 4 5 4 3 2 2 3" xfId="25248" xr:uid="{334068DF-4858-4962-87ED-DF13A2A7EFAB}"/>
    <cellStyle name="Comma 4 5 4 3 2 3" xfId="12240" xr:uid="{11F4E435-F400-49A8-9B7F-56FFB49BE361}"/>
    <cellStyle name="Comma 4 5 4 3 2 3 2" xfId="29584" xr:uid="{5A086F78-8D9C-400C-898C-50539BEBC2D9}"/>
    <cellStyle name="Comma 4 5 4 3 2 4" xfId="20912" xr:uid="{EE2F1066-8135-45FB-A614-249BD58576E1}"/>
    <cellStyle name="Comma 4 5 4 3 3" xfId="5736" xr:uid="{7F71B03B-C124-4CF8-B94D-2F6604EE1300}"/>
    <cellStyle name="Comma 4 5 4 3 3 2" xfId="14408" xr:uid="{4BFDB114-1F89-470D-8BD6-5B52950EF696}"/>
    <cellStyle name="Comma 4 5 4 3 3 2 2" xfId="31752" xr:uid="{12AE2179-E7D3-40F6-A658-982B4D1B2F12}"/>
    <cellStyle name="Comma 4 5 4 3 3 3" xfId="23080" xr:uid="{CC83F12D-2C9D-4A59-B2E8-B5B6D60174C5}"/>
    <cellStyle name="Comma 4 5 4 3 4" xfId="10072" xr:uid="{6E267AD0-7A3B-4C78-B7DC-E8FFECC25538}"/>
    <cellStyle name="Comma 4 5 4 3 4 2" xfId="27416" xr:uid="{420D8A90-A5BF-4A2D-9B98-9DCEF3864810}"/>
    <cellStyle name="Comma 4 5 4 3 5" xfId="18744" xr:uid="{C634856D-A462-4276-A653-FB9F4F77CD80}"/>
    <cellStyle name="Comma 4 5 4 4" xfId="2484" xr:uid="{142A2D28-428C-4E47-B61E-781416D9CCEF}"/>
    <cellStyle name="Comma 4 5 4 4 2" xfId="6820" xr:uid="{C26F4971-91A8-4325-80CF-3778B3F086C1}"/>
    <cellStyle name="Comma 4 5 4 4 2 2" xfId="15492" xr:uid="{876E4899-A2ED-443E-B7C3-2DDB55BC97D2}"/>
    <cellStyle name="Comma 4 5 4 4 2 2 2" xfId="32836" xr:uid="{F52E3534-84A3-4966-A7F3-563EECB8BC4C}"/>
    <cellStyle name="Comma 4 5 4 4 2 3" xfId="24164" xr:uid="{5709B47C-511B-48FB-8F49-5F6B1A2A8C67}"/>
    <cellStyle name="Comma 4 5 4 4 3" xfId="11156" xr:uid="{365E8506-5BE5-45A0-8711-A0F8855F9A81}"/>
    <cellStyle name="Comma 4 5 4 4 3 2" xfId="28500" xr:uid="{F6B0AFE6-97B7-4C06-BFE9-1BE625287503}"/>
    <cellStyle name="Comma 4 5 4 4 4" xfId="19828" xr:uid="{BAE2533A-10A9-48F4-BBDE-CC7C4CA15B2F}"/>
    <cellStyle name="Comma 4 5 4 5" xfId="4652" xr:uid="{7572A47D-4C64-4844-A733-8848CE7E8D61}"/>
    <cellStyle name="Comma 4 5 4 5 2" xfId="13324" xr:uid="{71CE1E3F-05A6-4D73-8DE6-ED0E953CD395}"/>
    <cellStyle name="Comma 4 5 4 5 2 2" xfId="30668" xr:uid="{8AD710B8-D88B-4D0E-A667-EC16A82608F5}"/>
    <cellStyle name="Comma 4 5 4 5 3" xfId="21996" xr:uid="{74679B62-88B5-47D1-BBA2-32DC70B652C0}"/>
    <cellStyle name="Comma 4 5 4 6" xfId="8988" xr:uid="{81317959-853F-4B15-9D97-81EA1E9E04A9}"/>
    <cellStyle name="Comma 4 5 4 6 2" xfId="26332" xr:uid="{E53E3B83-4170-4617-8DB2-EBEFA22DDBF1}"/>
    <cellStyle name="Comma 4 5 4 7" xfId="17660" xr:uid="{51FA9E02-C453-4310-938B-64C4DAA5C476}"/>
    <cellStyle name="Comma 4 5 5" xfId="587" xr:uid="{41CE2D73-8161-4686-9F58-4F7866AD0154}"/>
    <cellStyle name="Comma 4 5 5 2" xfId="1671" xr:uid="{B26E867E-B357-4E7B-833E-A0F628EF8D19}"/>
    <cellStyle name="Comma 4 5 5 2 2" xfId="3839" xr:uid="{FC173E4C-3A9E-4137-A514-8B4F0FC02F87}"/>
    <cellStyle name="Comma 4 5 5 2 2 2" xfId="8175" xr:uid="{08FD80CB-4BA9-4A90-9588-5E728596FD8B}"/>
    <cellStyle name="Comma 4 5 5 2 2 2 2" xfId="16847" xr:uid="{97296E4E-931A-4D1A-848B-F70064B087A4}"/>
    <cellStyle name="Comma 4 5 5 2 2 2 2 2" xfId="34191" xr:uid="{D4F7E905-E597-4214-9D0D-1A4DF46AA2C0}"/>
    <cellStyle name="Comma 4 5 5 2 2 2 3" xfId="25519" xr:uid="{504FEDB2-D1D3-45FD-92FC-770C85FA19BA}"/>
    <cellStyle name="Comma 4 5 5 2 2 3" xfId="12511" xr:uid="{AF07F215-EB51-4D4B-AA61-D9ACB918AF97}"/>
    <cellStyle name="Comma 4 5 5 2 2 3 2" xfId="29855" xr:uid="{085B9D48-AE36-44E7-862A-0B728D0D8898}"/>
    <cellStyle name="Comma 4 5 5 2 2 4" xfId="21183" xr:uid="{69EB1150-0279-4D50-B72A-FEEAB25075B5}"/>
    <cellStyle name="Comma 4 5 5 2 3" xfId="6007" xr:uid="{D1506E1A-F0B8-47F8-8698-6EA6C647D720}"/>
    <cellStyle name="Comma 4 5 5 2 3 2" xfId="14679" xr:uid="{4C66623E-F2B1-48BD-A63F-2235BB621656}"/>
    <cellStyle name="Comma 4 5 5 2 3 2 2" xfId="32023" xr:uid="{4DC90234-F563-4C34-94CD-EBEB6AC2B792}"/>
    <cellStyle name="Comma 4 5 5 2 3 3" xfId="23351" xr:uid="{582013D5-BAE0-4D60-86AB-8A6C947CBB76}"/>
    <cellStyle name="Comma 4 5 5 2 4" xfId="10343" xr:uid="{62CB8AA5-02B3-4A66-A2BC-8CF560806711}"/>
    <cellStyle name="Comma 4 5 5 2 4 2" xfId="27687" xr:uid="{AD0717BC-E5E6-4722-8057-80FFF8C360AB}"/>
    <cellStyle name="Comma 4 5 5 2 5" xfId="19015" xr:uid="{0E481DB3-F33C-4446-BD72-2D2817EE5217}"/>
    <cellStyle name="Comma 4 5 5 3" xfId="2755" xr:uid="{8AE08788-5FA2-43AC-97AD-B94CE7DC38E0}"/>
    <cellStyle name="Comma 4 5 5 3 2" xfId="7091" xr:uid="{26EF62FC-6CB4-490B-984B-5429223C4CB1}"/>
    <cellStyle name="Comma 4 5 5 3 2 2" xfId="15763" xr:uid="{2A4FFC22-4835-4D51-A34C-1D51F252729F}"/>
    <cellStyle name="Comma 4 5 5 3 2 2 2" xfId="33107" xr:uid="{E33F8DFE-97CC-4DBA-98CF-227E13CA54DA}"/>
    <cellStyle name="Comma 4 5 5 3 2 3" xfId="24435" xr:uid="{2FF6C75B-7A55-46E8-A449-E14D6E3BA6A6}"/>
    <cellStyle name="Comma 4 5 5 3 3" xfId="11427" xr:uid="{6DC4CEDF-47B3-4A98-B9DE-670BF1693CFE}"/>
    <cellStyle name="Comma 4 5 5 3 3 2" xfId="28771" xr:uid="{8F21DC2C-7804-4D29-9AA8-596931E6AC30}"/>
    <cellStyle name="Comma 4 5 5 3 4" xfId="20099" xr:uid="{B7A7293B-531D-4793-80B5-FFC9931C40DA}"/>
    <cellStyle name="Comma 4 5 5 4" xfId="4923" xr:uid="{D5DF5957-89D3-4EFD-A0FF-CBA299B7A8A3}"/>
    <cellStyle name="Comma 4 5 5 4 2" xfId="13595" xr:uid="{2F41FBCD-4A29-4227-BBA8-398DE0C5406F}"/>
    <cellStyle name="Comma 4 5 5 4 2 2" xfId="30939" xr:uid="{5729D124-DF0E-4EA8-A848-7628ECE23FAF}"/>
    <cellStyle name="Comma 4 5 5 4 3" xfId="22267" xr:uid="{65EF29EA-761C-4106-AD49-8D8B38BAD046}"/>
    <cellStyle name="Comma 4 5 5 5" xfId="9259" xr:uid="{2A410A92-8E7D-4345-9B4B-D6A988C12C50}"/>
    <cellStyle name="Comma 4 5 5 5 2" xfId="26603" xr:uid="{3039F439-7DB7-4AF2-8CC4-AD13452EA016}"/>
    <cellStyle name="Comma 4 5 5 6" xfId="17931" xr:uid="{EC3B39AB-1319-4ACD-8E3A-FF3F31427981}"/>
    <cellStyle name="Comma 4 5 6" xfId="1130" xr:uid="{4B8021EE-7F9E-4EBE-94AD-27545363EC03}"/>
    <cellStyle name="Comma 4 5 6 2" xfId="3298" xr:uid="{A8B92461-2DD5-4BEC-A174-CD2BC2BDE79C}"/>
    <cellStyle name="Comma 4 5 6 2 2" xfId="7634" xr:uid="{2938E9F5-FD52-4E91-9E71-84A419B13FB6}"/>
    <cellStyle name="Comma 4 5 6 2 2 2" xfId="16306" xr:uid="{170B15D9-AA9F-4E03-BF8B-1AB74CD26848}"/>
    <cellStyle name="Comma 4 5 6 2 2 2 2" xfId="33650" xr:uid="{FBE09888-6548-4D4F-8E98-91B76BA1D836}"/>
    <cellStyle name="Comma 4 5 6 2 2 3" xfId="24978" xr:uid="{216FE700-835C-4AF9-B0CD-0A4CC4DFFC10}"/>
    <cellStyle name="Comma 4 5 6 2 3" xfId="11970" xr:uid="{5A7D01BC-0EB8-48EC-99EB-2A059B5DC077}"/>
    <cellStyle name="Comma 4 5 6 2 3 2" xfId="29314" xr:uid="{C7B77994-E535-4E3C-881E-45502DEDD651}"/>
    <cellStyle name="Comma 4 5 6 2 4" xfId="20642" xr:uid="{B40B9594-E348-4CE6-947C-12BB3681A9EB}"/>
    <cellStyle name="Comma 4 5 6 3" xfId="5466" xr:uid="{82E18BB1-F87A-4B2B-8D33-768287A98689}"/>
    <cellStyle name="Comma 4 5 6 3 2" xfId="14138" xr:uid="{AA63CBB2-70C3-4BF6-9DE8-EBFEC99E4CD9}"/>
    <cellStyle name="Comma 4 5 6 3 2 2" xfId="31482" xr:uid="{EA11B773-F617-4D23-A4A3-134CB3E5E69B}"/>
    <cellStyle name="Comma 4 5 6 3 3" xfId="22810" xr:uid="{ABD42C27-DB45-4CA4-950B-57BD6E07D0C8}"/>
    <cellStyle name="Comma 4 5 6 4" xfId="9802" xr:uid="{8822BA0B-91AD-4AF1-A425-31FF533C459B}"/>
    <cellStyle name="Comma 4 5 6 4 2" xfId="27146" xr:uid="{4A39BD3F-9430-4003-9630-73F2B45205F0}"/>
    <cellStyle name="Comma 4 5 6 5" xfId="18474" xr:uid="{F910B0E4-B4CE-46B6-B5CB-54BEA2FD6703}"/>
    <cellStyle name="Comma 4 5 7" xfId="2214" xr:uid="{1F3958BF-1695-469B-9515-163B688E8ECA}"/>
    <cellStyle name="Comma 4 5 7 2" xfId="6550" xr:uid="{C0A87EAD-EAED-4BD9-BD1E-D6FB13332258}"/>
    <cellStyle name="Comma 4 5 7 2 2" xfId="15222" xr:uid="{5CBAB2AD-F729-44B6-8F5B-14ED66E866F7}"/>
    <cellStyle name="Comma 4 5 7 2 2 2" xfId="32566" xr:uid="{0BC01ABF-A6F7-454F-9928-059180CE3C54}"/>
    <cellStyle name="Comma 4 5 7 2 3" xfId="23894" xr:uid="{8A4E5CB1-830F-45CC-B7E1-C4B6608735C6}"/>
    <cellStyle name="Comma 4 5 7 3" xfId="10886" xr:uid="{2B6FA427-39EA-4283-B50C-665CF4F620C0}"/>
    <cellStyle name="Comma 4 5 7 3 2" xfId="28230" xr:uid="{B94F59C3-17C1-4A7B-875E-963A24D3D16F}"/>
    <cellStyle name="Comma 4 5 7 4" xfId="19558" xr:uid="{6E6F34D5-0BBB-4E22-9843-D818085CB388}"/>
    <cellStyle name="Comma 4 5 8" xfId="4382" xr:uid="{3EDC888B-5B59-4ACC-960C-C0C5205BCD89}"/>
    <cellStyle name="Comma 4 5 8 2" xfId="13054" xr:uid="{18748142-DF92-4517-A30E-F7A16E1EB4BE}"/>
    <cellStyle name="Comma 4 5 8 2 2" xfId="30398" xr:uid="{5A95AC05-68F4-4206-9EBF-573DB5EEB078}"/>
    <cellStyle name="Comma 4 5 8 3" xfId="21726" xr:uid="{07905624-96DB-487D-9ED2-CEBD4ECABB9E}"/>
    <cellStyle name="Comma 4 5 9" xfId="8718" xr:uid="{792BA521-1ADA-44BA-BF15-D17937EDDBD5}"/>
    <cellStyle name="Comma 4 5 9 2" xfId="26062" xr:uid="{E9771C1B-B54B-43CA-B339-5DA8353C2178}"/>
    <cellStyle name="Comma 4 6" xfId="53" xr:uid="{35790DD1-EAEF-44B1-9E4E-E0AF8049220A}"/>
    <cellStyle name="Comma 4 6 10" xfId="17397" xr:uid="{90F3FD8F-85BA-4DD1-AA11-2481EDC064FB}"/>
    <cellStyle name="Comma 4 6 2" xfId="114" xr:uid="{F3EDD455-C693-4755-859A-05196BBCA609}"/>
    <cellStyle name="Comma 4 6 2 2" xfId="236" xr:uid="{4858F00C-24DA-4D00-AB7B-A3017921E1FA}"/>
    <cellStyle name="Comma 4 6 2 2 2" xfId="506" xr:uid="{28F8AFB9-4A7E-4581-9F6B-C5E92DF62A55}"/>
    <cellStyle name="Comma 4 6 2 2 2 2" xfId="1047" xr:uid="{B33B1ABB-D552-40A8-924A-9613A18828CD}"/>
    <cellStyle name="Comma 4 6 2 2 2 2 2" xfId="2131" xr:uid="{F486FFAF-49AE-45B6-A529-42F4CBD2192F}"/>
    <cellStyle name="Comma 4 6 2 2 2 2 2 2" xfId="4299" xr:uid="{0037354E-E93B-4708-B7D6-554C101BC1E3}"/>
    <cellStyle name="Comma 4 6 2 2 2 2 2 2 2" xfId="8635" xr:uid="{A4F7B703-6FC4-4E02-B132-5233A0201CE7}"/>
    <cellStyle name="Comma 4 6 2 2 2 2 2 2 2 2" xfId="17307" xr:uid="{7A3C6036-B8ED-4D98-97FD-393175622588}"/>
    <cellStyle name="Comma 4 6 2 2 2 2 2 2 2 2 2" xfId="34651" xr:uid="{34BE94AD-184A-4692-AFF3-FD643DCBB7D8}"/>
    <cellStyle name="Comma 4 6 2 2 2 2 2 2 2 3" xfId="25979" xr:uid="{7ECE0CB9-CEAB-43B6-9A33-94B6835861CE}"/>
    <cellStyle name="Comma 4 6 2 2 2 2 2 2 3" xfId="12971" xr:uid="{A3CE1BBC-1746-46B9-B5EE-C177F3B77B9B}"/>
    <cellStyle name="Comma 4 6 2 2 2 2 2 2 3 2" xfId="30315" xr:uid="{28B52585-0C7C-40C0-8ED0-0DFE18BDB108}"/>
    <cellStyle name="Comma 4 6 2 2 2 2 2 2 4" xfId="21643" xr:uid="{96FBF766-BBD4-40E9-ADE2-7AA464A67998}"/>
    <cellStyle name="Comma 4 6 2 2 2 2 2 3" xfId="6467" xr:uid="{9A4AA5D4-81E9-46CB-8509-83A18228514A}"/>
    <cellStyle name="Comma 4 6 2 2 2 2 2 3 2" xfId="15139" xr:uid="{26DE81D7-2042-42F3-9A55-A8DF34438DCB}"/>
    <cellStyle name="Comma 4 6 2 2 2 2 2 3 2 2" xfId="32483" xr:uid="{CC05D34A-787A-433D-8B1A-2B562B1B4669}"/>
    <cellStyle name="Comma 4 6 2 2 2 2 2 3 3" xfId="23811" xr:uid="{6A00BE42-8E82-4AB3-A708-F17A37215F7F}"/>
    <cellStyle name="Comma 4 6 2 2 2 2 2 4" xfId="10803" xr:uid="{A4F3F7CA-0C25-4357-9D64-1A0CBCBBD369}"/>
    <cellStyle name="Comma 4 6 2 2 2 2 2 4 2" xfId="28147" xr:uid="{5A33E0B6-5117-4E4D-8CF6-D307CE476825}"/>
    <cellStyle name="Comma 4 6 2 2 2 2 2 5" xfId="19475" xr:uid="{A6010C1C-B006-47AF-AB92-5A6DD9CDD4CC}"/>
    <cellStyle name="Comma 4 6 2 2 2 2 3" xfId="3215" xr:uid="{61CE0FEF-9A16-4DD5-9171-954AD136CC43}"/>
    <cellStyle name="Comma 4 6 2 2 2 2 3 2" xfId="7551" xr:uid="{54FEC15B-2FEF-4D4A-BB39-0C1CB253D3DA}"/>
    <cellStyle name="Comma 4 6 2 2 2 2 3 2 2" xfId="16223" xr:uid="{9B6D2B03-CAD4-491B-B6EC-FEF00FE6304E}"/>
    <cellStyle name="Comma 4 6 2 2 2 2 3 2 2 2" xfId="33567" xr:uid="{C3693A82-9EB9-487D-88C9-024D5B0418AA}"/>
    <cellStyle name="Comma 4 6 2 2 2 2 3 2 3" xfId="24895" xr:uid="{1DF4D57A-6238-47C1-8609-ED069F1DB961}"/>
    <cellStyle name="Comma 4 6 2 2 2 2 3 3" xfId="11887" xr:uid="{FC2B3BDA-36E1-4084-8029-92DBA0A6EC42}"/>
    <cellStyle name="Comma 4 6 2 2 2 2 3 3 2" xfId="29231" xr:uid="{C58CF2EE-3095-40F7-AC3C-DE885B57D6A8}"/>
    <cellStyle name="Comma 4 6 2 2 2 2 3 4" xfId="20559" xr:uid="{D9A078F0-355E-4807-8C77-DAA3E1CFB382}"/>
    <cellStyle name="Comma 4 6 2 2 2 2 4" xfId="5383" xr:uid="{EE742329-2EB4-4F20-9E42-C6527857CFE5}"/>
    <cellStyle name="Comma 4 6 2 2 2 2 4 2" xfId="14055" xr:uid="{2A6DAA99-4BCA-496F-AF24-899D00CF4E19}"/>
    <cellStyle name="Comma 4 6 2 2 2 2 4 2 2" xfId="31399" xr:uid="{C5B26698-C212-4B4D-8854-10C3B6873E8F}"/>
    <cellStyle name="Comma 4 6 2 2 2 2 4 3" xfId="22727" xr:uid="{CF97237E-4133-4AF6-ACE7-A31BFC887E8F}"/>
    <cellStyle name="Comma 4 6 2 2 2 2 5" xfId="9719" xr:uid="{67CE20C4-A95B-4C36-A40A-5B4135C297C3}"/>
    <cellStyle name="Comma 4 6 2 2 2 2 5 2" xfId="27063" xr:uid="{C114F99D-B91C-4A17-BB45-82743BA7D0A7}"/>
    <cellStyle name="Comma 4 6 2 2 2 2 6" xfId="18391" xr:uid="{7915DFA7-B528-4BEF-8D05-7942676CF16C}"/>
    <cellStyle name="Comma 4 6 2 2 2 3" xfId="1590" xr:uid="{25E904A2-5072-4F49-94FA-B77FE6069BA9}"/>
    <cellStyle name="Comma 4 6 2 2 2 3 2" xfId="3758" xr:uid="{0E61716A-D810-435B-950C-F3D54C7A2D98}"/>
    <cellStyle name="Comma 4 6 2 2 2 3 2 2" xfId="8094" xr:uid="{B141738A-6CC1-428A-A722-3C8D5CC64391}"/>
    <cellStyle name="Comma 4 6 2 2 2 3 2 2 2" xfId="16766" xr:uid="{93CFC399-00DE-4DF1-A66C-F07D09491797}"/>
    <cellStyle name="Comma 4 6 2 2 2 3 2 2 2 2" xfId="34110" xr:uid="{01622802-D430-498C-AE02-E21350860255}"/>
    <cellStyle name="Comma 4 6 2 2 2 3 2 2 3" xfId="25438" xr:uid="{70EE891E-0FDD-42EF-9DF7-6FF861C4EB37}"/>
    <cellStyle name="Comma 4 6 2 2 2 3 2 3" xfId="12430" xr:uid="{33097DB4-A939-4F0F-BF94-0C069D5291CF}"/>
    <cellStyle name="Comma 4 6 2 2 2 3 2 3 2" xfId="29774" xr:uid="{EF1E4E44-CA81-4DE5-8367-B0CC282D87D5}"/>
    <cellStyle name="Comma 4 6 2 2 2 3 2 4" xfId="21102" xr:uid="{173BBE23-4C3F-4BAD-8169-1726D8464B9B}"/>
    <cellStyle name="Comma 4 6 2 2 2 3 3" xfId="5926" xr:uid="{FBB8FEB1-3DCD-4855-AE1A-779C7EB0BA8D}"/>
    <cellStyle name="Comma 4 6 2 2 2 3 3 2" xfId="14598" xr:uid="{51BD5D98-A4BB-4FFF-91BE-5B28389579CC}"/>
    <cellStyle name="Comma 4 6 2 2 2 3 3 2 2" xfId="31942" xr:uid="{992F0958-95D2-4002-81D5-5C483699419D}"/>
    <cellStyle name="Comma 4 6 2 2 2 3 3 3" xfId="23270" xr:uid="{61B638C3-939A-4BF4-AAE9-CF05975EB44B}"/>
    <cellStyle name="Comma 4 6 2 2 2 3 4" xfId="10262" xr:uid="{E3C5E8AD-FA61-4627-8F09-D19F27560002}"/>
    <cellStyle name="Comma 4 6 2 2 2 3 4 2" xfId="27606" xr:uid="{E0A2C945-EF36-4565-AA0F-5732591E64B6}"/>
    <cellStyle name="Comma 4 6 2 2 2 3 5" xfId="18934" xr:uid="{2924062C-4973-4277-BAD7-5621AB1D3D70}"/>
    <cellStyle name="Comma 4 6 2 2 2 4" xfId="2674" xr:uid="{EDCFDE7C-2FA7-4E01-9525-310E933D7690}"/>
    <cellStyle name="Comma 4 6 2 2 2 4 2" xfId="7010" xr:uid="{FE9F1295-6A86-47F5-8880-9CD2574D2834}"/>
    <cellStyle name="Comma 4 6 2 2 2 4 2 2" xfId="15682" xr:uid="{4FC1AACF-BC71-4AF3-9E4B-4A68B24F7A31}"/>
    <cellStyle name="Comma 4 6 2 2 2 4 2 2 2" xfId="33026" xr:uid="{FAB51396-8DBF-4293-B6A6-79FCDF93923D}"/>
    <cellStyle name="Comma 4 6 2 2 2 4 2 3" xfId="24354" xr:uid="{805FEAB0-1CB4-401B-9881-5CF9D1AF9E8C}"/>
    <cellStyle name="Comma 4 6 2 2 2 4 3" xfId="11346" xr:uid="{E7FAA7B1-6D98-4EF6-9110-441C1A2E260D}"/>
    <cellStyle name="Comma 4 6 2 2 2 4 3 2" xfId="28690" xr:uid="{104E148D-5453-4823-9300-3A50DED29329}"/>
    <cellStyle name="Comma 4 6 2 2 2 4 4" xfId="20018" xr:uid="{88422FB7-460E-4713-8EEA-E06801CBB0D7}"/>
    <cellStyle name="Comma 4 6 2 2 2 5" xfId="4842" xr:uid="{37796AF9-FD50-4A35-9CFD-C39D179F7AB7}"/>
    <cellStyle name="Comma 4 6 2 2 2 5 2" xfId="13514" xr:uid="{68594194-D737-4BCE-9BD0-87D653664ED9}"/>
    <cellStyle name="Comma 4 6 2 2 2 5 2 2" xfId="30858" xr:uid="{8AA2D258-13EE-40F0-BE83-58C0EE965500}"/>
    <cellStyle name="Comma 4 6 2 2 2 5 3" xfId="22186" xr:uid="{DA848331-D4AD-4F94-B2AF-A55C7761D592}"/>
    <cellStyle name="Comma 4 6 2 2 2 6" xfId="9178" xr:uid="{AD4A34DB-A347-4C86-9E46-CA66177176C6}"/>
    <cellStyle name="Comma 4 6 2 2 2 6 2" xfId="26522" xr:uid="{C81D821B-7B3B-4BE9-9096-FD88817B42BB}"/>
    <cellStyle name="Comma 4 6 2 2 2 7" xfId="17850" xr:uid="{C22D9545-DDB2-411B-A26F-AFB37ED29503}"/>
    <cellStyle name="Comma 4 6 2 2 3" xfId="777" xr:uid="{CDE88FAE-884E-4DAD-827A-10262B0DECD0}"/>
    <cellStyle name="Comma 4 6 2 2 3 2" xfId="1861" xr:uid="{36576871-A689-49CC-B0F2-1A398238B991}"/>
    <cellStyle name="Comma 4 6 2 2 3 2 2" xfId="4029" xr:uid="{F1D4EAF5-648D-4DC5-BA46-E40AAEAA687E}"/>
    <cellStyle name="Comma 4 6 2 2 3 2 2 2" xfId="8365" xr:uid="{1F3F1906-A615-490D-90EA-0137086E4530}"/>
    <cellStyle name="Comma 4 6 2 2 3 2 2 2 2" xfId="17037" xr:uid="{1DF21B30-9833-426C-9744-F18BF1A3E528}"/>
    <cellStyle name="Comma 4 6 2 2 3 2 2 2 2 2" xfId="34381" xr:uid="{7AB01F08-781F-4529-A7D0-2B33FF5145DC}"/>
    <cellStyle name="Comma 4 6 2 2 3 2 2 2 3" xfId="25709" xr:uid="{076E395C-75F1-40A9-B02F-71107334075F}"/>
    <cellStyle name="Comma 4 6 2 2 3 2 2 3" xfId="12701" xr:uid="{76571CEE-419F-4FCB-835B-8F869F7CB470}"/>
    <cellStyle name="Comma 4 6 2 2 3 2 2 3 2" xfId="30045" xr:uid="{69A6C764-A119-4348-BED9-096A13C2A78C}"/>
    <cellStyle name="Comma 4 6 2 2 3 2 2 4" xfId="21373" xr:uid="{6098D2B5-4E17-4B13-8126-445B752090ED}"/>
    <cellStyle name="Comma 4 6 2 2 3 2 3" xfId="6197" xr:uid="{23822BA0-3D8E-4D48-9F26-7D68DDD0761B}"/>
    <cellStyle name="Comma 4 6 2 2 3 2 3 2" xfId="14869" xr:uid="{B388B962-BB0C-4701-A7CF-A19AEC03FA16}"/>
    <cellStyle name="Comma 4 6 2 2 3 2 3 2 2" xfId="32213" xr:uid="{EA72FEC5-0677-4E21-9588-BA15B502D567}"/>
    <cellStyle name="Comma 4 6 2 2 3 2 3 3" xfId="23541" xr:uid="{045049E7-3A3D-44EC-AFE4-DAC8B215ACA8}"/>
    <cellStyle name="Comma 4 6 2 2 3 2 4" xfId="10533" xr:uid="{24712CD6-69A0-4C94-94A9-EE56F1706342}"/>
    <cellStyle name="Comma 4 6 2 2 3 2 4 2" xfId="27877" xr:uid="{14881AA1-E752-4470-9BF9-C1E2E31A4064}"/>
    <cellStyle name="Comma 4 6 2 2 3 2 5" xfId="19205" xr:uid="{4D00264A-8BF2-4C84-A469-CAFB320F6930}"/>
    <cellStyle name="Comma 4 6 2 2 3 3" xfId="2945" xr:uid="{418D8902-040F-4FE6-9D73-50050876998E}"/>
    <cellStyle name="Comma 4 6 2 2 3 3 2" xfId="7281" xr:uid="{F84DD608-4B8F-4212-83BD-90904AC68082}"/>
    <cellStyle name="Comma 4 6 2 2 3 3 2 2" xfId="15953" xr:uid="{404DF5BA-7DAA-4A9F-AA8F-3D08D8E0D4C3}"/>
    <cellStyle name="Comma 4 6 2 2 3 3 2 2 2" xfId="33297" xr:uid="{73C23040-C7BC-4BB6-ACA3-0515EC8263D6}"/>
    <cellStyle name="Comma 4 6 2 2 3 3 2 3" xfId="24625" xr:uid="{15300BBF-5BF0-4C37-80CA-DCE6F0136983}"/>
    <cellStyle name="Comma 4 6 2 2 3 3 3" xfId="11617" xr:uid="{D1D13934-CF65-41FE-BC3D-0852DE565BDF}"/>
    <cellStyle name="Comma 4 6 2 2 3 3 3 2" xfId="28961" xr:uid="{CBD7EADC-D499-41EC-A061-150FE0BCF7D0}"/>
    <cellStyle name="Comma 4 6 2 2 3 3 4" xfId="20289" xr:uid="{DE1C8FE1-BA86-4CD0-ABAF-ECBCE525093C}"/>
    <cellStyle name="Comma 4 6 2 2 3 4" xfId="5113" xr:uid="{5DDE3FC8-2A93-4441-975D-A62F105012E4}"/>
    <cellStyle name="Comma 4 6 2 2 3 4 2" xfId="13785" xr:uid="{7C21F91E-B096-4468-B643-3E492256C135}"/>
    <cellStyle name="Comma 4 6 2 2 3 4 2 2" xfId="31129" xr:uid="{6623AC53-0801-48E7-9131-85F0C4ACF74E}"/>
    <cellStyle name="Comma 4 6 2 2 3 4 3" xfId="22457" xr:uid="{A9C0A8FD-D1DC-4443-8C2F-DCA6CB7B8EF4}"/>
    <cellStyle name="Comma 4 6 2 2 3 5" xfId="9449" xr:uid="{44841249-AF04-4F4F-811A-2774F29C2F6B}"/>
    <cellStyle name="Comma 4 6 2 2 3 5 2" xfId="26793" xr:uid="{012FE80D-62F1-4C2B-8897-DAAE7C61F5C2}"/>
    <cellStyle name="Comma 4 6 2 2 3 6" xfId="18121" xr:uid="{1E780625-30FA-4421-8AA1-5BF7A33E170A}"/>
    <cellStyle name="Comma 4 6 2 2 4" xfId="1320" xr:uid="{7E325A13-A4B3-41F4-9B7E-6F33A7B3B71B}"/>
    <cellStyle name="Comma 4 6 2 2 4 2" xfId="3488" xr:uid="{5021C6DC-1E4F-4BDD-87F3-7C1CF9B01C1B}"/>
    <cellStyle name="Comma 4 6 2 2 4 2 2" xfId="7824" xr:uid="{2F942D65-408A-42B3-B99F-9229299EF2FA}"/>
    <cellStyle name="Comma 4 6 2 2 4 2 2 2" xfId="16496" xr:uid="{616913C8-BB3A-4810-8777-BFD7E7C07871}"/>
    <cellStyle name="Comma 4 6 2 2 4 2 2 2 2" xfId="33840" xr:uid="{6052833B-ED0A-48B4-A444-A173D047E04B}"/>
    <cellStyle name="Comma 4 6 2 2 4 2 2 3" xfId="25168" xr:uid="{707060CF-5A4C-4CAE-869B-FD83784977A5}"/>
    <cellStyle name="Comma 4 6 2 2 4 2 3" xfId="12160" xr:uid="{F73A0BD9-2738-4915-8171-D34C23273D5D}"/>
    <cellStyle name="Comma 4 6 2 2 4 2 3 2" xfId="29504" xr:uid="{AA4B10A8-C4E9-487D-B318-1A450403E7BD}"/>
    <cellStyle name="Comma 4 6 2 2 4 2 4" xfId="20832" xr:uid="{39C039B8-51AC-4BAA-969E-C84431F32819}"/>
    <cellStyle name="Comma 4 6 2 2 4 3" xfId="5656" xr:uid="{83F2B537-5E9E-456F-A745-38CF033963B3}"/>
    <cellStyle name="Comma 4 6 2 2 4 3 2" xfId="14328" xr:uid="{AA17A399-9188-465C-A759-16CE8992EBE6}"/>
    <cellStyle name="Comma 4 6 2 2 4 3 2 2" xfId="31672" xr:uid="{D4EC900D-F748-4A0F-BC65-6196A7FD413B}"/>
    <cellStyle name="Comma 4 6 2 2 4 3 3" xfId="23000" xr:uid="{A67323FE-FBED-4AEE-8D2C-391ADBA718E3}"/>
    <cellStyle name="Comma 4 6 2 2 4 4" xfId="9992" xr:uid="{B0FE924D-4701-4A4E-B9D2-FD516F9174D0}"/>
    <cellStyle name="Comma 4 6 2 2 4 4 2" xfId="27336" xr:uid="{1143C2D8-0C45-4D40-B256-755D307A98D6}"/>
    <cellStyle name="Comma 4 6 2 2 4 5" xfId="18664" xr:uid="{E304014E-55B8-4140-8E47-D3F269764A52}"/>
    <cellStyle name="Comma 4 6 2 2 5" xfId="2404" xr:uid="{05596F94-B754-46C4-BF67-5EECAFDE4224}"/>
    <cellStyle name="Comma 4 6 2 2 5 2" xfId="6740" xr:uid="{166662FF-259C-4692-B11A-C48D37BF74A8}"/>
    <cellStyle name="Comma 4 6 2 2 5 2 2" xfId="15412" xr:uid="{87351D2B-25D0-426A-B7C7-2013B4F58E1F}"/>
    <cellStyle name="Comma 4 6 2 2 5 2 2 2" xfId="32756" xr:uid="{6F01196D-2BFC-444C-AEC3-59EF23B18D05}"/>
    <cellStyle name="Comma 4 6 2 2 5 2 3" xfId="24084" xr:uid="{D413512B-606C-418C-9E8C-380BFE88A4FB}"/>
    <cellStyle name="Comma 4 6 2 2 5 3" xfId="11076" xr:uid="{B84648F2-B1CF-4FA4-A6F4-AA915550F79A}"/>
    <cellStyle name="Comma 4 6 2 2 5 3 2" xfId="28420" xr:uid="{8D17F963-6563-48AB-B330-8E1AFFFA8A12}"/>
    <cellStyle name="Comma 4 6 2 2 5 4" xfId="19748" xr:uid="{0567738E-95BD-45BF-996E-E1700A4B7E57}"/>
    <cellStyle name="Comma 4 6 2 2 6" xfId="4572" xr:uid="{4C4DE257-C1B4-47E5-9374-66552E57648D}"/>
    <cellStyle name="Comma 4 6 2 2 6 2" xfId="13244" xr:uid="{417D79B6-A6AC-4309-A566-3CD19D7B1F9B}"/>
    <cellStyle name="Comma 4 6 2 2 6 2 2" xfId="30588" xr:uid="{23C293A4-A41D-42F3-B09F-47D542B081AE}"/>
    <cellStyle name="Comma 4 6 2 2 6 3" xfId="21916" xr:uid="{28C2A1FA-5F1E-48CE-A581-9B1AF3C8528C}"/>
    <cellStyle name="Comma 4 6 2 2 7" xfId="8908" xr:uid="{136B6D33-3AC9-4A54-9F7A-69D67F9DC1BC}"/>
    <cellStyle name="Comma 4 6 2 2 7 2" xfId="26252" xr:uid="{E8D7BD73-1EE1-4393-A47F-112F358E134E}"/>
    <cellStyle name="Comma 4 6 2 2 8" xfId="17580" xr:uid="{9C8BE6D0-BFC9-44F8-8542-ED229941DCB1}"/>
    <cellStyle name="Comma 4 6 2 3" xfId="384" xr:uid="{99A51E77-D6D6-496F-90A2-F5FDDE89FC2E}"/>
    <cellStyle name="Comma 4 6 2 3 2" xfId="925" xr:uid="{079DE678-929C-4946-81EE-BA3CBFF36450}"/>
    <cellStyle name="Comma 4 6 2 3 2 2" xfId="2009" xr:uid="{94718867-A5C7-4DD9-B567-92F145AB167A}"/>
    <cellStyle name="Comma 4 6 2 3 2 2 2" xfId="4177" xr:uid="{C2127F7E-0751-4C8E-B933-F9A7C1C28ECE}"/>
    <cellStyle name="Comma 4 6 2 3 2 2 2 2" xfId="8513" xr:uid="{27F9588F-3A1A-4C41-95DB-45EE4411BF73}"/>
    <cellStyle name="Comma 4 6 2 3 2 2 2 2 2" xfId="17185" xr:uid="{1F7AE4BE-6F64-40D3-8873-B8D59B5DF347}"/>
    <cellStyle name="Comma 4 6 2 3 2 2 2 2 2 2" xfId="34529" xr:uid="{A7782387-FDDA-43B6-8737-AA6B9E849070}"/>
    <cellStyle name="Comma 4 6 2 3 2 2 2 2 3" xfId="25857" xr:uid="{C1D921E5-7C90-4985-8159-A0E31B959653}"/>
    <cellStyle name="Comma 4 6 2 3 2 2 2 3" xfId="12849" xr:uid="{55ABDD80-F97A-45AE-8C5C-C738C36438F3}"/>
    <cellStyle name="Comma 4 6 2 3 2 2 2 3 2" xfId="30193" xr:uid="{24BA059D-DD4A-48DF-ADC0-38E1E92152D3}"/>
    <cellStyle name="Comma 4 6 2 3 2 2 2 4" xfId="21521" xr:uid="{84622B40-AAC4-4692-9A24-F1F4C5BCB85B}"/>
    <cellStyle name="Comma 4 6 2 3 2 2 3" xfId="6345" xr:uid="{0A1DC80E-C31A-4C4E-BCEF-BC5CC0C59920}"/>
    <cellStyle name="Comma 4 6 2 3 2 2 3 2" xfId="15017" xr:uid="{671CB128-FA51-4276-AB29-1FB5050F53D1}"/>
    <cellStyle name="Comma 4 6 2 3 2 2 3 2 2" xfId="32361" xr:uid="{ED0EF039-E788-4E27-93EB-495FA0ED8E35}"/>
    <cellStyle name="Comma 4 6 2 3 2 2 3 3" xfId="23689" xr:uid="{3BD5D027-32AC-485F-AC86-2214F930AE12}"/>
    <cellStyle name="Comma 4 6 2 3 2 2 4" xfId="10681" xr:uid="{E8649C90-E42B-47A2-841D-BD6686A44911}"/>
    <cellStyle name="Comma 4 6 2 3 2 2 4 2" xfId="28025" xr:uid="{58C8C247-6A81-4F66-A996-D7E63E8A25FB}"/>
    <cellStyle name="Comma 4 6 2 3 2 2 5" xfId="19353" xr:uid="{777C568B-DCD1-49CD-8D15-00C6CB9B37EF}"/>
    <cellStyle name="Comma 4 6 2 3 2 3" xfId="3093" xr:uid="{019985A8-CDE9-4C42-A1BD-A2EB6D1013D3}"/>
    <cellStyle name="Comma 4 6 2 3 2 3 2" xfId="7429" xr:uid="{C6A7E986-A32D-4D14-AE33-BF38BB54F3A1}"/>
    <cellStyle name="Comma 4 6 2 3 2 3 2 2" xfId="16101" xr:uid="{0A0C2AFA-80AE-4E17-AD1E-041B4F815E77}"/>
    <cellStyle name="Comma 4 6 2 3 2 3 2 2 2" xfId="33445" xr:uid="{F17569DA-FB4D-4FD2-86E1-99C1D4F760F4}"/>
    <cellStyle name="Comma 4 6 2 3 2 3 2 3" xfId="24773" xr:uid="{82CA7534-E939-487B-8478-BBB1DB4594BE}"/>
    <cellStyle name="Comma 4 6 2 3 2 3 3" xfId="11765" xr:uid="{66FB86BC-44C8-49B4-B054-81D765256C50}"/>
    <cellStyle name="Comma 4 6 2 3 2 3 3 2" xfId="29109" xr:uid="{ECF6A829-914F-4380-B25C-C41792C52AE7}"/>
    <cellStyle name="Comma 4 6 2 3 2 3 4" xfId="20437" xr:uid="{27C84A45-3C0B-4F72-8813-A38BC0341D22}"/>
    <cellStyle name="Comma 4 6 2 3 2 4" xfId="5261" xr:uid="{4EA9CE53-1164-4CBD-906D-E8C99EE79828}"/>
    <cellStyle name="Comma 4 6 2 3 2 4 2" xfId="13933" xr:uid="{AE122469-1212-46A3-8F35-97424600A0A7}"/>
    <cellStyle name="Comma 4 6 2 3 2 4 2 2" xfId="31277" xr:uid="{800298E7-5FC0-4330-8EEF-6B9F7222134C}"/>
    <cellStyle name="Comma 4 6 2 3 2 4 3" xfId="22605" xr:uid="{3DC19EE5-F35D-438A-AB2C-0D0C277B853F}"/>
    <cellStyle name="Comma 4 6 2 3 2 5" xfId="9597" xr:uid="{DE91B51A-F7FD-44B7-A446-CE72A1D51FB8}"/>
    <cellStyle name="Comma 4 6 2 3 2 5 2" xfId="26941" xr:uid="{BA7C4EEA-BD6A-4ED1-BC31-C39968B38F31}"/>
    <cellStyle name="Comma 4 6 2 3 2 6" xfId="18269" xr:uid="{5EA38885-933E-40AA-8803-39AAF3B4A284}"/>
    <cellStyle name="Comma 4 6 2 3 3" xfId="1468" xr:uid="{BC109464-045F-48D4-ADDC-22F6301180D8}"/>
    <cellStyle name="Comma 4 6 2 3 3 2" xfId="3636" xr:uid="{53A5ED94-71C8-4F2C-8AC9-9CC25F044AED}"/>
    <cellStyle name="Comma 4 6 2 3 3 2 2" xfId="7972" xr:uid="{49CB3569-A892-4E20-9E13-936758CB808B}"/>
    <cellStyle name="Comma 4 6 2 3 3 2 2 2" xfId="16644" xr:uid="{7E2F84B6-6B49-4FE9-A8DE-BA71DE2EC7E9}"/>
    <cellStyle name="Comma 4 6 2 3 3 2 2 2 2" xfId="33988" xr:uid="{98528043-3175-4AE8-81D6-DD0F7113C85C}"/>
    <cellStyle name="Comma 4 6 2 3 3 2 2 3" xfId="25316" xr:uid="{E862C6D8-4CCB-4741-86DA-89E2CF393356}"/>
    <cellStyle name="Comma 4 6 2 3 3 2 3" xfId="12308" xr:uid="{14BD765B-A25B-4F33-B96F-D137D123D6CB}"/>
    <cellStyle name="Comma 4 6 2 3 3 2 3 2" xfId="29652" xr:uid="{BC4CEC89-4A76-45B3-9EC4-C6DCED5B9A00}"/>
    <cellStyle name="Comma 4 6 2 3 3 2 4" xfId="20980" xr:uid="{6172141D-0416-4AAD-8F4A-A13A7022A6BF}"/>
    <cellStyle name="Comma 4 6 2 3 3 3" xfId="5804" xr:uid="{B1D857F4-A47D-4257-AE34-3913D6EB6094}"/>
    <cellStyle name="Comma 4 6 2 3 3 3 2" xfId="14476" xr:uid="{CCBFA2C2-8753-4CFC-8E84-B1EA42AF563B}"/>
    <cellStyle name="Comma 4 6 2 3 3 3 2 2" xfId="31820" xr:uid="{0C8A0EA8-DFC0-4B39-B8C2-FFB73649B7E0}"/>
    <cellStyle name="Comma 4 6 2 3 3 3 3" xfId="23148" xr:uid="{06ECB562-3FD5-4853-9F62-8ECF4923713A}"/>
    <cellStyle name="Comma 4 6 2 3 3 4" xfId="10140" xr:uid="{D92071B3-92C7-4892-B905-9FA5143923D1}"/>
    <cellStyle name="Comma 4 6 2 3 3 4 2" xfId="27484" xr:uid="{DA48B407-2DA0-4FAC-88B5-470BF795604C}"/>
    <cellStyle name="Comma 4 6 2 3 3 5" xfId="18812" xr:uid="{15990CD3-73F2-4F27-BAD6-6EFF84A390B6}"/>
    <cellStyle name="Comma 4 6 2 3 4" xfId="2552" xr:uid="{DDBB8F3C-C9C8-42BB-8A25-435407A5454F}"/>
    <cellStyle name="Comma 4 6 2 3 4 2" xfId="6888" xr:uid="{C9419C2A-435C-4CF5-906D-B315394F70E9}"/>
    <cellStyle name="Comma 4 6 2 3 4 2 2" xfId="15560" xr:uid="{0A2CED8E-6B86-4AA9-9A8C-A7E5078020BB}"/>
    <cellStyle name="Comma 4 6 2 3 4 2 2 2" xfId="32904" xr:uid="{DA9B556E-05C2-4C73-8D65-78DDE8DC4410}"/>
    <cellStyle name="Comma 4 6 2 3 4 2 3" xfId="24232" xr:uid="{BB335E99-F73F-4EF8-9E51-BC9F1CA1F6D3}"/>
    <cellStyle name="Comma 4 6 2 3 4 3" xfId="11224" xr:uid="{FC08CDD2-3542-47AA-B087-E9B1EC139F7D}"/>
    <cellStyle name="Comma 4 6 2 3 4 3 2" xfId="28568" xr:uid="{87A84E5E-E178-4434-B120-F1F5BD55E9B2}"/>
    <cellStyle name="Comma 4 6 2 3 4 4" xfId="19896" xr:uid="{98F23E88-AF9D-439D-BACF-7D7E9824C0B7}"/>
    <cellStyle name="Comma 4 6 2 3 5" xfId="4720" xr:uid="{AC4CCA8F-FBA8-4343-B995-13B221D66DAC}"/>
    <cellStyle name="Comma 4 6 2 3 5 2" xfId="13392" xr:uid="{0DD1A124-6DD5-4DB5-8ADD-6A3B33BE969F}"/>
    <cellStyle name="Comma 4 6 2 3 5 2 2" xfId="30736" xr:uid="{583EA56B-E5A7-4288-A747-3956BAF20A5B}"/>
    <cellStyle name="Comma 4 6 2 3 5 3" xfId="22064" xr:uid="{98BABBE9-4145-487D-B69C-DE782E3F74CC}"/>
    <cellStyle name="Comma 4 6 2 3 6" xfId="9056" xr:uid="{E473E14C-ED42-4803-87F3-85D84B9D05A0}"/>
    <cellStyle name="Comma 4 6 2 3 6 2" xfId="26400" xr:uid="{36B6030A-2169-460F-A530-9EE3D803DA71}"/>
    <cellStyle name="Comma 4 6 2 3 7" xfId="17728" xr:uid="{6F85A30A-DC27-467A-8F92-D901C3CBD840}"/>
    <cellStyle name="Comma 4 6 2 4" xfId="655" xr:uid="{A87AE0C8-378B-44D9-BB5D-4BADB8047EF9}"/>
    <cellStyle name="Comma 4 6 2 4 2" xfId="1739" xr:uid="{740F746A-7586-4618-8876-E4F641A07AD8}"/>
    <cellStyle name="Comma 4 6 2 4 2 2" xfId="3907" xr:uid="{4C1EFB9F-9CB2-4F8B-B631-2A781B659840}"/>
    <cellStyle name="Comma 4 6 2 4 2 2 2" xfId="8243" xr:uid="{0A2909F1-C67F-42A8-B5C4-4F5CE7AD7B96}"/>
    <cellStyle name="Comma 4 6 2 4 2 2 2 2" xfId="16915" xr:uid="{48963862-D5AA-4F5D-BCC1-924B700803DD}"/>
    <cellStyle name="Comma 4 6 2 4 2 2 2 2 2" xfId="34259" xr:uid="{0D214589-65EF-41C4-B2E9-35A57B6E5C60}"/>
    <cellStyle name="Comma 4 6 2 4 2 2 2 3" xfId="25587" xr:uid="{3D3F3818-59CA-4918-B2F1-AF99EA91CED5}"/>
    <cellStyle name="Comma 4 6 2 4 2 2 3" xfId="12579" xr:uid="{5B5CCD09-FAF7-4E7B-8721-97034982D87C}"/>
    <cellStyle name="Comma 4 6 2 4 2 2 3 2" xfId="29923" xr:uid="{173CB619-CA47-440E-B599-8208307DA7A4}"/>
    <cellStyle name="Comma 4 6 2 4 2 2 4" xfId="21251" xr:uid="{361F556F-8BE8-4250-B9BA-C93860BCF700}"/>
    <cellStyle name="Comma 4 6 2 4 2 3" xfId="6075" xr:uid="{27AA8FA5-EF72-4A07-A1CC-79A7FECB9BE4}"/>
    <cellStyle name="Comma 4 6 2 4 2 3 2" xfId="14747" xr:uid="{AEC323E2-017A-40EA-A7A8-D6F154720C5D}"/>
    <cellStyle name="Comma 4 6 2 4 2 3 2 2" xfId="32091" xr:uid="{4D9E46E3-AA8F-472A-8490-4DFB2E9C859D}"/>
    <cellStyle name="Comma 4 6 2 4 2 3 3" xfId="23419" xr:uid="{ABD2DB9E-E450-44EE-ABBA-7596D3C8DC6E}"/>
    <cellStyle name="Comma 4 6 2 4 2 4" xfId="10411" xr:uid="{A664C01D-C040-42CB-B58F-F20AA4C38FD1}"/>
    <cellStyle name="Comma 4 6 2 4 2 4 2" xfId="27755" xr:uid="{1AF4EB91-EDA2-4D46-9CC9-18AB53470AF0}"/>
    <cellStyle name="Comma 4 6 2 4 2 5" xfId="19083" xr:uid="{B5AED728-D3D2-4543-A8D8-91170A651E78}"/>
    <cellStyle name="Comma 4 6 2 4 3" xfId="2823" xr:uid="{8233E08E-F511-4AD7-BE7A-C623CC9E647E}"/>
    <cellStyle name="Comma 4 6 2 4 3 2" xfId="7159" xr:uid="{2406482B-69A6-4C73-B433-4993A986EAF1}"/>
    <cellStyle name="Comma 4 6 2 4 3 2 2" xfId="15831" xr:uid="{EE67CDFB-7B87-4CFC-BECA-8DF2DFAB0225}"/>
    <cellStyle name="Comma 4 6 2 4 3 2 2 2" xfId="33175" xr:uid="{BBFD5E00-F0E9-44AA-B99A-E6CF33F04B69}"/>
    <cellStyle name="Comma 4 6 2 4 3 2 3" xfId="24503" xr:uid="{EB50152B-B5B9-498F-8629-D8C520228D4B}"/>
    <cellStyle name="Comma 4 6 2 4 3 3" xfId="11495" xr:uid="{81BD2019-C667-4C9F-905A-03E5C5193B35}"/>
    <cellStyle name="Comma 4 6 2 4 3 3 2" xfId="28839" xr:uid="{6FA283AD-9A3E-4251-BBF3-367DEAC178AF}"/>
    <cellStyle name="Comma 4 6 2 4 3 4" xfId="20167" xr:uid="{83447BF0-ECBE-4399-A3A6-13606D61D12A}"/>
    <cellStyle name="Comma 4 6 2 4 4" xfId="4991" xr:uid="{3BC528FB-1F97-4F76-AD85-9DA52F39359E}"/>
    <cellStyle name="Comma 4 6 2 4 4 2" xfId="13663" xr:uid="{6141B9E3-6A7C-42C3-8915-7E3B8EDC5D68}"/>
    <cellStyle name="Comma 4 6 2 4 4 2 2" xfId="31007" xr:uid="{B17CD6A7-464A-4ABC-B03B-6C1D60089B30}"/>
    <cellStyle name="Comma 4 6 2 4 4 3" xfId="22335" xr:uid="{6C542EE2-9D3F-4D51-AC44-AA3CFC0CFF4E}"/>
    <cellStyle name="Comma 4 6 2 4 5" xfId="9327" xr:uid="{96182D36-3C1A-441A-85E2-28D04D0B518F}"/>
    <cellStyle name="Comma 4 6 2 4 5 2" xfId="26671" xr:uid="{7B8DB657-500A-4F72-B366-10C9E7F786D4}"/>
    <cellStyle name="Comma 4 6 2 4 6" xfId="17999" xr:uid="{C6143049-F3D2-450C-AD02-E7A6106461EC}"/>
    <cellStyle name="Comma 4 6 2 5" xfId="1198" xr:uid="{929EAA5D-5C8E-44CA-8AB9-B356FD72D4DB}"/>
    <cellStyle name="Comma 4 6 2 5 2" xfId="3366" xr:uid="{80D7DF0C-5786-422E-9C4F-577F229326D4}"/>
    <cellStyle name="Comma 4 6 2 5 2 2" xfId="7702" xr:uid="{2920D2FE-32EB-406D-B2EF-0E5ACE16A1A5}"/>
    <cellStyle name="Comma 4 6 2 5 2 2 2" xfId="16374" xr:uid="{4463962A-BFA0-4265-88AD-6D54DE8D671F}"/>
    <cellStyle name="Comma 4 6 2 5 2 2 2 2" xfId="33718" xr:uid="{CC159362-77CA-4C0D-B342-45A78B60AE6B}"/>
    <cellStyle name="Comma 4 6 2 5 2 2 3" xfId="25046" xr:uid="{E0C13113-DE16-48DF-A34A-441CBF2E568C}"/>
    <cellStyle name="Comma 4 6 2 5 2 3" xfId="12038" xr:uid="{8080C098-ADE4-40F1-A9F1-BFEC132A4214}"/>
    <cellStyle name="Comma 4 6 2 5 2 3 2" xfId="29382" xr:uid="{600764B7-B925-49D6-914B-CC3ABF5AE817}"/>
    <cellStyle name="Comma 4 6 2 5 2 4" xfId="20710" xr:uid="{5C456594-028F-4D60-B6D5-7E2A5A96E52B}"/>
    <cellStyle name="Comma 4 6 2 5 3" xfId="5534" xr:uid="{41AF0C03-15B3-4240-BDC1-4F91F8C85236}"/>
    <cellStyle name="Comma 4 6 2 5 3 2" xfId="14206" xr:uid="{93BDC0CB-BEE7-48E2-B558-1ECA99287D95}"/>
    <cellStyle name="Comma 4 6 2 5 3 2 2" xfId="31550" xr:uid="{BB324115-F2D8-47AB-BBDC-0B1C2995F3AE}"/>
    <cellStyle name="Comma 4 6 2 5 3 3" xfId="22878" xr:uid="{40A66995-9C09-436B-8923-51BCC455724A}"/>
    <cellStyle name="Comma 4 6 2 5 4" xfId="9870" xr:uid="{6DBAA783-F1D3-42C2-9255-75113ACAFE3B}"/>
    <cellStyle name="Comma 4 6 2 5 4 2" xfId="27214" xr:uid="{ED4B37CD-CA3A-430F-BFAA-190DB9EC2F7C}"/>
    <cellStyle name="Comma 4 6 2 5 5" xfId="18542" xr:uid="{491BF702-9B78-4595-A22A-64C2B77C7D31}"/>
    <cellStyle name="Comma 4 6 2 6" xfId="2282" xr:uid="{9AB0B816-30BB-4DAB-9209-00CD4AC7B8EB}"/>
    <cellStyle name="Comma 4 6 2 6 2" xfId="6618" xr:uid="{8C64CB68-C849-48FF-BBA7-5B781B488D83}"/>
    <cellStyle name="Comma 4 6 2 6 2 2" xfId="15290" xr:uid="{0587A7FB-3F9E-4297-A7AE-939A4DD3A4FC}"/>
    <cellStyle name="Comma 4 6 2 6 2 2 2" xfId="32634" xr:uid="{BD44DF3E-6336-4597-8566-B1CB303DA8FA}"/>
    <cellStyle name="Comma 4 6 2 6 2 3" xfId="23962" xr:uid="{4FE30234-B589-48BB-92D9-B6D03AB88A61}"/>
    <cellStyle name="Comma 4 6 2 6 3" xfId="10954" xr:uid="{F6CA9A43-C6F1-4DBD-A0E5-85888FF1F971}"/>
    <cellStyle name="Comma 4 6 2 6 3 2" xfId="28298" xr:uid="{BAF34705-9042-47E6-8BF6-7BF14FBB5C3C}"/>
    <cellStyle name="Comma 4 6 2 6 4" xfId="19626" xr:uid="{8AC2B1A2-7DBC-4086-8AE0-3D5C3A308C43}"/>
    <cellStyle name="Comma 4 6 2 7" xfId="4450" xr:uid="{4CF80350-F2FC-404C-BDEA-57A03642B33F}"/>
    <cellStyle name="Comma 4 6 2 7 2" xfId="13122" xr:uid="{896675AB-D3EA-41A4-90AF-03B9848B9142}"/>
    <cellStyle name="Comma 4 6 2 7 2 2" xfId="30466" xr:uid="{F7F2A614-8DE5-4365-8347-D75818599614}"/>
    <cellStyle name="Comma 4 6 2 7 3" xfId="21794" xr:uid="{996CDA31-FE84-4F61-933B-0C324924A32A}"/>
    <cellStyle name="Comma 4 6 2 8" xfId="8786" xr:uid="{490B1D8A-2FF3-4D3C-9095-CFA5F238E487}"/>
    <cellStyle name="Comma 4 6 2 8 2" xfId="26130" xr:uid="{451762F4-E4DA-418E-B7DF-9D6433A806BF}"/>
    <cellStyle name="Comma 4 6 2 9" xfId="17458" xr:uid="{59654BCC-88F8-4DEF-9783-347AF95812BD}"/>
    <cellStyle name="Comma 4 6 3" xfId="175" xr:uid="{FE8ACAA5-7A5B-4FCC-AEC1-7A3B3A900BEC}"/>
    <cellStyle name="Comma 4 6 3 2" xfId="445" xr:uid="{B6F93432-F900-4446-BEDC-085BC2555849}"/>
    <cellStyle name="Comma 4 6 3 2 2" xfId="986" xr:uid="{7040F86A-530D-476A-A3BA-34077274EC4F}"/>
    <cellStyle name="Comma 4 6 3 2 2 2" xfId="2070" xr:uid="{CF063143-7C8A-4D3D-8CFC-6C53DA84DAEE}"/>
    <cellStyle name="Comma 4 6 3 2 2 2 2" xfId="4238" xr:uid="{DA19FE04-EDF2-4C42-A017-A5B5BA02A474}"/>
    <cellStyle name="Comma 4 6 3 2 2 2 2 2" xfId="8574" xr:uid="{67A4B1E3-C99D-421B-842C-6524F12A0C71}"/>
    <cellStyle name="Comma 4 6 3 2 2 2 2 2 2" xfId="17246" xr:uid="{4278F991-C1FE-4860-B285-A43CB66D3C40}"/>
    <cellStyle name="Comma 4 6 3 2 2 2 2 2 2 2" xfId="34590" xr:uid="{9973A6E9-D6BA-4F8D-B95E-53AEF900D58A}"/>
    <cellStyle name="Comma 4 6 3 2 2 2 2 2 3" xfId="25918" xr:uid="{AF0A2FDE-A56D-4B64-B539-0706D486398B}"/>
    <cellStyle name="Comma 4 6 3 2 2 2 2 3" xfId="12910" xr:uid="{D189FBAD-0771-48B3-A3EC-F9D132F31233}"/>
    <cellStyle name="Comma 4 6 3 2 2 2 2 3 2" xfId="30254" xr:uid="{57AD6AF0-B09E-4E99-A3D3-CD331F91EC8D}"/>
    <cellStyle name="Comma 4 6 3 2 2 2 2 4" xfId="21582" xr:uid="{D3E7ACD8-DA93-4CCF-A7FE-4BF4E7E7AFF7}"/>
    <cellStyle name="Comma 4 6 3 2 2 2 3" xfId="6406" xr:uid="{C5FEC93C-3F57-40C9-9208-23FDED76C097}"/>
    <cellStyle name="Comma 4 6 3 2 2 2 3 2" xfId="15078" xr:uid="{EFD6A20B-165C-46D5-9036-6C30972655C8}"/>
    <cellStyle name="Comma 4 6 3 2 2 2 3 2 2" xfId="32422" xr:uid="{2EDD5562-21DF-4597-BE31-FAF06D9D4D05}"/>
    <cellStyle name="Comma 4 6 3 2 2 2 3 3" xfId="23750" xr:uid="{E2D459B6-CF52-416F-8F75-A298A52F6747}"/>
    <cellStyle name="Comma 4 6 3 2 2 2 4" xfId="10742" xr:uid="{AF6DDE28-26CA-4A15-BAD8-EBC3D45B1856}"/>
    <cellStyle name="Comma 4 6 3 2 2 2 4 2" xfId="28086" xr:uid="{36DF6A02-A4A5-4461-81A2-0D24C37D29A4}"/>
    <cellStyle name="Comma 4 6 3 2 2 2 5" xfId="19414" xr:uid="{6D8C3B9F-5604-4BE0-ABBE-A143CF53BB13}"/>
    <cellStyle name="Comma 4 6 3 2 2 3" xfId="3154" xr:uid="{A36098D4-A075-4B4C-864F-F68B87710B0D}"/>
    <cellStyle name="Comma 4 6 3 2 2 3 2" xfId="7490" xr:uid="{7910A8BA-2570-45B8-A01C-08AC33EE33E7}"/>
    <cellStyle name="Comma 4 6 3 2 2 3 2 2" xfId="16162" xr:uid="{3D6E33DB-9D2F-4FB0-9C40-6FF18D2A9871}"/>
    <cellStyle name="Comma 4 6 3 2 2 3 2 2 2" xfId="33506" xr:uid="{54188B8C-A967-4F4D-A587-6F94BED6E838}"/>
    <cellStyle name="Comma 4 6 3 2 2 3 2 3" xfId="24834" xr:uid="{2D5F649F-B97E-4167-9A27-80F2FE986D5B}"/>
    <cellStyle name="Comma 4 6 3 2 2 3 3" xfId="11826" xr:uid="{7DDAEB96-6B42-407B-A8F9-03F843DE434B}"/>
    <cellStyle name="Comma 4 6 3 2 2 3 3 2" xfId="29170" xr:uid="{92645649-073A-4FFD-BD74-BF6C13DDE497}"/>
    <cellStyle name="Comma 4 6 3 2 2 3 4" xfId="20498" xr:uid="{E11F8120-02B1-4FE8-B2F0-33CE5342EE1E}"/>
    <cellStyle name="Comma 4 6 3 2 2 4" xfId="5322" xr:uid="{01F835BB-F8FD-4CA3-8D09-2201A36E85F1}"/>
    <cellStyle name="Comma 4 6 3 2 2 4 2" xfId="13994" xr:uid="{219822E2-169A-4802-A8DB-7B76D1016805}"/>
    <cellStyle name="Comma 4 6 3 2 2 4 2 2" xfId="31338" xr:uid="{5AB9606B-285F-4EE3-9017-D16F68B6CC60}"/>
    <cellStyle name="Comma 4 6 3 2 2 4 3" xfId="22666" xr:uid="{C2EA12E2-E4F9-47BB-9399-61CEA86ECDFC}"/>
    <cellStyle name="Comma 4 6 3 2 2 5" xfId="9658" xr:uid="{2BD5386B-5CD1-45EC-977F-663F7A9F3601}"/>
    <cellStyle name="Comma 4 6 3 2 2 5 2" xfId="27002" xr:uid="{F0FAA66B-2D61-4A0C-9716-C897F500C981}"/>
    <cellStyle name="Comma 4 6 3 2 2 6" xfId="18330" xr:uid="{DFAEBB7C-8403-427D-9021-EF6BC2E0506D}"/>
    <cellStyle name="Comma 4 6 3 2 3" xfId="1529" xr:uid="{F70D9326-18CF-493B-B9E0-2DCA8DE78A2D}"/>
    <cellStyle name="Comma 4 6 3 2 3 2" xfId="3697" xr:uid="{5B03B228-365A-4D4E-BB8F-BCE2E9F8DFEE}"/>
    <cellStyle name="Comma 4 6 3 2 3 2 2" xfId="8033" xr:uid="{15F53519-9BCA-4A54-85A1-61B9CD373250}"/>
    <cellStyle name="Comma 4 6 3 2 3 2 2 2" xfId="16705" xr:uid="{792FB912-C6D0-4461-B22E-367F6B53C741}"/>
    <cellStyle name="Comma 4 6 3 2 3 2 2 2 2" xfId="34049" xr:uid="{2C5E0EE5-41F1-4B1E-91D7-1EB45B81DCEE}"/>
    <cellStyle name="Comma 4 6 3 2 3 2 2 3" xfId="25377" xr:uid="{E16D37DE-F2DE-44EB-8CB5-124E99802919}"/>
    <cellStyle name="Comma 4 6 3 2 3 2 3" xfId="12369" xr:uid="{2FFEC53B-6A9C-4854-832A-0974FDDBC99A}"/>
    <cellStyle name="Comma 4 6 3 2 3 2 3 2" xfId="29713" xr:uid="{4F840043-BFB6-4985-9706-3D039E850792}"/>
    <cellStyle name="Comma 4 6 3 2 3 2 4" xfId="21041" xr:uid="{62B9922E-8C86-4D79-8F1B-72ADE0550B47}"/>
    <cellStyle name="Comma 4 6 3 2 3 3" xfId="5865" xr:uid="{0730F515-8D7C-40F7-B279-3D755E3EC129}"/>
    <cellStyle name="Comma 4 6 3 2 3 3 2" xfId="14537" xr:uid="{1EEB327A-8E0C-4C02-BD98-631EE84C4EC0}"/>
    <cellStyle name="Comma 4 6 3 2 3 3 2 2" xfId="31881" xr:uid="{ADFE33F5-CB7A-4410-9070-7D8CFBEB386A}"/>
    <cellStyle name="Comma 4 6 3 2 3 3 3" xfId="23209" xr:uid="{3F679B7C-FDA1-4B7E-B709-C4CEB690C8CF}"/>
    <cellStyle name="Comma 4 6 3 2 3 4" xfId="10201" xr:uid="{F661F197-0C94-4A36-A6B2-DF4CE57C03FC}"/>
    <cellStyle name="Comma 4 6 3 2 3 4 2" xfId="27545" xr:uid="{67999472-95D8-411E-A403-492ECD6D769A}"/>
    <cellStyle name="Comma 4 6 3 2 3 5" xfId="18873" xr:uid="{4DC8A578-8F15-4468-87C8-AE05E72EDAFD}"/>
    <cellStyle name="Comma 4 6 3 2 4" xfId="2613" xr:uid="{D50547BA-08F2-4635-B2B0-E3672806508E}"/>
    <cellStyle name="Comma 4 6 3 2 4 2" xfId="6949" xr:uid="{1354F4C9-611C-4D63-8062-1B37BA5B4816}"/>
    <cellStyle name="Comma 4 6 3 2 4 2 2" xfId="15621" xr:uid="{85940D06-CAAA-45A6-85BC-6108BC89F751}"/>
    <cellStyle name="Comma 4 6 3 2 4 2 2 2" xfId="32965" xr:uid="{C9E55B52-CE40-471C-A63C-D9808EA3CA42}"/>
    <cellStyle name="Comma 4 6 3 2 4 2 3" xfId="24293" xr:uid="{E45EF1E6-4722-49BB-822E-4F637DB2E3C6}"/>
    <cellStyle name="Comma 4 6 3 2 4 3" xfId="11285" xr:uid="{4753F606-E159-4677-9B64-8DD0A9B619B4}"/>
    <cellStyle name="Comma 4 6 3 2 4 3 2" xfId="28629" xr:uid="{14FE7DEB-513C-408E-952C-51840BB3C2DE}"/>
    <cellStyle name="Comma 4 6 3 2 4 4" xfId="19957" xr:uid="{6AACB28C-AF77-44A7-88E6-C758D396E530}"/>
    <cellStyle name="Comma 4 6 3 2 5" xfId="4781" xr:uid="{1985BFDE-6B95-427A-940A-0751D92F2352}"/>
    <cellStyle name="Comma 4 6 3 2 5 2" xfId="13453" xr:uid="{C9E053A7-025B-4357-BC71-AAE4797DE840}"/>
    <cellStyle name="Comma 4 6 3 2 5 2 2" xfId="30797" xr:uid="{807CC921-3AEF-4B73-A7C0-6B2A123AC407}"/>
    <cellStyle name="Comma 4 6 3 2 5 3" xfId="22125" xr:uid="{AFBE1386-023C-45F8-BFFA-56D1CCB2C6AF}"/>
    <cellStyle name="Comma 4 6 3 2 6" xfId="9117" xr:uid="{0B90D0C1-BBC0-4B17-AFEC-DDB0A11506B7}"/>
    <cellStyle name="Comma 4 6 3 2 6 2" xfId="26461" xr:uid="{35EBD8C2-EE3A-42AC-8D6F-552525F485A2}"/>
    <cellStyle name="Comma 4 6 3 2 7" xfId="17789" xr:uid="{F2C01AFD-BC3D-4878-8F8E-609A1ACB07B0}"/>
    <cellStyle name="Comma 4 6 3 3" xfId="716" xr:uid="{FD67B7B0-DFB0-4E47-8313-A27E274488B9}"/>
    <cellStyle name="Comma 4 6 3 3 2" xfId="1800" xr:uid="{B5D3462C-D78C-443A-ACA4-988F5D65978A}"/>
    <cellStyle name="Comma 4 6 3 3 2 2" xfId="3968" xr:uid="{AD5331E8-8E47-4B56-9495-331320B0ABEA}"/>
    <cellStyle name="Comma 4 6 3 3 2 2 2" xfId="8304" xr:uid="{58B780D6-80AD-4765-A0B8-C209D8119E55}"/>
    <cellStyle name="Comma 4 6 3 3 2 2 2 2" xfId="16976" xr:uid="{E11A9358-3386-46AA-91CD-28CF9BD340CD}"/>
    <cellStyle name="Comma 4 6 3 3 2 2 2 2 2" xfId="34320" xr:uid="{E7278F3B-A87A-4B39-AFEB-5B9FB8CB5B22}"/>
    <cellStyle name="Comma 4 6 3 3 2 2 2 3" xfId="25648" xr:uid="{E6851A6A-0187-42FB-A50D-4CC2B568AFF5}"/>
    <cellStyle name="Comma 4 6 3 3 2 2 3" xfId="12640" xr:uid="{DA709321-B9E1-41CA-9633-F4A7E43E66DE}"/>
    <cellStyle name="Comma 4 6 3 3 2 2 3 2" xfId="29984" xr:uid="{62A2033F-45E9-4F29-ADD4-CAD59500E30A}"/>
    <cellStyle name="Comma 4 6 3 3 2 2 4" xfId="21312" xr:uid="{CB35689C-EA57-49EA-A43D-BC749BDF56CA}"/>
    <cellStyle name="Comma 4 6 3 3 2 3" xfId="6136" xr:uid="{7F3A60C7-9D8D-42C1-BEB4-5B1845DCAC29}"/>
    <cellStyle name="Comma 4 6 3 3 2 3 2" xfId="14808" xr:uid="{BE6DBB5B-03AB-4C7C-BAC9-C4420322BB5E}"/>
    <cellStyle name="Comma 4 6 3 3 2 3 2 2" xfId="32152" xr:uid="{E93DD037-3DA6-421C-9860-6FD62072547C}"/>
    <cellStyle name="Comma 4 6 3 3 2 3 3" xfId="23480" xr:uid="{8770AEF5-6288-48DA-B5D9-CDB33B32118F}"/>
    <cellStyle name="Comma 4 6 3 3 2 4" xfId="10472" xr:uid="{CEA28614-7EB9-40EF-BAAB-9EB289B836EC}"/>
    <cellStyle name="Comma 4 6 3 3 2 4 2" xfId="27816" xr:uid="{CB073101-F841-476C-84EC-AC841E4BE2FA}"/>
    <cellStyle name="Comma 4 6 3 3 2 5" xfId="19144" xr:uid="{2953CB0B-8809-4C9C-80C2-3C9F7945368B}"/>
    <cellStyle name="Comma 4 6 3 3 3" xfId="2884" xr:uid="{10E8A8FD-673B-47ED-AC9F-3E67FD2DB56F}"/>
    <cellStyle name="Comma 4 6 3 3 3 2" xfId="7220" xr:uid="{02B60CFA-C637-44ED-B214-884884E6EF2F}"/>
    <cellStyle name="Comma 4 6 3 3 3 2 2" xfId="15892" xr:uid="{7BFDFB66-EA81-476D-A920-43B2C8D2217B}"/>
    <cellStyle name="Comma 4 6 3 3 3 2 2 2" xfId="33236" xr:uid="{24AEFE6D-896C-4509-9289-BAA02AACA858}"/>
    <cellStyle name="Comma 4 6 3 3 3 2 3" xfId="24564" xr:uid="{C3B6C67D-87C0-4373-9164-9B9D2711DE74}"/>
    <cellStyle name="Comma 4 6 3 3 3 3" xfId="11556" xr:uid="{824F02A4-1703-4F6F-9BC0-C26E47283CE2}"/>
    <cellStyle name="Comma 4 6 3 3 3 3 2" xfId="28900" xr:uid="{5B47CAC2-3665-4376-8AE8-8A77170806DB}"/>
    <cellStyle name="Comma 4 6 3 3 3 4" xfId="20228" xr:uid="{BE0531D8-9AB5-4B0F-B74F-708FDE2D05A3}"/>
    <cellStyle name="Comma 4 6 3 3 4" xfId="5052" xr:uid="{41C517B2-B4B9-4A36-8553-F9173C2F07EA}"/>
    <cellStyle name="Comma 4 6 3 3 4 2" xfId="13724" xr:uid="{58BCAAE4-703F-4EFB-960D-046AF5BD02DA}"/>
    <cellStyle name="Comma 4 6 3 3 4 2 2" xfId="31068" xr:uid="{800052FF-5F3E-44B1-89B7-97E9BF5E16E0}"/>
    <cellStyle name="Comma 4 6 3 3 4 3" xfId="22396" xr:uid="{7E683335-4B23-44F3-A75C-26FE13175E0C}"/>
    <cellStyle name="Comma 4 6 3 3 5" xfId="9388" xr:uid="{2155789E-05B6-4493-850D-F57EDCB8413E}"/>
    <cellStyle name="Comma 4 6 3 3 5 2" xfId="26732" xr:uid="{B0F6A76E-E6B0-4063-A5CB-71C490E7FF50}"/>
    <cellStyle name="Comma 4 6 3 3 6" xfId="18060" xr:uid="{E90A5609-F96E-48CE-9FC0-3222763A6962}"/>
    <cellStyle name="Comma 4 6 3 4" xfId="1259" xr:uid="{12A5C3C1-60BE-41FA-812C-31506D9893EF}"/>
    <cellStyle name="Comma 4 6 3 4 2" xfId="3427" xr:uid="{2AE71D76-CCFA-43E5-9F2B-9447DCCA68F4}"/>
    <cellStyle name="Comma 4 6 3 4 2 2" xfId="7763" xr:uid="{A0AEA2E6-AF7B-4D08-B45E-63377167CB66}"/>
    <cellStyle name="Comma 4 6 3 4 2 2 2" xfId="16435" xr:uid="{C5B5618E-0E17-44C9-9F8C-F4785CDC079D}"/>
    <cellStyle name="Comma 4 6 3 4 2 2 2 2" xfId="33779" xr:uid="{7C6BB9A4-C44B-4A18-A7BE-C1BDED7495AE}"/>
    <cellStyle name="Comma 4 6 3 4 2 2 3" xfId="25107" xr:uid="{01CF281B-29C6-41D9-9A4B-56C281254446}"/>
    <cellStyle name="Comma 4 6 3 4 2 3" xfId="12099" xr:uid="{BDB0A1F9-68BE-444D-9968-359F566F6AC1}"/>
    <cellStyle name="Comma 4 6 3 4 2 3 2" xfId="29443" xr:uid="{D8933210-AA5A-465A-80A7-E231FA362769}"/>
    <cellStyle name="Comma 4 6 3 4 2 4" xfId="20771" xr:uid="{962707BE-920E-4CD6-AB4E-53AD922AAD55}"/>
    <cellStyle name="Comma 4 6 3 4 3" xfId="5595" xr:uid="{3A6D7E7B-A3C6-4010-A870-09B1D225E792}"/>
    <cellStyle name="Comma 4 6 3 4 3 2" xfId="14267" xr:uid="{4331D723-DA56-486F-8178-6D8094779BF5}"/>
    <cellStyle name="Comma 4 6 3 4 3 2 2" xfId="31611" xr:uid="{833A2112-FDE0-4BA0-A36C-73E2E75720A1}"/>
    <cellStyle name="Comma 4 6 3 4 3 3" xfId="22939" xr:uid="{C1F5BF4B-332F-49F2-8B9D-999E0CFCD246}"/>
    <cellStyle name="Comma 4 6 3 4 4" xfId="9931" xr:uid="{3836A41D-FD31-4568-9943-5FDD3090A765}"/>
    <cellStyle name="Comma 4 6 3 4 4 2" xfId="27275" xr:uid="{8A51F6F7-3A5E-4AEA-A490-D2AFFE7EE0A4}"/>
    <cellStyle name="Comma 4 6 3 4 5" xfId="18603" xr:uid="{5B69E461-ABBF-4984-BE7C-DED2A4EB3C56}"/>
    <cellStyle name="Comma 4 6 3 5" xfId="2343" xr:uid="{A625720C-7F6D-4801-AB35-A5E664E56B25}"/>
    <cellStyle name="Comma 4 6 3 5 2" xfId="6679" xr:uid="{60590890-CEB1-45C9-8256-27CA196A5D72}"/>
    <cellStyle name="Comma 4 6 3 5 2 2" xfId="15351" xr:uid="{2E997240-4F3F-4542-92E4-9B2111B73906}"/>
    <cellStyle name="Comma 4 6 3 5 2 2 2" xfId="32695" xr:uid="{39A03972-5E0E-4129-89E4-21791094AA05}"/>
    <cellStyle name="Comma 4 6 3 5 2 3" xfId="24023" xr:uid="{2FFA8DDF-4804-460B-92C1-7CBD4A6AEBD0}"/>
    <cellStyle name="Comma 4 6 3 5 3" xfId="11015" xr:uid="{A21EFC64-0C9D-4B9F-9BA5-31C8916DD2BE}"/>
    <cellStyle name="Comma 4 6 3 5 3 2" xfId="28359" xr:uid="{D3659BC1-4D78-4C63-A47C-754218F55682}"/>
    <cellStyle name="Comma 4 6 3 5 4" xfId="19687" xr:uid="{BCA0A526-F37B-4F0E-8BA7-517CFB26A8EC}"/>
    <cellStyle name="Comma 4 6 3 6" xfId="4511" xr:uid="{EC584C85-0061-4E45-B440-A7990B1F201E}"/>
    <cellStyle name="Comma 4 6 3 6 2" xfId="13183" xr:uid="{0F90BB05-FA8A-48A2-843F-6586E8BCF279}"/>
    <cellStyle name="Comma 4 6 3 6 2 2" xfId="30527" xr:uid="{E8628A3C-442C-450E-B949-D86FDA6DC02A}"/>
    <cellStyle name="Comma 4 6 3 6 3" xfId="21855" xr:uid="{A69F43E4-7FC1-4D31-81DA-8ABAFFE8AD73}"/>
    <cellStyle name="Comma 4 6 3 7" xfId="8847" xr:uid="{FC1F8650-53E0-4279-837E-B97F0C12221F}"/>
    <cellStyle name="Comma 4 6 3 7 2" xfId="26191" xr:uid="{DAAA53F2-83ED-4162-8791-A7A3DF5AEE7C}"/>
    <cellStyle name="Comma 4 6 3 8" xfId="17519" xr:uid="{C1C455EB-E225-40A9-8A89-3CD9439841F1}"/>
    <cellStyle name="Comma 4 6 4" xfId="323" xr:uid="{7C6E9364-905D-4C3D-8306-D2724DDD12F1}"/>
    <cellStyle name="Comma 4 6 4 2" xfId="864" xr:uid="{183ECEBF-4027-482D-AE0C-076C2A441CF1}"/>
    <cellStyle name="Comma 4 6 4 2 2" xfId="1948" xr:uid="{7F37A938-14A2-4363-B9AF-6F3785F8410B}"/>
    <cellStyle name="Comma 4 6 4 2 2 2" xfId="4116" xr:uid="{9A17CEB6-8A03-471A-A1F1-D87644D70324}"/>
    <cellStyle name="Comma 4 6 4 2 2 2 2" xfId="8452" xr:uid="{426EF0EA-6406-44F6-9A54-FADB326CF8BE}"/>
    <cellStyle name="Comma 4 6 4 2 2 2 2 2" xfId="17124" xr:uid="{75069B7E-32A8-4AB1-AD30-8D3B5EEA37B4}"/>
    <cellStyle name="Comma 4 6 4 2 2 2 2 2 2" xfId="34468" xr:uid="{243D700F-85E9-4AE6-BAC4-85F6993BBC36}"/>
    <cellStyle name="Comma 4 6 4 2 2 2 2 3" xfId="25796" xr:uid="{EB24294E-2474-4C14-AE50-43B1B748FDB0}"/>
    <cellStyle name="Comma 4 6 4 2 2 2 3" xfId="12788" xr:uid="{C3B0516A-B8EB-4E76-B236-3F409BC988D6}"/>
    <cellStyle name="Comma 4 6 4 2 2 2 3 2" xfId="30132" xr:uid="{E7434EA6-7385-46C1-8676-A9EDFBD4136C}"/>
    <cellStyle name="Comma 4 6 4 2 2 2 4" xfId="21460" xr:uid="{FD33DE32-6FDA-49EB-968C-D269E67C6737}"/>
    <cellStyle name="Comma 4 6 4 2 2 3" xfId="6284" xr:uid="{D335380D-E4E1-429D-A34B-C3CE1D9EF9F4}"/>
    <cellStyle name="Comma 4 6 4 2 2 3 2" xfId="14956" xr:uid="{12CF4F93-17C8-4832-8661-E01BA521B65E}"/>
    <cellStyle name="Comma 4 6 4 2 2 3 2 2" xfId="32300" xr:uid="{C28AB529-B37E-4E73-A887-63BA4FA33480}"/>
    <cellStyle name="Comma 4 6 4 2 2 3 3" xfId="23628" xr:uid="{643A0C60-6B74-40BD-BEE9-4A3D87D51194}"/>
    <cellStyle name="Comma 4 6 4 2 2 4" xfId="10620" xr:uid="{5CD558AA-4FDA-4CD5-91BD-2127428B9962}"/>
    <cellStyle name="Comma 4 6 4 2 2 4 2" xfId="27964" xr:uid="{E8A6A0CA-AC5A-4F40-9881-C04CE0C0A72F}"/>
    <cellStyle name="Comma 4 6 4 2 2 5" xfId="19292" xr:uid="{6498C5EC-B76A-48ED-8F21-ACC971CABFE4}"/>
    <cellStyle name="Comma 4 6 4 2 3" xfId="3032" xr:uid="{3C70764F-849B-4462-8DC9-3FD20344904F}"/>
    <cellStyle name="Comma 4 6 4 2 3 2" xfId="7368" xr:uid="{68FA70C3-0521-4477-A8FE-AD65F84C7D2A}"/>
    <cellStyle name="Comma 4 6 4 2 3 2 2" xfId="16040" xr:uid="{5FF205FB-6980-4E77-932A-D93322C45772}"/>
    <cellStyle name="Comma 4 6 4 2 3 2 2 2" xfId="33384" xr:uid="{340AFAEC-B02B-4870-8810-AA7F3A917E56}"/>
    <cellStyle name="Comma 4 6 4 2 3 2 3" xfId="24712" xr:uid="{139E98C7-0B66-40AA-86F6-20C57032E97A}"/>
    <cellStyle name="Comma 4 6 4 2 3 3" xfId="11704" xr:uid="{42D64E7B-95B9-4E49-AA4E-898C157C787F}"/>
    <cellStyle name="Comma 4 6 4 2 3 3 2" xfId="29048" xr:uid="{FA14ECE4-CBE9-4403-841D-9735A9AC46BB}"/>
    <cellStyle name="Comma 4 6 4 2 3 4" xfId="20376" xr:uid="{BF640D87-7203-4B09-9E4C-4928775F167D}"/>
    <cellStyle name="Comma 4 6 4 2 4" xfId="5200" xr:uid="{5BFCB20C-79BB-4B54-8DE0-4F30150E4F64}"/>
    <cellStyle name="Comma 4 6 4 2 4 2" xfId="13872" xr:uid="{6E44CA89-726D-48D7-A057-1525205F017A}"/>
    <cellStyle name="Comma 4 6 4 2 4 2 2" xfId="31216" xr:uid="{8FD9DBE0-5F09-48A7-8A86-223217D6B420}"/>
    <cellStyle name="Comma 4 6 4 2 4 3" xfId="22544" xr:uid="{CE3660EA-9BFA-4AA5-BCEE-97F4378C11C4}"/>
    <cellStyle name="Comma 4 6 4 2 5" xfId="9536" xr:uid="{F0DFA515-ED49-4545-B0C4-D0000DD52EBB}"/>
    <cellStyle name="Comma 4 6 4 2 5 2" xfId="26880" xr:uid="{9726741F-9357-4DAA-AC40-25872EFA0F90}"/>
    <cellStyle name="Comma 4 6 4 2 6" xfId="18208" xr:uid="{B83437F2-998F-4633-8F97-9FAE0D80D7A5}"/>
    <cellStyle name="Comma 4 6 4 3" xfId="1407" xr:uid="{A3440DC1-750B-411A-B556-0254B05AD672}"/>
    <cellStyle name="Comma 4 6 4 3 2" xfId="3575" xr:uid="{682172F0-2AAE-4277-AB43-8F0BAC392762}"/>
    <cellStyle name="Comma 4 6 4 3 2 2" xfId="7911" xr:uid="{796F1937-9D85-40DA-8EAE-F82E9A9446FC}"/>
    <cellStyle name="Comma 4 6 4 3 2 2 2" xfId="16583" xr:uid="{D3043362-6B36-44B6-B470-F7D6561C8D9A}"/>
    <cellStyle name="Comma 4 6 4 3 2 2 2 2" xfId="33927" xr:uid="{C4948794-2607-4165-A563-0D2FC2054DDF}"/>
    <cellStyle name="Comma 4 6 4 3 2 2 3" xfId="25255" xr:uid="{E1422F63-C196-459D-A7CF-F1E557B3ACE4}"/>
    <cellStyle name="Comma 4 6 4 3 2 3" xfId="12247" xr:uid="{714874F2-BC4B-48E7-BE46-36C2851CAD1A}"/>
    <cellStyle name="Comma 4 6 4 3 2 3 2" xfId="29591" xr:uid="{2A485A8C-29D2-42D0-A2FD-50804EEA5C03}"/>
    <cellStyle name="Comma 4 6 4 3 2 4" xfId="20919" xr:uid="{1ACC0737-8035-4866-8F1F-9925EC0FEA4D}"/>
    <cellStyle name="Comma 4 6 4 3 3" xfId="5743" xr:uid="{46D3B6C0-598A-4D09-B96A-8CDAF0FF8DFB}"/>
    <cellStyle name="Comma 4 6 4 3 3 2" xfId="14415" xr:uid="{685DDEAF-13D7-410B-A616-E9786EE874AA}"/>
    <cellStyle name="Comma 4 6 4 3 3 2 2" xfId="31759" xr:uid="{1CC762CB-EDEF-485F-A015-1BF86014C0AC}"/>
    <cellStyle name="Comma 4 6 4 3 3 3" xfId="23087" xr:uid="{E9F2CF74-83FD-4C61-8830-17F24A7DB5D6}"/>
    <cellStyle name="Comma 4 6 4 3 4" xfId="10079" xr:uid="{156945A9-8BB1-4AC7-9DA4-94B6C3616B8E}"/>
    <cellStyle name="Comma 4 6 4 3 4 2" xfId="27423" xr:uid="{B8E62058-9BAA-4BDC-8B15-D9B51699D8CD}"/>
    <cellStyle name="Comma 4 6 4 3 5" xfId="18751" xr:uid="{7752DB1A-09EA-4AE6-A698-F7AF7C214631}"/>
    <cellStyle name="Comma 4 6 4 4" xfId="2491" xr:uid="{ABBBC89D-3F15-41D6-A5E7-9E3B4BA7E2C2}"/>
    <cellStyle name="Comma 4 6 4 4 2" xfId="6827" xr:uid="{71D1583B-E3EB-43DC-AD27-B69D19E28267}"/>
    <cellStyle name="Comma 4 6 4 4 2 2" xfId="15499" xr:uid="{41CE3FEB-32F5-4BC5-8EC4-792265215E57}"/>
    <cellStyle name="Comma 4 6 4 4 2 2 2" xfId="32843" xr:uid="{E338FA4C-6F1E-4FD9-BDD6-4D6181980FDF}"/>
    <cellStyle name="Comma 4 6 4 4 2 3" xfId="24171" xr:uid="{A95E11B3-4A27-410F-8425-C916010BEC53}"/>
    <cellStyle name="Comma 4 6 4 4 3" xfId="11163" xr:uid="{35F952D3-0C29-4F7B-B608-9CE0587182E4}"/>
    <cellStyle name="Comma 4 6 4 4 3 2" xfId="28507" xr:uid="{42029715-7C12-4A7E-A099-B92B9BBE0797}"/>
    <cellStyle name="Comma 4 6 4 4 4" xfId="19835" xr:uid="{A76E6636-E074-4988-A526-274E5E9E15A7}"/>
    <cellStyle name="Comma 4 6 4 5" xfId="4659" xr:uid="{91746314-E258-4A50-84B0-693C4B49BF0C}"/>
    <cellStyle name="Comma 4 6 4 5 2" xfId="13331" xr:uid="{8EEB7D43-3EF8-4164-BD54-69092E4AD521}"/>
    <cellStyle name="Comma 4 6 4 5 2 2" xfId="30675" xr:uid="{F00833EB-EB53-4D42-B9C8-814064124C1F}"/>
    <cellStyle name="Comma 4 6 4 5 3" xfId="22003" xr:uid="{7C9FC218-630F-40FB-BA21-5EFB21FB3501}"/>
    <cellStyle name="Comma 4 6 4 6" xfId="8995" xr:uid="{034A14B6-9AFC-4BBD-AB93-B8FE25FE911F}"/>
    <cellStyle name="Comma 4 6 4 6 2" xfId="26339" xr:uid="{9774C094-CEE2-4939-83D4-5ED8E19FBD4F}"/>
    <cellStyle name="Comma 4 6 4 7" xfId="17667" xr:uid="{739C7CAF-B382-43C6-874A-FF3ADB4E8AE1}"/>
    <cellStyle name="Comma 4 6 5" xfId="594" xr:uid="{567863CE-FD54-49CB-A6D2-DA611FBE5ACD}"/>
    <cellStyle name="Comma 4 6 5 2" xfId="1678" xr:uid="{B2D6ECEA-AA54-4297-96DC-8430B041A03D}"/>
    <cellStyle name="Comma 4 6 5 2 2" xfId="3846" xr:uid="{B8CE78A7-E91F-48BC-A603-8604F0146629}"/>
    <cellStyle name="Comma 4 6 5 2 2 2" xfId="8182" xr:uid="{B432AEBD-014E-4407-9C2C-662910B3C833}"/>
    <cellStyle name="Comma 4 6 5 2 2 2 2" xfId="16854" xr:uid="{436A867E-9083-4D15-9B3F-83214425895B}"/>
    <cellStyle name="Comma 4 6 5 2 2 2 2 2" xfId="34198" xr:uid="{1D6FD70B-8530-4659-8E0A-DC2AE14BA4F1}"/>
    <cellStyle name="Comma 4 6 5 2 2 2 3" xfId="25526" xr:uid="{1DE78A12-C1A9-4667-9F97-CEB4B4DD21C0}"/>
    <cellStyle name="Comma 4 6 5 2 2 3" xfId="12518" xr:uid="{8DC71601-E699-47D2-A70F-F8F16F1B52E9}"/>
    <cellStyle name="Comma 4 6 5 2 2 3 2" xfId="29862" xr:uid="{AA735916-1F89-4423-982D-2AB5DA63824F}"/>
    <cellStyle name="Comma 4 6 5 2 2 4" xfId="21190" xr:uid="{A4E768F8-1C8A-46C7-892B-D07646830D67}"/>
    <cellStyle name="Comma 4 6 5 2 3" xfId="6014" xr:uid="{2E83C4D1-ED60-41CD-9B65-C939CF6ED0DD}"/>
    <cellStyle name="Comma 4 6 5 2 3 2" xfId="14686" xr:uid="{967C5ECA-8FE4-429A-BD3F-CE0B728116B2}"/>
    <cellStyle name="Comma 4 6 5 2 3 2 2" xfId="32030" xr:uid="{FF89C604-F673-446B-BF8B-84BF0DBA2ECA}"/>
    <cellStyle name="Comma 4 6 5 2 3 3" xfId="23358" xr:uid="{7F72203A-064A-413F-AA50-C3D1C51CAC6F}"/>
    <cellStyle name="Comma 4 6 5 2 4" xfId="10350" xr:uid="{B5B54AC5-305C-44C8-8CFB-4F45E55EEFDD}"/>
    <cellStyle name="Comma 4 6 5 2 4 2" xfId="27694" xr:uid="{2E56A03A-5E4D-46E0-8D82-9F2E98720AC8}"/>
    <cellStyle name="Comma 4 6 5 2 5" xfId="19022" xr:uid="{A71E38B8-2CDA-43D0-877E-D7922206E827}"/>
    <cellStyle name="Comma 4 6 5 3" xfId="2762" xr:uid="{EB566569-4797-48C7-B75A-2970AE153A4A}"/>
    <cellStyle name="Comma 4 6 5 3 2" xfId="7098" xr:uid="{DBFDAFE6-C1A7-419E-86CE-BE7A81183E10}"/>
    <cellStyle name="Comma 4 6 5 3 2 2" xfId="15770" xr:uid="{A0B7C6DE-EB14-4B17-BDDA-20B90A974A83}"/>
    <cellStyle name="Comma 4 6 5 3 2 2 2" xfId="33114" xr:uid="{A71DC93C-4462-4408-B740-642CE28F4554}"/>
    <cellStyle name="Comma 4 6 5 3 2 3" xfId="24442" xr:uid="{A485EF0C-74D8-4FB1-A5B0-887F5C654525}"/>
    <cellStyle name="Comma 4 6 5 3 3" xfId="11434" xr:uid="{E5D73A3A-7030-4822-8C2D-4E3176EECDB2}"/>
    <cellStyle name="Comma 4 6 5 3 3 2" xfId="28778" xr:uid="{D3134A1B-AEDD-42CC-B420-C6EFE1EFCDF2}"/>
    <cellStyle name="Comma 4 6 5 3 4" xfId="20106" xr:uid="{50521E04-F5C2-443C-AC44-D6863040BE05}"/>
    <cellStyle name="Comma 4 6 5 4" xfId="4930" xr:uid="{0A0A6094-1153-4D2D-911B-F3A6DA8AF3A1}"/>
    <cellStyle name="Comma 4 6 5 4 2" xfId="13602" xr:uid="{F16E1078-CACC-475A-BF60-7B0ECB4A9CC5}"/>
    <cellStyle name="Comma 4 6 5 4 2 2" xfId="30946" xr:uid="{D47B9A3B-8288-48D3-8A68-856F33080246}"/>
    <cellStyle name="Comma 4 6 5 4 3" xfId="22274" xr:uid="{F76C0D5E-5A0A-4BB8-9F0F-4E34584F656B}"/>
    <cellStyle name="Comma 4 6 5 5" xfId="9266" xr:uid="{AF2322F9-111F-4EEA-9E48-C740FB7305FC}"/>
    <cellStyle name="Comma 4 6 5 5 2" xfId="26610" xr:uid="{82CA4566-9355-46CC-82FD-336EE1A6FD6F}"/>
    <cellStyle name="Comma 4 6 5 6" xfId="17938" xr:uid="{8E7FB8E8-6724-4AA5-915C-B9B65F8A6982}"/>
    <cellStyle name="Comma 4 6 6" xfId="1137" xr:uid="{21419457-E622-4CD5-8159-DA03373C5420}"/>
    <cellStyle name="Comma 4 6 6 2" xfId="3305" xr:uid="{03ADD919-AC5C-41A5-9012-3A2F9144B608}"/>
    <cellStyle name="Comma 4 6 6 2 2" xfId="7641" xr:uid="{F21D40A9-0405-4B1B-92B5-9DCB5FA0839C}"/>
    <cellStyle name="Comma 4 6 6 2 2 2" xfId="16313" xr:uid="{DF3DFBB7-4A51-47C5-90DC-34C807657900}"/>
    <cellStyle name="Comma 4 6 6 2 2 2 2" xfId="33657" xr:uid="{A1C8B7F3-8B8A-4B3E-88F7-D54CA71FD8D3}"/>
    <cellStyle name="Comma 4 6 6 2 2 3" xfId="24985" xr:uid="{76330AED-3EBA-4927-A1FD-255B74F69AA6}"/>
    <cellStyle name="Comma 4 6 6 2 3" xfId="11977" xr:uid="{6A6A6E70-ADCC-48A2-A9A3-1056539020EA}"/>
    <cellStyle name="Comma 4 6 6 2 3 2" xfId="29321" xr:uid="{FFD98932-EBC8-4A58-ABF6-94D4B487F11A}"/>
    <cellStyle name="Comma 4 6 6 2 4" xfId="20649" xr:uid="{11DB056D-263F-4E71-A623-F47E99BE130A}"/>
    <cellStyle name="Comma 4 6 6 3" xfId="5473" xr:uid="{CB808F89-AF9B-4528-A051-4D66E563E538}"/>
    <cellStyle name="Comma 4 6 6 3 2" xfId="14145" xr:uid="{26B6F9B7-818D-4056-B225-1FF76FE89ACE}"/>
    <cellStyle name="Comma 4 6 6 3 2 2" xfId="31489" xr:uid="{2CD83DAD-0205-42E9-B299-D9A9BD6A4DF8}"/>
    <cellStyle name="Comma 4 6 6 3 3" xfId="22817" xr:uid="{5B352321-CDAE-4625-8BD6-27C27F110472}"/>
    <cellStyle name="Comma 4 6 6 4" xfId="9809" xr:uid="{80DD995D-F161-4612-82DC-4E723A60F330}"/>
    <cellStyle name="Comma 4 6 6 4 2" xfId="27153" xr:uid="{FE72C8B1-E5DC-4EC5-A158-94E87FE23ED8}"/>
    <cellStyle name="Comma 4 6 6 5" xfId="18481" xr:uid="{43DE6B74-585A-42F7-9A76-06886A7E1C11}"/>
    <cellStyle name="Comma 4 6 7" xfId="2221" xr:uid="{7307B24A-4457-4144-95D1-869D58F0B736}"/>
    <cellStyle name="Comma 4 6 7 2" xfId="6557" xr:uid="{76A2BF9A-9838-4846-849C-69815CEBD58F}"/>
    <cellStyle name="Comma 4 6 7 2 2" xfId="15229" xr:uid="{E1209E0D-7C8A-4AD3-8C0D-799C5E4CA678}"/>
    <cellStyle name="Comma 4 6 7 2 2 2" xfId="32573" xr:uid="{B7CD085A-A956-4B93-A992-A9DAC7455EA4}"/>
    <cellStyle name="Comma 4 6 7 2 3" xfId="23901" xr:uid="{EFE04064-DE47-46F2-886C-50CD358FAFDC}"/>
    <cellStyle name="Comma 4 6 7 3" xfId="10893" xr:uid="{2AD7CC04-9E73-487A-B986-53FA72F4AF80}"/>
    <cellStyle name="Comma 4 6 7 3 2" xfId="28237" xr:uid="{6BC6AE5B-ADD1-4138-A51E-450C8D2529C7}"/>
    <cellStyle name="Comma 4 6 7 4" xfId="19565" xr:uid="{DF6D4CBB-9F94-4058-B5F1-63FE389561F5}"/>
    <cellStyle name="Comma 4 6 8" xfId="4389" xr:uid="{111ED99E-D47D-4D9A-A9DE-FEE9D73D3F96}"/>
    <cellStyle name="Comma 4 6 8 2" xfId="13061" xr:uid="{8DB7D840-6CAB-405A-BA8E-19DE791FFC48}"/>
    <cellStyle name="Comma 4 6 8 2 2" xfId="30405" xr:uid="{0D0BDEEC-AA52-49A0-847D-D5693A042E9E}"/>
    <cellStyle name="Comma 4 6 8 3" xfId="21733" xr:uid="{12286D13-BCD4-4044-8FDF-F0F8F87FD4EF}"/>
    <cellStyle name="Comma 4 6 9" xfId="8725" xr:uid="{F660C5DB-F6DA-4289-9EF6-B7630C1C3D1F}"/>
    <cellStyle name="Comma 4 6 9 2" xfId="26069" xr:uid="{D8A72028-0102-4EC0-8F85-4847148C5D15}"/>
    <cellStyle name="Comma 4 7" xfId="66" xr:uid="{687729C6-9927-4099-9EB4-C229DA3480B3}"/>
    <cellStyle name="Comma 4 7 2" xfId="188" xr:uid="{2FD77780-A055-4D93-871F-0068FB78EE13}"/>
    <cellStyle name="Comma 4 7 2 2" xfId="458" xr:uid="{A3439663-6FF8-48A7-BE8E-1CDACCA1774E}"/>
    <cellStyle name="Comma 4 7 2 2 2" xfId="999" xr:uid="{2E126204-0958-4D80-8F68-5DCCDC675452}"/>
    <cellStyle name="Comma 4 7 2 2 2 2" xfId="2083" xr:uid="{CCE40B83-3C03-4AB3-B205-5DD33E0547FB}"/>
    <cellStyle name="Comma 4 7 2 2 2 2 2" xfId="4251" xr:uid="{F21E02FE-F03A-4CAB-8CC6-E806AA162D9D}"/>
    <cellStyle name="Comma 4 7 2 2 2 2 2 2" xfId="8587" xr:uid="{A8C8EDAB-AD13-4FB5-8B39-8D16BF16759A}"/>
    <cellStyle name="Comma 4 7 2 2 2 2 2 2 2" xfId="17259" xr:uid="{C0724E05-8D17-449B-94D2-DDB43136984F}"/>
    <cellStyle name="Comma 4 7 2 2 2 2 2 2 2 2" xfId="34603" xr:uid="{E660A1D0-465C-492C-82F4-D67D1C742A59}"/>
    <cellStyle name="Comma 4 7 2 2 2 2 2 2 3" xfId="25931" xr:uid="{9DEBC43C-B752-405A-A2F2-240650D9BA0B}"/>
    <cellStyle name="Comma 4 7 2 2 2 2 2 3" xfId="12923" xr:uid="{A044478D-8BC9-4463-94C4-119A93EC2156}"/>
    <cellStyle name="Comma 4 7 2 2 2 2 2 3 2" xfId="30267" xr:uid="{3E68F9FD-00D7-48DA-BFAD-5CE99D3367DA}"/>
    <cellStyle name="Comma 4 7 2 2 2 2 2 4" xfId="21595" xr:uid="{B2FFBD68-698E-49E2-A178-44A33FF7C466}"/>
    <cellStyle name="Comma 4 7 2 2 2 2 3" xfId="6419" xr:uid="{1E541B1F-F8AE-4AAE-9215-770C70EAF883}"/>
    <cellStyle name="Comma 4 7 2 2 2 2 3 2" xfId="15091" xr:uid="{9E65F349-2A2A-4325-BBB9-7948B631F170}"/>
    <cellStyle name="Comma 4 7 2 2 2 2 3 2 2" xfId="32435" xr:uid="{85ECD3DA-F987-41E0-AD45-2277CE266A76}"/>
    <cellStyle name="Comma 4 7 2 2 2 2 3 3" xfId="23763" xr:uid="{FA3EB80F-CEB4-425B-BC16-B45D5D4FE4DD}"/>
    <cellStyle name="Comma 4 7 2 2 2 2 4" xfId="10755" xr:uid="{80D5709D-9B1B-4AF3-B1F8-72A53CF14DE5}"/>
    <cellStyle name="Comma 4 7 2 2 2 2 4 2" xfId="28099" xr:uid="{42A0ADBB-D8D7-4F2F-94C6-5E75F7F059BA}"/>
    <cellStyle name="Comma 4 7 2 2 2 2 5" xfId="19427" xr:uid="{6C9BA039-9292-4DD2-881D-D29882B90C27}"/>
    <cellStyle name="Comma 4 7 2 2 2 3" xfId="3167" xr:uid="{F4C61667-8E27-4CA7-9CF4-BC7F60DF872E}"/>
    <cellStyle name="Comma 4 7 2 2 2 3 2" xfId="7503" xr:uid="{8287B599-2778-43EA-920C-43304B34ABB0}"/>
    <cellStyle name="Comma 4 7 2 2 2 3 2 2" xfId="16175" xr:uid="{02465559-B64F-49B3-8997-C889A1D17930}"/>
    <cellStyle name="Comma 4 7 2 2 2 3 2 2 2" xfId="33519" xr:uid="{0701523B-FD75-45FF-A485-9FAC2098E294}"/>
    <cellStyle name="Comma 4 7 2 2 2 3 2 3" xfId="24847" xr:uid="{127DC711-5B33-4EF5-81F5-8FD0AB687E7E}"/>
    <cellStyle name="Comma 4 7 2 2 2 3 3" xfId="11839" xr:uid="{FB931F32-B6C7-4BFC-9294-C4BEB2018791}"/>
    <cellStyle name="Comma 4 7 2 2 2 3 3 2" xfId="29183" xr:uid="{DCDF15FC-5346-403F-BC2C-61FE4EB83F67}"/>
    <cellStyle name="Comma 4 7 2 2 2 3 4" xfId="20511" xr:uid="{9B06BD90-A3B5-42FC-B404-CCE6B813D34E}"/>
    <cellStyle name="Comma 4 7 2 2 2 4" xfId="5335" xr:uid="{48C33601-DC45-4F61-914A-B63D0082EA86}"/>
    <cellStyle name="Comma 4 7 2 2 2 4 2" xfId="14007" xr:uid="{A90216E8-D4EB-4154-9BFE-F133620892D4}"/>
    <cellStyle name="Comma 4 7 2 2 2 4 2 2" xfId="31351" xr:uid="{F611DFE5-5CC0-4E0C-916D-D2D7796BE1CA}"/>
    <cellStyle name="Comma 4 7 2 2 2 4 3" xfId="22679" xr:uid="{BA3F6A6B-CD40-4488-B86E-D7D5CD6F2A4A}"/>
    <cellStyle name="Comma 4 7 2 2 2 5" xfId="9671" xr:uid="{994328EF-2740-4439-B1B2-DB329CBA5137}"/>
    <cellStyle name="Comma 4 7 2 2 2 5 2" xfId="27015" xr:uid="{3DFC2F27-4A8F-47E1-9AB5-580198F3744E}"/>
    <cellStyle name="Comma 4 7 2 2 2 6" xfId="18343" xr:uid="{2FA15764-DCF2-4BBB-8C85-523FA96ABF39}"/>
    <cellStyle name="Comma 4 7 2 2 3" xfId="1542" xr:uid="{F7D1713D-2C38-4BB8-86FF-E18B380C0D1F}"/>
    <cellStyle name="Comma 4 7 2 2 3 2" xfId="3710" xr:uid="{3E3DE5E4-E45C-45FC-AF87-1C3F4C97B6DF}"/>
    <cellStyle name="Comma 4 7 2 2 3 2 2" xfId="8046" xr:uid="{318A5977-3A02-40B4-84BB-EBDD26948B20}"/>
    <cellStyle name="Comma 4 7 2 2 3 2 2 2" xfId="16718" xr:uid="{3B52F9CC-C673-4730-9644-E66CB152AAF4}"/>
    <cellStyle name="Comma 4 7 2 2 3 2 2 2 2" xfId="34062" xr:uid="{1DCD0879-99C5-4DFE-9E7B-C118959ECEAA}"/>
    <cellStyle name="Comma 4 7 2 2 3 2 2 3" xfId="25390" xr:uid="{92799C9C-7916-41CB-BAD4-EE179CB77A96}"/>
    <cellStyle name="Comma 4 7 2 2 3 2 3" xfId="12382" xr:uid="{037AF0BA-3777-47BF-97D0-266E5BF143E9}"/>
    <cellStyle name="Comma 4 7 2 2 3 2 3 2" xfId="29726" xr:uid="{49CB4C3F-2F47-451B-9FB2-7088B69F2733}"/>
    <cellStyle name="Comma 4 7 2 2 3 2 4" xfId="21054" xr:uid="{0A7B96CB-417D-4A68-B1DD-D3B2554B6347}"/>
    <cellStyle name="Comma 4 7 2 2 3 3" xfId="5878" xr:uid="{EA650F98-CB68-4897-958D-3C821B27A435}"/>
    <cellStyle name="Comma 4 7 2 2 3 3 2" xfId="14550" xr:uid="{38C2241D-1680-4A0E-8CE9-4135D3D01540}"/>
    <cellStyle name="Comma 4 7 2 2 3 3 2 2" xfId="31894" xr:uid="{E9A28BCB-3AAF-4245-AF36-6085F92C2064}"/>
    <cellStyle name="Comma 4 7 2 2 3 3 3" xfId="23222" xr:uid="{97F0BD98-B8EB-408B-96D4-25E96A2C3FAA}"/>
    <cellStyle name="Comma 4 7 2 2 3 4" xfId="10214" xr:uid="{B361CC9E-EA06-4E17-AF9E-FD51392A3091}"/>
    <cellStyle name="Comma 4 7 2 2 3 4 2" xfId="27558" xr:uid="{F14D5F70-0348-4FEA-8713-B4351F51D3CE}"/>
    <cellStyle name="Comma 4 7 2 2 3 5" xfId="18886" xr:uid="{C5F06A96-2AA0-4A51-81B9-886EAE0D33AF}"/>
    <cellStyle name="Comma 4 7 2 2 4" xfId="2626" xr:uid="{7AFC2EEE-02D0-45C4-BD87-BF17328BA36D}"/>
    <cellStyle name="Comma 4 7 2 2 4 2" xfId="6962" xr:uid="{F936B713-23F1-43D0-8728-711C6243D213}"/>
    <cellStyle name="Comma 4 7 2 2 4 2 2" xfId="15634" xr:uid="{1D2AE2CA-1243-44A5-B774-718F0F96076E}"/>
    <cellStyle name="Comma 4 7 2 2 4 2 2 2" xfId="32978" xr:uid="{E0C31831-D4F0-42AE-9DD1-64D488C53D05}"/>
    <cellStyle name="Comma 4 7 2 2 4 2 3" xfId="24306" xr:uid="{8D11E40B-65B9-472E-9905-3ABE5C7CE71C}"/>
    <cellStyle name="Comma 4 7 2 2 4 3" xfId="11298" xr:uid="{BD64BBE4-C284-43DD-9C7B-DC641585C9FA}"/>
    <cellStyle name="Comma 4 7 2 2 4 3 2" xfId="28642" xr:uid="{875C788F-194F-4507-9818-2933F1F00873}"/>
    <cellStyle name="Comma 4 7 2 2 4 4" xfId="19970" xr:uid="{1E68905F-9BB4-4A07-9C5F-BF9A88169F75}"/>
    <cellStyle name="Comma 4 7 2 2 5" xfId="4794" xr:uid="{1B4E1AD5-1B3C-427A-A7C7-C0BDE4BC9ABE}"/>
    <cellStyle name="Comma 4 7 2 2 5 2" xfId="13466" xr:uid="{5A3DE20A-0A8D-4E05-ADD8-2064B64F3BFC}"/>
    <cellStyle name="Comma 4 7 2 2 5 2 2" xfId="30810" xr:uid="{67DFACAC-CDC1-4584-B1DE-901A8A41BE24}"/>
    <cellStyle name="Comma 4 7 2 2 5 3" xfId="22138" xr:uid="{CFFA8D01-C56C-4F73-8B2F-25914F29CC60}"/>
    <cellStyle name="Comma 4 7 2 2 6" xfId="9130" xr:uid="{CA7D2537-784A-481A-A4B6-5B1D051D4B35}"/>
    <cellStyle name="Comma 4 7 2 2 6 2" xfId="26474" xr:uid="{DBB1B568-A766-47C7-A346-88B810C1B27B}"/>
    <cellStyle name="Comma 4 7 2 2 7" xfId="17802" xr:uid="{697955B6-0C43-4516-90F2-F5B6D22CB0F3}"/>
    <cellStyle name="Comma 4 7 2 3" xfId="729" xr:uid="{D1F637A2-2165-466F-9EBF-4B4109DC6C67}"/>
    <cellStyle name="Comma 4 7 2 3 2" xfId="1813" xr:uid="{7E2AA661-9DD6-4CAF-A00B-C87A0B08C524}"/>
    <cellStyle name="Comma 4 7 2 3 2 2" xfId="3981" xr:uid="{6FB70C2D-1EAD-4191-8F7C-15B5E3517ADE}"/>
    <cellStyle name="Comma 4 7 2 3 2 2 2" xfId="8317" xr:uid="{FF3859E5-9276-41F9-A4CB-165C60E0BDA5}"/>
    <cellStyle name="Comma 4 7 2 3 2 2 2 2" xfId="16989" xr:uid="{A932E1E9-9D1E-47E0-B3F9-7D29A7A74DFA}"/>
    <cellStyle name="Comma 4 7 2 3 2 2 2 2 2" xfId="34333" xr:uid="{CFE492BF-A31E-4292-961C-CD5372257AF6}"/>
    <cellStyle name="Comma 4 7 2 3 2 2 2 3" xfId="25661" xr:uid="{69038259-DD0A-4EE5-B88C-BF9D7F3A336F}"/>
    <cellStyle name="Comma 4 7 2 3 2 2 3" xfId="12653" xr:uid="{2CAD2E76-F607-4190-9A50-6258861AE67D}"/>
    <cellStyle name="Comma 4 7 2 3 2 2 3 2" xfId="29997" xr:uid="{E33E0E1A-7343-4BB6-A0F9-FACDD82FE696}"/>
    <cellStyle name="Comma 4 7 2 3 2 2 4" xfId="21325" xr:uid="{CAB070B1-6C2B-4470-AEC8-50B75DE55246}"/>
    <cellStyle name="Comma 4 7 2 3 2 3" xfId="6149" xr:uid="{623F954B-D17A-4F32-9665-DECFAC8B8F17}"/>
    <cellStyle name="Comma 4 7 2 3 2 3 2" xfId="14821" xr:uid="{B6A34779-6296-49F2-A9C3-BDBF7E472813}"/>
    <cellStyle name="Comma 4 7 2 3 2 3 2 2" xfId="32165" xr:uid="{3A95BC60-2D88-4581-B508-065F77D0E7E3}"/>
    <cellStyle name="Comma 4 7 2 3 2 3 3" xfId="23493" xr:uid="{703988DB-816A-4D01-9043-09F9F1BE562B}"/>
    <cellStyle name="Comma 4 7 2 3 2 4" xfId="10485" xr:uid="{63B598E4-F619-44AE-8632-28B94EADC7FB}"/>
    <cellStyle name="Comma 4 7 2 3 2 4 2" xfId="27829" xr:uid="{20BFE20F-569B-46AC-9392-327F77C2DDD1}"/>
    <cellStyle name="Comma 4 7 2 3 2 5" xfId="19157" xr:uid="{1CDA5672-90B6-4560-85BA-99F8E7A2F155}"/>
    <cellStyle name="Comma 4 7 2 3 3" xfId="2897" xr:uid="{9D09423A-6331-4C58-869A-A9A20E6F04A5}"/>
    <cellStyle name="Comma 4 7 2 3 3 2" xfId="7233" xr:uid="{4FA6CBC1-08FC-4E4C-BB38-2C66391446D3}"/>
    <cellStyle name="Comma 4 7 2 3 3 2 2" xfId="15905" xr:uid="{46198DA5-8916-4643-8192-B3EAADB56104}"/>
    <cellStyle name="Comma 4 7 2 3 3 2 2 2" xfId="33249" xr:uid="{6F4E0F59-BF25-477B-B3E8-A5E05D798711}"/>
    <cellStyle name="Comma 4 7 2 3 3 2 3" xfId="24577" xr:uid="{814941D6-E48C-4D03-B97C-A10ECBE0D7F1}"/>
    <cellStyle name="Comma 4 7 2 3 3 3" xfId="11569" xr:uid="{DDE4481C-0AF8-4539-A740-FBA075F0020B}"/>
    <cellStyle name="Comma 4 7 2 3 3 3 2" xfId="28913" xr:uid="{253F1167-8C26-48FF-92F0-7C930953970F}"/>
    <cellStyle name="Comma 4 7 2 3 3 4" xfId="20241" xr:uid="{F43E72A8-7C29-4988-B5F2-0BE7E78B60E5}"/>
    <cellStyle name="Comma 4 7 2 3 4" xfId="5065" xr:uid="{D626E11A-1189-45B4-8FA4-BD12B06CED76}"/>
    <cellStyle name="Comma 4 7 2 3 4 2" xfId="13737" xr:uid="{DB04BEB6-5145-42F4-8CB1-A6EB78A3627E}"/>
    <cellStyle name="Comma 4 7 2 3 4 2 2" xfId="31081" xr:uid="{9224341E-F367-4B5B-8AB0-D333F79D8E17}"/>
    <cellStyle name="Comma 4 7 2 3 4 3" xfId="22409" xr:uid="{EE7AE455-CB2B-44D9-84B1-2CD9EEF41EB3}"/>
    <cellStyle name="Comma 4 7 2 3 5" xfId="9401" xr:uid="{74120047-617B-4F9B-A7DB-D6D9FF1D382A}"/>
    <cellStyle name="Comma 4 7 2 3 5 2" xfId="26745" xr:uid="{5D280673-CA80-4721-B4FB-63711D766581}"/>
    <cellStyle name="Comma 4 7 2 3 6" xfId="18073" xr:uid="{DBC0BBD3-15B5-464E-B754-F23F3DF361AB}"/>
    <cellStyle name="Comma 4 7 2 4" xfId="1272" xr:uid="{3DB461A9-0964-4C12-9918-D84D73D0088E}"/>
    <cellStyle name="Comma 4 7 2 4 2" xfId="3440" xr:uid="{6C6DD8E4-A0DB-4DBA-9E01-C1C4178C6599}"/>
    <cellStyle name="Comma 4 7 2 4 2 2" xfId="7776" xr:uid="{06D74FBE-5D9B-4585-8CEE-401F50DC0E0B}"/>
    <cellStyle name="Comma 4 7 2 4 2 2 2" xfId="16448" xr:uid="{324D34E9-3E26-4E92-9942-268FA1E38F62}"/>
    <cellStyle name="Comma 4 7 2 4 2 2 2 2" xfId="33792" xr:uid="{659F22F2-E74A-452A-9E0A-6BDC606FF972}"/>
    <cellStyle name="Comma 4 7 2 4 2 2 3" xfId="25120" xr:uid="{D5A1BC09-BE26-4514-84FB-EE7528923435}"/>
    <cellStyle name="Comma 4 7 2 4 2 3" xfId="12112" xr:uid="{B532CAC4-B6B7-45E9-B278-41BDA06C84B1}"/>
    <cellStyle name="Comma 4 7 2 4 2 3 2" xfId="29456" xr:uid="{D3C47416-6864-414B-9079-59078DD47C89}"/>
    <cellStyle name="Comma 4 7 2 4 2 4" xfId="20784" xr:uid="{B412862C-715F-40E1-89D0-4EF6E9741742}"/>
    <cellStyle name="Comma 4 7 2 4 3" xfId="5608" xr:uid="{BEF627FC-6EAE-419C-8FB8-CDFCEBCE19FD}"/>
    <cellStyle name="Comma 4 7 2 4 3 2" xfId="14280" xr:uid="{FC1B1DE6-A053-4624-B490-73DC590B938E}"/>
    <cellStyle name="Comma 4 7 2 4 3 2 2" xfId="31624" xr:uid="{3C092CEC-68D9-4CE7-BFD0-72954403192F}"/>
    <cellStyle name="Comma 4 7 2 4 3 3" xfId="22952" xr:uid="{025AD96C-796C-428F-9868-6029B569B179}"/>
    <cellStyle name="Comma 4 7 2 4 4" xfId="9944" xr:uid="{0CB575BC-88E9-40BC-8A4F-B88AFAA6F835}"/>
    <cellStyle name="Comma 4 7 2 4 4 2" xfId="27288" xr:uid="{7F65F854-872A-47C5-824D-4F7F2FBCC85D}"/>
    <cellStyle name="Comma 4 7 2 4 5" xfId="18616" xr:uid="{B63D5361-2112-41A2-9A85-235549A14687}"/>
    <cellStyle name="Comma 4 7 2 5" xfId="2356" xr:uid="{03EC9E7E-DCEF-4440-843A-ECBDC836CE1F}"/>
    <cellStyle name="Comma 4 7 2 5 2" xfId="6692" xr:uid="{AF0A7A2C-32FE-4A14-9DC7-7424091B52D7}"/>
    <cellStyle name="Comma 4 7 2 5 2 2" xfId="15364" xr:uid="{973A1B31-D3A5-472E-95EA-9A2390F96DC1}"/>
    <cellStyle name="Comma 4 7 2 5 2 2 2" xfId="32708" xr:uid="{2040DE61-E955-4E2E-912C-34A0ABB76A81}"/>
    <cellStyle name="Comma 4 7 2 5 2 3" xfId="24036" xr:uid="{D86AF3D0-31E0-4D56-A1DB-58A3A140165E}"/>
    <cellStyle name="Comma 4 7 2 5 3" xfId="11028" xr:uid="{6AFE5316-EDCD-464D-92B7-B8D9D430D064}"/>
    <cellStyle name="Comma 4 7 2 5 3 2" xfId="28372" xr:uid="{DC91091F-39CE-4645-B612-94ECAA679C7F}"/>
    <cellStyle name="Comma 4 7 2 5 4" xfId="19700" xr:uid="{05DDBC69-414C-4FEF-8C1E-EDB52934323C}"/>
    <cellStyle name="Comma 4 7 2 6" xfId="4524" xr:uid="{16FBEC78-2614-4303-B926-C57100A054C8}"/>
    <cellStyle name="Comma 4 7 2 6 2" xfId="13196" xr:uid="{0AE0441F-AF0D-4ABD-9851-C80381EFBA84}"/>
    <cellStyle name="Comma 4 7 2 6 2 2" xfId="30540" xr:uid="{A8B35488-D764-4B71-BBEA-7E9F4349ECE0}"/>
    <cellStyle name="Comma 4 7 2 6 3" xfId="21868" xr:uid="{F342B4B0-777C-49F9-B40C-A855C00A6497}"/>
    <cellStyle name="Comma 4 7 2 7" xfId="8860" xr:uid="{D6EB115B-8325-43C5-84D7-9C6CD26574CA}"/>
    <cellStyle name="Comma 4 7 2 7 2" xfId="26204" xr:uid="{BA2F48DA-3036-4A6D-B4FF-8B782D6C49AA}"/>
    <cellStyle name="Comma 4 7 2 8" xfId="17532" xr:uid="{F19621C0-A9EB-4850-BC3D-93F0D093A649}"/>
    <cellStyle name="Comma 4 7 3" xfId="336" xr:uid="{930C311C-216C-4C72-AAF3-ACD239960D0F}"/>
    <cellStyle name="Comma 4 7 3 2" xfId="877" xr:uid="{602E519F-AF93-4260-8E52-E96ADCC000EA}"/>
    <cellStyle name="Comma 4 7 3 2 2" xfId="1961" xr:uid="{96921B1C-2CF8-43C4-BF54-331E2946BBB6}"/>
    <cellStyle name="Comma 4 7 3 2 2 2" xfId="4129" xr:uid="{848E6A52-A7AD-4F91-8756-963AA49D7A4A}"/>
    <cellStyle name="Comma 4 7 3 2 2 2 2" xfId="8465" xr:uid="{D17A805C-B17D-4625-B0D1-64AD81028740}"/>
    <cellStyle name="Comma 4 7 3 2 2 2 2 2" xfId="17137" xr:uid="{5E5FA8E8-349A-4236-AEA3-CA3567CAB52C}"/>
    <cellStyle name="Comma 4 7 3 2 2 2 2 2 2" xfId="34481" xr:uid="{D822684A-4311-4F07-8A42-ABB7EFF747D6}"/>
    <cellStyle name="Comma 4 7 3 2 2 2 2 3" xfId="25809" xr:uid="{011C8F32-272B-4672-8C23-986B379CEC62}"/>
    <cellStyle name="Comma 4 7 3 2 2 2 3" xfId="12801" xr:uid="{3459E13D-409B-4AE5-97F0-14923D76042E}"/>
    <cellStyle name="Comma 4 7 3 2 2 2 3 2" xfId="30145" xr:uid="{608F5EFA-1B9E-42BA-8AE9-0ABCE801B18A}"/>
    <cellStyle name="Comma 4 7 3 2 2 2 4" xfId="21473" xr:uid="{092062D8-83AE-4DCC-832D-CFF364014813}"/>
    <cellStyle name="Comma 4 7 3 2 2 3" xfId="6297" xr:uid="{63C90CC7-6632-4820-A2B9-EAA47D18FAC1}"/>
    <cellStyle name="Comma 4 7 3 2 2 3 2" xfId="14969" xr:uid="{4B49A029-A8C2-468B-B591-12B11AC893F5}"/>
    <cellStyle name="Comma 4 7 3 2 2 3 2 2" xfId="32313" xr:uid="{A12F521A-0472-45CF-BF0A-86C93F72B3AE}"/>
    <cellStyle name="Comma 4 7 3 2 2 3 3" xfId="23641" xr:uid="{84AFA2CA-D745-480A-9646-DEC8BFBFF16B}"/>
    <cellStyle name="Comma 4 7 3 2 2 4" xfId="10633" xr:uid="{AC3A34B5-CE1C-44ED-A146-ACAC7E6706B2}"/>
    <cellStyle name="Comma 4 7 3 2 2 4 2" xfId="27977" xr:uid="{47632EDC-4881-4E2A-9B83-1123EA048813}"/>
    <cellStyle name="Comma 4 7 3 2 2 5" xfId="19305" xr:uid="{D50027C6-44CF-47FD-86E7-7255226A2719}"/>
    <cellStyle name="Comma 4 7 3 2 3" xfId="3045" xr:uid="{11D5CF8C-A45B-4D7E-865B-9EE3F4F8BB07}"/>
    <cellStyle name="Comma 4 7 3 2 3 2" xfId="7381" xr:uid="{AC6EE63F-3DEE-4B92-B49C-D06CAC64B751}"/>
    <cellStyle name="Comma 4 7 3 2 3 2 2" xfId="16053" xr:uid="{BD3D68A7-3DC3-42C3-AC05-53ACA6C2469E}"/>
    <cellStyle name="Comma 4 7 3 2 3 2 2 2" xfId="33397" xr:uid="{96F84DB6-4AD8-4662-BA66-393F4FC88D96}"/>
    <cellStyle name="Comma 4 7 3 2 3 2 3" xfId="24725" xr:uid="{74A716EF-8679-4714-B721-5F7548682B3F}"/>
    <cellStyle name="Comma 4 7 3 2 3 3" xfId="11717" xr:uid="{0B5216DC-29CF-4B63-A4A9-679F7E8DD54D}"/>
    <cellStyle name="Comma 4 7 3 2 3 3 2" xfId="29061" xr:uid="{0C6FB988-3B0B-43A1-97E8-CFCD3890DD51}"/>
    <cellStyle name="Comma 4 7 3 2 3 4" xfId="20389" xr:uid="{76D5E685-18C3-4C70-8D4C-ECAFAC8D36C3}"/>
    <cellStyle name="Comma 4 7 3 2 4" xfId="5213" xr:uid="{A1F8CC32-85C9-44DE-B59A-D6BDAD953521}"/>
    <cellStyle name="Comma 4 7 3 2 4 2" xfId="13885" xr:uid="{EF4ED59C-987F-46F2-BFB8-4EEADF4815CB}"/>
    <cellStyle name="Comma 4 7 3 2 4 2 2" xfId="31229" xr:uid="{C6CEBB9E-1300-42F7-943B-51F5DCDBB0EF}"/>
    <cellStyle name="Comma 4 7 3 2 4 3" xfId="22557" xr:uid="{F1110799-8C35-401F-980C-EEDF9936A547}"/>
    <cellStyle name="Comma 4 7 3 2 5" xfId="9549" xr:uid="{F436B61D-BDF1-43CA-BCD9-EEBF556B65DA}"/>
    <cellStyle name="Comma 4 7 3 2 5 2" xfId="26893" xr:uid="{A5507CCF-C845-4492-B2F9-92B589B76A68}"/>
    <cellStyle name="Comma 4 7 3 2 6" xfId="18221" xr:uid="{F4233C70-E801-4E35-853D-B0D1164F7FC7}"/>
    <cellStyle name="Comma 4 7 3 3" xfId="1420" xr:uid="{31449FAB-B492-41C6-9026-392FE225561C}"/>
    <cellStyle name="Comma 4 7 3 3 2" xfId="3588" xr:uid="{E247CFE3-E299-4189-A596-3C162E90BAF2}"/>
    <cellStyle name="Comma 4 7 3 3 2 2" xfId="7924" xr:uid="{D7CA7106-8187-4523-97BF-71628B5A63C7}"/>
    <cellStyle name="Comma 4 7 3 3 2 2 2" xfId="16596" xr:uid="{80A35C5B-85C2-4B88-8675-3BD33B32015F}"/>
    <cellStyle name="Comma 4 7 3 3 2 2 2 2" xfId="33940" xr:uid="{1B068F70-3670-4E04-A1F5-E98B0C27CBDE}"/>
    <cellStyle name="Comma 4 7 3 3 2 2 3" xfId="25268" xr:uid="{8159B7E5-81C8-47DE-8126-FFEEE1886158}"/>
    <cellStyle name="Comma 4 7 3 3 2 3" xfId="12260" xr:uid="{C8C9357F-8315-4638-BC70-360C66BC999D}"/>
    <cellStyle name="Comma 4 7 3 3 2 3 2" xfId="29604" xr:uid="{EF135EA6-9866-4094-BF67-D6BD2576045B}"/>
    <cellStyle name="Comma 4 7 3 3 2 4" xfId="20932" xr:uid="{C7B6787D-3C37-4936-A4EE-2E750F0A9EA0}"/>
    <cellStyle name="Comma 4 7 3 3 3" xfId="5756" xr:uid="{7BB0756C-84F0-4FB6-A2B3-AE8FC300843F}"/>
    <cellStyle name="Comma 4 7 3 3 3 2" xfId="14428" xr:uid="{9C226F63-1BF8-4BA4-8425-9E3E4BA23F8C}"/>
    <cellStyle name="Comma 4 7 3 3 3 2 2" xfId="31772" xr:uid="{7BAD6E84-2AFB-4830-A39D-CECDF7AE9C8C}"/>
    <cellStyle name="Comma 4 7 3 3 3 3" xfId="23100" xr:uid="{A1376DEE-9002-4E3D-95D7-51C9712AD2A3}"/>
    <cellStyle name="Comma 4 7 3 3 4" xfId="10092" xr:uid="{27624E82-48F7-4195-89F8-E88D72028E52}"/>
    <cellStyle name="Comma 4 7 3 3 4 2" xfId="27436" xr:uid="{E804598F-2738-448A-ACE8-FB3E04B961F7}"/>
    <cellStyle name="Comma 4 7 3 3 5" xfId="18764" xr:uid="{C8D0A4C4-0C75-4377-A9C5-BAB9BC8E22CD}"/>
    <cellStyle name="Comma 4 7 3 4" xfId="2504" xr:uid="{21E74B2C-FD73-45F9-AA24-526B65F0925F}"/>
    <cellStyle name="Comma 4 7 3 4 2" xfId="6840" xr:uid="{F1EC726C-2B86-4062-8D40-0122FEC89CEE}"/>
    <cellStyle name="Comma 4 7 3 4 2 2" xfId="15512" xr:uid="{BE44FF31-5206-4A3D-B359-F4877A9C7287}"/>
    <cellStyle name="Comma 4 7 3 4 2 2 2" xfId="32856" xr:uid="{5E8669AE-05D4-4019-9C2B-FBEBF8073492}"/>
    <cellStyle name="Comma 4 7 3 4 2 3" xfId="24184" xr:uid="{4A2985E6-B120-451F-82B0-8209CF9CC9CA}"/>
    <cellStyle name="Comma 4 7 3 4 3" xfId="11176" xr:uid="{62DA29F5-99E9-4633-9B34-47842D5ED960}"/>
    <cellStyle name="Comma 4 7 3 4 3 2" xfId="28520" xr:uid="{E68397AA-694A-4D68-8E4A-ADBAF9AB8232}"/>
    <cellStyle name="Comma 4 7 3 4 4" xfId="19848" xr:uid="{3DD5F176-AE00-4516-9BD8-7EC64F9CD940}"/>
    <cellStyle name="Comma 4 7 3 5" xfId="4672" xr:uid="{22207F35-E1B4-4706-B7FE-B0D3495CCC68}"/>
    <cellStyle name="Comma 4 7 3 5 2" xfId="13344" xr:uid="{083ADA6C-01C8-4B8E-9A34-11322D3C8D3F}"/>
    <cellStyle name="Comma 4 7 3 5 2 2" xfId="30688" xr:uid="{14044B8E-7805-4A5C-9344-1074BAB3A05D}"/>
    <cellStyle name="Comma 4 7 3 5 3" xfId="22016" xr:uid="{79BE18C3-8007-4DA9-9C76-648AC30E0315}"/>
    <cellStyle name="Comma 4 7 3 6" xfId="9008" xr:uid="{DDB70940-F845-45AA-8E36-6CB5A1D61FEB}"/>
    <cellStyle name="Comma 4 7 3 6 2" xfId="26352" xr:uid="{E7B15377-7925-43E0-B4A6-47B079E5AFAD}"/>
    <cellStyle name="Comma 4 7 3 7" xfId="17680" xr:uid="{B1EC9E54-36CD-4D48-BF16-97B8F9CC3F32}"/>
    <cellStyle name="Comma 4 7 4" xfId="607" xr:uid="{A9E75D76-A1CA-4693-9FBC-07E732390B76}"/>
    <cellStyle name="Comma 4 7 4 2" xfId="1691" xr:uid="{5C969C84-19E6-488C-9AE5-7120D65115A6}"/>
    <cellStyle name="Comma 4 7 4 2 2" xfId="3859" xr:uid="{4CD25DA8-B14A-4D66-8CA7-DEE523DEF247}"/>
    <cellStyle name="Comma 4 7 4 2 2 2" xfId="8195" xr:uid="{A8A1F0B5-B8CE-4AB0-AEAA-83BE912AD2CA}"/>
    <cellStyle name="Comma 4 7 4 2 2 2 2" xfId="16867" xr:uid="{E2DC01FE-E18E-418A-9103-FF758A28DCB3}"/>
    <cellStyle name="Comma 4 7 4 2 2 2 2 2" xfId="34211" xr:uid="{85E8F39F-D5E5-45E8-8D58-255171405E0D}"/>
    <cellStyle name="Comma 4 7 4 2 2 2 3" xfId="25539" xr:uid="{E6F21241-E82C-4BB8-AFB8-63C24577FED1}"/>
    <cellStyle name="Comma 4 7 4 2 2 3" xfId="12531" xr:uid="{CA953AF0-4B5E-49E5-A1EE-024063830DBD}"/>
    <cellStyle name="Comma 4 7 4 2 2 3 2" xfId="29875" xr:uid="{DDDF03FA-87EC-4867-A421-9BF7D1D27290}"/>
    <cellStyle name="Comma 4 7 4 2 2 4" xfId="21203" xr:uid="{F57C59A8-0093-4F21-8E3A-512DC8455BD2}"/>
    <cellStyle name="Comma 4 7 4 2 3" xfId="6027" xr:uid="{7106FD50-4866-4E2E-8504-238E2B7B70EB}"/>
    <cellStyle name="Comma 4 7 4 2 3 2" xfId="14699" xr:uid="{D127D292-88FD-4BD9-914C-949496C44075}"/>
    <cellStyle name="Comma 4 7 4 2 3 2 2" xfId="32043" xr:uid="{FA0E8DF9-BD78-4AC6-A77C-CD3E0F3B2537}"/>
    <cellStyle name="Comma 4 7 4 2 3 3" xfId="23371" xr:uid="{0021308C-2015-4FEC-A4EB-4645D02A781D}"/>
    <cellStyle name="Comma 4 7 4 2 4" xfId="10363" xr:uid="{A5DBF041-BD7D-4827-A986-61AB3BB8B1E6}"/>
    <cellStyle name="Comma 4 7 4 2 4 2" xfId="27707" xr:uid="{EC5DD41E-84D2-452C-96BA-D2E0C3F765DB}"/>
    <cellStyle name="Comma 4 7 4 2 5" xfId="19035" xr:uid="{6F3F4D5C-B297-4AD7-8531-422777E5E6D8}"/>
    <cellStyle name="Comma 4 7 4 3" xfId="2775" xr:uid="{2C9585B6-32E0-415B-B109-600D8C8EB0FE}"/>
    <cellStyle name="Comma 4 7 4 3 2" xfId="7111" xr:uid="{3DF58CA5-2E96-40F9-BA37-6215E10EB872}"/>
    <cellStyle name="Comma 4 7 4 3 2 2" xfId="15783" xr:uid="{E4D35FCE-BD76-400A-B532-A81D9D556157}"/>
    <cellStyle name="Comma 4 7 4 3 2 2 2" xfId="33127" xr:uid="{15178E74-5A0F-44AC-B27E-23369449DA64}"/>
    <cellStyle name="Comma 4 7 4 3 2 3" xfId="24455" xr:uid="{B3AF34A4-153D-4183-BE9A-3C8D136A8D83}"/>
    <cellStyle name="Comma 4 7 4 3 3" xfId="11447" xr:uid="{54DC8D54-E8DB-4E10-9125-2058F1E93C87}"/>
    <cellStyle name="Comma 4 7 4 3 3 2" xfId="28791" xr:uid="{19434C1A-40E4-4DB9-9A18-A9E481C79E9C}"/>
    <cellStyle name="Comma 4 7 4 3 4" xfId="20119" xr:uid="{88F88C77-0819-4CC8-825D-6122D53B92C4}"/>
    <cellStyle name="Comma 4 7 4 4" xfId="4943" xr:uid="{951F420E-A8F0-4373-960D-D259E1B729BE}"/>
    <cellStyle name="Comma 4 7 4 4 2" xfId="13615" xr:uid="{2B05649A-59B5-409C-82AD-C20F6B9A6F71}"/>
    <cellStyle name="Comma 4 7 4 4 2 2" xfId="30959" xr:uid="{507A75FD-BCEA-402D-99D5-E6540402BBBC}"/>
    <cellStyle name="Comma 4 7 4 4 3" xfId="22287" xr:uid="{11D4FF5B-AB74-48E4-B013-E3CA020D1ED0}"/>
    <cellStyle name="Comma 4 7 4 5" xfId="9279" xr:uid="{2A7D4BE6-D465-447E-AA7B-7316DFA772BC}"/>
    <cellStyle name="Comma 4 7 4 5 2" xfId="26623" xr:uid="{F8C0B063-8639-49E7-B2E3-A9E8371E842D}"/>
    <cellStyle name="Comma 4 7 4 6" xfId="17951" xr:uid="{8307C4D8-2456-4AA9-B3AF-C39A209FB881}"/>
    <cellStyle name="Comma 4 7 5" xfId="1150" xr:uid="{68BCD77C-EB2C-4EC0-B259-1F7AFCA6E0DE}"/>
    <cellStyle name="Comma 4 7 5 2" xfId="3318" xr:uid="{E651313F-C2E6-49A8-A84C-2EF786AD0BC5}"/>
    <cellStyle name="Comma 4 7 5 2 2" xfId="7654" xr:uid="{A7451B25-EDE4-4B2F-883E-AF1AD6996F3C}"/>
    <cellStyle name="Comma 4 7 5 2 2 2" xfId="16326" xr:uid="{4FEA336A-54EB-40DA-9C28-2BC9BC552596}"/>
    <cellStyle name="Comma 4 7 5 2 2 2 2" xfId="33670" xr:uid="{2B6DE133-B01C-4508-A585-B8EE5D4BFAF5}"/>
    <cellStyle name="Comma 4 7 5 2 2 3" xfId="24998" xr:uid="{CE2B08BA-6CF5-4034-AFA8-E04326214C9C}"/>
    <cellStyle name="Comma 4 7 5 2 3" xfId="11990" xr:uid="{B8F63915-1061-42F6-ACA5-2957651A5CC0}"/>
    <cellStyle name="Comma 4 7 5 2 3 2" xfId="29334" xr:uid="{FF8E4ED1-0E8E-49A5-8CD4-176097A4E9A0}"/>
    <cellStyle name="Comma 4 7 5 2 4" xfId="20662" xr:uid="{50937712-05A2-4811-9EF3-9069B8245096}"/>
    <cellStyle name="Comma 4 7 5 3" xfId="5486" xr:uid="{AF9B6934-B8F6-4160-9B3E-BCDC226FE320}"/>
    <cellStyle name="Comma 4 7 5 3 2" xfId="14158" xr:uid="{1E1F4249-5831-4D12-9D84-5F12E01B970D}"/>
    <cellStyle name="Comma 4 7 5 3 2 2" xfId="31502" xr:uid="{BD51638E-8571-4671-ABCC-C0D7048CCC2C}"/>
    <cellStyle name="Comma 4 7 5 3 3" xfId="22830" xr:uid="{2177CF0F-30DF-4A8C-B8A9-6B1C6C184A1D}"/>
    <cellStyle name="Comma 4 7 5 4" xfId="9822" xr:uid="{2AD6455C-CE1B-4BC3-8FA8-0206D6B7C1BD}"/>
    <cellStyle name="Comma 4 7 5 4 2" xfId="27166" xr:uid="{746F7DB7-0B33-4D00-A2AB-4D3E995A3460}"/>
    <cellStyle name="Comma 4 7 5 5" xfId="18494" xr:uid="{74D13691-CCBC-4873-A2CF-80BB13318046}"/>
    <cellStyle name="Comma 4 7 6" xfId="2234" xr:uid="{83614043-51F6-42C3-8AD5-A7222E16C1A1}"/>
    <cellStyle name="Comma 4 7 6 2" xfId="6570" xr:uid="{AB69C9CD-5A96-4955-A251-89004CBD2CD1}"/>
    <cellStyle name="Comma 4 7 6 2 2" xfId="15242" xr:uid="{040B7205-F6D0-4C09-BA8B-B5F78FD4EE93}"/>
    <cellStyle name="Comma 4 7 6 2 2 2" xfId="32586" xr:uid="{A9D75E59-4668-4103-B052-329269E64F7A}"/>
    <cellStyle name="Comma 4 7 6 2 3" xfId="23914" xr:uid="{00A1747A-FD40-4772-8BA9-D175541E64A1}"/>
    <cellStyle name="Comma 4 7 6 3" xfId="10906" xr:uid="{E2B8034C-E73B-4CFE-B1C7-85EB6D785355}"/>
    <cellStyle name="Comma 4 7 6 3 2" xfId="28250" xr:uid="{4AB188C2-B625-4851-99DF-848D9AE29240}"/>
    <cellStyle name="Comma 4 7 6 4" xfId="19578" xr:uid="{3DCE369F-BEED-403D-B36A-50C0F2F5E3E5}"/>
    <cellStyle name="Comma 4 7 7" xfId="4402" xr:uid="{01697CA1-879D-4387-BCF5-7FA57FB8E5DD}"/>
    <cellStyle name="Comma 4 7 7 2" xfId="13074" xr:uid="{5437E3B2-2EAA-4DA0-B70D-001B6E14E559}"/>
    <cellStyle name="Comma 4 7 7 2 2" xfId="30418" xr:uid="{BDD7C37C-8EA4-49C4-832C-1CCDB71EBD52}"/>
    <cellStyle name="Comma 4 7 7 3" xfId="21746" xr:uid="{81480833-46D4-463E-A7E3-1A0E11AEC4DA}"/>
    <cellStyle name="Comma 4 7 8" xfId="8738" xr:uid="{EAD79AC1-67A1-4739-A6D5-03648931FCE4}"/>
    <cellStyle name="Comma 4 7 8 2" xfId="26082" xr:uid="{27A4F365-4411-477B-A6AA-9A463BBD8CC8}"/>
    <cellStyle name="Comma 4 7 9" xfId="17410" xr:uid="{C3AFDEA1-1000-489A-AB21-225A20ECCFCB}"/>
    <cellStyle name="Comma 4 8" xfId="127" xr:uid="{76D04312-60DF-4BB0-BBB5-74748199DCAD}"/>
    <cellStyle name="Comma 4 8 2" xfId="397" xr:uid="{31268CF7-EAE0-4C7A-9713-70D0E0B15643}"/>
    <cellStyle name="Comma 4 8 2 2" xfId="938" xr:uid="{5CDF3EA3-F5A2-4F4E-8FA4-4093ADFF1F78}"/>
    <cellStyle name="Comma 4 8 2 2 2" xfId="2022" xr:uid="{68B5731E-BF47-4220-BE76-92D5D3F1D310}"/>
    <cellStyle name="Comma 4 8 2 2 2 2" xfId="4190" xr:uid="{8BDBD50F-7084-443D-BAB8-7E75BEB1FBF8}"/>
    <cellStyle name="Comma 4 8 2 2 2 2 2" xfId="8526" xr:uid="{C88DAA9F-F451-404A-94FA-F844AC31A341}"/>
    <cellStyle name="Comma 4 8 2 2 2 2 2 2" xfId="17198" xr:uid="{E41D13D7-D7B3-4DBA-8992-DC2C1FD43AC4}"/>
    <cellStyle name="Comma 4 8 2 2 2 2 2 2 2" xfId="34542" xr:uid="{CE17ADFC-428A-4645-8AA2-9FBAF84E8E1F}"/>
    <cellStyle name="Comma 4 8 2 2 2 2 2 3" xfId="25870" xr:uid="{6AD0ABD0-5643-4268-A48D-7ACE4B18CE06}"/>
    <cellStyle name="Comma 4 8 2 2 2 2 3" xfId="12862" xr:uid="{8CAE0D0F-74AC-4B2E-8AA4-177747E58509}"/>
    <cellStyle name="Comma 4 8 2 2 2 2 3 2" xfId="30206" xr:uid="{8D41ED12-8997-4882-9F97-FA7D9BC23632}"/>
    <cellStyle name="Comma 4 8 2 2 2 2 4" xfId="21534" xr:uid="{10D15D06-0A7B-4EEE-8002-0737825F6331}"/>
    <cellStyle name="Comma 4 8 2 2 2 3" xfId="6358" xr:uid="{71355A18-CCBF-44A9-9913-6D4858BAB8EB}"/>
    <cellStyle name="Comma 4 8 2 2 2 3 2" xfId="15030" xr:uid="{9029940D-A31D-4EB8-8C59-F18C82DDF414}"/>
    <cellStyle name="Comma 4 8 2 2 2 3 2 2" xfId="32374" xr:uid="{8FF3DE70-9568-45C8-B539-68170942DE28}"/>
    <cellStyle name="Comma 4 8 2 2 2 3 3" xfId="23702" xr:uid="{EFB5FF8E-E332-49D7-B275-1F9295B28647}"/>
    <cellStyle name="Comma 4 8 2 2 2 4" xfId="10694" xr:uid="{961A2397-EAF1-4F2C-A4A2-0A925283DBEC}"/>
    <cellStyle name="Comma 4 8 2 2 2 4 2" xfId="28038" xr:uid="{025A2160-56E1-4623-8536-C76B6FB063A8}"/>
    <cellStyle name="Comma 4 8 2 2 2 5" xfId="19366" xr:uid="{A54A5E46-986A-4B14-8505-6A058F385FA0}"/>
    <cellStyle name="Comma 4 8 2 2 3" xfId="3106" xr:uid="{E54BA400-3AC6-4A3F-A1C9-C9581FF77D34}"/>
    <cellStyle name="Comma 4 8 2 2 3 2" xfId="7442" xr:uid="{B0B4F96D-47D3-45A9-A00B-73108021AB37}"/>
    <cellStyle name="Comma 4 8 2 2 3 2 2" xfId="16114" xr:uid="{0FE7D22C-9A80-488D-A49C-6AE45EEE2F92}"/>
    <cellStyle name="Comma 4 8 2 2 3 2 2 2" xfId="33458" xr:uid="{86271F7D-879A-4E8B-8B74-3BBE55435B9D}"/>
    <cellStyle name="Comma 4 8 2 2 3 2 3" xfId="24786" xr:uid="{FDA2AA8B-3AC4-4A82-B8E9-B564E9652A5D}"/>
    <cellStyle name="Comma 4 8 2 2 3 3" xfId="11778" xr:uid="{59FAC1F6-F2F8-423C-A33F-BFBF5371BDB7}"/>
    <cellStyle name="Comma 4 8 2 2 3 3 2" xfId="29122" xr:uid="{34AA90C1-0D14-44A3-99AC-161A7C3BAE85}"/>
    <cellStyle name="Comma 4 8 2 2 3 4" xfId="20450" xr:uid="{1878BB19-B9F9-4782-B8EF-9145C21EAA78}"/>
    <cellStyle name="Comma 4 8 2 2 4" xfId="5274" xr:uid="{60B0CEF8-A53A-4939-89E9-E4703322517F}"/>
    <cellStyle name="Comma 4 8 2 2 4 2" xfId="13946" xr:uid="{114434C4-1F32-498E-AB81-FEEA89843535}"/>
    <cellStyle name="Comma 4 8 2 2 4 2 2" xfId="31290" xr:uid="{B50DA924-3F9C-48E4-945B-FF71B93F0FE9}"/>
    <cellStyle name="Comma 4 8 2 2 4 3" xfId="22618" xr:uid="{6B3B9B4E-7CF6-453E-8EE7-36FEBB0FE148}"/>
    <cellStyle name="Comma 4 8 2 2 5" xfId="9610" xr:uid="{A96B6DAC-8013-4442-AC34-CC50E37E60CD}"/>
    <cellStyle name="Comma 4 8 2 2 5 2" xfId="26954" xr:uid="{6BE3AC9D-B1DF-4F3B-B3D6-A17E28A1B7B4}"/>
    <cellStyle name="Comma 4 8 2 2 6" xfId="18282" xr:uid="{D3CC4B11-E711-4294-ACB1-10ADDBC8CC1C}"/>
    <cellStyle name="Comma 4 8 2 3" xfId="1481" xr:uid="{E438DB49-AB18-4A9F-AD47-357C788DA090}"/>
    <cellStyle name="Comma 4 8 2 3 2" xfId="3649" xr:uid="{3D93E250-9C94-4CE7-A331-F3DDF50E3236}"/>
    <cellStyle name="Comma 4 8 2 3 2 2" xfId="7985" xr:uid="{BBF24906-00E3-4367-9BB2-2A90A1CF28AE}"/>
    <cellStyle name="Comma 4 8 2 3 2 2 2" xfId="16657" xr:uid="{254471F9-4B72-4D06-B918-297FC28CECB8}"/>
    <cellStyle name="Comma 4 8 2 3 2 2 2 2" xfId="34001" xr:uid="{77CA1DF4-B713-46D3-8614-0D88CD938D84}"/>
    <cellStyle name="Comma 4 8 2 3 2 2 3" xfId="25329" xr:uid="{04C036D1-40ED-443B-BE66-72F5FE86BCB6}"/>
    <cellStyle name="Comma 4 8 2 3 2 3" xfId="12321" xr:uid="{B9014B06-756D-4409-9099-C430AAB751EA}"/>
    <cellStyle name="Comma 4 8 2 3 2 3 2" xfId="29665" xr:uid="{46779DFB-7934-4849-8879-9A0DE0472A00}"/>
    <cellStyle name="Comma 4 8 2 3 2 4" xfId="20993" xr:uid="{8871B979-74CE-43DE-82D5-6587A1D162A3}"/>
    <cellStyle name="Comma 4 8 2 3 3" xfId="5817" xr:uid="{A93E6FB5-C40C-495F-B72E-A8C0E2884538}"/>
    <cellStyle name="Comma 4 8 2 3 3 2" xfId="14489" xr:uid="{A58AA612-E5F9-4439-AD21-7464CD9D7849}"/>
    <cellStyle name="Comma 4 8 2 3 3 2 2" xfId="31833" xr:uid="{0270DA23-37EE-4B8E-9777-98D96EC97C44}"/>
    <cellStyle name="Comma 4 8 2 3 3 3" xfId="23161" xr:uid="{0B2284E6-CCBA-4D2B-B08D-4AAF2EAE5C95}"/>
    <cellStyle name="Comma 4 8 2 3 4" xfId="10153" xr:uid="{10F119EF-038E-4507-B8C2-5EE6E424A361}"/>
    <cellStyle name="Comma 4 8 2 3 4 2" xfId="27497" xr:uid="{4273CAD7-B1D5-485C-8A3A-1D82A78F5001}"/>
    <cellStyle name="Comma 4 8 2 3 5" xfId="18825" xr:uid="{5B3FAA0D-6CC0-4464-A335-1E8910FCFC09}"/>
    <cellStyle name="Comma 4 8 2 4" xfId="2565" xr:uid="{2D392C84-00A8-4AFD-BCC6-3209CA99BA8D}"/>
    <cellStyle name="Comma 4 8 2 4 2" xfId="6901" xr:uid="{61C8A607-660E-4C53-BFD0-DCC09995514B}"/>
    <cellStyle name="Comma 4 8 2 4 2 2" xfId="15573" xr:uid="{10D3A696-F3FA-41B1-A6D8-7AB19A911D3E}"/>
    <cellStyle name="Comma 4 8 2 4 2 2 2" xfId="32917" xr:uid="{232118CD-2C36-4F92-8C5C-917F2BA70241}"/>
    <cellStyle name="Comma 4 8 2 4 2 3" xfId="24245" xr:uid="{4C34B209-A02E-4E7C-9EDA-670A5DBD54C6}"/>
    <cellStyle name="Comma 4 8 2 4 3" xfId="11237" xr:uid="{2EC86126-CDD9-422F-9AD3-CDC469193C3D}"/>
    <cellStyle name="Comma 4 8 2 4 3 2" xfId="28581" xr:uid="{0E6E2B22-784A-4B75-9D7D-E324B67D38A0}"/>
    <cellStyle name="Comma 4 8 2 4 4" xfId="19909" xr:uid="{AC368178-8723-4D38-96F6-5C58DBAD455C}"/>
    <cellStyle name="Comma 4 8 2 5" xfId="4733" xr:uid="{A289AAD7-B8F5-4838-8552-0DF5308F6DD4}"/>
    <cellStyle name="Comma 4 8 2 5 2" xfId="13405" xr:uid="{15CC9E1D-8F61-42F9-8651-098C7D63223A}"/>
    <cellStyle name="Comma 4 8 2 5 2 2" xfId="30749" xr:uid="{C1964767-DA05-4A63-AF3D-0C4888B3C8C8}"/>
    <cellStyle name="Comma 4 8 2 5 3" xfId="22077" xr:uid="{5FF8613C-7FB3-42FE-A4A4-B77FA4AF8E00}"/>
    <cellStyle name="Comma 4 8 2 6" xfId="9069" xr:uid="{6D30AA26-E3D4-4700-96BC-6B1867FBED4A}"/>
    <cellStyle name="Comma 4 8 2 6 2" xfId="26413" xr:uid="{828B14FF-3C1C-42FC-9CB3-827590A5645E}"/>
    <cellStyle name="Comma 4 8 2 7" xfId="17741" xr:uid="{56B2AB9A-77C7-45DB-9CFA-45092AE2A6EB}"/>
    <cellStyle name="Comma 4 8 3" xfId="668" xr:uid="{6B18F8FD-904B-4477-8745-2A90E6FC3FE9}"/>
    <cellStyle name="Comma 4 8 3 2" xfId="1752" xr:uid="{53477349-9F66-4D26-882E-D2B28C874499}"/>
    <cellStyle name="Comma 4 8 3 2 2" xfId="3920" xr:uid="{B668862E-0611-4F7F-80F7-1BBC6ABC6890}"/>
    <cellStyle name="Comma 4 8 3 2 2 2" xfId="8256" xr:uid="{748BDC95-5D90-46AE-97FF-E525E5B3C648}"/>
    <cellStyle name="Comma 4 8 3 2 2 2 2" xfId="16928" xr:uid="{5961C209-2142-4F8A-A071-E4CFF5EB9192}"/>
    <cellStyle name="Comma 4 8 3 2 2 2 2 2" xfId="34272" xr:uid="{A7C10D80-E407-4458-A145-D027763B06DA}"/>
    <cellStyle name="Comma 4 8 3 2 2 2 3" xfId="25600" xr:uid="{EC20ACE3-AD2E-4F1E-AB16-AC6EB6D8B92B}"/>
    <cellStyle name="Comma 4 8 3 2 2 3" xfId="12592" xr:uid="{1A893EB7-CB4A-4B66-B651-A7B1805CCE81}"/>
    <cellStyle name="Comma 4 8 3 2 2 3 2" xfId="29936" xr:uid="{328F79E9-A92F-49E0-BDC6-C0F6CA9BBFA4}"/>
    <cellStyle name="Comma 4 8 3 2 2 4" xfId="21264" xr:uid="{C6046201-EEC8-4097-95C2-5196E8232204}"/>
    <cellStyle name="Comma 4 8 3 2 3" xfId="6088" xr:uid="{87F14BE3-72D7-4D81-BFF5-F57B6BC84E96}"/>
    <cellStyle name="Comma 4 8 3 2 3 2" xfId="14760" xr:uid="{FB22A848-20EE-41C3-ACFE-309FA65B38C5}"/>
    <cellStyle name="Comma 4 8 3 2 3 2 2" xfId="32104" xr:uid="{7A5513EC-D0FD-4D47-881E-F881A5356BC4}"/>
    <cellStyle name="Comma 4 8 3 2 3 3" xfId="23432" xr:uid="{B96F0A50-42A6-4188-A415-8F47084E8BD9}"/>
    <cellStyle name="Comma 4 8 3 2 4" xfId="10424" xr:uid="{72AF026D-886E-4CE8-8868-30EDA9A6A31A}"/>
    <cellStyle name="Comma 4 8 3 2 4 2" xfId="27768" xr:uid="{1FF2E058-F159-4E54-8C79-33B38FB79526}"/>
    <cellStyle name="Comma 4 8 3 2 5" xfId="19096" xr:uid="{C65F8679-A40C-43BE-B7AB-BDD1BA88AE9D}"/>
    <cellStyle name="Comma 4 8 3 3" xfId="2836" xr:uid="{A27B51D8-84EC-4198-92E0-841CF5A4E0A4}"/>
    <cellStyle name="Comma 4 8 3 3 2" xfId="7172" xr:uid="{AA83A3B4-5344-4B3B-8B1F-43B0D3732B3E}"/>
    <cellStyle name="Comma 4 8 3 3 2 2" xfId="15844" xr:uid="{4300C8DC-54F6-4B76-9D41-4FB44F16BF4C}"/>
    <cellStyle name="Comma 4 8 3 3 2 2 2" xfId="33188" xr:uid="{3DE57168-0DA6-494A-AA31-C89937471110}"/>
    <cellStyle name="Comma 4 8 3 3 2 3" xfId="24516" xr:uid="{C21B4D99-A9FF-466E-B600-F5E1D89DC709}"/>
    <cellStyle name="Comma 4 8 3 3 3" xfId="11508" xr:uid="{E2153BC1-33B6-4681-B83F-C74BD62B9164}"/>
    <cellStyle name="Comma 4 8 3 3 3 2" xfId="28852" xr:uid="{1F900920-2F6A-4105-A7F4-0D13103593DF}"/>
    <cellStyle name="Comma 4 8 3 3 4" xfId="20180" xr:uid="{5735CFC9-268B-42C6-8EF1-8C18142919E8}"/>
    <cellStyle name="Comma 4 8 3 4" xfId="5004" xr:uid="{407773F0-7156-4B7F-927F-C3202438B967}"/>
    <cellStyle name="Comma 4 8 3 4 2" xfId="13676" xr:uid="{50D7A64D-C3CC-49F0-9870-3AB52613CACE}"/>
    <cellStyle name="Comma 4 8 3 4 2 2" xfId="31020" xr:uid="{FCE6520B-E357-426E-92F1-48EE6E44FC15}"/>
    <cellStyle name="Comma 4 8 3 4 3" xfId="22348" xr:uid="{3EB4D4CE-370A-4513-8D58-A9E5D6143022}"/>
    <cellStyle name="Comma 4 8 3 5" xfId="9340" xr:uid="{A67D74AC-707C-40BB-B1C9-6738F534AAB4}"/>
    <cellStyle name="Comma 4 8 3 5 2" xfId="26684" xr:uid="{E9EAA185-FED9-4FD0-9213-B84B545826A7}"/>
    <cellStyle name="Comma 4 8 3 6" xfId="18012" xr:uid="{7F8B8FDB-B413-4E21-A4CF-66AF83C31999}"/>
    <cellStyle name="Comma 4 8 4" xfId="1211" xr:uid="{0C962253-1A9C-450D-A109-CC4EAA1C75BC}"/>
    <cellStyle name="Comma 4 8 4 2" xfId="3379" xr:uid="{3E9259C9-0426-48D2-A736-505DD10C3927}"/>
    <cellStyle name="Comma 4 8 4 2 2" xfId="7715" xr:uid="{6E146439-3394-4AE6-BFE2-172A940DAA35}"/>
    <cellStyle name="Comma 4 8 4 2 2 2" xfId="16387" xr:uid="{2C448EDD-1AB4-417F-A12C-6A5787E2FE03}"/>
    <cellStyle name="Comma 4 8 4 2 2 2 2" xfId="33731" xr:uid="{A9365A2E-C4DC-4E0E-A76E-2E7557E9FED6}"/>
    <cellStyle name="Comma 4 8 4 2 2 3" xfId="25059" xr:uid="{29EA101A-233C-4289-9A24-F8B477423173}"/>
    <cellStyle name="Comma 4 8 4 2 3" xfId="12051" xr:uid="{C13208D3-7B1D-410B-9CE4-2F9811EC5F0B}"/>
    <cellStyle name="Comma 4 8 4 2 3 2" xfId="29395" xr:uid="{6AD89768-EAD6-403C-A687-6693D5E0EF41}"/>
    <cellStyle name="Comma 4 8 4 2 4" xfId="20723" xr:uid="{9ADFAA40-F40A-4287-97C3-0AD9D8E6EE15}"/>
    <cellStyle name="Comma 4 8 4 3" xfId="5547" xr:uid="{EF6FBC98-90CF-4FBA-94C3-3257B7B7410C}"/>
    <cellStyle name="Comma 4 8 4 3 2" xfId="14219" xr:uid="{BA359D02-2F9A-40F8-BC31-2FC299AA6A44}"/>
    <cellStyle name="Comma 4 8 4 3 2 2" xfId="31563" xr:uid="{438F579A-CE04-462E-B809-C2838BB02611}"/>
    <cellStyle name="Comma 4 8 4 3 3" xfId="22891" xr:uid="{E30624CC-C576-4371-B713-385A9CD4B0B4}"/>
    <cellStyle name="Comma 4 8 4 4" xfId="9883" xr:uid="{11157409-98CB-4DF3-AFBE-D27F1235E47F}"/>
    <cellStyle name="Comma 4 8 4 4 2" xfId="27227" xr:uid="{B4020398-4D1E-4B67-A73C-EFC86B0429C4}"/>
    <cellStyle name="Comma 4 8 4 5" xfId="18555" xr:uid="{F6ECBF57-EBB6-4256-A15A-9BC2C50E974A}"/>
    <cellStyle name="Comma 4 8 5" xfId="2295" xr:uid="{B731EFFB-B775-410E-96B2-0B7D3010800B}"/>
    <cellStyle name="Comma 4 8 5 2" xfId="6631" xr:uid="{8CB7126A-53D9-4130-8717-F439F5345469}"/>
    <cellStyle name="Comma 4 8 5 2 2" xfId="15303" xr:uid="{84D83E7D-23E3-4A12-8B12-D3977B51914E}"/>
    <cellStyle name="Comma 4 8 5 2 2 2" xfId="32647" xr:uid="{AC211861-AEC6-4F28-A0B4-B4AAABDF155D}"/>
    <cellStyle name="Comma 4 8 5 2 3" xfId="23975" xr:uid="{39F7F469-863B-408A-B439-27354477C221}"/>
    <cellStyle name="Comma 4 8 5 3" xfId="10967" xr:uid="{21E8B2A7-83BA-45D7-94C4-4E14040966A1}"/>
    <cellStyle name="Comma 4 8 5 3 2" xfId="28311" xr:uid="{9A134807-9CF8-4131-B11A-2AE673DE1000}"/>
    <cellStyle name="Comma 4 8 5 4" xfId="19639" xr:uid="{2B318CE5-6DA3-4941-9C8C-FC9D65DB9453}"/>
    <cellStyle name="Comma 4 8 6" xfId="4463" xr:uid="{BE614292-E3B8-43E5-8C7F-B0708A070ED2}"/>
    <cellStyle name="Comma 4 8 6 2" xfId="13135" xr:uid="{FC65F3E1-130A-4287-A3C6-2AD017FB4FA9}"/>
    <cellStyle name="Comma 4 8 6 2 2" xfId="30479" xr:uid="{9FE789FD-20A0-4AF2-8718-A37036A1CB9A}"/>
    <cellStyle name="Comma 4 8 6 3" xfId="21807" xr:uid="{AF4FD05D-4890-4244-9161-A293B616ECDA}"/>
    <cellStyle name="Comma 4 8 7" xfId="8799" xr:uid="{F1A5057B-844A-4665-9991-D60537019DFB}"/>
    <cellStyle name="Comma 4 8 7 2" xfId="26143" xr:uid="{70C41C5C-4265-4380-A01A-280315AE9B48}"/>
    <cellStyle name="Comma 4 8 8" xfId="17471" xr:uid="{3F717673-A115-45D1-88B5-130B5832DA5D}"/>
    <cellStyle name="Comma 4 9" xfId="252" xr:uid="{31867DA8-EF07-4B41-A349-4ABFF15313F5}"/>
    <cellStyle name="Comma 4 9 2" xfId="522" xr:uid="{1C3DD151-CE04-45A2-92BD-0F09F5DE2B20}"/>
    <cellStyle name="Comma 4 9 2 2" xfId="1063" xr:uid="{DDC7C765-3A44-49B1-9405-3BAB78210512}"/>
    <cellStyle name="Comma 4 9 2 2 2" xfId="2147" xr:uid="{2A2AB417-EC2D-4823-B4F2-57638CD615CF}"/>
    <cellStyle name="Comma 4 9 2 2 2 2" xfId="4315" xr:uid="{244CB4D1-5EFC-4196-AB6E-1E5DE873C8A8}"/>
    <cellStyle name="Comma 4 9 2 2 2 2 2" xfId="8651" xr:uid="{65373583-20AD-4026-894F-10F7A2C453E0}"/>
    <cellStyle name="Comma 4 9 2 2 2 2 2 2" xfId="17323" xr:uid="{95521D68-8E09-48A7-A513-0C7A64A2DD07}"/>
    <cellStyle name="Comma 4 9 2 2 2 2 2 2 2" xfId="34667" xr:uid="{66DF9455-D561-4BBA-89B4-B247F06EBB9D}"/>
    <cellStyle name="Comma 4 9 2 2 2 2 2 3" xfId="25995" xr:uid="{309F0B18-5BD2-452F-B42A-7D3CBFB059B1}"/>
    <cellStyle name="Comma 4 9 2 2 2 2 3" xfId="12987" xr:uid="{85F2F664-9C63-4A7B-ABF2-4E98BE859B24}"/>
    <cellStyle name="Comma 4 9 2 2 2 2 3 2" xfId="30331" xr:uid="{095DB530-3072-4BC6-A2A6-9E5EDFF1C643}"/>
    <cellStyle name="Comma 4 9 2 2 2 2 4" xfId="21659" xr:uid="{D5AABCEE-F4C8-4D4A-A365-4598DBD42CF3}"/>
    <cellStyle name="Comma 4 9 2 2 2 3" xfId="6483" xr:uid="{317EB999-2D1A-4617-95F4-E2B6EC365AE9}"/>
    <cellStyle name="Comma 4 9 2 2 2 3 2" xfId="15155" xr:uid="{BC51BB17-BDE8-470C-A0EF-74EE7602BB2E}"/>
    <cellStyle name="Comma 4 9 2 2 2 3 2 2" xfId="32499" xr:uid="{C00B44D1-43DC-4347-8E26-993AFD5E1BB4}"/>
    <cellStyle name="Comma 4 9 2 2 2 3 3" xfId="23827" xr:uid="{C8D4C28F-F47C-4EA6-A41D-2323C8344080}"/>
    <cellStyle name="Comma 4 9 2 2 2 4" xfId="10819" xr:uid="{CDBE76D1-B7A0-47B3-A450-5249AE1EA532}"/>
    <cellStyle name="Comma 4 9 2 2 2 4 2" xfId="28163" xr:uid="{FFB95007-30E1-4AAD-8C6D-23671317B706}"/>
    <cellStyle name="Comma 4 9 2 2 2 5" xfId="19491" xr:uid="{C0D73F53-B5F6-475C-8A51-BCABDCC6458B}"/>
    <cellStyle name="Comma 4 9 2 2 3" xfId="3231" xr:uid="{CC35E835-35E4-4DAD-990A-ABBAD8E4F624}"/>
    <cellStyle name="Comma 4 9 2 2 3 2" xfId="7567" xr:uid="{16909F74-306E-41E0-AD3D-6C529C41AC88}"/>
    <cellStyle name="Comma 4 9 2 2 3 2 2" xfId="16239" xr:uid="{A463D5AC-094D-4C82-986F-0E2F07601841}"/>
    <cellStyle name="Comma 4 9 2 2 3 2 2 2" xfId="33583" xr:uid="{64232FA4-699E-4CE8-BCD3-E491BAB6568B}"/>
    <cellStyle name="Comma 4 9 2 2 3 2 3" xfId="24911" xr:uid="{D0D6981F-5CC9-4340-B3C0-404116D1386C}"/>
    <cellStyle name="Comma 4 9 2 2 3 3" xfId="11903" xr:uid="{7DCE6402-E03E-44E7-A2F5-6ABF1083D869}"/>
    <cellStyle name="Comma 4 9 2 2 3 3 2" xfId="29247" xr:uid="{99A6B74B-54DF-40AE-9DE6-72A1FB2B3B5A}"/>
    <cellStyle name="Comma 4 9 2 2 3 4" xfId="20575" xr:uid="{2EB1F34D-0341-4136-B4D3-E40D2DBD5CB5}"/>
    <cellStyle name="Comma 4 9 2 2 4" xfId="5399" xr:uid="{32AC3DBC-247E-4CF8-86F9-BDD538678970}"/>
    <cellStyle name="Comma 4 9 2 2 4 2" xfId="14071" xr:uid="{7827908E-FFF2-44E4-8969-EB6A9FFB13B0}"/>
    <cellStyle name="Comma 4 9 2 2 4 2 2" xfId="31415" xr:uid="{7C8926DE-3B74-489D-843E-92C172CD9D47}"/>
    <cellStyle name="Comma 4 9 2 2 4 3" xfId="22743" xr:uid="{B9D69BFF-2908-40F3-9551-3FE09B019365}"/>
    <cellStyle name="Comma 4 9 2 2 5" xfId="9735" xr:uid="{B7AE920C-3AAC-4CB5-9B20-FA231E9F2F8D}"/>
    <cellStyle name="Comma 4 9 2 2 5 2" xfId="27079" xr:uid="{39E1C4A3-BED2-4646-8EFB-FB37F1A17E09}"/>
    <cellStyle name="Comma 4 9 2 2 6" xfId="18407" xr:uid="{7261BBCC-FD69-4271-9742-BD3D78EA9B2F}"/>
    <cellStyle name="Comma 4 9 2 3" xfId="1606" xr:uid="{A13C9AB1-95C9-4B0F-B625-7B05EE69CD2A}"/>
    <cellStyle name="Comma 4 9 2 3 2" xfId="3774" xr:uid="{220970AF-C72F-454F-AD13-A5F566280BBE}"/>
    <cellStyle name="Comma 4 9 2 3 2 2" xfId="8110" xr:uid="{4D929B77-6074-4DDB-AD0D-A6613FE96831}"/>
    <cellStyle name="Comma 4 9 2 3 2 2 2" xfId="16782" xr:uid="{A897FEFE-34BD-4545-B70E-65B2BA629B0F}"/>
    <cellStyle name="Comma 4 9 2 3 2 2 2 2" xfId="34126" xr:uid="{5620F466-EB32-4173-AF0E-060D6F1B1965}"/>
    <cellStyle name="Comma 4 9 2 3 2 2 3" xfId="25454" xr:uid="{A00D0EBB-7C1B-4214-9BDD-573828DA7599}"/>
    <cellStyle name="Comma 4 9 2 3 2 3" xfId="12446" xr:uid="{F7C72CB3-180A-450E-84B4-CDBB71D45F0C}"/>
    <cellStyle name="Comma 4 9 2 3 2 3 2" xfId="29790" xr:uid="{B0BD056F-E529-4375-94D0-C19364A50EB0}"/>
    <cellStyle name="Comma 4 9 2 3 2 4" xfId="21118" xr:uid="{F195DAF5-5234-473D-9E82-9C9D86DF5F66}"/>
    <cellStyle name="Comma 4 9 2 3 3" xfId="5942" xr:uid="{50E36382-C6F1-4BEF-A082-6915BB0C7A06}"/>
    <cellStyle name="Comma 4 9 2 3 3 2" xfId="14614" xr:uid="{60A8AE9A-E71B-44E5-B779-73FC1199C543}"/>
    <cellStyle name="Comma 4 9 2 3 3 2 2" xfId="31958" xr:uid="{3CC0C1C8-2C6A-40AF-8600-B0E6349CE6CC}"/>
    <cellStyle name="Comma 4 9 2 3 3 3" xfId="23286" xr:uid="{2DB410E5-C565-4F78-8444-B331644A327A}"/>
    <cellStyle name="Comma 4 9 2 3 4" xfId="10278" xr:uid="{D83CD3C7-B96B-4419-93A4-B548125C80F6}"/>
    <cellStyle name="Comma 4 9 2 3 4 2" xfId="27622" xr:uid="{027D3F7B-7C75-4B76-B2F7-31D73CE024D7}"/>
    <cellStyle name="Comma 4 9 2 3 5" xfId="18950" xr:uid="{C40F09E0-4298-4EBA-8471-468F2D38C24E}"/>
    <cellStyle name="Comma 4 9 2 4" xfId="2690" xr:uid="{50ED4B40-BD21-4F2E-A13C-3BC3F6DB4301}"/>
    <cellStyle name="Comma 4 9 2 4 2" xfId="7026" xr:uid="{8B6A736D-B838-4F2F-A6A5-0B094649891B}"/>
    <cellStyle name="Comma 4 9 2 4 2 2" xfId="15698" xr:uid="{89A09A6E-F3B5-4595-A2C5-6DC3973599B2}"/>
    <cellStyle name="Comma 4 9 2 4 2 2 2" xfId="33042" xr:uid="{5DD0E3A9-DC28-43B6-9ABA-48B89CF5E197}"/>
    <cellStyle name="Comma 4 9 2 4 2 3" xfId="24370" xr:uid="{A0140740-A814-41B5-B21D-8A5747AFDF26}"/>
    <cellStyle name="Comma 4 9 2 4 3" xfId="11362" xr:uid="{3B2DB04A-BFC7-4066-BAEC-97CF1FE5AA29}"/>
    <cellStyle name="Comma 4 9 2 4 3 2" xfId="28706" xr:uid="{A30DDEA1-76F2-4E3E-A727-A9841372481A}"/>
    <cellStyle name="Comma 4 9 2 4 4" xfId="20034" xr:uid="{195D29CF-A6E1-4319-8F3D-CA048DD60F2C}"/>
    <cellStyle name="Comma 4 9 2 5" xfId="4858" xr:uid="{BC8B7376-8779-4C3D-86C3-634040675890}"/>
    <cellStyle name="Comma 4 9 2 5 2" xfId="13530" xr:uid="{0BF2423A-66EA-48C4-8903-221BEE0C24F5}"/>
    <cellStyle name="Comma 4 9 2 5 2 2" xfId="30874" xr:uid="{98D9E384-A164-468D-928B-6E53A55C1720}"/>
    <cellStyle name="Comma 4 9 2 5 3" xfId="22202" xr:uid="{8830AD5A-6997-41B0-974A-0B9FD140FB76}"/>
    <cellStyle name="Comma 4 9 2 6" xfId="9194" xr:uid="{B2C7A887-F6F4-41D8-A356-B2D2AC8F1C8A}"/>
    <cellStyle name="Comma 4 9 2 6 2" xfId="26538" xr:uid="{CC2DF4CE-1EB4-4B0C-836A-FFC33A3D01D4}"/>
    <cellStyle name="Comma 4 9 2 7" xfId="17866" xr:uid="{337618FD-DFA0-4E64-BD07-5DC01A12C72D}"/>
    <cellStyle name="Comma 4 9 3" xfId="793" xr:uid="{FBB85543-F081-4983-B7CD-5D3069894E0A}"/>
    <cellStyle name="Comma 4 9 3 2" xfId="1877" xr:uid="{034EB8DF-7DA1-41BE-ABDD-E3B31D9D66E0}"/>
    <cellStyle name="Comma 4 9 3 2 2" xfId="4045" xr:uid="{CE105DC1-B751-47C0-96FC-F8F65CB13DC1}"/>
    <cellStyle name="Comma 4 9 3 2 2 2" xfId="8381" xr:uid="{87A22BD5-84E9-4A89-8F67-477BA1679213}"/>
    <cellStyle name="Comma 4 9 3 2 2 2 2" xfId="17053" xr:uid="{6D1BF7B5-998F-48ED-9097-60A36BF06116}"/>
    <cellStyle name="Comma 4 9 3 2 2 2 2 2" xfId="34397" xr:uid="{67A0DD92-051A-4B4C-AEC7-A5D2328B0123}"/>
    <cellStyle name="Comma 4 9 3 2 2 2 3" xfId="25725" xr:uid="{2A8F1D88-80FE-4742-8DB5-7B996E5F7DFC}"/>
    <cellStyle name="Comma 4 9 3 2 2 3" xfId="12717" xr:uid="{82D1E3FB-5845-44F0-9BB8-7A6258DEEE1F}"/>
    <cellStyle name="Comma 4 9 3 2 2 3 2" xfId="30061" xr:uid="{215E7219-9908-4C63-94DA-3542AFFEE694}"/>
    <cellStyle name="Comma 4 9 3 2 2 4" xfId="21389" xr:uid="{8B54BDCF-1B44-400E-A081-0E7BC48DC4B0}"/>
    <cellStyle name="Comma 4 9 3 2 3" xfId="6213" xr:uid="{9F3434C9-46A8-4217-A9EB-5DA9BEFA7236}"/>
    <cellStyle name="Comma 4 9 3 2 3 2" xfId="14885" xr:uid="{16E1569A-FDF1-4F55-B5AD-8B0935C21713}"/>
    <cellStyle name="Comma 4 9 3 2 3 2 2" xfId="32229" xr:uid="{37A39BD6-1AE6-44FC-A89D-11DD87C5E5F7}"/>
    <cellStyle name="Comma 4 9 3 2 3 3" xfId="23557" xr:uid="{6FCF1306-158C-4CD9-8FA9-189E2857EF5C}"/>
    <cellStyle name="Comma 4 9 3 2 4" xfId="10549" xr:uid="{150A3B9F-C85F-4B87-A784-D62C0177865D}"/>
    <cellStyle name="Comma 4 9 3 2 4 2" xfId="27893" xr:uid="{44F40DDB-C318-4455-961F-F73C1D393ED9}"/>
    <cellStyle name="Comma 4 9 3 2 5" xfId="19221" xr:uid="{7059C153-96AF-486F-8F1A-1A56FEEDF122}"/>
    <cellStyle name="Comma 4 9 3 3" xfId="2961" xr:uid="{BA328240-5224-4D57-97B0-267D1FF278B8}"/>
    <cellStyle name="Comma 4 9 3 3 2" xfId="7297" xr:uid="{DC09436D-5632-4034-AF97-3FBD6C1B6A12}"/>
    <cellStyle name="Comma 4 9 3 3 2 2" xfId="15969" xr:uid="{219BBB5D-3A2F-4D3B-ACD1-D2B9175A3C33}"/>
    <cellStyle name="Comma 4 9 3 3 2 2 2" xfId="33313" xr:uid="{3186D6AD-7972-447A-9870-02F8956E48FE}"/>
    <cellStyle name="Comma 4 9 3 3 2 3" xfId="24641" xr:uid="{DD43DA5F-A5FE-4D13-8BF9-444AED2D9371}"/>
    <cellStyle name="Comma 4 9 3 3 3" xfId="11633" xr:uid="{E7BD1CD1-305C-486F-9FE7-3C24F89A0A8D}"/>
    <cellStyle name="Comma 4 9 3 3 3 2" xfId="28977" xr:uid="{F13CAF17-86DA-4A6F-82CA-E89AFD8DBEEB}"/>
    <cellStyle name="Comma 4 9 3 3 4" xfId="20305" xr:uid="{673722D3-E144-4800-8873-74EE25EBA8EE}"/>
    <cellStyle name="Comma 4 9 3 4" xfId="5129" xr:uid="{E7DD1466-1991-44A0-B83E-C667F5FA667D}"/>
    <cellStyle name="Comma 4 9 3 4 2" xfId="13801" xr:uid="{9CA22CE5-9084-428B-A16B-3408E774E78E}"/>
    <cellStyle name="Comma 4 9 3 4 2 2" xfId="31145" xr:uid="{9C1159F3-E732-4397-B627-06072741327A}"/>
    <cellStyle name="Comma 4 9 3 4 3" xfId="22473" xr:uid="{2D9A527A-B1CE-4BB1-84C8-FDC2525F81AC}"/>
    <cellStyle name="Comma 4 9 3 5" xfId="9465" xr:uid="{C73D9849-F6F9-4388-B0AD-EC21CA8A544E}"/>
    <cellStyle name="Comma 4 9 3 5 2" xfId="26809" xr:uid="{D5640559-E4F2-498D-A749-D7E39D6AEF68}"/>
    <cellStyle name="Comma 4 9 3 6" xfId="18137" xr:uid="{BB6E3BAC-CA20-4211-85BB-6027F980B731}"/>
    <cellStyle name="Comma 4 9 4" xfId="1336" xr:uid="{087F1CA4-9B29-4AEF-9422-95A52C4C3D67}"/>
    <cellStyle name="Comma 4 9 4 2" xfId="3504" xr:uid="{7813F07F-1085-4471-9A51-0EA1C8CDBC51}"/>
    <cellStyle name="Comma 4 9 4 2 2" xfId="7840" xr:uid="{02C28E77-9E5D-4390-AA52-AE219E8EE189}"/>
    <cellStyle name="Comma 4 9 4 2 2 2" xfId="16512" xr:uid="{DF608B3F-9453-4CA2-B356-F5FEAD34A1CB}"/>
    <cellStyle name="Comma 4 9 4 2 2 2 2" xfId="33856" xr:uid="{3ADF32FA-67E1-4076-92A8-47523C9C029A}"/>
    <cellStyle name="Comma 4 9 4 2 2 3" xfId="25184" xr:uid="{32130A3B-CC13-43D7-98E2-5EC489519A50}"/>
    <cellStyle name="Comma 4 9 4 2 3" xfId="12176" xr:uid="{02F1E0E0-6831-4CA4-8F4C-0131469460C5}"/>
    <cellStyle name="Comma 4 9 4 2 3 2" xfId="29520" xr:uid="{CAD746D5-E967-448F-B924-A7E9AD2484D5}"/>
    <cellStyle name="Comma 4 9 4 2 4" xfId="20848" xr:uid="{1A451E7E-41DD-4BE7-A6FB-E097135E7D76}"/>
    <cellStyle name="Comma 4 9 4 3" xfId="5672" xr:uid="{1CC51A96-04C9-444E-BEDD-70A677D0E911}"/>
    <cellStyle name="Comma 4 9 4 3 2" xfId="14344" xr:uid="{4C62A099-60FA-46FD-9A5D-207B0464F237}"/>
    <cellStyle name="Comma 4 9 4 3 2 2" xfId="31688" xr:uid="{5A760E20-B144-44D3-8FB4-60BEFC758D42}"/>
    <cellStyle name="Comma 4 9 4 3 3" xfId="23016" xr:uid="{F8D8F16F-6168-4711-B270-50FD3282E459}"/>
    <cellStyle name="Comma 4 9 4 4" xfId="10008" xr:uid="{073CE238-2122-4172-9E3B-11B417502906}"/>
    <cellStyle name="Comma 4 9 4 4 2" xfId="27352" xr:uid="{89690857-4111-4D11-BAD8-BD9F68150CA4}"/>
    <cellStyle name="Comma 4 9 4 5" xfId="18680" xr:uid="{4DAC22B0-6665-410C-A420-6616E29A4F67}"/>
    <cellStyle name="Comma 4 9 5" xfId="2420" xr:uid="{244E1098-7330-4F92-93E3-0C9CFA3F191F}"/>
    <cellStyle name="Comma 4 9 5 2" xfId="6756" xr:uid="{82DBFD3D-CFED-4BB7-BF6A-1FB250E3266D}"/>
    <cellStyle name="Comma 4 9 5 2 2" xfId="15428" xr:uid="{C3A4F26B-DE63-417E-A45C-B5E18FDB91A3}"/>
    <cellStyle name="Comma 4 9 5 2 2 2" xfId="32772" xr:uid="{60ABF033-5A97-4A07-86C6-C50B1DD1B698}"/>
    <cellStyle name="Comma 4 9 5 2 3" xfId="24100" xr:uid="{34747C2E-AA1D-4B0F-85C2-556F957A1391}"/>
    <cellStyle name="Comma 4 9 5 3" xfId="11092" xr:uid="{8F9444CF-C121-4FE3-840E-94CDB2125BD0}"/>
    <cellStyle name="Comma 4 9 5 3 2" xfId="28436" xr:uid="{B4F31DEB-393C-4C46-949E-2D4B99477690}"/>
    <cellStyle name="Comma 4 9 5 4" xfId="19764" xr:uid="{275226B4-BB9F-484D-AF63-A0B03F5D8456}"/>
    <cellStyle name="Comma 4 9 6" xfId="4588" xr:uid="{00D16884-048A-4434-8466-ADA31D31F341}"/>
    <cellStyle name="Comma 4 9 6 2" xfId="13260" xr:uid="{C5E81BC4-990D-4695-BF94-5B51CE76E649}"/>
    <cellStyle name="Comma 4 9 6 2 2" xfId="30604" xr:uid="{C446BC77-CC31-4073-B5F9-8825E05A61BE}"/>
    <cellStyle name="Comma 4 9 6 3" xfId="21932" xr:uid="{15A7C9C5-21D5-4593-B828-BE72F6C9231C}"/>
    <cellStyle name="Comma 4 9 7" xfId="8924" xr:uid="{BFA27BEF-D7F3-4647-8692-3A0CB158EEC3}"/>
    <cellStyle name="Comma 4 9 7 2" xfId="26268" xr:uid="{D920C544-6AE0-4109-B233-939F26C716D6}"/>
    <cellStyle name="Comma 4 9 8" xfId="17596" xr:uid="{FFD11237-E6CD-4D29-BEE0-61BC23882AD5}"/>
    <cellStyle name="Comma 5" xfId="6" xr:uid="{8E35183D-0624-44F5-86B0-88B8D83A7E3C}"/>
    <cellStyle name="Comma 5 10" xfId="276" xr:uid="{0E6C1B88-5922-4925-9511-6B7520B3624F}"/>
    <cellStyle name="Comma 5 10 2" xfId="817" xr:uid="{E4E08212-D98A-4F62-943A-7CAAB57258F8}"/>
    <cellStyle name="Comma 5 10 2 2" xfId="1901" xr:uid="{201A0643-FE28-4852-A07F-49FEC2D9846F}"/>
    <cellStyle name="Comma 5 10 2 2 2" xfId="4069" xr:uid="{745A4EB8-C27B-438C-9DCA-9DFECF047A17}"/>
    <cellStyle name="Comma 5 10 2 2 2 2" xfId="8405" xr:uid="{547010D1-B5EF-4CC5-9845-55AC9A3BCB1E}"/>
    <cellStyle name="Comma 5 10 2 2 2 2 2" xfId="17077" xr:uid="{EE6CB715-001A-459A-BE92-4DD191CC25B3}"/>
    <cellStyle name="Comma 5 10 2 2 2 2 2 2" xfId="34421" xr:uid="{24BF862F-8826-463D-9BD6-60BB345236AC}"/>
    <cellStyle name="Comma 5 10 2 2 2 2 3" xfId="25749" xr:uid="{852BA119-F0D3-442A-ABBE-AD4540616D85}"/>
    <cellStyle name="Comma 5 10 2 2 2 3" xfId="12741" xr:uid="{62BE7547-2566-499A-95C1-82AC8CD40EB7}"/>
    <cellStyle name="Comma 5 10 2 2 2 3 2" xfId="30085" xr:uid="{C459AE27-33B9-4047-95B2-AB07EF8D650B}"/>
    <cellStyle name="Comma 5 10 2 2 2 4" xfId="21413" xr:uid="{5377E6DB-EEE1-4D6C-86A5-0292D83CC4CA}"/>
    <cellStyle name="Comma 5 10 2 2 3" xfId="6237" xr:uid="{D1151188-ECDA-4854-A616-888295DFEC4C}"/>
    <cellStyle name="Comma 5 10 2 2 3 2" xfId="14909" xr:uid="{99C7337B-05C2-4AD4-B5E6-DC2F3EE934A4}"/>
    <cellStyle name="Comma 5 10 2 2 3 2 2" xfId="32253" xr:uid="{CB1AABCC-254B-4EF7-9757-62AE908866AF}"/>
    <cellStyle name="Comma 5 10 2 2 3 3" xfId="23581" xr:uid="{D3C07B0C-F949-45B4-862D-E05B7423230A}"/>
    <cellStyle name="Comma 5 10 2 2 4" xfId="10573" xr:uid="{114C93E1-9AF1-4D73-862C-CF93EA23BB97}"/>
    <cellStyle name="Comma 5 10 2 2 4 2" xfId="27917" xr:uid="{35954601-2115-46D5-B295-B9C0600C0268}"/>
    <cellStyle name="Comma 5 10 2 2 5" xfId="19245" xr:uid="{5F8F17A2-E8E4-49F5-BDE2-5B8949B46760}"/>
    <cellStyle name="Comma 5 10 2 3" xfId="2985" xr:uid="{B4AD2665-31DA-4ED4-A2CD-7FF82FF0801D}"/>
    <cellStyle name="Comma 5 10 2 3 2" xfId="7321" xr:uid="{57E86557-EAC6-493B-A24C-A450D7587155}"/>
    <cellStyle name="Comma 5 10 2 3 2 2" xfId="15993" xr:uid="{0B30EDCA-900E-449C-A3F6-55B5E641F93E}"/>
    <cellStyle name="Comma 5 10 2 3 2 2 2" xfId="33337" xr:uid="{E118C67D-A227-4882-B268-0BD64B43F1A2}"/>
    <cellStyle name="Comma 5 10 2 3 2 3" xfId="24665" xr:uid="{82BC6FD3-931E-44AD-B381-8BEFB2B743D3}"/>
    <cellStyle name="Comma 5 10 2 3 3" xfId="11657" xr:uid="{6349D405-C497-49B3-91A5-BDACECC01D39}"/>
    <cellStyle name="Comma 5 10 2 3 3 2" xfId="29001" xr:uid="{DD678586-8A17-4E92-8301-C2F4321A4EB5}"/>
    <cellStyle name="Comma 5 10 2 3 4" xfId="20329" xr:uid="{D1B15E91-43A8-42ED-BF2B-C227EDDA9233}"/>
    <cellStyle name="Comma 5 10 2 4" xfId="5153" xr:uid="{3D608461-0B78-42D3-9095-C2A21E3B2797}"/>
    <cellStyle name="Comma 5 10 2 4 2" xfId="13825" xr:uid="{65B9B8D7-5C89-4CE7-BA9E-E1AE0C4CECC5}"/>
    <cellStyle name="Comma 5 10 2 4 2 2" xfId="31169" xr:uid="{2AC6471F-9D08-4769-AB8F-04935D7C43F3}"/>
    <cellStyle name="Comma 5 10 2 4 3" xfId="22497" xr:uid="{4FC6D99C-AFD9-45FB-B110-28FA9E85D30D}"/>
    <cellStyle name="Comma 5 10 2 5" xfId="9489" xr:uid="{D4B66B9B-F47E-4846-AD48-67022204F315}"/>
    <cellStyle name="Comma 5 10 2 5 2" xfId="26833" xr:uid="{776FDBDB-D9F3-4814-A38E-E8F5892C96B0}"/>
    <cellStyle name="Comma 5 10 2 6" xfId="18161" xr:uid="{04B8E198-D7B6-4256-8E59-65BCBDDEF26B}"/>
    <cellStyle name="Comma 5 10 3" xfId="1360" xr:uid="{74D23B89-8071-4427-9F14-B8A7CCE4C30B}"/>
    <cellStyle name="Comma 5 10 3 2" xfId="3528" xr:uid="{1D94F693-73AE-4CC5-AA64-4A46FEF8C13D}"/>
    <cellStyle name="Comma 5 10 3 2 2" xfId="7864" xr:uid="{0664A2CE-7750-49A4-8B22-0DF365FCEC4B}"/>
    <cellStyle name="Comma 5 10 3 2 2 2" xfId="16536" xr:uid="{E3715A7A-0F3D-4D16-8D42-647D34462CAB}"/>
    <cellStyle name="Comma 5 10 3 2 2 2 2" xfId="33880" xr:uid="{D04E936D-F8CD-4FC9-BF47-7B844A4E8D2B}"/>
    <cellStyle name="Comma 5 10 3 2 2 3" xfId="25208" xr:uid="{F90C3553-4DAE-4D9A-931D-B5DE6F1399CB}"/>
    <cellStyle name="Comma 5 10 3 2 3" xfId="12200" xr:uid="{3FD5A4C2-9A5E-4B5B-894F-D31DF4FF98CA}"/>
    <cellStyle name="Comma 5 10 3 2 3 2" xfId="29544" xr:uid="{0B953A11-5869-4319-BD87-0B5514684CB2}"/>
    <cellStyle name="Comma 5 10 3 2 4" xfId="20872" xr:uid="{FC32B6B4-EDF3-42DB-A1A3-BCC91BD5D666}"/>
    <cellStyle name="Comma 5 10 3 3" xfId="5696" xr:uid="{E42E1668-7655-44F5-8844-712C50A59DC7}"/>
    <cellStyle name="Comma 5 10 3 3 2" xfId="14368" xr:uid="{88AF8821-35E3-4AC1-BA37-BCF714AF44CB}"/>
    <cellStyle name="Comma 5 10 3 3 2 2" xfId="31712" xr:uid="{1123717B-6C0C-45C9-A30B-9567B2DC9863}"/>
    <cellStyle name="Comma 5 10 3 3 3" xfId="23040" xr:uid="{FFB1F60A-E7DE-4C64-873F-B6399192335D}"/>
    <cellStyle name="Comma 5 10 3 4" xfId="10032" xr:uid="{B81861C3-09A7-401A-8749-D5F6AD63D136}"/>
    <cellStyle name="Comma 5 10 3 4 2" xfId="27376" xr:uid="{A5CE1963-1741-4023-A7FE-0ED84B8F247A}"/>
    <cellStyle name="Comma 5 10 3 5" xfId="18704" xr:uid="{0EDBCB9F-C9A5-4B89-AE9D-965B4E09430C}"/>
    <cellStyle name="Comma 5 10 4" xfId="2444" xr:uid="{8B89ACC1-C611-407C-AF95-010DD35A8466}"/>
    <cellStyle name="Comma 5 10 4 2" xfId="6780" xr:uid="{8BE10EF7-472C-4DE2-A409-B551E06BDADD}"/>
    <cellStyle name="Comma 5 10 4 2 2" xfId="15452" xr:uid="{DDF0486F-B16B-4AD0-AEDF-0B7AECB24977}"/>
    <cellStyle name="Comma 5 10 4 2 2 2" xfId="32796" xr:uid="{9751579B-CEC2-4CFC-BFD8-7B66B7B75A91}"/>
    <cellStyle name="Comma 5 10 4 2 3" xfId="24124" xr:uid="{405888E3-CD42-4DCF-A950-99174CCCFA51}"/>
    <cellStyle name="Comma 5 10 4 3" xfId="11116" xr:uid="{1F696788-868A-4626-870A-F1688B0E884F}"/>
    <cellStyle name="Comma 5 10 4 3 2" xfId="28460" xr:uid="{698CF046-C35C-4E8E-BE04-63F6ADBFE153}"/>
    <cellStyle name="Comma 5 10 4 4" xfId="19788" xr:uid="{A3EE87C3-03C3-4AF2-86A8-DEDD38C8BEAE}"/>
    <cellStyle name="Comma 5 10 5" xfId="4612" xr:uid="{91D33D99-B67E-4EC2-8BAF-CC9F149A746A}"/>
    <cellStyle name="Comma 5 10 5 2" xfId="13284" xr:uid="{C3A491EA-048F-4BF4-87B1-7466D93F9F89}"/>
    <cellStyle name="Comma 5 10 5 2 2" xfId="30628" xr:uid="{B1A9137D-A05E-4465-BA95-9BC6FBE864ED}"/>
    <cellStyle name="Comma 5 10 5 3" xfId="21956" xr:uid="{6A171866-371E-4563-80B0-9136242AAD95}"/>
    <cellStyle name="Comma 5 10 6" xfId="8948" xr:uid="{23241749-283A-447C-8258-64EFB45631D3}"/>
    <cellStyle name="Comma 5 10 6 2" xfId="26292" xr:uid="{4DCC070B-AB58-4C7E-ADB0-89D78CC2C55E}"/>
    <cellStyle name="Comma 5 10 7" xfId="17620" xr:uid="{D16AF6A4-92C4-40B2-B9F8-3BE4AEF47526}"/>
    <cellStyle name="Comma 5 11" xfId="547" xr:uid="{E9C85AC5-264D-4973-B2C6-174247DE461A}"/>
    <cellStyle name="Comma 5 11 2" xfId="1631" xr:uid="{1F9C75B1-2E7B-424F-AA26-BEA5A1B00AE5}"/>
    <cellStyle name="Comma 5 11 2 2" xfId="3799" xr:uid="{00F41521-0092-4726-B332-D5CE865017D2}"/>
    <cellStyle name="Comma 5 11 2 2 2" xfId="8135" xr:uid="{ABD0EFBF-D762-4A42-82A1-30978EA35878}"/>
    <cellStyle name="Comma 5 11 2 2 2 2" xfId="16807" xr:uid="{FE1D9AF1-74AF-4B8E-B4B9-67C87AAA840C}"/>
    <cellStyle name="Comma 5 11 2 2 2 2 2" xfId="34151" xr:uid="{B524FD66-3413-4365-A7FB-F88C7532A0A4}"/>
    <cellStyle name="Comma 5 11 2 2 2 3" xfId="25479" xr:uid="{01CD9E39-C1E0-477D-A9E8-61BD1C021FA4}"/>
    <cellStyle name="Comma 5 11 2 2 3" xfId="12471" xr:uid="{E2A7522B-7E0E-4D0B-A489-EDB0B20202B3}"/>
    <cellStyle name="Comma 5 11 2 2 3 2" xfId="29815" xr:uid="{D5BA5592-5098-403D-95B4-B079F76ED182}"/>
    <cellStyle name="Comma 5 11 2 2 4" xfId="21143" xr:uid="{FC24DDE9-CC97-4A13-8FCE-9CEEEFF14DB8}"/>
    <cellStyle name="Comma 5 11 2 3" xfId="5967" xr:uid="{439C97C5-5C50-43D4-B6F0-02D35276C73C}"/>
    <cellStyle name="Comma 5 11 2 3 2" xfId="14639" xr:uid="{E8E850AB-75C8-4D62-B167-90CFC90FB8EA}"/>
    <cellStyle name="Comma 5 11 2 3 2 2" xfId="31983" xr:uid="{1C0632EB-9D40-466A-8131-1C0BAA1FC1B3}"/>
    <cellStyle name="Comma 5 11 2 3 3" xfId="23311" xr:uid="{7173E8F9-D192-48E0-8FE1-BDAE5BCD8289}"/>
    <cellStyle name="Comma 5 11 2 4" xfId="10303" xr:uid="{C7C260EA-ADF0-4898-9890-8F07F503EEA3}"/>
    <cellStyle name="Comma 5 11 2 4 2" xfId="27647" xr:uid="{EDD5418A-DBD5-4617-B00E-D3B08E4FD9F9}"/>
    <cellStyle name="Comma 5 11 2 5" xfId="18975" xr:uid="{91B85043-3FDC-4591-8664-245708778482}"/>
    <cellStyle name="Comma 5 11 3" xfId="2715" xr:uid="{DB26827F-4C65-455C-8C24-622BA422A347}"/>
    <cellStyle name="Comma 5 11 3 2" xfId="7051" xr:uid="{FE17308D-E67B-4881-AAB3-727D8161BF37}"/>
    <cellStyle name="Comma 5 11 3 2 2" xfId="15723" xr:uid="{68D93FB6-17B2-469F-BE16-4DC99D76B67C}"/>
    <cellStyle name="Comma 5 11 3 2 2 2" xfId="33067" xr:uid="{BFA4D567-E126-4CC1-BAF1-F7C65891EA7C}"/>
    <cellStyle name="Comma 5 11 3 2 3" xfId="24395" xr:uid="{4889D031-2BC1-4B89-9160-5D7A1A25116E}"/>
    <cellStyle name="Comma 5 11 3 3" xfId="11387" xr:uid="{1C034272-96A7-4B45-A2E6-C0092A351CFE}"/>
    <cellStyle name="Comma 5 11 3 3 2" xfId="28731" xr:uid="{51541E60-48F2-4F1C-A99B-A46D0DACA542}"/>
    <cellStyle name="Comma 5 11 3 4" xfId="20059" xr:uid="{285205F1-E6AC-4250-BEF6-6F5593DD2AB6}"/>
    <cellStyle name="Comma 5 11 4" xfId="4883" xr:uid="{E9336692-7797-4918-B8F7-5C1B02FD31B9}"/>
    <cellStyle name="Comma 5 11 4 2" xfId="13555" xr:uid="{2228C9AA-8D0F-4204-919A-9FF63343DD67}"/>
    <cellStyle name="Comma 5 11 4 2 2" xfId="30899" xr:uid="{A6CB341B-AE57-41C2-AC36-FE622C6A9550}"/>
    <cellStyle name="Comma 5 11 4 3" xfId="22227" xr:uid="{9CA9A00A-47F3-4D54-BA1D-A436FF8F44FD}"/>
    <cellStyle name="Comma 5 11 5" xfId="9219" xr:uid="{51C9823C-36C5-42C8-A7D0-66733EF08F38}"/>
    <cellStyle name="Comma 5 11 5 2" xfId="26563" xr:uid="{79135FFD-BFE5-4E0B-831D-68EF6131661C}"/>
    <cellStyle name="Comma 5 11 6" xfId="17891" xr:uid="{ECC7ACE4-AC03-467B-BB4D-4147689C4471}"/>
    <cellStyle name="Comma 5 12" xfId="1090" xr:uid="{670571B1-4A07-4CF6-85A4-B34F2291677D}"/>
    <cellStyle name="Comma 5 12 2" xfId="3258" xr:uid="{65A663EB-9872-440B-AEDC-7C0A1CD3B88C}"/>
    <cellStyle name="Comma 5 12 2 2" xfId="7594" xr:uid="{6580CD63-C793-487B-8A9B-4B8DC846B9CB}"/>
    <cellStyle name="Comma 5 12 2 2 2" xfId="16266" xr:uid="{8712D05C-1C4B-409B-99E8-27FA4C91CB0F}"/>
    <cellStyle name="Comma 5 12 2 2 2 2" xfId="33610" xr:uid="{82277209-1BE6-4C44-B80C-69285CFA58B0}"/>
    <cellStyle name="Comma 5 12 2 2 3" xfId="24938" xr:uid="{52D6140A-FA4F-434F-8F65-7CE3468273D5}"/>
    <cellStyle name="Comma 5 12 2 3" xfId="11930" xr:uid="{B92DC961-42DD-494B-B4B4-59B67414F515}"/>
    <cellStyle name="Comma 5 12 2 3 2" xfId="29274" xr:uid="{25549DFC-D2EB-4E8A-9CDC-BB3F8EA983AA}"/>
    <cellStyle name="Comma 5 12 2 4" xfId="20602" xr:uid="{6A168B7A-1487-4C0A-BD2F-6BF0D7C89B53}"/>
    <cellStyle name="Comma 5 12 3" xfId="5426" xr:uid="{29DED706-65F2-4276-ACED-DE6869D7BEE6}"/>
    <cellStyle name="Comma 5 12 3 2" xfId="14098" xr:uid="{12B8A83C-A7A2-441F-987A-02F7E2A79FED}"/>
    <cellStyle name="Comma 5 12 3 2 2" xfId="31442" xr:uid="{31D888BC-E8D8-475B-AD21-9DBC76753826}"/>
    <cellStyle name="Comma 5 12 3 3" xfId="22770" xr:uid="{622A517A-0D42-4803-8861-D80A42CAC0AA}"/>
    <cellStyle name="Comma 5 12 4" xfId="9762" xr:uid="{60CDADA4-9E63-4C30-AF21-EBC1A976BF46}"/>
    <cellStyle name="Comma 5 12 4 2" xfId="27106" xr:uid="{6568251B-BD4B-4301-9A81-E69CDA83088E}"/>
    <cellStyle name="Comma 5 12 5" xfId="18434" xr:uid="{82EC69EE-D0C5-4D06-9361-441E4E0798B3}"/>
    <cellStyle name="Comma 5 13" xfId="2174" xr:uid="{168480B3-A8F9-4E9C-8416-09BA86EE55EB}"/>
    <cellStyle name="Comma 5 13 2" xfId="6510" xr:uid="{3EE92627-C6E1-40AA-8AA8-2C577A317820}"/>
    <cellStyle name="Comma 5 13 2 2" xfId="15182" xr:uid="{6830245A-FB05-4FD9-8409-F1E725B7AFE6}"/>
    <cellStyle name="Comma 5 13 2 2 2" xfId="32526" xr:uid="{8896EF1C-60E5-4FDF-B9DC-39ED6343EF42}"/>
    <cellStyle name="Comma 5 13 2 3" xfId="23854" xr:uid="{84148766-22AF-4BA3-BC27-EAD493214C60}"/>
    <cellStyle name="Comma 5 13 3" xfId="10846" xr:uid="{4A24914D-D18E-4568-8C5B-D8EE09477C65}"/>
    <cellStyle name="Comma 5 13 3 2" xfId="28190" xr:uid="{101B6416-A3F6-41CB-8A2C-4EFFB952AEC1}"/>
    <cellStyle name="Comma 5 13 4" xfId="19518" xr:uid="{CF6143D2-7717-4CBB-B187-B36E301E8162}"/>
    <cellStyle name="Comma 5 14" xfId="4342" xr:uid="{5D4AA798-E297-4EAA-87B7-9AA1C58A838F}"/>
    <cellStyle name="Comma 5 14 2" xfId="13014" xr:uid="{FFB66441-3972-4EFF-92DF-A2C82A5DA7B3}"/>
    <cellStyle name="Comma 5 14 2 2" xfId="30358" xr:uid="{2BD60E0D-875F-4EC6-AD2E-43E9383CE416}"/>
    <cellStyle name="Comma 5 14 3" xfId="21686" xr:uid="{8244E130-1CA3-413F-9BE6-4653865200B3}"/>
    <cellStyle name="Comma 5 15" xfId="8678" xr:uid="{8AB01E49-AAC7-4D90-96C8-7D1D014E6D6C}"/>
    <cellStyle name="Comma 5 15 2" xfId="26022" xr:uid="{BAB82D4D-3D57-488D-A883-11CAE7B82DF6}"/>
    <cellStyle name="Comma 5 16" xfId="17350" xr:uid="{E3F71BF3-5C44-4DDD-8AB4-739CA73B31AD}"/>
    <cellStyle name="Comma 5 2" xfId="12" xr:uid="{E606E049-3DB0-4720-88CB-68D020B87823}"/>
    <cellStyle name="Comma 5 2 10" xfId="2180" xr:uid="{B58A9A55-2E5C-41A9-93BE-FF01E66FCF33}"/>
    <cellStyle name="Comma 5 2 10 2" xfId="6516" xr:uid="{0760F8FE-3ABF-4AA6-9A2D-FA0CA7BA1ED8}"/>
    <cellStyle name="Comma 5 2 10 2 2" xfId="15188" xr:uid="{2E4F248F-9273-4BB0-AE97-9E946149C974}"/>
    <cellStyle name="Comma 5 2 10 2 2 2" xfId="32532" xr:uid="{5310DEB0-CA35-4D21-83F7-2004DEC8847F}"/>
    <cellStyle name="Comma 5 2 10 2 3" xfId="23860" xr:uid="{688ECDD6-5FB5-4C40-B7C0-B7693294905D}"/>
    <cellStyle name="Comma 5 2 10 3" xfId="10852" xr:uid="{BB0601E8-9210-4266-AE84-F96557DC019C}"/>
    <cellStyle name="Comma 5 2 10 3 2" xfId="28196" xr:uid="{EED3D01E-D7D2-4016-AD69-76A44C0041F9}"/>
    <cellStyle name="Comma 5 2 10 4" xfId="19524" xr:uid="{1EF1A9E1-1828-41B5-A72F-3568A844239B}"/>
    <cellStyle name="Comma 5 2 11" xfId="4348" xr:uid="{F68B4FAE-B08D-49A0-B8E9-837CC8B24970}"/>
    <cellStyle name="Comma 5 2 11 2" xfId="13020" xr:uid="{8B459433-2C82-4AD4-9169-91296AA653A5}"/>
    <cellStyle name="Comma 5 2 11 2 2" xfId="30364" xr:uid="{A0B1185C-7146-43B1-8469-CA0F4A353EE5}"/>
    <cellStyle name="Comma 5 2 11 3" xfId="21692" xr:uid="{977F2EF8-1C1E-43F3-89DF-BD205EE10C6D}"/>
    <cellStyle name="Comma 5 2 12" xfId="8684" xr:uid="{4784F60F-35E5-45B4-A643-333EB9AB3598}"/>
    <cellStyle name="Comma 5 2 12 2" xfId="26028" xr:uid="{0155B778-8C1D-442B-AC7D-AE29ABA8F4A0}"/>
    <cellStyle name="Comma 5 2 13" xfId="17356" xr:uid="{F9B6AB97-902C-44AE-BE69-0E8A4894BA35}"/>
    <cellStyle name="Comma 5 2 2" xfId="28" xr:uid="{92D59AB2-AFAA-406B-9F46-C10DA17FCCB0}"/>
    <cellStyle name="Comma 5 2 2 10" xfId="17372" xr:uid="{486E6541-5ADD-4954-BEE3-517501C02648}"/>
    <cellStyle name="Comma 5 2 2 2" xfId="89" xr:uid="{974C058D-EE92-41EE-9FA5-6E34AC0744E8}"/>
    <cellStyle name="Comma 5 2 2 2 2" xfId="211" xr:uid="{45D7048D-8DB1-4A2D-9C5C-89086979389B}"/>
    <cellStyle name="Comma 5 2 2 2 2 2" xfId="481" xr:uid="{A705EF62-9D8B-4B84-A248-07FEA2B4BF3E}"/>
    <cellStyle name="Comma 5 2 2 2 2 2 2" xfId="1022" xr:uid="{55773052-5114-4F70-AF51-BB5F73B1CA28}"/>
    <cellStyle name="Comma 5 2 2 2 2 2 2 2" xfId="2106" xr:uid="{20986BE9-1294-42A5-A2AB-C96E718772BD}"/>
    <cellStyle name="Comma 5 2 2 2 2 2 2 2 2" xfId="4274" xr:uid="{9E879E9A-8876-4187-A03F-D3CF27997C06}"/>
    <cellStyle name="Comma 5 2 2 2 2 2 2 2 2 2" xfId="8610" xr:uid="{CD2D33C3-3180-47A7-A4CC-FF30BD87A13D}"/>
    <cellStyle name="Comma 5 2 2 2 2 2 2 2 2 2 2" xfId="17282" xr:uid="{0A8059E5-0E72-481E-B782-B77C79D87F1F}"/>
    <cellStyle name="Comma 5 2 2 2 2 2 2 2 2 2 2 2" xfId="34626" xr:uid="{DD628676-DEA3-4C2C-BE4D-A97A93911940}"/>
    <cellStyle name="Comma 5 2 2 2 2 2 2 2 2 2 3" xfId="25954" xr:uid="{85D75538-BED2-4498-9256-2992EBC17BFD}"/>
    <cellStyle name="Comma 5 2 2 2 2 2 2 2 2 3" xfId="12946" xr:uid="{1331789F-C7DC-4A24-BA85-E052D55CA886}"/>
    <cellStyle name="Comma 5 2 2 2 2 2 2 2 2 3 2" xfId="30290" xr:uid="{3C14E792-BF89-4E54-B7DE-F2D4E4557686}"/>
    <cellStyle name="Comma 5 2 2 2 2 2 2 2 2 4" xfId="21618" xr:uid="{0EC28E4E-06AC-4824-BB40-AD6F8D54F8AA}"/>
    <cellStyle name="Comma 5 2 2 2 2 2 2 2 3" xfId="6442" xr:uid="{1CFE4499-E33D-48A8-AF4B-A954A2039790}"/>
    <cellStyle name="Comma 5 2 2 2 2 2 2 2 3 2" xfId="15114" xr:uid="{DD0DC9BC-18D8-423B-B709-0B6D8FD13F2A}"/>
    <cellStyle name="Comma 5 2 2 2 2 2 2 2 3 2 2" xfId="32458" xr:uid="{BF460117-B359-4001-B892-97FDCB8E2F04}"/>
    <cellStyle name="Comma 5 2 2 2 2 2 2 2 3 3" xfId="23786" xr:uid="{9087BCE2-97B0-4C23-A3DB-F4A7F112BBAE}"/>
    <cellStyle name="Comma 5 2 2 2 2 2 2 2 4" xfId="10778" xr:uid="{4C58CCE5-5D60-4ECF-9B12-7B61FDD45E68}"/>
    <cellStyle name="Comma 5 2 2 2 2 2 2 2 4 2" xfId="28122" xr:uid="{F56DD083-4463-473F-9EE4-123CED9C1220}"/>
    <cellStyle name="Comma 5 2 2 2 2 2 2 2 5" xfId="19450" xr:uid="{8AAF40FB-3146-42F0-B887-5CF7CCF6A045}"/>
    <cellStyle name="Comma 5 2 2 2 2 2 2 3" xfId="3190" xr:uid="{4AAB3E00-627E-4AC9-AF85-EA92E5A29B9A}"/>
    <cellStyle name="Comma 5 2 2 2 2 2 2 3 2" xfId="7526" xr:uid="{616993E6-463E-42F6-8A83-5ABFA3F2738D}"/>
    <cellStyle name="Comma 5 2 2 2 2 2 2 3 2 2" xfId="16198" xr:uid="{5F6B986E-4996-4B6E-802C-B6446409D904}"/>
    <cellStyle name="Comma 5 2 2 2 2 2 2 3 2 2 2" xfId="33542" xr:uid="{12AD2FE5-A2DC-4500-B0EE-9046A0603887}"/>
    <cellStyle name="Comma 5 2 2 2 2 2 2 3 2 3" xfId="24870" xr:uid="{67D14C26-C1A5-473D-80C1-33FE6AA15E23}"/>
    <cellStyle name="Comma 5 2 2 2 2 2 2 3 3" xfId="11862" xr:uid="{5A6C7457-B1BC-4343-9B8C-41C8703DCD7C}"/>
    <cellStyle name="Comma 5 2 2 2 2 2 2 3 3 2" xfId="29206" xr:uid="{7BC14970-F445-445B-B17D-4CFC04B14B12}"/>
    <cellStyle name="Comma 5 2 2 2 2 2 2 3 4" xfId="20534" xr:uid="{39FD647D-24F2-4DAB-A020-2C914B50D1C1}"/>
    <cellStyle name="Comma 5 2 2 2 2 2 2 4" xfId="5358" xr:uid="{F8CA7A78-53AD-4178-BEC1-63025E27DAB6}"/>
    <cellStyle name="Comma 5 2 2 2 2 2 2 4 2" xfId="14030" xr:uid="{87ACD2EE-9850-4176-B365-496875F23D80}"/>
    <cellStyle name="Comma 5 2 2 2 2 2 2 4 2 2" xfId="31374" xr:uid="{4C6BDA3D-BFB4-4124-B5F1-C59F5F46A40C}"/>
    <cellStyle name="Comma 5 2 2 2 2 2 2 4 3" xfId="22702" xr:uid="{4743C95F-DD9F-4016-A009-7AAB1FEEBAE3}"/>
    <cellStyle name="Comma 5 2 2 2 2 2 2 5" xfId="9694" xr:uid="{3051B444-F38E-47AB-A1B1-EAB9E3AE0174}"/>
    <cellStyle name="Comma 5 2 2 2 2 2 2 5 2" xfId="27038" xr:uid="{90007A12-DF76-457F-B454-8D606ACF2945}"/>
    <cellStyle name="Comma 5 2 2 2 2 2 2 6" xfId="18366" xr:uid="{7AA7EDAC-BEE0-4DF0-BB9B-B2800A05338D}"/>
    <cellStyle name="Comma 5 2 2 2 2 2 3" xfId="1565" xr:uid="{6151AE14-21C8-4416-B031-1C3BBF9A1E6A}"/>
    <cellStyle name="Comma 5 2 2 2 2 2 3 2" xfId="3733" xr:uid="{7DAAC637-0FB3-4122-AE86-08D34CF47458}"/>
    <cellStyle name="Comma 5 2 2 2 2 2 3 2 2" xfId="8069" xr:uid="{4414C073-FDF5-4DC0-B1AF-FA1DCA54ECCE}"/>
    <cellStyle name="Comma 5 2 2 2 2 2 3 2 2 2" xfId="16741" xr:uid="{923E5576-41E6-4826-903F-658F47B007D8}"/>
    <cellStyle name="Comma 5 2 2 2 2 2 3 2 2 2 2" xfId="34085" xr:uid="{9EFF5AB5-B03D-4C96-8DCC-763CE69832F4}"/>
    <cellStyle name="Comma 5 2 2 2 2 2 3 2 2 3" xfId="25413" xr:uid="{CBD0588D-51E5-4EF7-9606-426DF5790105}"/>
    <cellStyle name="Comma 5 2 2 2 2 2 3 2 3" xfId="12405" xr:uid="{6FB16C18-6607-462C-B262-F5D28416572A}"/>
    <cellStyle name="Comma 5 2 2 2 2 2 3 2 3 2" xfId="29749" xr:uid="{CF74FA8C-033D-4AD5-BD83-FCFA9255B9BF}"/>
    <cellStyle name="Comma 5 2 2 2 2 2 3 2 4" xfId="21077" xr:uid="{833FF546-16C7-4ACC-A3DE-DB0A133DBD46}"/>
    <cellStyle name="Comma 5 2 2 2 2 2 3 3" xfId="5901" xr:uid="{AAF0E6EC-0157-49B5-8CC1-D9F0BF336386}"/>
    <cellStyle name="Comma 5 2 2 2 2 2 3 3 2" xfId="14573" xr:uid="{A6272F2E-6E9B-4247-A3EE-B0530C740D6D}"/>
    <cellStyle name="Comma 5 2 2 2 2 2 3 3 2 2" xfId="31917" xr:uid="{0A772AD3-8370-430F-B2D4-509051050CB7}"/>
    <cellStyle name="Comma 5 2 2 2 2 2 3 3 3" xfId="23245" xr:uid="{298E15B2-665C-4B48-AC51-FA0947C44302}"/>
    <cellStyle name="Comma 5 2 2 2 2 2 3 4" xfId="10237" xr:uid="{839E741F-E1B2-4431-A95F-D18A32342B7D}"/>
    <cellStyle name="Comma 5 2 2 2 2 2 3 4 2" xfId="27581" xr:uid="{A9D44AE9-5EDB-4B81-BCA4-C84E695EF368}"/>
    <cellStyle name="Comma 5 2 2 2 2 2 3 5" xfId="18909" xr:uid="{A6DA7867-7FC1-4FAD-BD8A-85319F5509A3}"/>
    <cellStyle name="Comma 5 2 2 2 2 2 4" xfId="2649" xr:uid="{75F0284E-CF53-4B1D-849A-2D008B4B1369}"/>
    <cellStyle name="Comma 5 2 2 2 2 2 4 2" xfId="6985" xr:uid="{00CBBB87-7145-4202-AB89-C30D5F8A1327}"/>
    <cellStyle name="Comma 5 2 2 2 2 2 4 2 2" xfId="15657" xr:uid="{1DB206BA-6912-4BAA-94B9-046CB5E69254}"/>
    <cellStyle name="Comma 5 2 2 2 2 2 4 2 2 2" xfId="33001" xr:uid="{2F9368C5-0D7D-49AC-886E-4D7C8016FDF9}"/>
    <cellStyle name="Comma 5 2 2 2 2 2 4 2 3" xfId="24329" xr:uid="{D9B0DE12-F028-4422-9829-62749B26019C}"/>
    <cellStyle name="Comma 5 2 2 2 2 2 4 3" xfId="11321" xr:uid="{58F49E12-5CDE-453E-804D-AD0B8A4DA106}"/>
    <cellStyle name="Comma 5 2 2 2 2 2 4 3 2" xfId="28665" xr:uid="{45752D15-5D89-4177-B8B8-116D0240492B}"/>
    <cellStyle name="Comma 5 2 2 2 2 2 4 4" xfId="19993" xr:uid="{ADF5A92A-FB8B-4E5E-BFFC-3FDFD7C66A0C}"/>
    <cellStyle name="Comma 5 2 2 2 2 2 5" xfId="4817" xr:uid="{CAC88836-B0B1-4F06-82B1-343B64AA8BF2}"/>
    <cellStyle name="Comma 5 2 2 2 2 2 5 2" xfId="13489" xr:uid="{922FD422-48A9-409A-8C5F-4512E30CAA2E}"/>
    <cellStyle name="Comma 5 2 2 2 2 2 5 2 2" xfId="30833" xr:uid="{48689715-C90E-4D03-9CA8-596583112241}"/>
    <cellStyle name="Comma 5 2 2 2 2 2 5 3" xfId="22161" xr:uid="{09CF0E4D-6B09-446B-B975-E9A452D40778}"/>
    <cellStyle name="Comma 5 2 2 2 2 2 6" xfId="9153" xr:uid="{AE91A1BA-BC33-4CFB-A408-3C21FB4A5642}"/>
    <cellStyle name="Comma 5 2 2 2 2 2 6 2" xfId="26497" xr:uid="{E64495A5-7833-43A8-A746-0D1A1907A538}"/>
    <cellStyle name="Comma 5 2 2 2 2 2 7" xfId="17825" xr:uid="{6CCCB348-6430-4C2C-9AFA-96BC9AB5F05D}"/>
    <cellStyle name="Comma 5 2 2 2 2 3" xfId="752" xr:uid="{30CB8521-3AA4-4DAB-B4DF-B995F5682B4F}"/>
    <cellStyle name="Comma 5 2 2 2 2 3 2" xfId="1836" xr:uid="{D1C6D5EC-7433-480B-AE33-C2BF798D6A71}"/>
    <cellStyle name="Comma 5 2 2 2 2 3 2 2" xfId="4004" xr:uid="{05FD40EB-805C-4CE7-B106-417E4BA329E4}"/>
    <cellStyle name="Comma 5 2 2 2 2 3 2 2 2" xfId="8340" xr:uid="{D94ECCFE-93AA-4D8E-83E4-5EFF578B88CF}"/>
    <cellStyle name="Comma 5 2 2 2 2 3 2 2 2 2" xfId="17012" xr:uid="{59FB99D1-1F0B-4F07-8382-33B0CDDC5823}"/>
    <cellStyle name="Comma 5 2 2 2 2 3 2 2 2 2 2" xfId="34356" xr:uid="{A093970C-12CE-442A-A582-2B1F0A240183}"/>
    <cellStyle name="Comma 5 2 2 2 2 3 2 2 2 3" xfId="25684" xr:uid="{5DEBE782-7204-4204-84B1-A1ED8996BE56}"/>
    <cellStyle name="Comma 5 2 2 2 2 3 2 2 3" xfId="12676" xr:uid="{C3C2A609-AB75-4692-A755-8FEC3019BB73}"/>
    <cellStyle name="Comma 5 2 2 2 2 3 2 2 3 2" xfId="30020" xr:uid="{8AED27FF-D1E0-4A46-895F-94CA77643C8B}"/>
    <cellStyle name="Comma 5 2 2 2 2 3 2 2 4" xfId="21348" xr:uid="{FF12CDA8-5334-4332-966E-BA7A63A47CA9}"/>
    <cellStyle name="Comma 5 2 2 2 2 3 2 3" xfId="6172" xr:uid="{858DA434-3B8B-4A59-8175-D0276012D470}"/>
    <cellStyle name="Comma 5 2 2 2 2 3 2 3 2" xfId="14844" xr:uid="{6F7D1EF7-6AD6-44B8-BE02-F226C3883294}"/>
    <cellStyle name="Comma 5 2 2 2 2 3 2 3 2 2" xfId="32188" xr:uid="{E51DD3EB-4B01-4A9C-B255-F262323FCEA7}"/>
    <cellStyle name="Comma 5 2 2 2 2 3 2 3 3" xfId="23516" xr:uid="{CD4F2E18-42B6-49A0-AE53-81E740D71E22}"/>
    <cellStyle name="Comma 5 2 2 2 2 3 2 4" xfId="10508" xr:uid="{CC1CB729-15DF-4A50-A4DC-9F1B235AEA9F}"/>
    <cellStyle name="Comma 5 2 2 2 2 3 2 4 2" xfId="27852" xr:uid="{DF908F33-D3C1-42C7-AC39-AB211AD59E8F}"/>
    <cellStyle name="Comma 5 2 2 2 2 3 2 5" xfId="19180" xr:uid="{B6BBC7C0-3475-48C8-B434-E7075BF8DB3E}"/>
    <cellStyle name="Comma 5 2 2 2 2 3 3" xfId="2920" xr:uid="{2BF77D4B-5585-4764-A667-06CDC9DB95A8}"/>
    <cellStyle name="Comma 5 2 2 2 2 3 3 2" xfId="7256" xr:uid="{28194970-2475-4C95-9880-89E5A8BF119C}"/>
    <cellStyle name="Comma 5 2 2 2 2 3 3 2 2" xfId="15928" xr:uid="{59A5F071-E235-44CF-84AC-CDEF81DA534F}"/>
    <cellStyle name="Comma 5 2 2 2 2 3 3 2 2 2" xfId="33272" xr:uid="{A5916880-347F-418F-8A68-C3A82B1929D9}"/>
    <cellStyle name="Comma 5 2 2 2 2 3 3 2 3" xfId="24600" xr:uid="{384563D5-11B5-40C3-8585-3A6897A4911A}"/>
    <cellStyle name="Comma 5 2 2 2 2 3 3 3" xfId="11592" xr:uid="{26A5AB13-46D7-4A46-BD71-0CF26FCAA4E5}"/>
    <cellStyle name="Comma 5 2 2 2 2 3 3 3 2" xfId="28936" xr:uid="{7C88C7E5-463E-4CB5-A094-E45479AA5FAE}"/>
    <cellStyle name="Comma 5 2 2 2 2 3 3 4" xfId="20264" xr:uid="{4DDA5225-E13F-47DA-8AE1-BEB6FED21397}"/>
    <cellStyle name="Comma 5 2 2 2 2 3 4" xfId="5088" xr:uid="{AB8BDA2E-D377-4133-A719-26B2DCC52DCB}"/>
    <cellStyle name="Comma 5 2 2 2 2 3 4 2" xfId="13760" xr:uid="{FF7F913C-F75B-4994-8D84-88596F5CC9F1}"/>
    <cellStyle name="Comma 5 2 2 2 2 3 4 2 2" xfId="31104" xr:uid="{76A0BA9D-B99D-4208-A6E5-537225C14527}"/>
    <cellStyle name="Comma 5 2 2 2 2 3 4 3" xfId="22432" xr:uid="{53B563D4-6A86-4736-BF09-B751CBCA0307}"/>
    <cellStyle name="Comma 5 2 2 2 2 3 5" xfId="9424" xr:uid="{6CDE238D-3D33-4EB0-B969-14D7915387C3}"/>
    <cellStyle name="Comma 5 2 2 2 2 3 5 2" xfId="26768" xr:uid="{EA2E97C3-489F-42C7-8095-E94D0A678CB3}"/>
    <cellStyle name="Comma 5 2 2 2 2 3 6" xfId="18096" xr:uid="{F97BAB06-1893-456D-A1F0-FFA28589CC6D}"/>
    <cellStyle name="Comma 5 2 2 2 2 4" xfId="1295" xr:uid="{EA39F161-320D-4923-BA4D-ED070FB3DD90}"/>
    <cellStyle name="Comma 5 2 2 2 2 4 2" xfId="3463" xr:uid="{EDB07B2D-64F1-4ED1-87FB-FE33E03B39E0}"/>
    <cellStyle name="Comma 5 2 2 2 2 4 2 2" xfId="7799" xr:uid="{BA62D52D-A4F1-431A-A388-DB4D151F1B7A}"/>
    <cellStyle name="Comma 5 2 2 2 2 4 2 2 2" xfId="16471" xr:uid="{934CE681-AFD1-44C1-B78C-D23B843EEA6E}"/>
    <cellStyle name="Comma 5 2 2 2 2 4 2 2 2 2" xfId="33815" xr:uid="{724F57E3-EE1D-4472-8613-62AA1AA22F2D}"/>
    <cellStyle name="Comma 5 2 2 2 2 4 2 2 3" xfId="25143" xr:uid="{F1D91383-5F37-4638-BD04-C160865C63EC}"/>
    <cellStyle name="Comma 5 2 2 2 2 4 2 3" xfId="12135" xr:uid="{76DC24B0-245E-4648-9533-3EFA466697D8}"/>
    <cellStyle name="Comma 5 2 2 2 2 4 2 3 2" xfId="29479" xr:uid="{CFA375B9-DB80-4013-A13E-610E1B493DCC}"/>
    <cellStyle name="Comma 5 2 2 2 2 4 2 4" xfId="20807" xr:uid="{0FE9897E-B84B-4102-AC20-B1E44B607D27}"/>
    <cellStyle name="Comma 5 2 2 2 2 4 3" xfId="5631" xr:uid="{50DBFDFA-0AE8-430A-857B-73C9F92A4ADA}"/>
    <cellStyle name="Comma 5 2 2 2 2 4 3 2" xfId="14303" xr:uid="{BD86E2CD-B03D-4B2E-8776-326B81CA3AB5}"/>
    <cellStyle name="Comma 5 2 2 2 2 4 3 2 2" xfId="31647" xr:uid="{C333A7A4-12E0-4C33-90B6-E45290EE943A}"/>
    <cellStyle name="Comma 5 2 2 2 2 4 3 3" xfId="22975" xr:uid="{BB2BC1BD-71E1-4587-8DD6-F8B61700ACCF}"/>
    <cellStyle name="Comma 5 2 2 2 2 4 4" xfId="9967" xr:uid="{75623D90-CC1B-441F-9715-80F0295CDFCB}"/>
    <cellStyle name="Comma 5 2 2 2 2 4 4 2" xfId="27311" xr:uid="{7751B76D-CD72-47BA-9FE2-E04073D85A5A}"/>
    <cellStyle name="Comma 5 2 2 2 2 4 5" xfId="18639" xr:uid="{19B2606D-93CF-4571-A771-885A18950E86}"/>
    <cellStyle name="Comma 5 2 2 2 2 5" xfId="2379" xr:uid="{DD34FB59-88D4-469E-9A08-72AABD16A10A}"/>
    <cellStyle name="Comma 5 2 2 2 2 5 2" xfId="6715" xr:uid="{18ED09BB-F6EC-462F-BCED-85115112DB4F}"/>
    <cellStyle name="Comma 5 2 2 2 2 5 2 2" xfId="15387" xr:uid="{AF8DCE73-3B38-490C-8493-802745F45271}"/>
    <cellStyle name="Comma 5 2 2 2 2 5 2 2 2" xfId="32731" xr:uid="{E0EA8960-810D-43E0-B658-E1552A6D4DEE}"/>
    <cellStyle name="Comma 5 2 2 2 2 5 2 3" xfId="24059" xr:uid="{99D44B04-978F-451F-A614-5BD61742882C}"/>
    <cellStyle name="Comma 5 2 2 2 2 5 3" xfId="11051" xr:uid="{8AAD25CD-93C2-4FB7-9DA9-D3F1770B9139}"/>
    <cellStyle name="Comma 5 2 2 2 2 5 3 2" xfId="28395" xr:uid="{F5A5A915-1EA7-4EA0-AC7E-B0DE8E63F522}"/>
    <cellStyle name="Comma 5 2 2 2 2 5 4" xfId="19723" xr:uid="{89E28F84-6897-41BB-953F-1D07EEEB2485}"/>
    <cellStyle name="Comma 5 2 2 2 2 6" xfId="4547" xr:uid="{EEA2EE1B-AFBA-42B4-9F89-CB6F58F49600}"/>
    <cellStyle name="Comma 5 2 2 2 2 6 2" xfId="13219" xr:uid="{1F9C2731-7EFA-4F25-BAA4-670FE94F6700}"/>
    <cellStyle name="Comma 5 2 2 2 2 6 2 2" xfId="30563" xr:uid="{12870C76-094F-4207-911D-2A4DB73DCD98}"/>
    <cellStyle name="Comma 5 2 2 2 2 6 3" xfId="21891" xr:uid="{326E6144-6683-416C-9853-059B12136ED1}"/>
    <cellStyle name="Comma 5 2 2 2 2 7" xfId="8883" xr:uid="{ABCD8214-43C7-49BA-A5DB-A559898C3E5F}"/>
    <cellStyle name="Comma 5 2 2 2 2 7 2" xfId="26227" xr:uid="{4AFBB963-D271-40CD-9487-EBBFCA696304}"/>
    <cellStyle name="Comma 5 2 2 2 2 8" xfId="17555" xr:uid="{7FEA14C1-AF52-4CEF-AE1C-F10AA93D9613}"/>
    <cellStyle name="Comma 5 2 2 2 3" xfId="359" xr:uid="{07B8FB16-9361-4794-946A-1BCAB8C65546}"/>
    <cellStyle name="Comma 5 2 2 2 3 2" xfId="900" xr:uid="{2B9B6264-9999-40DD-9943-CB0A81AE6B4D}"/>
    <cellStyle name="Comma 5 2 2 2 3 2 2" xfId="1984" xr:uid="{67B374B0-14BD-4395-9868-868FB9809A75}"/>
    <cellStyle name="Comma 5 2 2 2 3 2 2 2" xfId="4152" xr:uid="{FFBCFEAE-7CF1-4468-9591-25D177A66A2F}"/>
    <cellStyle name="Comma 5 2 2 2 3 2 2 2 2" xfId="8488" xr:uid="{4840A1E5-631B-4879-AD25-0940642D9E88}"/>
    <cellStyle name="Comma 5 2 2 2 3 2 2 2 2 2" xfId="17160" xr:uid="{F0443FB3-5B69-4FA8-A598-D7191DF8340E}"/>
    <cellStyle name="Comma 5 2 2 2 3 2 2 2 2 2 2" xfId="34504" xr:uid="{034A2915-493D-4577-B8E5-EED62F318E73}"/>
    <cellStyle name="Comma 5 2 2 2 3 2 2 2 2 3" xfId="25832" xr:uid="{C46F228E-1881-49C6-BE9F-092F96EF03B6}"/>
    <cellStyle name="Comma 5 2 2 2 3 2 2 2 3" xfId="12824" xr:uid="{233847A6-00FC-409E-A61F-2ECB9CBB1E9F}"/>
    <cellStyle name="Comma 5 2 2 2 3 2 2 2 3 2" xfId="30168" xr:uid="{EB9AEF82-3572-4D76-A51E-E8A072A6AC6D}"/>
    <cellStyle name="Comma 5 2 2 2 3 2 2 2 4" xfId="21496" xr:uid="{68E3206E-096C-4102-BBD4-E05C1FBE9B63}"/>
    <cellStyle name="Comma 5 2 2 2 3 2 2 3" xfId="6320" xr:uid="{DEE34797-5A8B-4D7C-BED6-8512B7909C6D}"/>
    <cellStyle name="Comma 5 2 2 2 3 2 2 3 2" xfId="14992" xr:uid="{22EB78E2-8490-4F0B-9CAB-32188EEE156E}"/>
    <cellStyle name="Comma 5 2 2 2 3 2 2 3 2 2" xfId="32336" xr:uid="{6DACCC52-7EEF-4FEA-AE8F-ED986361580B}"/>
    <cellStyle name="Comma 5 2 2 2 3 2 2 3 3" xfId="23664" xr:uid="{D6258A0F-B9C9-4882-ABF7-11EF23BA9800}"/>
    <cellStyle name="Comma 5 2 2 2 3 2 2 4" xfId="10656" xr:uid="{91B7164B-2BE6-4CFC-B886-568BDE83F218}"/>
    <cellStyle name="Comma 5 2 2 2 3 2 2 4 2" xfId="28000" xr:uid="{57A44825-0ACD-494A-AEDC-AA0267360C96}"/>
    <cellStyle name="Comma 5 2 2 2 3 2 2 5" xfId="19328" xr:uid="{83CBAB62-6CC3-4F34-BD77-3136272E67CE}"/>
    <cellStyle name="Comma 5 2 2 2 3 2 3" xfId="3068" xr:uid="{9D9B33A6-FE6E-418D-9BBD-1B195E9943B5}"/>
    <cellStyle name="Comma 5 2 2 2 3 2 3 2" xfId="7404" xr:uid="{953599E2-F9F9-4C05-B825-608257BD5B6B}"/>
    <cellStyle name="Comma 5 2 2 2 3 2 3 2 2" xfId="16076" xr:uid="{0E8DEA11-9E95-49D8-A3CF-C10D449ABA41}"/>
    <cellStyle name="Comma 5 2 2 2 3 2 3 2 2 2" xfId="33420" xr:uid="{F3F934C7-EAC3-4B13-AD2D-A0F384312996}"/>
    <cellStyle name="Comma 5 2 2 2 3 2 3 2 3" xfId="24748" xr:uid="{19FBCEEE-A4C7-43D9-8E0F-B63E33765989}"/>
    <cellStyle name="Comma 5 2 2 2 3 2 3 3" xfId="11740" xr:uid="{7DAACD82-7D2E-4156-B7F8-469BE8E5657E}"/>
    <cellStyle name="Comma 5 2 2 2 3 2 3 3 2" xfId="29084" xr:uid="{8F74B1B8-072E-4BA4-88F8-8E561AD2D654}"/>
    <cellStyle name="Comma 5 2 2 2 3 2 3 4" xfId="20412" xr:uid="{9C615E37-9AE0-4958-9A8F-D1C6D1B9D22B}"/>
    <cellStyle name="Comma 5 2 2 2 3 2 4" xfId="5236" xr:uid="{C0672E9C-EBCB-4C7C-A89E-70CD7F9FBC02}"/>
    <cellStyle name="Comma 5 2 2 2 3 2 4 2" xfId="13908" xr:uid="{9EC77137-AF5A-471A-9F98-11B3C3C42B52}"/>
    <cellStyle name="Comma 5 2 2 2 3 2 4 2 2" xfId="31252" xr:uid="{1B8837BD-87F4-4E9E-8B51-25AB63C2F6B3}"/>
    <cellStyle name="Comma 5 2 2 2 3 2 4 3" xfId="22580" xr:uid="{0B95A3AA-119A-49E2-8715-F367E15BC8BC}"/>
    <cellStyle name="Comma 5 2 2 2 3 2 5" xfId="9572" xr:uid="{47C5C220-DF9E-4169-B983-624E18E398FB}"/>
    <cellStyle name="Comma 5 2 2 2 3 2 5 2" xfId="26916" xr:uid="{56903BC1-69A7-4982-83EB-927534E8BAD5}"/>
    <cellStyle name="Comma 5 2 2 2 3 2 6" xfId="18244" xr:uid="{40FC1C82-BED6-4574-BC42-E80EFA96FF8A}"/>
    <cellStyle name="Comma 5 2 2 2 3 3" xfId="1443" xr:uid="{7C063A59-BD18-4DE5-A810-1E181DFBBE70}"/>
    <cellStyle name="Comma 5 2 2 2 3 3 2" xfId="3611" xr:uid="{1FB8FE6B-1319-40FD-A5FF-16C8C1C175D1}"/>
    <cellStyle name="Comma 5 2 2 2 3 3 2 2" xfId="7947" xr:uid="{C173970D-FCC9-4516-AA3E-EC05D2588E5E}"/>
    <cellStyle name="Comma 5 2 2 2 3 3 2 2 2" xfId="16619" xr:uid="{94CBB60E-0E01-45B4-8C46-88F428EC01EA}"/>
    <cellStyle name="Comma 5 2 2 2 3 3 2 2 2 2" xfId="33963" xr:uid="{442F49DF-4CA2-4EE7-A8BD-53F7A5F9C433}"/>
    <cellStyle name="Comma 5 2 2 2 3 3 2 2 3" xfId="25291" xr:uid="{C23A1EBC-3D30-4A3C-8EC6-151399D1E6A0}"/>
    <cellStyle name="Comma 5 2 2 2 3 3 2 3" xfId="12283" xr:uid="{4C97B580-1061-4F2F-9DA2-802504EFC950}"/>
    <cellStyle name="Comma 5 2 2 2 3 3 2 3 2" xfId="29627" xr:uid="{075F45B7-62EC-4502-A2CA-C780393FFE02}"/>
    <cellStyle name="Comma 5 2 2 2 3 3 2 4" xfId="20955" xr:uid="{E2255422-3E5B-4203-9095-7B83339C3F92}"/>
    <cellStyle name="Comma 5 2 2 2 3 3 3" xfId="5779" xr:uid="{CF0D3B4B-B93A-4009-9427-5DE5405AB3C4}"/>
    <cellStyle name="Comma 5 2 2 2 3 3 3 2" xfId="14451" xr:uid="{EFF65DCE-D548-4972-87EE-4CCD6AB00B5A}"/>
    <cellStyle name="Comma 5 2 2 2 3 3 3 2 2" xfId="31795" xr:uid="{DE78EC77-B36A-450E-9AD5-C7CF0266301E}"/>
    <cellStyle name="Comma 5 2 2 2 3 3 3 3" xfId="23123" xr:uid="{D96B7B65-3B4F-4943-9CFD-1F8049D9A39D}"/>
    <cellStyle name="Comma 5 2 2 2 3 3 4" xfId="10115" xr:uid="{4F5F6530-6AFC-4DDE-970F-723818D30725}"/>
    <cellStyle name="Comma 5 2 2 2 3 3 4 2" xfId="27459" xr:uid="{66DD8577-71D4-497F-ABD6-6C7EE7081D42}"/>
    <cellStyle name="Comma 5 2 2 2 3 3 5" xfId="18787" xr:uid="{14975F32-E406-4C0F-9626-D193E4F3E7DF}"/>
    <cellStyle name="Comma 5 2 2 2 3 4" xfId="2527" xr:uid="{C370E468-BA55-440F-A6AC-7A81C3C12986}"/>
    <cellStyle name="Comma 5 2 2 2 3 4 2" xfId="6863" xr:uid="{020E80EE-D008-4D72-B74E-CAAD15CD11C6}"/>
    <cellStyle name="Comma 5 2 2 2 3 4 2 2" xfId="15535" xr:uid="{39C178C5-406F-4038-8FB6-4D5C4F2915B6}"/>
    <cellStyle name="Comma 5 2 2 2 3 4 2 2 2" xfId="32879" xr:uid="{02403074-6CD6-4069-8CB1-14A930750460}"/>
    <cellStyle name="Comma 5 2 2 2 3 4 2 3" xfId="24207" xr:uid="{A772D20A-FF00-48A8-BD8B-A715B0DCA8E2}"/>
    <cellStyle name="Comma 5 2 2 2 3 4 3" xfId="11199" xr:uid="{5C2559D0-C766-4FAD-B1D0-49C6C9DB6BDE}"/>
    <cellStyle name="Comma 5 2 2 2 3 4 3 2" xfId="28543" xr:uid="{497D582E-C1F8-443F-B369-3D8B825DBFED}"/>
    <cellStyle name="Comma 5 2 2 2 3 4 4" xfId="19871" xr:uid="{3352AEE6-B02C-4317-9C47-F2F251AB9FDE}"/>
    <cellStyle name="Comma 5 2 2 2 3 5" xfId="4695" xr:uid="{B357D927-6A96-42DC-A30A-90CCDA3679D4}"/>
    <cellStyle name="Comma 5 2 2 2 3 5 2" xfId="13367" xr:uid="{75F8FE25-8334-4407-B36B-92A4641512E9}"/>
    <cellStyle name="Comma 5 2 2 2 3 5 2 2" xfId="30711" xr:uid="{C3F3A0C2-7303-4642-A7AD-526D9D0FF64A}"/>
    <cellStyle name="Comma 5 2 2 2 3 5 3" xfId="22039" xr:uid="{3F0EA134-C3B4-4B3B-8C21-D0506D68BD38}"/>
    <cellStyle name="Comma 5 2 2 2 3 6" xfId="9031" xr:uid="{727868BA-258B-4734-848A-A45033B0ED85}"/>
    <cellStyle name="Comma 5 2 2 2 3 6 2" xfId="26375" xr:uid="{312CA2D7-DE47-4E9B-8F1E-4BE545C23365}"/>
    <cellStyle name="Comma 5 2 2 2 3 7" xfId="17703" xr:uid="{78015793-659F-42B9-AF44-C4B76BEFFE1B}"/>
    <cellStyle name="Comma 5 2 2 2 4" xfId="630" xr:uid="{A4F1AA91-E17E-4AA0-9956-D83C7443F677}"/>
    <cellStyle name="Comma 5 2 2 2 4 2" xfId="1714" xr:uid="{D6865F88-2921-4F39-9221-CBC64A476674}"/>
    <cellStyle name="Comma 5 2 2 2 4 2 2" xfId="3882" xr:uid="{8ABA42A6-DF45-490C-B5E6-42887C87BC43}"/>
    <cellStyle name="Comma 5 2 2 2 4 2 2 2" xfId="8218" xr:uid="{6AD4F827-2D8F-4B1E-B6D4-262E0D0BD2A1}"/>
    <cellStyle name="Comma 5 2 2 2 4 2 2 2 2" xfId="16890" xr:uid="{8CA8DD4F-DFBC-428D-9B72-22CB8A82772C}"/>
    <cellStyle name="Comma 5 2 2 2 4 2 2 2 2 2" xfId="34234" xr:uid="{20862499-85F2-499A-99CA-AF1FC3477331}"/>
    <cellStyle name="Comma 5 2 2 2 4 2 2 2 3" xfId="25562" xr:uid="{5A016067-A1BE-437F-9914-24A67BFEC808}"/>
    <cellStyle name="Comma 5 2 2 2 4 2 2 3" xfId="12554" xr:uid="{6C360722-588A-4B7D-A7CB-39F65E582D57}"/>
    <cellStyle name="Comma 5 2 2 2 4 2 2 3 2" xfId="29898" xr:uid="{E56412D3-9566-4033-B8CE-3A56EB1293FA}"/>
    <cellStyle name="Comma 5 2 2 2 4 2 2 4" xfId="21226" xr:uid="{FA1CECB0-C247-4DA7-85E7-E97D66942E3B}"/>
    <cellStyle name="Comma 5 2 2 2 4 2 3" xfId="6050" xr:uid="{AEFE16F2-AD7C-4AFB-B56D-2DF14967AF35}"/>
    <cellStyle name="Comma 5 2 2 2 4 2 3 2" xfId="14722" xr:uid="{96547C78-1F8E-4CA9-BF21-318E0018D956}"/>
    <cellStyle name="Comma 5 2 2 2 4 2 3 2 2" xfId="32066" xr:uid="{963F908A-2E2B-4F16-B64A-8B539995787D}"/>
    <cellStyle name="Comma 5 2 2 2 4 2 3 3" xfId="23394" xr:uid="{5DE1BB2F-16DC-4A62-9F28-B5D81AF8EADF}"/>
    <cellStyle name="Comma 5 2 2 2 4 2 4" xfId="10386" xr:uid="{646A6C5E-74A6-4210-B48D-611BE1EB0BF5}"/>
    <cellStyle name="Comma 5 2 2 2 4 2 4 2" xfId="27730" xr:uid="{07EAA5FC-5C33-4F3B-89A2-12C5EFDD87F2}"/>
    <cellStyle name="Comma 5 2 2 2 4 2 5" xfId="19058" xr:uid="{6D2A078C-03DA-4FB7-A880-8C290A49A58C}"/>
    <cellStyle name="Comma 5 2 2 2 4 3" xfId="2798" xr:uid="{18E55C1F-5F9A-403A-A66E-BEE44C7750BB}"/>
    <cellStyle name="Comma 5 2 2 2 4 3 2" xfId="7134" xr:uid="{3D0934D0-F526-4B0E-AF48-267C9F95FEE4}"/>
    <cellStyle name="Comma 5 2 2 2 4 3 2 2" xfId="15806" xr:uid="{46A402F7-9DB9-424B-87DF-0CA2B5654775}"/>
    <cellStyle name="Comma 5 2 2 2 4 3 2 2 2" xfId="33150" xr:uid="{2FFC6FF2-8786-45A3-8005-07C558ECC4AD}"/>
    <cellStyle name="Comma 5 2 2 2 4 3 2 3" xfId="24478" xr:uid="{4A6553CC-D115-46E0-BFFF-5B17069DB57C}"/>
    <cellStyle name="Comma 5 2 2 2 4 3 3" xfId="11470" xr:uid="{18A43323-3B1F-4931-AC22-0EBDEEDE35E4}"/>
    <cellStyle name="Comma 5 2 2 2 4 3 3 2" xfId="28814" xr:uid="{7657AA4C-F54F-4F7F-8E47-7EFB4CC3E5B8}"/>
    <cellStyle name="Comma 5 2 2 2 4 3 4" xfId="20142" xr:uid="{A6713235-1926-4B74-A106-29DE7ECC3069}"/>
    <cellStyle name="Comma 5 2 2 2 4 4" xfId="4966" xr:uid="{CCA76BC4-B247-460A-A7A3-60F56358AA03}"/>
    <cellStyle name="Comma 5 2 2 2 4 4 2" xfId="13638" xr:uid="{3935F76D-00ED-4DF6-BCB7-DB3B1BF84468}"/>
    <cellStyle name="Comma 5 2 2 2 4 4 2 2" xfId="30982" xr:uid="{1D8036A5-EA32-4788-B22F-98B1F068D748}"/>
    <cellStyle name="Comma 5 2 2 2 4 4 3" xfId="22310" xr:uid="{85A03190-F90E-4D7B-83F5-4901B9D768AB}"/>
    <cellStyle name="Comma 5 2 2 2 4 5" xfId="9302" xr:uid="{A3049BE0-E9EA-4E66-85DE-A896BE15E01F}"/>
    <cellStyle name="Comma 5 2 2 2 4 5 2" xfId="26646" xr:uid="{890B4A26-8947-49EB-9E2C-717FEB0AA9E6}"/>
    <cellStyle name="Comma 5 2 2 2 4 6" xfId="17974" xr:uid="{66BC97A6-B4FF-49BF-B1C0-F4432EDDA96D}"/>
    <cellStyle name="Comma 5 2 2 2 5" xfId="1173" xr:uid="{3BD1C1F6-4051-46B4-ACF9-02814FE4B8A3}"/>
    <cellStyle name="Comma 5 2 2 2 5 2" xfId="3341" xr:uid="{FFA325AA-A821-43E1-8A84-345CED6EA82C}"/>
    <cellStyle name="Comma 5 2 2 2 5 2 2" xfId="7677" xr:uid="{0565951F-3B52-411E-99F8-40B27D2EE277}"/>
    <cellStyle name="Comma 5 2 2 2 5 2 2 2" xfId="16349" xr:uid="{73DAF24D-2728-4A26-A942-82181FB9BBA9}"/>
    <cellStyle name="Comma 5 2 2 2 5 2 2 2 2" xfId="33693" xr:uid="{FF3AE620-9026-45A4-AF04-3617B8CF7749}"/>
    <cellStyle name="Comma 5 2 2 2 5 2 2 3" xfId="25021" xr:uid="{7CA827CE-56F0-47D8-B195-D0FDBFF8FD82}"/>
    <cellStyle name="Comma 5 2 2 2 5 2 3" xfId="12013" xr:uid="{14431CB0-524F-4771-93C1-038FF096D39C}"/>
    <cellStyle name="Comma 5 2 2 2 5 2 3 2" xfId="29357" xr:uid="{3C7BFD5C-113F-4BA6-BC47-07681976D320}"/>
    <cellStyle name="Comma 5 2 2 2 5 2 4" xfId="20685" xr:uid="{EF15911D-F7F5-4FD1-99F8-B086D46ACD07}"/>
    <cellStyle name="Comma 5 2 2 2 5 3" xfId="5509" xr:uid="{29D7C706-F5E6-4C0E-9508-D27366739DB7}"/>
    <cellStyle name="Comma 5 2 2 2 5 3 2" xfId="14181" xr:uid="{FDB905C8-494F-4A90-95CC-C6D9F90BEFCA}"/>
    <cellStyle name="Comma 5 2 2 2 5 3 2 2" xfId="31525" xr:uid="{78242473-5A75-4114-9503-CC111802D29B}"/>
    <cellStyle name="Comma 5 2 2 2 5 3 3" xfId="22853" xr:uid="{F1F57615-4511-41E6-ACD1-1EE275C452A1}"/>
    <cellStyle name="Comma 5 2 2 2 5 4" xfId="9845" xr:uid="{6169CA2D-4AC1-43A6-8783-CDDDDFDBED3F}"/>
    <cellStyle name="Comma 5 2 2 2 5 4 2" xfId="27189" xr:uid="{B95E60B3-AC49-4869-BBB6-38BBBCCE7D22}"/>
    <cellStyle name="Comma 5 2 2 2 5 5" xfId="18517" xr:uid="{B20AB30E-3547-4956-8BCC-04F7EF6EF863}"/>
    <cellStyle name="Comma 5 2 2 2 6" xfId="2257" xr:uid="{EB11A166-7592-4A69-B6BD-DE7600AF18B7}"/>
    <cellStyle name="Comma 5 2 2 2 6 2" xfId="6593" xr:uid="{32B1CF29-35CE-4E6A-ACE0-4EFBC65E6A85}"/>
    <cellStyle name="Comma 5 2 2 2 6 2 2" xfId="15265" xr:uid="{AE7292EC-2826-46B0-8E0B-C42246760AC7}"/>
    <cellStyle name="Comma 5 2 2 2 6 2 2 2" xfId="32609" xr:uid="{9913F9F1-4451-48EF-84CA-8ACF114D177C}"/>
    <cellStyle name="Comma 5 2 2 2 6 2 3" xfId="23937" xr:uid="{6730E581-8548-476F-B9E1-55FE1B7F05E4}"/>
    <cellStyle name="Comma 5 2 2 2 6 3" xfId="10929" xr:uid="{CE2CC083-64FD-4C51-9598-7BC57B500156}"/>
    <cellStyle name="Comma 5 2 2 2 6 3 2" xfId="28273" xr:uid="{62CB4991-4C22-4196-99FB-DC647D8AAF0E}"/>
    <cellStyle name="Comma 5 2 2 2 6 4" xfId="19601" xr:uid="{7E6D6B2F-EE69-4AB7-9230-529F3FFE8F6C}"/>
    <cellStyle name="Comma 5 2 2 2 7" xfId="4425" xr:uid="{81F8E370-0CCF-4B79-B82C-58E984DD177B}"/>
    <cellStyle name="Comma 5 2 2 2 7 2" xfId="13097" xr:uid="{05445AB6-4A75-497B-8FC9-45B1977C5826}"/>
    <cellStyle name="Comma 5 2 2 2 7 2 2" xfId="30441" xr:uid="{2191BDD6-AB0D-4C55-8B48-09B3C27598B5}"/>
    <cellStyle name="Comma 5 2 2 2 7 3" xfId="21769" xr:uid="{4DA25E8E-D62E-4AAB-9B74-0029A1E6666E}"/>
    <cellStyle name="Comma 5 2 2 2 8" xfId="8761" xr:uid="{1ACD27B3-F1D4-467A-BAA1-274620E2EBC4}"/>
    <cellStyle name="Comma 5 2 2 2 8 2" xfId="26105" xr:uid="{E11393DD-C74B-4CFE-9FC7-54325C95D6D0}"/>
    <cellStyle name="Comma 5 2 2 2 9" xfId="17433" xr:uid="{B2F527EB-5156-4642-A084-7235E227FFD1}"/>
    <cellStyle name="Comma 5 2 2 3" xfId="150" xr:uid="{44DF5A03-34FA-46A1-A4D4-7EC0D0F2D42B}"/>
    <cellStyle name="Comma 5 2 2 3 2" xfId="420" xr:uid="{C44E6AE4-DD50-4460-BA47-0F872F48EB03}"/>
    <cellStyle name="Comma 5 2 2 3 2 2" xfId="961" xr:uid="{156F7D70-BD22-49C6-9B0C-A388D9D5E00E}"/>
    <cellStyle name="Comma 5 2 2 3 2 2 2" xfId="2045" xr:uid="{92049E39-60C7-438F-83FF-52454782F546}"/>
    <cellStyle name="Comma 5 2 2 3 2 2 2 2" xfId="4213" xr:uid="{6FFF01C7-7928-4E91-966E-D9E27724EF2D}"/>
    <cellStyle name="Comma 5 2 2 3 2 2 2 2 2" xfId="8549" xr:uid="{6EE68749-3714-484C-A07D-B2A9D13466FA}"/>
    <cellStyle name="Comma 5 2 2 3 2 2 2 2 2 2" xfId="17221" xr:uid="{747089F5-5739-45CA-96DB-241E9F9F342A}"/>
    <cellStyle name="Comma 5 2 2 3 2 2 2 2 2 2 2" xfId="34565" xr:uid="{26C1FBA8-65BF-41F1-AC21-F979AC3181D9}"/>
    <cellStyle name="Comma 5 2 2 3 2 2 2 2 2 3" xfId="25893" xr:uid="{72B4276A-80E0-423C-BEED-8ED289870CF4}"/>
    <cellStyle name="Comma 5 2 2 3 2 2 2 2 3" xfId="12885" xr:uid="{B5EED36F-2030-474F-9F6F-1C8820A3644F}"/>
    <cellStyle name="Comma 5 2 2 3 2 2 2 2 3 2" xfId="30229" xr:uid="{4E9BF12C-18FF-4984-A29D-474285D6D195}"/>
    <cellStyle name="Comma 5 2 2 3 2 2 2 2 4" xfId="21557" xr:uid="{25786DE1-D7CE-458C-A002-9A3F7996A048}"/>
    <cellStyle name="Comma 5 2 2 3 2 2 2 3" xfId="6381" xr:uid="{0EA659E5-4AF5-4D02-8416-76954CBADF8B}"/>
    <cellStyle name="Comma 5 2 2 3 2 2 2 3 2" xfId="15053" xr:uid="{AF4B0F9C-9B04-44EE-9A80-EE28BB385624}"/>
    <cellStyle name="Comma 5 2 2 3 2 2 2 3 2 2" xfId="32397" xr:uid="{47DC246B-DE39-4719-A613-39D8EB0F354F}"/>
    <cellStyle name="Comma 5 2 2 3 2 2 2 3 3" xfId="23725" xr:uid="{79F94649-87E8-41CA-B7F1-2893F46810B6}"/>
    <cellStyle name="Comma 5 2 2 3 2 2 2 4" xfId="10717" xr:uid="{BCA6D051-F665-420A-B581-C9DD2F5F4E28}"/>
    <cellStyle name="Comma 5 2 2 3 2 2 2 4 2" xfId="28061" xr:uid="{D8D106E4-1C97-488E-A1E6-174DD3CB2D5B}"/>
    <cellStyle name="Comma 5 2 2 3 2 2 2 5" xfId="19389" xr:uid="{E9D12BC9-9A9E-4DE0-B60D-D25D31AB03C0}"/>
    <cellStyle name="Comma 5 2 2 3 2 2 3" xfId="3129" xr:uid="{6B11CCEB-E9C1-44E3-AC65-4DF8B8CA40B5}"/>
    <cellStyle name="Comma 5 2 2 3 2 2 3 2" xfId="7465" xr:uid="{5ABFD606-1826-469C-A4CD-4A41C6880F73}"/>
    <cellStyle name="Comma 5 2 2 3 2 2 3 2 2" xfId="16137" xr:uid="{26EA564E-ECCE-48AE-9CC8-A1F903259C2D}"/>
    <cellStyle name="Comma 5 2 2 3 2 2 3 2 2 2" xfId="33481" xr:uid="{89541FF1-4AA9-424E-ABAA-F17D3ED552A6}"/>
    <cellStyle name="Comma 5 2 2 3 2 2 3 2 3" xfId="24809" xr:uid="{73721B3F-FA5C-4620-A459-9593A85934C2}"/>
    <cellStyle name="Comma 5 2 2 3 2 2 3 3" xfId="11801" xr:uid="{17EC35A8-CD2A-4860-906C-25F892340323}"/>
    <cellStyle name="Comma 5 2 2 3 2 2 3 3 2" xfId="29145" xr:uid="{11EE6C88-D7A0-4040-8695-5C514C862139}"/>
    <cellStyle name="Comma 5 2 2 3 2 2 3 4" xfId="20473" xr:uid="{1A6D4820-4D08-4BA2-8106-281A542AC78E}"/>
    <cellStyle name="Comma 5 2 2 3 2 2 4" xfId="5297" xr:uid="{6E0191F0-11EE-4C32-B756-E019739D879B}"/>
    <cellStyle name="Comma 5 2 2 3 2 2 4 2" xfId="13969" xr:uid="{4F981042-3AD4-49D4-9D2A-1A3EB6C28A05}"/>
    <cellStyle name="Comma 5 2 2 3 2 2 4 2 2" xfId="31313" xr:uid="{60BB904B-F47A-462C-BEA4-E0E20A75ED3D}"/>
    <cellStyle name="Comma 5 2 2 3 2 2 4 3" xfId="22641" xr:uid="{65CFDE1D-569F-4016-961A-8725B6164EDE}"/>
    <cellStyle name="Comma 5 2 2 3 2 2 5" xfId="9633" xr:uid="{D3423B0D-F2E3-4A8F-81C3-EA6BA7CFD788}"/>
    <cellStyle name="Comma 5 2 2 3 2 2 5 2" xfId="26977" xr:uid="{02D8F905-FB81-4124-BB06-A8E91020638A}"/>
    <cellStyle name="Comma 5 2 2 3 2 2 6" xfId="18305" xr:uid="{258F125E-19B9-4EA3-973D-0DF6BCE03BFE}"/>
    <cellStyle name="Comma 5 2 2 3 2 3" xfId="1504" xr:uid="{F0EA7C30-E022-44C2-8534-C224743B5485}"/>
    <cellStyle name="Comma 5 2 2 3 2 3 2" xfId="3672" xr:uid="{1EB18062-D49C-4B9C-8AA8-FC0614E04A15}"/>
    <cellStyle name="Comma 5 2 2 3 2 3 2 2" xfId="8008" xr:uid="{2328C13D-A7FB-47B2-A268-B4D92D1B65B6}"/>
    <cellStyle name="Comma 5 2 2 3 2 3 2 2 2" xfId="16680" xr:uid="{0CFCF02A-C4F1-4556-A90F-9A66147F04C7}"/>
    <cellStyle name="Comma 5 2 2 3 2 3 2 2 2 2" xfId="34024" xr:uid="{61649819-D63C-4412-B2F6-A7E33BAD0B28}"/>
    <cellStyle name="Comma 5 2 2 3 2 3 2 2 3" xfId="25352" xr:uid="{FD2A81C2-91FB-4514-AFF5-1D47ACC6C1EA}"/>
    <cellStyle name="Comma 5 2 2 3 2 3 2 3" xfId="12344" xr:uid="{CB542731-18E6-4B4F-991A-17FFCDAF502E}"/>
    <cellStyle name="Comma 5 2 2 3 2 3 2 3 2" xfId="29688" xr:uid="{C9D34ABC-F263-49A4-95F0-A701F7C5CF74}"/>
    <cellStyle name="Comma 5 2 2 3 2 3 2 4" xfId="21016" xr:uid="{BE191EEC-572F-4B1E-80AC-477B50930A9F}"/>
    <cellStyle name="Comma 5 2 2 3 2 3 3" xfId="5840" xr:uid="{028ED5B7-C002-4612-BAE5-B1D44F1F31D1}"/>
    <cellStyle name="Comma 5 2 2 3 2 3 3 2" xfId="14512" xr:uid="{BF2175A3-7E9B-43D7-8676-75B934E4B211}"/>
    <cellStyle name="Comma 5 2 2 3 2 3 3 2 2" xfId="31856" xr:uid="{907F0F3D-807A-44F9-89CF-3FB486A92BC4}"/>
    <cellStyle name="Comma 5 2 2 3 2 3 3 3" xfId="23184" xr:uid="{63C08A99-615D-4F33-8DB3-8A0D75AB4C29}"/>
    <cellStyle name="Comma 5 2 2 3 2 3 4" xfId="10176" xr:uid="{556DFD08-A5F9-4EEF-98D3-7B41ACC0ED80}"/>
    <cellStyle name="Comma 5 2 2 3 2 3 4 2" xfId="27520" xr:uid="{E955DFC0-99B8-4B14-A764-79B054B390D9}"/>
    <cellStyle name="Comma 5 2 2 3 2 3 5" xfId="18848" xr:uid="{91050DF9-D084-4999-8105-1E970D71FD4D}"/>
    <cellStyle name="Comma 5 2 2 3 2 4" xfId="2588" xr:uid="{6B5EFF0E-3F4B-4E65-B127-D931B32E002B}"/>
    <cellStyle name="Comma 5 2 2 3 2 4 2" xfId="6924" xr:uid="{3D41EA82-7CC3-496D-9E27-7F7D7C5D140B}"/>
    <cellStyle name="Comma 5 2 2 3 2 4 2 2" xfId="15596" xr:uid="{79403A3C-5A7E-456D-8351-A2D2BBE67A09}"/>
    <cellStyle name="Comma 5 2 2 3 2 4 2 2 2" xfId="32940" xr:uid="{E28D1F6B-7DDA-41AC-A208-D004B90B6509}"/>
    <cellStyle name="Comma 5 2 2 3 2 4 2 3" xfId="24268" xr:uid="{2D33E9C6-8A9E-406E-9D33-638D3B5FC2BD}"/>
    <cellStyle name="Comma 5 2 2 3 2 4 3" xfId="11260" xr:uid="{27862A29-892B-4BC1-BA54-E2C993D616AD}"/>
    <cellStyle name="Comma 5 2 2 3 2 4 3 2" xfId="28604" xr:uid="{D15A9844-9C41-47A1-8FD5-AA08B78724DB}"/>
    <cellStyle name="Comma 5 2 2 3 2 4 4" xfId="19932" xr:uid="{697EB60C-D352-4EED-BE6E-A695638A8D9C}"/>
    <cellStyle name="Comma 5 2 2 3 2 5" xfId="4756" xr:uid="{C41803EA-C872-493A-96B6-98F96AB756CF}"/>
    <cellStyle name="Comma 5 2 2 3 2 5 2" xfId="13428" xr:uid="{6BA387EB-84B7-45DD-92A0-B8E76F997311}"/>
    <cellStyle name="Comma 5 2 2 3 2 5 2 2" xfId="30772" xr:uid="{551555E6-FBD1-4D87-87DC-4E3080B10DD5}"/>
    <cellStyle name="Comma 5 2 2 3 2 5 3" xfId="22100" xr:uid="{D761FA4B-E655-4A8B-A14B-4865F8B01E31}"/>
    <cellStyle name="Comma 5 2 2 3 2 6" xfId="9092" xr:uid="{281DDAC5-4FBC-4697-BE50-34034FCE5913}"/>
    <cellStyle name="Comma 5 2 2 3 2 6 2" xfId="26436" xr:uid="{79E2788A-3D7C-4F11-9008-211EFB3DFBCE}"/>
    <cellStyle name="Comma 5 2 2 3 2 7" xfId="17764" xr:uid="{E1EA201E-DD52-4FA7-A5BB-1B61D01548A1}"/>
    <cellStyle name="Comma 5 2 2 3 3" xfId="691" xr:uid="{EF4462C3-0452-4CCA-84DB-76764D80505D}"/>
    <cellStyle name="Comma 5 2 2 3 3 2" xfId="1775" xr:uid="{B2D610E3-0BD7-4DD0-93C1-3A9C484DD083}"/>
    <cellStyle name="Comma 5 2 2 3 3 2 2" xfId="3943" xr:uid="{A20DB2C8-5FF5-4D1A-94A2-F561D720B880}"/>
    <cellStyle name="Comma 5 2 2 3 3 2 2 2" xfId="8279" xr:uid="{273DFB61-8B93-4CD2-BED1-26CAECB2DF62}"/>
    <cellStyle name="Comma 5 2 2 3 3 2 2 2 2" xfId="16951" xr:uid="{89F9EE8A-4E46-4F28-92A0-13BB581050D3}"/>
    <cellStyle name="Comma 5 2 2 3 3 2 2 2 2 2" xfId="34295" xr:uid="{C5D6188C-DBAE-42D7-A5F5-2100210BF16F}"/>
    <cellStyle name="Comma 5 2 2 3 3 2 2 2 3" xfId="25623" xr:uid="{AE65DBB7-9162-4FD1-A311-DB2B208EF62D}"/>
    <cellStyle name="Comma 5 2 2 3 3 2 2 3" xfId="12615" xr:uid="{1AF8934E-76F5-40AF-982F-B8BD305F11AE}"/>
    <cellStyle name="Comma 5 2 2 3 3 2 2 3 2" xfId="29959" xr:uid="{599AFB78-9548-4F51-93ED-D411FA443A47}"/>
    <cellStyle name="Comma 5 2 2 3 3 2 2 4" xfId="21287" xr:uid="{374B9808-8057-44B2-BADD-B0E3258AA7FB}"/>
    <cellStyle name="Comma 5 2 2 3 3 2 3" xfId="6111" xr:uid="{696B2576-98C6-432C-B7A5-59C262400EF9}"/>
    <cellStyle name="Comma 5 2 2 3 3 2 3 2" xfId="14783" xr:uid="{97731418-D977-4AA8-B591-ADD4357F5CCA}"/>
    <cellStyle name="Comma 5 2 2 3 3 2 3 2 2" xfId="32127" xr:uid="{51022312-5C4E-4577-A550-5355253D144A}"/>
    <cellStyle name="Comma 5 2 2 3 3 2 3 3" xfId="23455" xr:uid="{39A9C29E-6916-479B-8A71-158A6452734C}"/>
    <cellStyle name="Comma 5 2 2 3 3 2 4" xfId="10447" xr:uid="{98A58063-CB68-4B43-8EED-FF34A3B619BE}"/>
    <cellStyle name="Comma 5 2 2 3 3 2 4 2" xfId="27791" xr:uid="{980C33A3-6052-4564-A7C2-67D6C1A5DCAA}"/>
    <cellStyle name="Comma 5 2 2 3 3 2 5" xfId="19119" xr:uid="{543DEC5C-AB25-470E-81CC-520B046BBB32}"/>
    <cellStyle name="Comma 5 2 2 3 3 3" xfId="2859" xr:uid="{3C7C17DD-CA16-4C65-B2BE-8E55EA09A329}"/>
    <cellStyle name="Comma 5 2 2 3 3 3 2" xfId="7195" xr:uid="{BBA95760-BA74-47D2-871E-53965AF7E1E2}"/>
    <cellStyle name="Comma 5 2 2 3 3 3 2 2" xfId="15867" xr:uid="{AF62FD63-0501-4E37-B78C-DC337889B8BF}"/>
    <cellStyle name="Comma 5 2 2 3 3 3 2 2 2" xfId="33211" xr:uid="{A5CAB0CC-9D71-4C3E-B54E-1ABB5837066E}"/>
    <cellStyle name="Comma 5 2 2 3 3 3 2 3" xfId="24539" xr:uid="{DD4910DB-583A-4C2D-8EEC-784A823F1B7A}"/>
    <cellStyle name="Comma 5 2 2 3 3 3 3" xfId="11531" xr:uid="{B85BBE6C-CBDB-4B1C-941F-098EA1A0111E}"/>
    <cellStyle name="Comma 5 2 2 3 3 3 3 2" xfId="28875" xr:uid="{D53DC031-795C-4906-84C3-203E8FCCC8C0}"/>
    <cellStyle name="Comma 5 2 2 3 3 3 4" xfId="20203" xr:uid="{2F65927E-904C-42FE-BDFA-E061227EA0D3}"/>
    <cellStyle name="Comma 5 2 2 3 3 4" xfId="5027" xr:uid="{21A2CABE-96BE-499D-BA22-3401FC650415}"/>
    <cellStyle name="Comma 5 2 2 3 3 4 2" xfId="13699" xr:uid="{E1FB9D54-01B0-40C2-82AC-8AE6306873B6}"/>
    <cellStyle name="Comma 5 2 2 3 3 4 2 2" xfId="31043" xr:uid="{B62C18D9-F02A-4872-ACBA-6F79A7B59A22}"/>
    <cellStyle name="Comma 5 2 2 3 3 4 3" xfId="22371" xr:uid="{F143BBB7-C9A4-406D-877E-AE2FEEE8E8A5}"/>
    <cellStyle name="Comma 5 2 2 3 3 5" xfId="9363" xr:uid="{0D40573C-1A91-4D33-873F-0AFEBF608884}"/>
    <cellStyle name="Comma 5 2 2 3 3 5 2" xfId="26707" xr:uid="{C1C5C1F6-66B2-42A8-89CF-C22D2DB55D6A}"/>
    <cellStyle name="Comma 5 2 2 3 3 6" xfId="18035" xr:uid="{D5FE3283-B7A9-4770-8310-091329824704}"/>
    <cellStyle name="Comma 5 2 2 3 4" xfId="1234" xr:uid="{6A4CAE1B-5620-4618-89DA-01CBF4F270ED}"/>
    <cellStyle name="Comma 5 2 2 3 4 2" xfId="3402" xr:uid="{D4B8B6F8-F714-42CC-A6A6-4A6DC2C32882}"/>
    <cellStyle name="Comma 5 2 2 3 4 2 2" xfId="7738" xr:uid="{1E606F6A-7705-4A48-A34F-82A4C8C926AA}"/>
    <cellStyle name="Comma 5 2 2 3 4 2 2 2" xfId="16410" xr:uid="{3588D288-08C9-46E4-91FC-F92EE5A6799C}"/>
    <cellStyle name="Comma 5 2 2 3 4 2 2 2 2" xfId="33754" xr:uid="{42970734-A34C-48CF-B845-444742766F00}"/>
    <cellStyle name="Comma 5 2 2 3 4 2 2 3" xfId="25082" xr:uid="{F91CBB2D-C340-444F-B8E3-CC29DAA9991D}"/>
    <cellStyle name="Comma 5 2 2 3 4 2 3" xfId="12074" xr:uid="{08401BD2-480E-4A6A-B894-88B92F92A000}"/>
    <cellStyle name="Comma 5 2 2 3 4 2 3 2" xfId="29418" xr:uid="{4810FC41-3F89-42B4-8828-DC953A7AC588}"/>
    <cellStyle name="Comma 5 2 2 3 4 2 4" xfId="20746" xr:uid="{46B65C69-1760-4384-9D87-F8FA29ED7CC5}"/>
    <cellStyle name="Comma 5 2 2 3 4 3" xfId="5570" xr:uid="{546965B6-6927-4256-A232-C9EF1951599E}"/>
    <cellStyle name="Comma 5 2 2 3 4 3 2" xfId="14242" xr:uid="{582059C7-62B5-40E0-A7FC-032B7EAA3E0C}"/>
    <cellStyle name="Comma 5 2 2 3 4 3 2 2" xfId="31586" xr:uid="{6E3157D2-FDE6-45D9-8698-8F01AB7ABC97}"/>
    <cellStyle name="Comma 5 2 2 3 4 3 3" xfId="22914" xr:uid="{680AB90B-31AB-4DEE-ACF4-C88C81022409}"/>
    <cellStyle name="Comma 5 2 2 3 4 4" xfId="9906" xr:uid="{78DC831A-5E7F-413A-9D1E-EB6B030F5DDD}"/>
    <cellStyle name="Comma 5 2 2 3 4 4 2" xfId="27250" xr:uid="{774E06C5-4AD6-41C6-A1AD-EE3A277C0415}"/>
    <cellStyle name="Comma 5 2 2 3 4 5" xfId="18578" xr:uid="{C5D4260C-1A0C-4964-BA7C-184030720434}"/>
    <cellStyle name="Comma 5 2 2 3 5" xfId="2318" xr:uid="{0622990B-8638-4C16-B19B-179483181DE6}"/>
    <cellStyle name="Comma 5 2 2 3 5 2" xfId="6654" xr:uid="{95FC89EA-54E3-4F6F-A750-98BA6DFBFE6D}"/>
    <cellStyle name="Comma 5 2 2 3 5 2 2" xfId="15326" xr:uid="{7FBE603A-98DE-49D8-85C2-CD6ABDAAF8A0}"/>
    <cellStyle name="Comma 5 2 2 3 5 2 2 2" xfId="32670" xr:uid="{4E240D6A-17CD-452A-B94D-2D1BC499CC32}"/>
    <cellStyle name="Comma 5 2 2 3 5 2 3" xfId="23998" xr:uid="{B4F9FC2F-F565-44B7-8CDD-9A207ED9393F}"/>
    <cellStyle name="Comma 5 2 2 3 5 3" xfId="10990" xr:uid="{5F3F596C-204D-4BC9-9A77-AA16EBD3BFBE}"/>
    <cellStyle name="Comma 5 2 2 3 5 3 2" xfId="28334" xr:uid="{4092F24D-906B-4F24-A490-1D84891243E8}"/>
    <cellStyle name="Comma 5 2 2 3 5 4" xfId="19662" xr:uid="{B69324F1-FEE7-4907-9F2D-BEC824A80E1D}"/>
    <cellStyle name="Comma 5 2 2 3 6" xfId="4486" xr:uid="{8B49742B-B797-4BCC-9DA9-BFF2A609F3BF}"/>
    <cellStyle name="Comma 5 2 2 3 6 2" xfId="13158" xr:uid="{3A28F13D-04DB-4D55-9DA3-CA782FB9C3BD}"/>
    <cellStyle name="Comma 5 2 2 3 6 2 2" xfId="30502" xr:uid="{0301E616-E3D9-4A19-8EB7-AE49EC5474F3}"/>
    <cellStyle name="Comma 5 2 2 3 6 3" xfId="21830" xr:uid="{CFBECE8A-6EA1-420E-B0F2-CEDF983DA901}"/>
    <cellStyle name="Comma 5 2 2 3 7" xfId="8822" xr:uid="{AD7CFADA-CF33-4FA8-BEDC-EEAE04BF4024}"/>
    <cellStyle name="Comma 5 2 2 3 7 2" xfId="26166" xr:uid="{E84B6E3C-99D9-46AF-B7C5-E2DA4CB609B0}"/>
    <cellStyle name="Comma 5 2 2 3 8" xfId="17494" xr:uid="{1139CD9F-8655-4318-8ECE-41A3F445F262}"/>
    <cellStyle name="Comma 5 2 2 4" xfId="298" xr:uid="{B275972B-99B6-4E78-8D99-FB4175A5AFBF}"/>
    <cellStyle name="Comma 5 2 2 4 2" xfId="839" xr:uid="{49CA1853-E865-4DF2-BB6E-CB18DDAE0C79}"/>
    <cellStyle name="Comma 5 2 2 4 2 2" xfId="1923" xr:uid="{3AB58554-BD3C-4B6A-8614-E835BEF07EC0}"/>
    <cellStyle name="Comma 5 2 2 4 2 2 2" xfId="4091" xr:uid="{D86D0329-D725-4B17-9153-122967FCFD02}"/>
    <cellStyle name="Comma 5 2 2 4 2 2 2 2" xfId="8427" xr:uid="{736F8AF0-B529-42B4-99E3-D84DD0CF0EF5}"/>
    <cellStyle name="Comma 5 2 2 4 2 2 2 2 2" xfId="17099" xr:uid="{29AACF24-CA72-40B8-8C9D-1B8F211FA2B0}"/>
    <cellStyle name="Comma 5 2 2 4 2 2 2 2 2 2" xfId="34443" xr:uid="{169F70B9-646B-4CF1-8B28-1422E7A8E09E}"/>
    <cellStyle name="Comma 5 2 2 4 2 2 2 2 3" xfId="25771" xr:uid="{19759BEA-801C-4D2A-A69F-4E2EB0FEEE44}"/>
    <cellStyle name="Comma 5 2 2 4 2 2 2 3" xfId="12763" xr:uid="{6AE7518E-9549-4B62-AD22-CE486526610F}"/>
    <cellStyle name="Comma 5 2 2 4 2 2 2 3 2" xfId="30107" xr:uid="{F05E35B5-0835-4668-BB4B-709A64C07D21}"/>
    <cellStyle name="Comma 5 2 2 4 2 2 2 4" xfId="21435" xr:uid="{A034C395-5A4C-4833-925B-F6784E5445DA}"/>
    <cellStyle name="Comma 5 2 2 4 2 2 3" xfId="6259" xr:uid="{5CB28201-89A8-49C1-935F-2C875E7D4F60}"/>
    <cellStyle name="Comma 5 2 2 4 2 2 3 2" xfId="14931" xr:uid="{BF251BB4-3682-4464-B14E-C773309D41CF}"/>
    <cellStyle name="Comma 5 2 2 4 2 2 3 2 2" xfId="32275" xr:uid="{30065FA5-4C51-46DA-8AFA-23620D39A736}"/>
    <cellStyle name="Comma 5 2 2 4 2 2 3 3" xfId="23603" xr:uid="{B3C18CC9-E911-425E-9934-83B7E5D75DC5}"/>
    <cellStyle name="Comma 5 2 2 4 2 2 4" xfId="10595" xr:uid="{70429BAC-9A93-4493-BFF8-23A558632E71}"/>
    <cellStyle name="Comma 5 2 2 4 2 2 4 2" xfId="27939" xr:uid="{DFA5C7C8-5D55-4147-A1AB-6CFBBA5D971D}"/>
    <cellStyle name="Comma 5 2 2 4 2 2 5" xfId="19267" xr:uid="{D1C204C2-61CC-4AC5-ADBB-0EF61D09F77D}"/>
    <cellStyle name="Comma 5 2 2 4 2 3" xfId="3007" xr:uid="{40635247-BB78-4CC1-8ACB-E61B6ED9C0ED}"/>
    <cellStyle name="Comma 5 2 2 4 2 3 2" xfId="7343" xr:uid="{E77A8828-CDBB-4D91-8435-93DCB9DE6E55}"/>
    <cellStyle name="Comma 5 2 2 4 2 3 2 2" xfId="16015" xr:uid="{76D8895D-BA14-4BE3-BD40-422631FB11E3}"/>
    <cellStyle name="Comma 5 2 2 4 2 3 2 2 2" xfId="33359" xr:uid="{C8EFF23B-656A-49E2-8FFC-6DA3234893EA}"/>
    <cellStyle name="Comma 5 2 2 4 2 3 2 3" xfId="24687" xr:uid="{7769332A-7425-4155-8BB0-87BFD3CEA3B7}"/>
    <cellStyle name="Comma 5 2 2 4 2 3 3" xfId="11679" xr:uid="{93F61E72-9581-4A7F-9CC6-33904F3157CE}"/>
    <cellStyle name="Comma 5 2 2 4 2 3 3 2" xfId="29023" xr:uid="{388AD833-12E3-4F73-B58C-530045F3C255}"/>
    <cellStyle name="Comma 5 2 2 4 2 3 4" xfId="20351" xr:uid="{B73207A1-1E3A-44E3-8E2F-69855C9550B0}"/>
    <cellStyle name="Comma 5 2 2 4 2 4" xfId="5175" xr:uid="{CF3A99ED-0896-4B56-8524-7A9D3556B443}"/>
    <cellStyle name="Comma 5 2 2 4 2 4 2" xfId="13847" xr:uid="{22629750-9688-4904-97C4-9DF4D91B6A34}"/>
    <cellStyle name="Comma 5 2 2 4 2 4 2 2" xfId="31191" xr:uid="{BE0E8CB8-252A-43A0-AD70-F6FA0F59AFC5}"/>
    <cellStyle name="Comma 5 2 2 4 2 4 3" xfId="22519" xr:uid="{4BE3E0E2-DBAD-4BD3-BF44-5F893482EB6B}"/>
    <cellStyle name="Comma 5 2 2 4 2 5" xfId="9511" xr:uid="{ACEBE3D8-AC90-4EE8-9CE1-7786704019F5}"/>
    <cellStyle name="Comma 5 2 2 4 2 5 2" xfId="26855" xr:uid="{B44E1FD4-E072-43AB-8C66-A54D79B43137}"/>
    <cellStyle name="Comma 5 2 2 4 2 6" xfId="18183" xr:uid="{23E0CCE2-7598-4B91-B181-E2A8DDBE7B1C}"/>
    <cellStyle name="Comma 5 2 2 4 3" xfId="1382" xr:uid="{33809506-7CFC-4C27-BF5F-F417DA3FE1CA}"/>
    <cellStyle name="Comma 5 2 2 4 3 2" xfId="3550" xr:uid="{61D56E95-EDEA-407F-9607-D47EA46F4D1B}"/>
    <cellStyle name="Comma 5 2 2 4 3 2 2" xfId="7886" xr:uid="{C77CEA4F-7414-47EC-88E7-0C41D8B480F3}"/>
    <cellStyle name="Comma 5 2 2 4 3 2 2 2" xfId="16558" xr:uid="{4EF23357-7BB1-4B03-B02C-CF091A0E350C}"/>
    <cellStyle name="Comma 5 2 2 4 3 2 2 2 2" xfId="33902" xr:uid="{1260DA96-7A98-4E64-ABE9-06CBAB6FE425}"/>
    <cellStyle name="Comma 5 2 2 4 3 2 2 3" xfId="25230" xr:uid="{3C93A16E-26FE-4B9D-BE37-B28B17B26D35}"/>
    <cellStyle name="Comma 5 2 2 4 3 2 3" xfId="12222" xr:uid="{D9C9BBA0-FE1D-4AC6-9376-D5B664ED819A}"/>
    <cellStyle name="Comma 5 2 2 4 3 2 3 2" xfId="29566" xr:uid="{5FDA191E-974D-42D0-A7BB-602D7C8DF4EE}"/>
    <cellStyle name="Comma 5 2 2 4 3 2 4" xfId="20894" xr:uid="{419566D5-D520-43C8-A009-E6065AF087A0}"/>
    <cellStyle name="Comma 5 2 2 4 3 3" xfId="5718" xr:uid="{3D872D62-E8B4-410E-BFA3-54517407610C}"/>
    <cellStyle name="Comma 5 2 2 4 3 3 2" xfId="14390" xr:uid="{9C6B0427-4E29-43C4-BADD-BBC2ACCF9B4A}"/>
    <cellStyle name="Comma 5 2 2 4 3 3 2 2" xfId="31734" xr:uid="{C5FD9B55-AFC4-4C75-951A-6C20A8043FF5}"/>
    <cellStyle name="Comma 5 2 2 4 3 3 3" xfId="23062" xr:uid="{DD70B8C9-D9E2-4335-8FF2-4B93AAE8ADC2}"/>
    <cellStyle name="Comma 5 2 2 4 3 4" xfId="10054" xr:uid="{335531AA-A714-4F2C-8E3A-84401F7133C9}"/>
    <cellStyle name="Comma 5 2 2 4 3 4 2" xfId="27398" xr:uid="{9CD6443A-AB48-4582-BAD6-17D97B968E97}"/>
    <cellStyle name="Comma 5 2 2 4 3 5" xfId="18726" xr:uid="{299E0858-D50B-46E9-A62E-423C0805E4E4}"/>
    <cellStyle name="Comma 5 2 2 4 4" xfId="2466" xr:uid="{3A4ACCE8-0703-4F75-A646-447DC5AE25E9}"/>
    <cellStyle name="Comma 5 2 2 4 4 2" xfId="6802" xr:uid="{E8CFEC40-FF3D-4798-B53B-B6808AEB63C0}"/>
    <cellStyle name="Comma 5 2 2 4 4 2 2" xfId="15474" xr:uid="{80AA334E-C357-46C7-AF46-E6FCE0B7C4BA}"/>
    <cellStyle name="Comma 5 2 2 4 4 2 2 2" xfId="32818" xr:uid="{C03F3923-12C8-4E18-A6C3-B0E99BE863EF}"/>
    <cellStyle name="Comma 5 2 2 4 4 2 3" xfId="24146" xr:uid="{F2928D94-EE78-446E-9B3B-7AF41BC895F3}"/>
    <cellStyle name="Comma 5 2 2 4 4 3" xfId="11138" xr:uid="{9259C45A-45BF-4904-BD08-8D3B3536ED52}"/>
    <cellStyle name="Comma 5 2 2 4 4 3 2" xfId="28482" xr:uid="{F7A746E4-91A5-4676-BF76-D8EF8682C319}"/>
    <cellStyle name="Comma 5 2 2 4 4 4" xfId="19810" xr:uid="{2092EDA0-FF66-47F3-8D6A-425EA316E6DD}"/>
    <cellStyle name="Comma 5 2 2 4 5" xfId="4634" xr:uid="{F7563B57-2B0B-4C19-95B5-AEAA34F9B8F9}"/>
    <cellStyle name="Comma 5 2 2 4 5 2" xfId="13306" xr:uid="{709A5FD2-675B-410C-8D2A-53C139517C06}"/>
    <cellStyle name="Comma 5 2 2 4 5 2 2" xfId="30650" xr:uid="{09AA9A26-78F9-4AFA-A22F-7DD704F7352D}"/>
    <cellStyle name="Comma 5 2 2 4 5 3" xfId="21978" xr:uid="{DFDC7A96-EFC5-41A4-8ECF-FA2DB2D484D1}"/>
    <cellStyle name="Comma 5 2 2 4 6" xfId="8970" xr:uid="{74DAC661-2A9F-49B8-AE70-6A4B8D89D87A}"/>
    <cellStyle name="Comma 5 2 2 4 6 2" xfId="26314" xr:uid="{AE508E1A-DE33-44FC-A3B8-2B837E1F4D7A}"/>
    <cellStyle name="Comma 5 2 2 4 7" xfId="17642" xr:uid="{AEBC2DE5-B645-4EAB-879B-2142468E3689}"/>
    <cellStyle name="Comma 5 2 2 5" xfId="569" xr:uid="{1ACEB419-D52A-4B13-BE00-B94D141019E3}"/>
    <cellStyle name="Comma 5 2 2 5 2" xfId="1653" xr:uid="{E7BCD8DE-DF97-4213-A7EB-3D8EDA5E585D}"/>
    <cellStyle name="Comma 5 2 2 5 2 2" xfId="3821" xr:uid="{BF7E057E-915D-4D2D-8964-4163FC232A11}"/>
    <cellStyle name="Comma 5 2 2 5 2 2 2" xfId="8157" xr:uid="{A27FA3C8-46ED-438B-8E61-4E8DDF0B03D8}"/>
    <cellStyle name="Comma 5 2 2 5 2 2 2 2" xfId="16829" xr:uid="{FEE4F5B0-43EB-4C8D-86D0-D60CE21A6E95}"/>
    <cellStyle name="Comma 5 2 2 5 2 2 2 2 2" xfId="34173" xr:uid="{B46BED73-B6C3-4351-B369-237642360565}"/>
    <cellStyle name="Comma 5 2 2 5 2 2 2 3" xfId="25501" xr:uid="{AB89C5F0-98E1-4C76-84FF-656337624F27}"/>
    <cellStyle name="Comma 5 2 2 5 2 2 3" xfId="12493" xr:uid="{08495F9E-A911-4A38-BB30-8830723577A3}"/>
    <cellStyle name="Comma 5 2 2 5 2 2 3 2" xfId="29837" xr:uid="{AC4FCDE3-08CC-4CAF-A4D8-46F8629D21DB}"/>
    <cellStyle name="Comma 5 2 2 5 2 2 4" xfId="21165" xr:uid="{66D2EB90-F4D7-4E7A-80E0-AA03B7CDF710}"/>
    <cellStyle name="Comma 5 2 2 5 2 3" xfId="5989" xr:uid="{EF445ADD-E377-4D38-A212-29C22CC5911C}"/>
    <cellStyle name="Comma 5 2 2 5 2 3 2" xfId="14661" xr:uid="{CE321F55-CE92-42C0-AF65-E678CDC3B221}"/>
    <cellStyle name="Comma 5 2 2 5 2 3 2 2" xfId="32005" xr:uid="{839E3FCA-3F05-4D6B-9A93-F6081D6D0447}"/>
    <cellStyle name="Comma 5 2 2 5 2 3 3" xfId="23333" xr:uid="{6D711D28-9B61-4D85-B896-2CDDD54B4DB7}"/>
    <cellStyle name="Comma 5 2 2 5 2 4" xfId="10325" xr:uid="{63D8BE03-3641-40C1-9F0D-639EC89CA726}"/>
    <cellStyle name="Comma 5 2 2 5 2 4 2" xfId="27669" xr:uid="{18446E54-7485-4774-982F-65C556B37DB5}"/>
    <cellStyle name="Comma 5 2 2 5 2 5" xfId="18997" xr:uid="{A63791BE-8C47-4D4E-B402-9BFCEEA71748}"/>
    <cellStyle name="Comma 5 2 2 5 3" xfId="2737" xr:uid="{01E41444-DFFC-4247-B041-911268ECE4EA}"/>
    <cellStyle name="Comma 5 2 2 5 3 2" xfId="7073" xr:uid="{46D1EF5E-C1BA-45E2-B577-AB8040A4B63D}"/>
    <cellStyle name="Comma 5 2 2 5 3 2 2" xfId="15745" xr:uid="{197D0CCD-F334-409E-BB7C-FA6D2827F94C}"/>
    <cellStyle name="Comma 5 2 2 5 3 2 2 2" xfId="33089" xr:uid="{46874D2E-EF45-4E2E-AA78-22B95DD72EBC}"/>
    <cellStyle name="Comma 5 2 2 5 3 2 3" xfId="24417" xr:uid="{6428A896-CDA4-41D7-B849-D3B7A807B909}"/>
    <cellStyle name="Comma 5 2 2 5 3 3" xfId="11409" xr:uid="{06510A58-98C4-49B4-88E6-FDAFB131F6B9}"/>
    <cellStyle name="Comma 5 2 2 5 3 3 2" xfId="28753" xr:uid="{9C745533-429A-475C-9094-9EAEF5613DE3}"/>
    <cellStyle name="Comma 5 2 2 5 3 4" xfId="20081" xr:uid="{959D9243-6DAB-4E89-9098-8182550CAB70}"/>
    <cellStyle name="Comma 5 2 2 5 4" xfId="4905" xr:uid="{07A8E5DF-B00D-4D93-9FE1-E67F562454CD}"/>
    <cellStyle name="Comma 5 2 2 5 4 2" xfId="13577" xr:uid="{81C7B0CC-BFD0-4111-B607-E2F77A7C7F69}"/>
    <cellStyle name="Comma 5 2 2 5 4 2 2" xfId="30921" xr:uid="{479D1BD4-5D36-46FF-92A5-38B23B188140}"/>
    <cellStyle name="Comma 5 2 2 5 4 3" xfId="22249" xr:uid="{89DC76D2-47BA-4D94-B989-B3B368B171FB}"/>
    <cellStyle name="Comma 5 2 2 5 5" xfId="9241" xr:uid="{C6F58A3D-0064-455D-AF9C-321AFC863B3F}"/>
    <cellStyle name="Comma 5 2 2 5 5 2" xfId="26585" xr:uid="{0C3A098C-76C4-427C-8632-C7D3BBB23259}"/>
    <cellStyle name="Comma 5 2 2 5 6" xfId="17913" xr:uid="{D986FE22-033F-4611-8223-29EB0CA57ACF}"/>
    <cellStyle name="Comma 5 2 2 6" xfId="1112" xr:uid="{04FA1D33-FE8F-4834-B7D6-17C80ABC4D16}"/>
    <cellStyle name="Comma 5 2 2 6 2" xfId="3280" xr:uid="{03E82759-07DA-4D0E-97EF-56FCF54204F2}"/>
    <cellStyle name="Comma 5 2 2 6 2 2" xfId="7616" xr:uid="{3FE57690-6B39-4401-98D7-6B51192E1D7F}"/>
    <cellStyle name="Comma 5 2 2 6 2 2 2" xfId="16288" xr:uid="{CF9DAD4D-9B0E-405B-8644-A09E8B0570F7}"/>
    <cellStyle name="Comma 5 2 2 6 2 2 2 2" xfId="33632" xr:uid="{60085121-C931-44A2-9359-95FBDA87710E}"/>
    <cellStyle name="Comma 5 2 2 6 2 2 3" xfId="24960" xr:uid="{A5D36CAA-31A6-4ECC-A181-500265E57BC2}"/>
    <cellStyle name="Comma 5 2 2 6 2 3" xfId="11952" xr:uid="{DA2170C3-531A-4817-8B90-D4495AF4C46D}"/>
    <cellStyle name="Comma 5 2 2 6 2 3 2" xfId="29296" xr:uid="{B3C0A7ED-92D2-437A-B9DA-DF29040FCE05}"/>
    <cellStyle name="Comma 5 2 2 6 2 4" xfId="20624" xr:uid="{599EA25F-C1F7-4AF8-8497-00ECC20E32A4}"/>
    <cellStyle name="Comma 5 2 2 6 3" xfId="5448" xr:uid="{DAE9CCA5-5947-4898-8374-E8ABE8007DCA}"/>
    <cellStyle name="Comma 5 2 2 6 3 2" xfId="14120" xr:uid="{8DAE2ED6-D0D7-4A6F-AF00-88EA46506FF8}"/>
    <cellStyle name="Comma 5 2 2 6 3 2 2" xfId="31464" xr:uid="{1DC2D984-ACE2-4C80-AC7C-A7757AC60BDC}"/>
    <cellStyle name="Comma 5 2 2 6 3 3" xfId="22792" xr:uid="{812F95EA-08BC-4544-8C01-FF41129C9D39}"/>
    <cellStyle name="Comma 5 2 2 6 4" xfId="9784" xr:uid="{D9B27DD0-7D11-42CD-B040-E399F851DB47}"/>
    <cellStyle name="Comma 5 2 2 6 4 2" xfId="27128" xr:uid="{93C2CC3A-C4AC-4516-88DB-3CF6B1C2F91B}"/>
    <cellStyle name="Comma 5 2 2 6 5" xfId="18456" xr:uid="{2D3DF8DC-4DBC-4F47-BB35-7E10FC5E69BC}"/>
    <cellStyle name="Comma 5 2 2 7" xfId="2196" xr:uid="{C145F097-ADE8-4B90-8569-BFABA0F9C96B}"/>
    <cellStyle name="Comma 5 2 2 7 2" xfId="6532" xr:uid="{1F47DC50-EF3C-47AC-A1BC-D4714EC02A6F}"/>
    <cellStyle name="Comma 5 2 2 7 2 2" xfId="15204" xr:uid="{100F7CCD-8EAE-4BA4-AA8B-F881D17CB5B4}"/>
    <cellStyle name="Comma 5 2 2 7 2 2 2" xfId="32548" xr:uid="{29DF49D0-1C54-4146-9CC4-B0495D14AAF1}"/>
    <cellStyle name="Comma 5 2 2 7 2 3" xfId="23876" xr:uid="{9C326EF8-CD07-4D25-AF64-4A8E30580260}"/>
    <cellStyle name="Comma 5 2 2 7 3" xfId="10868" xr:uid="{8FD5ABBD-84B5-496C-ADDF-D4CB9AB85576}"/>
    <cellStyle name="Comma 5 2 2 7 3 2" xfId="28212" xr:uid="{C8A2E584-5318-44F6-8128-AD5EAFAC3C34}"/>
    <cellStyle name="Comma 5 2 2 7 4" xfId="19540" xr:uid="{18022F63-8158-44B0-BBAE-5FE57A496E19}"/>
    <cellStyle name="Comma 5 2 2 8" xfId="4364" xr:uid="{449CD697-EA20-47F8-AFB4-8393952411C8}"/>
    <cellStyle name="Comma 5 2 2 8 2" xfId="13036" xr:uid="{1FED1BD3-B4DD-4742-B4B6-80BDF0E9FB53}"/>
    <cellStyle name="Comma 5 2 2 8 2 2" xfId="30380" xr:uid="{A091C00A-ACD3-49A0-835F-26218CA47FC4}"/>
    <cellStyle name="Comma 5 2 2 8 3" xfId="21708" xr:uid="{87A6C575-14A8-4254-8287-9E7C72489727}"/>
    <cellStyle name="Comma 5 2 2 9" xfId="8700" xr:uid="{03BABF57-EDBE-44A3-91B9-B78D87708294}"/>
    <cellStyle name="Comma 5 2 2 9 2" xfId="26044" xr:uid="{5345A05C-4C55-4588-9D8B-48B694175D47}"/>
    <cellStyle name="Comma 5 2 3" xfId="60" xr:uid="{A2751806-D03D-44FF-97F0-C3C80EB42E07}"/>
    <cellStyle name="Comma 5 2 3 10" xfId="17404" xr:uid="{BEE94FAF-63E4-4572-B136-BB73A0D97BF3}"/>
    <cellStyle name="Comma 5 2 3 2" xfId="121" xr:uid="{AAA24FB2-B9B9-4245-9A20-A8BF6590DAE9}"/>
    <cellStyle name="Comma 5 2 3 2 2" xfId="243" xr:uid="{33FCA5CC-D6A9-4F73-BCC0-F70E0AAB4448}"/>
    <cellStyle name="Comma 5 2 3 2 2 2" xfId="513" xr:uid="{2665602A-9098-4C6D-AD5F-F89A38EEF777}"/>
    <cellStyle name="Comma 5 2 3 2 2 2 2" xfId="1054" xr:uid="{92499DCE-C3E0-4F3B-8811-2428C5730254}"/>
    <cellStyle name="Comma 5 2 3 2 2 2 2 2" xfId="2138" xr:uid="{06A13F29-78FE-4D6E-A4E6-161B9759BDEF}"/>
    <cellStyle name="Comma 5 2 3 2 2 2 2 2 2" xfId="4306" xr:uid="{7A6F095E-AB2C-41FD-B29E-1FBAE5F5E7B6}"/>
    <cellStyle name="Comma 5 2 3 2 2 2 2 2 2 2" xfId="8642" xr:uid="{8BF95284-423C-483B-9409-D0AF4CE39BEB}"/>
    <cellStyle name="Comma 5 2 3 2 2 2 2 2 2 2 2" xfId="17314" xr:uid="{2B324792-7497-4FD6-BBD8-B090595B7EA7}"/>
    <cellStyle name="Comma 5 2 3 2 2 2 2 2 2 2 2 2" xfId="34658" xr:uid="{F775B981-D363-4ECF-ABF2-EE92DD8CC1D2}"/>
    <cellStyle name="Comma 5 2 3 2 2 2 2 2 2 2 3" xfId="25986" xr:uid="{E91F6D8C-1675-48C2-8690-CCC757469097}"/>
    <cellStyle name="Comma 5 2 3 2 2 2 2 2 2 3" xfId="12978" xr:uid="{D4411D45-F8CF-4CD9-89AC-64C1938243C4}"/>
    <cellStyle name="Comma 5 2 3 2 2 2 2 2 2 3 2" xfId="30322" xr:uid="{93382A21-8175-4C5D-B0D9-DD204C132BE0}"/>
    <cellStyle name="Comma 5 2 3 2 2 2 2 2 2 4" xfId="21650" xr:uid="{353470FB-2FAE-4882-9F15-B95E02DEA0C4}"/>
    <cellStyle name="Comma 5 2 3 2 2 2 2 2 3" xfId="6474" xr:uid="{BBA2452D-FCB2-4A09-8354-5EED02AEEAAF}"/>
    <cellStyle name="Comma 5 2 3 2 2 2 2 2 3 2" xfId="15146" xr:uid="{D0CD999F-0D85-4F07-AC6E-754D63B9093C}"/>
    <cellStyle name="Comma 5 2 3 2 2 2 2 2 3 2 2" xfId="32490" xr:uid="{7487FC8F-645D-4EFA-A1A3-A0F570870335}"/>
    <cellStyle name="Comma 5 2 3 2 2 2 2 2 3 3" xfId="23818" xr:uid="{82587306-B62A-468F-8A2E-CD5663BFE965}"/>
    <cellStyle name="Comma 5 2 3 2 2 2 2 2 4" xfId="10810" xr:uid="{CFA5193B-6A37-44D3-93CB-B8272D8F0252}"/>
    <cellStyle name="Comma 5 2 3 2 2 2 2 2 4 2" xfId="28154" xr:uid="{F4F69482-4C7E-4997-8222-66FCD8A867C0}"/>
    <cellStyle name="Comma 5 2 3 2 2 2 2 2 5" xfId="19482" xr:uid="{9CBD1290-BC17-4164-B680-6EBAEC315E45}"/>
    <cellStyle name="Comma 5 2 3 2 2 2 2 3" xfId="3222" xr:uid="{99BF3627-6818-4819-A3A6-44AB4930E759}"/>
    <cellStyle name="Comma 5 2 3 2 2 2 2 3 2" xfId="7558" xr:uid="{CBB5A22D-494C-4194-B158-3896AAD35420}"/>
    <cellStyle name="Comma 5 2 3 2 2 2 2 3 2 2" xfId="16230" xr:uid="{E48E7366-6DE3-4879-8B92-350C9DA6C9BB}"/>
    <cellStyle name="Comma 5 2 3 2 2 2 2 3 2 2 2" xfId="33574" xr:uid="{C21CA077-6206-4DC6-AFCD-2017B809D634}"/>
    <cellStyle name="Comma 5 2 3 2 2 2 2 3 2 3" xfId="24902" xr:uid="{936C5826-AC4B-47F6-A399-4E06BBC1F464}"/>
    <cellStyle name="Comma 5 2 3 2 2 2 2 3 3" xfId="11894" xr:uid="{946645D9-106E-4454-BE62-4B14ED26590A}"/>
    <cellStyle name="Comma 5 2 3 2 2 2 2 3 3 2" xfId="29238" xr:uid="{77F4F80C-7817-486E-9B04-8875DC125DBF}"/>
    <cellStyle name="Comma 5 2 3 2 2 2 2 3 4" xfId="20566" xr:uid="{0CBE6734-F66E-4588-8928-7D8FA48B509C}"/>
    <cellStyle name="Comma 5 2 3 2 2 2 2 4" xfId="5390" xr:uid="{997BA50A-F508-421C-8A66-E0C04DE430D0}"/>
    <cellStyle name="Comma 5 2 3 2 2 2 2 4 2" xfId="14062" xr:uid="{5EA4DCFD-2E5A-473F-86F6-F9ED88BCBE6E}"/>
    <cellStyle name="Comma 5 2 3 2 2 2 2 4 2 2" xfId="31406" xr:uid="{80942BB6-CA62-4B60-BBB5-F08CA4DDB0C3}"/>
    <cellStyle name="Comma 5 2 3 2 2 2 2 4 3" xfId="22734" xr:uid="{94020CF6-E64B-41AE-BA04-89B372BB068F}"/>
    <cellStyle name="Comma 5 2 3 2 2 2 2 5" xfId="9726" xr:uid="{C725B0DC-2DF9-4D75-B3D0-A85DF1801006}"/>
    <cellStyle name="Comma 5 2 3 2 2 2 2 5 2" xfId="27070" xr:uid="{9151FF29-C1DE-4800-8F86-60CE853C4AF0}"/>
    <cellStyle name="Comma 5 2 3 2 2 2 2 6" xfId="18398" xr:uid="{86701125-1CB2-4C1E-A428-9D8920A40F9D}"/>
    <cellStyle name="Comma 5 2 3 2 2 2 3" xfId="1597" xr:uid="{4A319E31-B91A-4C3B-8C4F-B56CAAAD0914}"/>
    <cellStyle name="Comma 5 2 3 2 2 2 3 2" xfId="3765" xr:uid="{07C01C3C-BA03-4F90-8891-4BE36CF06F69}"/>
    <cellStyle name="Comma 5 2 3 2 2 2 3 2 2" xfId="8101" xr:uid="{83AB9A46-32F7-4CFF-822A-243A13002D08}"/>
    <cellStyle name="Comma 5 2 3 2 2 2 3 2 2 2" xfId="16773" xr:uid="{DB1E8882-EAEA-4886-9C5F-7EAA260CD269}"/>
    <cellStyle name="Comma 5 2 3 2 2 2 3 2 2 2 2" xfId="34117" xr:uid="{D89C1B7B-6852-4FBC-AE63-3C44A7A5FBFA}"/>
    <cellStyle name="Comma 5 2 3 2 2 2 3 2 2 3" xfId="25445" xr:uid="{E137111C-BC84-4413-9244-905F2C061AD6}"/>
    <cellStyle name="Comma 5 2 3 2 2 2 3 2 3" xfId="12437" xr:uid="{D31EF9A6-7868-434B-932B-16F4EAF712ED}"/>
    <cellStyle name="Comma 5 2 3 2 2 2 3 2 3 2" xfId="29781" xr:uid="{60DD0E47-3344-4F94-B4E8-AC365FEDECDC}"/>
    <cellStyle name="Comma 5 2 3 2 2 2 3 2 4" xfId="21109" xr:uid="{5880DC03-D0BA-43BB-9BDA-DB510BC8A434}"/>
    <cellStyle name="Comma 5 2 3 2 2 2 3 3" xfId="5933" xr:uid="{7F3F21ED-EDB3-4E78-903D-953785C91BED}"/>
    <cellStyle name="Comma 5 2 3 2 2 2 3 3 2" xfId="14605" xr:uid="{E43A87A3-3165-4BF4-8531-2A2253555C85}"/>
    <cellStyle name="Comma 5 2 3 2 2 2 3 3 2 2" xfId="31949" xr:uid="{9D59DB1A-2BF6-4329-A0B5-15A913DA324B}"/>
    <cellStyle name="Comma 5 2 3 2 2 2 3 3 3" xfId="23277" xr:uid="{B4144665-EFC4-45E1-90A7-2EA3E28E6095}"/>
    <cellStyle name="Comma 5 2 3 2 2 2 3 4" xfId="10269" xr:uid="{67DF4EC9-EDE1-4D1B-BC75-F6FD22377031}"/>
    <cellStyle name="Comma 5 2 3 2 2 2 3 4 2" xfId="27613" xr:uid="{B9A70712-87B5-4A80-BB1E-C2B6CDCDE765}"/>
    <cellStyle name="Comma 5 2 3 2 2 2 3 5" xfId="18941" xr:uid="{9B0629CA-573B-4F3F-831A-D9B21F154848}"/>
    <cellStyle name="Comma 5 2 3 2 2 2 4" xfId="2681" xr:uid="{3B4C42FC-78E3-4E76-8124-8CDA2107556E}"/>
    <cellStyle name="Comma 5 2 3 2 2 2 4 2" xfId="7017" xr:uid="{6245E1DC-BFA9-4F36-AB0E-A604ADAEF02A}"/>
    <cellStyle name="Comma 5 2 3 2 2 2 4 2 2" xfId="15689" xr:uid="{69B76732-34D4-493A-B4C1-D018D90FF3AB}"/>
    <cellStyle name="Comma 5 2 3 2 2 2 4 2 2 2" xfId="33033" xr:uid="{821C4F4E-1FB1-4BD8-9405-C845F9AB9136}"/>
    <cellStyle name="Comma 5 2 3 2 2 2 4 2 3" xfId="24361" xr:uid="{206B8217-FFFE-4E2D-B015-50234EC64433}"/>
    <cellStyle name="Comma 5 2 3 2 2 2 4 3" xfId="11353" xr:uid="{26B19FAB-FDE4-4662-A720-D5EA46148960}"/>
    <cellStyle name="Comma 5 2 3 2 2 2 4 3 2" xfId="28697" xr:uid="{D751C4E5-CF74-4827-9DE3-FA6CDC24249F}"/>
    <cellStyle name="Comma 5 2 3 2 2 2 4 4" xfId="20025" xr:uid="{266E8A30-8A7E-48FF-B7D9-62A070079110}"/>
    <cellStyle name="Comma 5 2 3 2 2 2 5" xfId="4849" xr:uid="{64CB8690-B2B5-482A-87E6-553DC96BCF4E}"/>
    <cellStyle name="Comma 5 2 3 2 2 2 5 2" xfId="13521" xr:uid="{8390F92C-112E-49B4-A84B-F151557BD65F}"/>
    <cellStyle name="Comma 5 2 3 2 2 2 5 2 2" xfId="30865" xr:uid="{D663C3BD-913B-401B-846E-FF0FA3AD0394}"/>
    <cellStyle name="Comma 5 2 3 2 2 2 5 3" xfId="22193" xr:uid="{ABF8BBE0-644A-46B7-A10E-49456B4AB701}"/>
    <cellStyle name="Comma 5 2 3 2 2 2 6" xfId="9185" xr:uid="{F89BCBD4-51D2-40AA-A380-6FE5BD0BBE57}"/>
    <cellStyle name="Comma 5 2 3 2 2 2 6 2" xfId="26529" xr:uid="{D58EAFB4-13CC-4405-8280-6E89A53E7988}"/>
    <cellStyle name="Comma 5 2 3 2 2 2 7" xfId="17857" xr:uid="{8CCA8399-685D-4261-9F46-1AB9E5B6B234}"/>
    <cellStyle name="Comma 5 2 3 2 2 3" xfId="784" xr:uid="{AE2B1BE0-A1A6-42FE-BEF1-E021FDCE6B9D}"/>
    <cellStyle name="Comma 5 2 3 2 2 3 2" xfId="1868" xr:uid="{EBD99899-6F7A-4A66-87CD-A11F5AA54180}"/>
    <cellStyle name="Comma 5 2 3 2 2 3 2 2" xfId="4036" xr:uid="{0F4A355F-5BA4-4DB8-9DF4-AD37E2532EDA}"/>
    <cellStyle name="Comma 5 2 3 2 2 3 2 2 2" xfId="8372" xr:uid="{6BA3F063-2827-4150-A814-7BD92EBBDB84}"/>
    <cellStyle name="Comma 5 2 3 2 2 3 2 2 2 2" xfId="17044" xr:uid="{ACDCF62B-AC7E-427F-8776-7CC46376101F}"/>
    <cellStyle name="Comma 5 2 3 2 2 3 2 2 2 2 2" xfId="34388" xr:uid="{DA07EADA-2008-46B8-A136-92F222B905B2}"/>
    <cellStyle name="Comma 5 2 3 2 2 3 2 2 2 3" xfId="25716" xr:uid="{8BFBEA14-87EC-4903-9F4F-6B28EC94E94C}"/>
    <cellStyle name="Comma 5 2 3 2 2 3 2 2 3" xfId="12708" xr:uid="{FC8F6EA8-0659-4299-9A4B-CB7D96C29DEF}"/>
    <cellStyle name="Comma 5 2 3 2 2 3 2 2 3 2" xfId="30052" xr:uid="{8500760E-C580-46C4-8B64-51901C02D226}"/>
    <cellStyle name="Comma 5 2 3 2 2 3 2 2 4" xfId="21380" xr:uid="{92337ECC-CB33-440D-8AC1-A23E02465EA0}"/>
    <cellStyle name="Comma 5 2 3 2 2 3 2 3" xfId="6204" xr:uid="{3C01517A-0FAD-4C2C-AC0F-CE985EDEBE5A}"/>
    <cellStyle name="Comma 5 2 3 2 2 3 2 3 2" xfId="14876" xr:uid="{730E0336-6C9D-45C7-B49A-4BECE301292B}"/>
    <cellStyle name="Comma 5 2 3 2 2 3 2 3 2 2" xfId="32220" xr:uid="{C2251345-1846-4DC9-AF6E-C23444780DFF}"/>
    <cellStyle name="Comma 5 2 3 2 2 3 2 3 3" xfId="23548" xr:uid="{D6BD4A77-6570-4850-9FA5-89996DE0A826}"/>
    <cellStyle name="Comma 5 2 3 2 2 3 2 4" xfId="10540" xr:uid="{8E376AEC-6746-478F-9A1B-6140BC759415}"/>
    <cellStyle name="Comma 5 2 3 2 2 3 2 4 2" xfId="27884" xr:uid="{0FF5BF6A-8602-4B3C-AB35-D2003608AF1A}"/>
    <cellStyle name="Comma 5 2 3 2 2 3 2 5" xfId="19212" xr:uid="{06A126FC-4A94-49FE-A823-E01189587336}"/>
    <cellStyle name="Comma 5 2 3 2 2 3 3" xfId="2952" xr:uid="{4FAE50FC-5012-4C06-9EC4-91F6AEB07914}"/>
    <cellStyle name="Comma 5 2 3 2 2 3 3 2" xfId="7288" xr:uid="{3BDE3CA1-702C-4599-B214-B25550B9C5D6}"/>
    <cellStyle name="Comma 5 2 3 2 2 3 3 2 2" xfId="15960" xr:uid="{48C4840A-DD36-4C3A-A3AE-1282653C9EEE}"/>
    <cellStyle name="Comma 5 2 3 2 2 3 3 2 2 2" xfId="33304" xr:uid="{FE3067D5-E4B4-4D2D-84E2-AAED36361726}"/>
    <cellStyle name="Comma 5 2 3 2 2 3 3 2 3" xfId="24632" xr:uid="{9891F76A-E389-41EF-9D5C-99EFDB3D693A}"/>
    <cellStyle name="Comma 5 2 3 2 2 3 3 3" xfId="11624" xr:uid="{70EC76CE-A224-45A4-A078-E420A82E6FE8}"/>
    <cellStyle name="Comma 5 2 3 2 2 3 3 3 2" xfId="28968" xr:uid="{81A99561-7DD7-48DA-9CAB-D8CC9F1017FB}"/>
    <cellStyle name="Comma 5 2 3 2 2 3 3 4" xfId="20296" xr:uid="{01E96EC7-4574-4412-A83E-5524574F56F8}"/>
    <cellStyle name="Comma 5 2 3 2 2 3 4" xfId="5120" xr:uid="{5DB82A35-A971-4FA8-B7AC-ADF7BD5A1E1E}"/>
    <cellStyle name="Comma 5 2 3 2 2 3 4 2" xfId="13792" xr:uid="{181D88F9-95B0-4654-B30A-B19761B78350}"/>
    <cellStyle name="Comma 5 2 3 2 2 3 4 2 2" xfId="31136" xr:uid="{6BA96504-55AC-48E6-A0AE-CCA3EF62EEE3}"/>
    <cellStyle name="Comma 5 2 3 2 2 3 4 3" xfId="22464" xr:uid="{5D068AEF-F3E8-43A1-BC4B-F24DAA9811C9}"/>
    <cellStyle name="Comma 5 2 3 2 2 3 5" xfId="9456" xr:uid="{DFEDB588-739E-411C-9776-BC6DC6A31F7E}"/>
    <cellStyle name="Comma 5 2 3 2 2 3 5 2" xfId="26800" xr:uid="{BAF78A35-9D49-487B-B29A-29017BE97F6E}"/>
    <cellStyle name="Comma 5 2 3 2 2 3 6" xfId="18128" xr:uid="{9542FB7A-5175-4C00-8057-798BC5304B8C}"/>
    <cellStyle name="Comma 5 2 3 2 2 4" xfId="1327" xr:uid="{D9F991B1-4E70-4674-AEBD-6AAA4C3681E6}"/>
    <cellStyle name="Comma 5 2 3 2 2 4 2" xfId="3495" xr:uid="{CAFA430D-6FDF-4FEF-AEEB-7D1FD3C8E04C}"/>
    <cellStyle name="Comma 5 2 3 2 2 4 2 2" xfId="7831" xr:uid="{0367D3F2-0DF8-4CA0-98F7-5834DB3FE1C8}"/>
    <cellStyle name="Comma 5 2 3 2 2 4 2 2 2" xfId="16503" xr:uid="{136F6923-EAA5-4D28-B767-977E11623479}"/>
    <cellStyle name="Comma 5 2 3 2 2 4 2 2 2 2" xfId="33847" xr:uid="{6BB1781D-FFE8-4394-886B-789F46595750}"/>
    <cellStyle name="Comma 5 2 3 2 2 4 2 2 3" xfId="25175" xr:uid="{BAFA43C7-9F5E-4C6D-AA5C-50D617A97F8C}"/>
    <cellStyle name="Comma 5 2 3 2 2 4 2 3" xfId="12167" xr:uid="{3FD19CEB-6277-4CFD-9606-478C427C66DF}"/>
    <cellStyle name="Comma 5 2 3 2 2 4 2 3 2" xfId="29511" xr:uid="{6787BE63-3132-4832-B3C5-D909EA566924}"/>
    <cellStyle name="Comma 5 2 3 2 2 4 2 4" xfId="20839" xr:uid="{DF046DFB-2E4E-4F09-9E68-F0DE02238ADA}"/>
    <cellStyle name="Comma 5 2 3 2 2 4 3" xfId="5663" xr:uid="{12AD2B66-BB92-4C98-855A-45886E44AD3D}"/>
    <cellStyle name="Comma 5 2 3 2 2 4 3 2" xfId="14335" xr:uid="{681C4FD2-8254-4D4B-9444-229732A88470}"/>
    <cellStyle name="Comma 5 2 3 2 2 4 3 2 2" xfId="31679" xr:uid="{27FB9FDF-3858-42EF-A917-B8F46351E1E8}"/>
    <cellStyle name="Comma 5 2 3 2 2 4 3 3" xfId="23007" xr:uid="{668A3353-0738-4F08-98CF-8BA46ED56842}"/>
    <cellStyle name="Comma 5 2 3 2 2 4 4" xfId="9999" xr:uid="{F8A9067E-6106-4489-8952-711EB51F0769}"/>
    <cellStyle name="Comma 5 2 3 2 2 4 4 2" xfId="27343" xr:uid="{050AD437-584D-4159-AA4A-60AF101D927C}"/>
    <cellStyle name="Comma 5 2 3 2 2 4 5" xfId="18671" xr:uid="{FEE278AE-53AC-4528-9DEE-60081C870131}"/>
    <cellStyle name="Comma 5 2 3 2 2 5" xfId="2411" xr:uid="{6BA64AE3-14FF-4FF3-B751-EF3C09FF5A19}"/>
    <cellStyle name="Comma 5 2 3 2 2 5 2" xfId="6747" xr:uid="{0043F887-9028-44EB-BA40-D99F73E8FF74}"/>
    <cellStyle name="Comma 5 2 3 2 2 5 2 2" xfId="15419" xr:uid="{4569AB21-7310-488E-867C-C8D7BA197C5B}"/>
    <cellStyle name="Comma 5 2 3 2 2 5 2 2 2" xfId="32763" xr:uid="{6C433D79-9CFD-439C-9E0A-73AA239ECA73}"/>
    <cellStyle name="Comma 5 2 3 2 2 5 2 3" xfId="24091" xr:uid="{F8F22D37-08AC-4435-9160-1D3B351BDEE8}"/>
    <cellStyle name="Comma 5 2 3 2 2 5 3" xfId="11083" xr:uid="{5E7A5E56-F094-44EB-BC93-857D5D534431}"/>
    <cellStyle name="Comma 5 2 3 2 2 5 3 2" xfId="28427" xr:uid="{8CA1B4D9-2160-4287-AF92-E4BD94D0A48E}"/>
    <cellStyle name="Comma 5 2 3 2 2 5 4" xfId="19755" xr:uid="{1DA436C0-B52B-4940-9327-7F26A3FC0A81}"/>
    <cellStyle name="Comma 5 2 3 2 2 6" xfId="4579" xr:uid="{24890F05-B99C-4771-ACF8-77B21082AB71}"/>
    <cellStyle name="Comma 5 2 3 2 2 6 2" xfId="13251" xr:uid="{2DAFE0D4-0F9D-4F9C-BA64-BA2011862120}"/>
    <cellStyle name="Comma 5 2 3 2 2 6 2 2" xfId="30595" xr:uid="{44DE8F7D-EC92-49ED-BC9C-A56D6F66B05F}"/>
    <cellStyle name="Comma 5 2 3 2 2 6 3" xfId="21923" xr:uid="{CEE67F31-300D-48CC-B8CE-5CD767F180A7}"/>
    <cellStyle name="Comma 5 2 3 2 2 7" xfId="8915" xr:uid="{81BEDE26-1F15-4D2D-9F30-A346A5113C1D}"/>
    <cellStyle name="Comma 5 2 3 2 2 7 2" xfId="26259" xr:uid="{DCDFBC4A-82AE-4A2A-8F3D-2D543A0E3918}"/>
    <cellStyle name="Comma 5 2 3 2 2 8" xfId="17587" xr:uid="{9D70E713-E839-478E-B295-8D9F501C1AA1}"/>
    <cellStyle name="Comma 5 2 3 2 3" xfId="391" xr:uid="{512250BA-B07C-4934-8860-374201B24B48}"/>
    <cellStyle name="Comma 5 2 3 2 3 2" xfId="932" xr:uid="{131A895A-4E3E-4967-A470-ED18FD56E45F}"/>
    <cellStyle name="Comma 5 2 3 2 3 2 2" xfId="2016" xr:uid="{5C3EF0D8-2ED0-4030-A41C-9945678723E2}"/>
    <cellStyle name="Comma 5 2 3 2 3 2 2 2" xfId="4184" xr:uid="{CEDEF706-18DE-4CB7-B95D-43B1744D4E72}"/>
    <cellStyle name="Comma 5 2 3 2 3 2 2 2 2" xfId="8520" xr:uid="{29EBFF4F-3DC3-454E-AD1B-E6CFA10BB337}"/>
    <cellStyle name="Comma 5 2 3 2 3 2 2 2 2 2" xfId="17192" xr:uid="{B35E82B3-5DE9-4F8B-82B6-D1E0BFBA3EF5}"/>
    <cellStyle name="Comma 5 2 3 2 3 2 2 2 2 2 2" xfId="34536" xr:uid="{D1853FD7-DA9E-43B5-A0F7-8AB3ED91E225}"/>
    <cellStyle name="Comma 5 2 3 2 3 2 2 2 2 3" xfId="25864" xr:uid="{5A3E6589-BC8D-4564-9D81-3EFC00509C2B}"/>
    <cellStyle name="Comma 5 2 3 2 3 2 2 2 3" xfId="12856" xr:uid="{3EBCC413-64BB-48C5-AC5F-72EDFEC6241B}"/>
    <cellStyle name="Comma 5 2 3 2 3 2 2 2 3 2" xfId="30200" xr:uid="{1EE5EA1C-2B3D-46EC-A025-1D45120CE349}"/>
    <cellStyle name="Comma 5 2 3 2 3 2 2 2 4" xfId="21528" xr:uid="{7A523669-7B63-4F34-B33D-23CCB26E2323}"/>
    <cellStyle name="Comma 5 2 3 2 3 2 2 3" xfId="6352" xr:uid="{88C92F28-2BCE-4D55-AA6C-78625B83BE3A}"/>
    <cellStyle name="Comma 5 2 3 2 3 2 2 3 2" xfId="15024" xr:uid="{FFD9B5C6-E44E-4402-AE3C-0930EBFC6D1F}"/>
    <cellStyle name="Comma 5 2 3 2 3 2 2 3 2 2" xfId="32368" xr:uid="{96E8C53C-29C7-441B-BF56-69B355F40904}"/>
    <cellStyle name="Comma 5 2 3 2 3 2 2 3 3" xfId="23696" xr:uid="{3C695CBF-8EED-49AF-984B-E99FA476B68C}"/>
    <cellStyle name="Comma 5 2 3 2 3 2 2 4" xfId="10688" xr:uid="{0765EE4F-38CA-4CE0-9652-FE99B22692F6}"/>
    <cellStyle name="Comma 5 2 3 2 3 2 2 4 2" xfId="28032" xr:uid="{94ED27D8-8BF0-47EE-93E1-7AF68013AE87}"/>
    <cellStyle name="Comma 5 2 3 2 3 2 2 5" xfId="19360" xr:uid="{AE0EF0EA-0D02-44F5-9BB9-F9565F33F2E9}"/>
    <cellStyle name="Comma 5 2 3 2 3 2 3" xfId="3100" xr:uid="{870BCDA6-E939-43FA-A67B-E7B674EE2F43}"/>
    <cellStyle name="Comma 5 2 3 2 3 2 3 2" xfId="7436" xr:uid="{E18A7B64-BF3E-4AD2-9A0C-A2498B9798DB}"/>
    <cellStyle name="Comma 5 2 3 2 3 2 3 2 2" xfId="16108" xr:uid="{17E411D8-8E98-462A-BC78-5E5C5F1719BC}"/>
    <cellStyle name="Comma 5 2 3 2 3 2 3 2 2 2" xfId="33452" xr:uid="{8E77E557-7E3A-44A2-9B7F-C21FCBAD657D}"/>
    <cellStyle name="Comma 5 2 3 2 3 2 3 2 3" xfId="24780" xr:uid="{BFE540C4-3EE8-4259-904F-1C75F1337EFC}"/>
    <cellStyle name="Comma 5 2 3 2 3 2 3 3" xfId="11772" xr:uid="{2B8ABBEB-DF0F-4F7A-A759-2BC9FFEC219A}"/>
    <cellStyle name="Comma 5 2 3 2 3 2 3 3 2" xfId="29116" xr:uid="{97CBD660-778D-4305-894C-A0BB92E25DB6}"/>
    <cellStyle name="Comma 5 2 3 2 3 2 3 4" xfId="20444" xr:uid="{1273FE81-4FB2-4BE7-8F61-27F8D1436734}"/>
    <cellStyle name="Comma 5 2 3 2 3 2 4" xfId="5268" xr:uid="{E234712A-AEFC-4ACF-88E1-8E35CC5F1F39}"/>
    <cellStyle name="Comma 5 2 3 2 3 2 4 2" xfId="13940" xr:uid="{EDC087DC-E0EE-4A9C-B5D3-08B6F261AEEA}"/>
    <cellStyle name="Comma 5 2 3 2 3 2 4 2 2" xfId="31284" xr:uid="{E941A2EB-149D-4B90-87A2-8430C075239C}"/>
    <cellStyle name="Comma 5 2 3 2 3 2 4 3" xfId="22612" xr:uid="{86A54A5C-A550-4224-8786-2DF6C3216004}"/>
    <cellStyle name="Comma 5 2 3 2 3 2 5" xfId="9604" xr:uid="{765A4092-922B-4BDA-8E09-D6FD477CD2ED}"/>
    <cellStyle name="Comma 5 2 3 2 3 2 5 2" xfId="26948" xr:uid="{29C5CF15-B7DD-4D0A-973F-D341241C6A43}"/>
    <cellStyle name="Comma 5 2 3 2 3 2 6" xfId="18276" xr:uid="{AD4F06E0-C6E0-40B6-9B00-22349F12A76E}"/>
    <cellStyle name="Comma 5 2 3 2 3 3" xfId="1475" xr:uid="{872F06BF-2A45-422F-8926-469F02C507F1}"/>
    <cellStyle name="Comma 5 2 3 2 3 3 2" xfId="3643" xr:uid="{22F89D01-8947-4F87-A176-9D47B713CEDF}"/>
    <cellStyle name="Comma 5 2 3 2 3 3 2 2" xfId="7979" xr:uid="{C700697F-CB37-40A7-893C-C12B63AEA4E5}"/>
    <cellStyle name="Comma 5 2 3 2 3 3 2 2 2" xfId="16651" xr:uid="{C8308F26-7294-4FA4-825E-366DE7C1351D}"/>
    <cellStyle name="Comma 5 2 3 2 3 3 2 2 2 2" xfId="33995" xr:uid="{B004B5B1-AFC5-4976-8C56-91D1960AAF95}"/>
    <cellStyle name="Comma 5 2 3 2 3 3 2 2 3" xfId="25323" xr:uid="{CEDE4801-7B2A-4F9B-A4E8-768415E8DF2B}"/>
    <cellStyle name="Comma 5 2 3 2 3 3 2 3" xfId="12315" xr:uid="{43FFE656-F959-49D2-A29B-E69624F4BD88}"/>
    <cellStyle name="Comma 5 2 3 2 3 3 2 3 2" xfId="29659" xr:uid="{FD5EB256-814A-468B-A6F5-2F51E5C60CAA}"/>
    <cellStyle name="Comma 5 2 3 2 3 3 2 4" xfId="20987" xr:uid="{E36048CC-DBD0-4864-874C-255E40D4EDE7}"/>
    <cellStyle name="Comma 5 2 3 2 3 3 3" xfId="5811" xr:uid="{24AD8D2F-B790-4065-A539-0D1290AEDA21}"/>
    <cellStyle name="Comma 5 2 3 2 3 3 3 2" xfId="14483" xr:uid="{E24E7EC9-1862-444D-87C7-751F2052B358}"/>
    <cellStyle name="Comma 5 2 3 2 3 3 3 2 2" xfId="31827" xr:uid="{73D3D821-16A8-4F31-AB3C-65C265D503DD}"/>
    <cellStyle name="Comma 5 2 3 2 3 3 3 3" xfId="23155" xr:uid="{DD310853-2F9C-47E9-A3DD-8FBD033A0683}"/>
    <cellStyle name="Comma 5 2 3 2 3 3 4" xfId="10147" xr:uid="{8B3DC699-A3E0-4105-A051-7F07CFD2C017}"/>
    <cellStyle name="Comma 5 2 3 2 3 3 4 2" xfId="27491" xr:uid="{830DE6ED-6C83-4B87-B9BB-3F5F7621B7DF}"/>
    <cellStyle name="Comma 5 2 3 2 3 3 5" xfId="18819" xr:uid="{6D88F504-2193-403C-B140-5C9B3DBA1521}"/>
    <cellStyle name="Comma 5 2 3 2 3 4" xfId="2559" xr:uid="{B8A8C9F0-42A9-4A3A-BD5A-1F550E27B0ED}"/>
    <cellStyle name="Comma 5 2 3 2 3 4 2" xfId="6895" xr:uid="{E37866D8-B473-462C-9A85-FBFA4003002B}"/>
    <cellStyle name="Comma 5 2 3 2 3 4 2 2" xfId="15567" xr:uid="{BD57BEFC-C621-4AA2-9DE9-1A51A87AF881}"/>
    <cellStyle name="Comma 5 2 3 2 3 4 2 2 2" xfId="32911" xr:uid="{7D70BADA-5868-49BD-BBBE-8BDD733D5658}"/>
    <cellStyle name="Comma 5 2 3 2 3 4 2 3" xfId="24239" xr:uid="{30D3E3AF-D666-4686-A3E8-B7098FDAFEA7}"/>
    <cellStyle name="Comma 5 2 3 2 3 4 3" xfId="11231" xr:uid="{75BCBCA0-D1AD-4B89-8CB7-6E78DBB7E1E6}"/>
    <cellStyle name="Comma 5 2 3 2 3 4 3 2" xfId="28575" xr:uid="{19995C6D-7BFE-4977-A3AE-2C5AE99BD6C2}"/>
    <cellStyle name="Comma 5 2 3 2 3 4 4" xfId="19903" xr:uid="{05CBD2CD-18B0-40C1-8295-6DED43F332F5}"/>
    <cellStyle name="Comma 5 2 3 2 3 5" xfId="4727" xr:uid="{D6A62788-1A0F-4048-951F-EB09D5FCC331}"/>
    <cellStyle name="Comma 5 2 3 2 3 5 2" xfId="13399" xr:uid="{BBBBD43D-AFB3-43E9-8FBB-A57C739F545C}"/>
    <cellStyle name="Comma 5 2 3 2 3 5 2 2" xfId="30743" xr:uid="{681CFCFC-1A0D-44B5-A4D2-0515484F6511}"/>
    <cellStyle name="Comma 5 2 3 2 3 5 3" xfId="22071" xr:uid="{D411B26B-5EFE-481F-A002-612DEA1F96A9}"/>
    <cellStyle name="Comma 5 2 3 2 3 6" xfId="9063" xr:uid="{77C5C2C8-7418-4111-8CA0-CCE3E0600293}"/>
    <cellStyle name="Comma 5 2 3 2 3 6 2" xfId="26407" xr:uid="{6B155F0C-FF49-47F7-980F-C8564321A399}"/>
    <cellStyle name="Comma 5 2 3 2 3 7" xfId="17735" xr:uid="{DF406038-E3EB-4EA8-9374-1EC2069E7EFF}"/>
    <cellStyle name="Comma 5 2 3 2 4" xfId="662" xr:uid="{EC034691-DD01-4823-AEDD-9BED8E197644}"/>
    <cellStyle name="Comma 5 2 3 2 4 2" xfId="1746" xr:uid="{2193C0FA-3502-4EAE-B7FD-6E73F90F237C}"/>
    <cellStyle name="Comma 5 2 3 2 4 2 2" xfId="3914" xr:uid="{6594AABC-65A2-4378-9313-A63A62B96D39}"/>
    <cellStyle name="Comma 5 2 3 2 4 2 2 2" xfId="8250" xr:uid="{B2CC5CCF-85AA-453A-9A44-33859CB89277}"/>
    <cellStyle name="Comma 5 2 3 2 4 2 2 2 2" xfId="16922" xr:uid="{16D3696B-55A4-4402-A999-05A16D0465B0}"/>
    <cellStyle name="Comma 5 2 3 2 4 2 2 2 2 2" xfId="34266" xr:uid="{E39385B4-64B3-43F6-9A50-6FE3180BDDA8}"/>
    <cellStyle name="Comma 5 2 3 2 4 2 2 2 3" xfId="25594" xr:uid="{F7FAFAB0-2C79-4862-95E4-D49E437967FB}"/>
    <cellStyle name="Comma 5 2 3 2 4 2 2 3" xfId="12586" xr:uid="{B3E0A837-D0EA-4EA0-8A5F-DE5B5A5A8086}"/>
    <cellStyle name="Comma 5 2 3 2 4 2 2 3 2" xfId="29930" xr:uid="{8DD49937-DE20-456B-9ECF-6C1C3C0350B5}"/>
    <cellStyle name="Comma 5 2 3 2 4 2 2 4" xfId="21258" xr:uid="{56DE4D08-87AA-4BCB-A197-5DF331C4E55D}"/>
    <cellStyle name="Comma 5 2 3 2 4 2 3" xfId="6082" xr:uid="{C2577E67-3EEA-456A-913D-DC281720DE95}"/>
    <cellStyle name="Comma 5 2 3 2 4 2 3 2" xfId="14754" xr:uid="{8CF495D3-82C0-4D56-AA23-0522D8D3D1AF}"/>
    <cellStyle name="Comma 5 2 3 2 4 2 3 2 2" xfId="32098" xr:uid="{04DD8AA1-9FD6-40F6-8467-FAD20D1D8332}"/>
    <cellStyle name="Comma 5 2 3 2 4 2 3 3" xfId="23426" xr:uid="{63E68F3D-3BFF-4FAC-BB3D-1A853C08F1FE}"/>
    <cellStyle name="Comma 5 2 3 2 4 2 4" xfId="10418" xr:uid="{B4F818C7-CD05-4F09-A29A-C8507CFF1C33}"/>
    <cellStyle name="Comma 5 2 3 2 4 2 4 2" xfId="27762" xr:uid="{8B27408F-BF5B-4F14-A8EB-068BE2F753EF}"/>
    <cellStyle name="Comma 5 2 3 2 4 2 5" xfId="19090" xr:uid="{1766531F-4E99-43F6-A35B-781DD38B52F1}"/>
    <cellStyle name="Comma 5 2 3 2 4 3" xfId="2830" xr:uid="{74E680CB-6480-48E3-AFBE-538D9218F1E1}"/>
    <cellStyle name="Comma 5 2 3 2 4 3 2" xfId="7166" xr:uid="{ECD7FBE3-CABB-41FF-A0E7-0C0A8C363573}"/>
    <cellStyle name="Comma 5 2 3 2 4 3 2 2" xfId="15838" xr:uid="{E0F88E2D-332E-479F-82C8-9D2B0FCD6864}"/>
    <cellStyle name="Comma 5 2 3 2 4 3 2 2 2" xfId="33182" xr:uid="{5558C472-B64B-473F-9910-3CAA4739CA81}"/>
    <cellStyle name="Comma 5 2 3 2 4 3 2 3" xfId="24510" xr:uid="{30EF048D-706E-4230-A88E-B13D70F7E45A}"/>
    <cellStyle name="Comma 5 2 3 2 4 3 3" xfId="11502" xr:uid="{26B37F17-D253-4D17-A72D-B0FFE6E2FACD}"/>
    <cellStyle name="Comma 5 2 3 2 4 3 3 2" xfId="28846" xr:uid="{1EE6F04E-ECDF-43F9-BD19-B34353C57EF0}"/>
    <cellStyle name="Comma 5 2 3 2 4 3 4" xfId="20174" xr:uid="{866E4A35-212F-4678-8500-598934554B6E}"/>
    <cellStyle name="Comma 5 2 3 2 4 4" xfId="4998" xr:uid="{0F1A41B4-A06A-4A6C-829D-2349F061E793}"/>
    <cellStyle name="Comma 5 2 3 2 4 4 2" xfId="13670" xr:uid="{FBA0731D-5097-46B6-92BD-514C2ABC3944}"/>
    <cellStyle name="Comma 5 2 3 2 4 4 2 2" xfId="31014" xr:uid="{D4E31E19-86C1-4F5D-B205-C133CD1E0930}"/>
    <cellStyle name="Comma 5 2 3 2 4 4 3" xfId="22342" xr:uid="{8F917C76-3096-4275-9B5F-D02188C9870D}"/>
    <cellStyle name="Comma 5 2 3 2 4 5" xfId="9334" xr:uid="{45663A7E-7B4F-467C-92D7-56A824657F29}"/>
    <cellStyle name="Comma 5 2 3 2 4 5 2" xfId="26678" xr:uid="{B5DFA827-D79E-42CF-84AE-4222C2EC6A96}"/>
    <cellStyle name="Comma 5 2 3 2 4 6" xfId="18006" xr:uid="{55379924-3B32-4339-AA9D-B7F1E9FF6F32}"/>
    <cellStyle name="Comma 5 2 3 2 5" xfId="1205" xr:uid="{7616E0EE-4036-464A-AA3E-F4A58A1A756D}"/>
    <cellStyle name="Comma 5 2 3 2 5 2" xfId="3373" xr:uid="{BFDE1FF8-4103-4A56-B45C-2947198CC962}"/>
    <cellStyle name="Comma 5 2 3 2 5 2 2" xfId="7709" xr:uid="{8567633F-4F5A-4949-B668-0527384A0296}"/>
    <cellStyle name="Comma 5 2 3 2 5 2 2 2" xfId="16381" xr:uid="{8464D9BC-33DF-4AA7-83AB-A548B3B66E16}"/>
    <cellStyle name="Comma 5 2 3 2 5 2 2 2 2" xfId="33725" xr:uid="{DCD9D13C-59F4-417C-8F2C-5D382E796AAA}"/>
    <cellStyle name="Comma 5 2 3 2 5 2 2 3" xfId="25053" xr:uid="{25B0387F-4A84-4E7F-8E55-449C9846AB2D}"/>
    <cellStyle name="Comma 5 2 3 2 5 2 3" xfId="12045" xr:uid="{046087AA-3756-40B9-B353-2AB333C7C932}"/>
    <cellStyle name="Comma 5 2 3 2 5 2 3 2" xfId="29389" xr:uid="{511B6E54-F2AB-4E13-9122-7646CD5BBE02}"/>
    <cellStyle name="Comma 5 2 3 2 5 2 4" xfId="20717" xr:uid="{FF6A2982-1533-4E57-ABD6-E169430C7BE7}"/>
    <cellStyle name="Comma 5 2 3 2 5 3" xfId="5541" xr:uid="{8893BED1-1AA0-4CA5-957B-51B3712F16C0}"/>
    <cellStyle name="Comma 5 2 3 2 5 3 2" xfId="14213" xr:uid="{8884FBAD-3791-4A50-B19B-FE34D046C86A}"/>
    <cellStyle name="Comma 5 2 3 2 5 3 2 2" xfId="31557" xr:uid="{A7B8B9E8-16D8-41FA-834A-11C92E522FF2}"/>
    <cellStyle name="Comma 5 2 3 2 5 3 3" xfId="22885" xr:uid="{433B3828-EC91-42BB-AFCA-3CF6DC580BE3}"/>
    <cellStyle name="Comma 5 2 3 2 5 4" xfId="9877" xr:uid="{338954D8-D249-4731-8C3B-2057FE95344B}"/>
    <cellStyle name="Comma 5 2 3 2 5 4 2" xfId="27221" xr:uid="{1230F9EF-C2E9-4EE4-AF08-365D47A0CDF3}"/>
    <cellStyle name="Comma 5 2 3 2 5 5" xfId="18549" xr:uid="{392B8AF5-1B06-40C2-8A0A-3E8907946A33}"/>
    <cellStyle name="Comma 5 2 3 2 6" xfId="2289" xr:uid="{12FCBF38-392A-44F1-870D-9834163D0E66}"/>
    <cellStyle name="Comma 5 2 3 2 6 2" xfId="6625" xr:uid="{4C5266FA-0029-42E1-9EBE-225B96E0E745}"/>
    <cellStyle name="Comma 5 2 3 2 6 2 2" xfId="15297" xr:uid="{8EFC82D3-9C0F-4A47-AAF5-E2C97D794C6B}"/>
    <cellStyle name="Comma 5 2 3 2 6 2 2 2" xfId="32641" xr:uid="{C5334F90-6BE3-4F28-8595-CE3078BB64F6}"/>
    <cellStyle name="Comma 5 2 3 2 6 2 3" xfId="23969" xr:uid="{53F25A01-BD3A-425C-9C43-AE17A8B36F39}"/>
    <cellStyle name="Comma 5 2 3 2 6 3" xfId="10961" xr:uid="{14A2DE5C-A9B4-409B-9DB9-AE8CEB307837}"/>
    <cellStyle name="Comma 5 2 3 2 6 3 2" xfId="28305" xr:uid="{D12D5575-A544-4322-89DE-2B3979630A9D}"/>
    <cellStyle name="Comma 5 2 3 2 6 4" xfId="19633" xr:uid="{5B661967-6F94-464E-B09A-F3B7ECFBCA53}"/>
    <cellStyle name="Comma 5 2 3 2 7" xfId="4457" xr:uid="{36518C98-185F-48CD-81D8-DBDEF3293474}"/>
    <cellStyle name="Comma 5 2 3 2 7 2" xfId="13129" xr:uid="{CD81BB47-2A6B-4E49-BB78-8A8610399517}"/>
    <cellStyle name="Comma 5 2 3 2 7 2 2" xfId="30473" xr:uid="{763D02FE-FA4B-4316-A0CA-F37CB9BADDE7}"/>
    <cellStyle name="Comma 5 2 3 2 7 3" xfId="21801" xr:uid="{BA6D8D34-6917-4C94-8D81-9457E40CFB5F}"/>
    <cellStyle name="Comma 5 2 3 2 8" xfId="8793" xr:uid="{9788540F-78ED-493D-8D54-B6AFCE295C17}"/>
    <cellStyle name="Comma 5 2 3 2 8 2" xfId="26137" xr:uid="{01F80FF5-F7A2-457B-BA17-7CE7582EF680}"/>
    <cellStyle name="Comma 5 2 3 2 9" xfId="17465" xr:uid="{8DB16A6D-E704-49F6-8C86-045FE23E7CBD}"/>
    <cellStyle name="Comma 5 2 3 3" xfId="182" xr:uid="{6E2D4188-C836-4054-B6B2-4D9CF99DF9AE}"/>
    <cellStyle name="Comma 5 2 3 3 2" xfId="452" xr:uid="{1EA662A5-798C-4F01-B209-D9FA51A98816}"/>
    <cellStyle name="Comma 5 2 3 3 2 2" xfId="993" xr:uid="{31333F51-6B8A-49ED-837B-DC157B02FE30}"/>
    <cellStyle name="Comma 5 2 3 3 2 2 2" xfId="2077" xr:uid="{366F826D-1B14-45DE-9A43-959C49FB0D8A}"/>
    <cellStyle name="Comma 5 2 3 3 2 2 2 2" xfId="4245" xr:uid="{2628D4A2-924B-471E-9596-3BF8E9F4F26B}"/>
    <cellStyle name="Comma 5 2 3 3 2 2 2 2 2" xfId="8581" xr:uid="{DCA65604-E4AE-434D-B3B2-EEDC9BD55607}"/>
    <cellStyle name="Comma 5 2 3 3 2 2 2 2 2 2" xfId="17253" xr:uid="{3E63330D-DBE3-4AF4-997A-F45EBB948582}"/>
    <cellStyle name="Comma 5 2 3 3 2 2 2 2 2 2 2" xfId="34597" xr:uid="{1A31BF0E-2F31-4930-B3CB-21518BD0AEB9}"/>
    <cellStyle name="Comma 5 2 3 3 2 2 2 2 2 3" xfId="25925" xr:uid="{F0043E6A-4D82-4106-90E1-42CA6A5876D7}"/>
    <cellStyle name="Comma 5 2 3 3 2 2 2 2 3" xfId="12917" xr:uid="{33554B2F-4B77-4EFC-ACC2-450F3B99BC55}"/>
    <cellStyle name="Comma 5 2 3 3 2 2 2 2 3 2" xfId="30261" xr:uid="{D5DB478C-4098-4555-9B1C-0DCCB2E79D5F}"/>
    <cellStyle name="Comma 5 2 3 3 2 2 2 2 4" xfId="21589" xr:uid="{05E3C01C-ADFD-4593-8844-081C8496B3C1}"/>
    <cellStyle name="Comma 5 2 3 3 2 2 2 3" xfId="6413" xr:uid="{43F23AE9-2E0E-42A6-9DC0-4566539C8C71}"/>
    <cellStyle name="Comma 5 2 3 3 2 2 2 3 2" xfId="15085" xr:uid="{EB21FE9D-A367-48BD-A34F-0CB67CC7FAE7}"/>
    <cellStyle name="Comma 5 2 3 3 2 2 2 3 2 2" xfId="32429" xr:uid="{8A3F4E0B-AB27-4852-9C54-CCDB88A67AF0}"/>
    <cellStyle name="Comma 5 2 3 3 2 2 2 3 3" xfId="23757" xr:uid="{6D08FF74-B267-4B87-AA84-FA1620EE8973}"/>
    <cellStyle name="Comma 5 2 3 3 2 2 2 4" xfId="10749" xr:uid="{6FFCDFFB-F183-4675-853C-71091E946643}"/>
    <cellStyle name="Comma 5 2 3 3 2 2 2 4 2" xfId="28093" xr:uid="{658DA069-025A-4F4A-9DB6-8BCD47782CEF}"/>
    <cellStyle name="Comma 5 2 3 3 2 2 2 5" xfId="19421" xr:uid="{D3A1841B-0494-4399-ABA9-34F5CAE441AA}"/>
    <cellStyle name="Comma 5 2 3 3 2 2 3" xfId="3161" xr:uid="{EFB6448A-9678-40F1-AF5E-C990B4FCAC5B}"/>
    <cellStyle name="Comma 5 2 3 3 2 2 3 2" xfId="7497" xr:uid="{025EC1B5-3BF7-4B9E-B0B9-54E84D229D18}"/>
    <cellStyle name="Comma 5 2 3 3 2 2 3 2 2" xfId="16169" xr:uid="{7236CFD7-0CD7-4BF0-9319-6C1C8B9131F9}"/>
    <cellStyle name="Comma 5 2 3 3 2 2 3 2 2 2" xfId="33513" xr:uid="{F2FA347E-C080-4F77-B656-4859F7B9C8A3}"/>
    <cellStyle name="Comma 5 2 3 3 2 2 3 2 3" xfId="24841" xr:uid="{137F369B-A701-4C6A-A6CC-A29463EB0A56}"/>
    <cellStyle name="Comma 5 2 3 3 2 2 3 3" xfId="11833" xr:uid="{0EF65044-791D-4C47-8524-C00233CBC1F8}"/>
    <cellStyle name="Comma 5 2 3 3 2 2 3 3 2" xfId="29177" xr:uid="{04890587-E27D-4ED7-9BC0-2C14EB098EC8}"/>
    <cellStyle name="Comma 5 2 3 3 2 2 3 4" xfId="20505" xr:uid="{8109ED8B-5030-4020-89EA-F095939F2E64}"/>
    <cellStyle name="Comma 5 2 3 3 2 2 4" xfId="5329" xr:uid="{4B629ECE-05F7-4FB6-9E02-296CDBFDE5C5}"/>
    <cellStyle name="Comma 5 2 3 3 2 2 4 2" xfId="14001" xr:uid="{264F8FE5-7DCC-4316-B5E6-A8AB5DD510AF}"/>
    <cellStyle name="Comma 5 2 3 3 2 2 4 2 2" xfId="31345" xr:uid="{E2DEA0F5-FA0E-4141-BE6F-6C5E9EFCBEB2}"/>
    <cellStyle name="Comma 5 2 3 3 2 2 4 3" xfId="22673" xr:uid="{80CE0AB4-F0C8-4E3D-9E63-E9D8513059E6}"/>
    <cellStyle name="Comma 5 2 3 3 2 2 5" xfId="9665" xr:uid="{25D922EA-445B-4D56-A5FF-733A41DA80F3}"/>
    <cellStyle name="Comma 5 2 3 3 2 2 5 2" xfId="27009" xr:uid="{5DB66FC3-D0A9-4309-AC36-CFC82BD43DAC}"/>
    <cellStyle name="Comma 5 2 3 3 2 2 6" xfId="18337" xr:uid="{2B59ABFF-5A3D-4F65-8876-912171D03ED2}"/>
    <cellStyle name="Comma 5 2 3 3 2 3" xfId="1536" xr:uid="{27C3A112-C3A7-402B-A3DE-805FD8F78482}"/>
    <cellStyle name="Comma 5 2 3 3 2 3 2" xfId="3704" xr:uid="{531D9A3B-8329-4241-A733-2D5534BAB548}"/>
    <cellStyle name="Comma 5 2 3 3 2 3 2 2" xfId="8040" xr:uid="{D07B2919-CD9C-4D31-8B2F-60152A4A9C4B}"/>
    <cellStyle name="Comma 5 2 3 3 2 3 2 2 2" xfId="16712" xr:uid="{F3CECBA7-F2C9-4DEA-9EDC-9946E44AB76D}"/>
    <cellStyle name="Comma 5 2 3 3 2 3 2 2 2 2" xfId="34056" xr:uid="{10AD83BF-C33A-41C3-A878-BE4F4837D14E}"/>
    <cellStyle name="Comma 5 2 3 3 2 3 2 2 3" xfId="25384" xr:uid="{30AF06B7-7C20-4282-BE8F-0BEAD50F540C}"/>
    <cellStyle name="Comma 5 2 3 3 2 3 2 3" xfId="12376" xr:uid="{DA8DA410-95C9-422E-9893-DA0F7627DCD7}"/>
    <cellStyle name="Comma 5 2 3 3 2 3 2 3 2" xfId="29720" xr:uid="{A0D14BB2-0FC6-4025-ADC4-E98D2F11FBA8}"/>
    <cellStyle name="Comma 5 2 3 3 2 3 2 4" xfId="21048" xr:uid="{0A0F97CF-49AD-478F-A39E-43F684D4DB43}"/>
    <cellStyle name="Comma 5 2 3 3 2 3 3" xfId="5872" xr:uid="{23F4F1B9-839C-4ECA-8DD7-C8D78706D140}"/>
    <cellStyle name="Comma 5 2 3 3 2 3 3 2" xfId="14544" xr:uid="{1ED84548-1717-4F76-8388-440627647EAE}"/>
    <cellStyle name="Comma 5 2 3 3 2 3 3 2 2" xfId="31888" xr:uid="{18D1E819-1A65-46EE-BEFD-A71BEF315568}"/>
    <cellStyle name="Comma 5 2 3 3 2 3 3 3" xfId="23216" xr:uid="{9F41B46F-6162-4E85-80E8-1A485DEE7D1C}"/>
    <cellStyle name="Comma 5 2 3 3 2 3 4" xfId="10208" xr:uid="{D7FC11C6-659E-4847-BD25-FEA9BC055BE7}"/>
    <cellStyle name="Comma 5 2 3 3 2 3 4 2" xfId="27552" xr:uid="{D6351F0B-1266-4B63-B887-FC0EF18C0435}"/>
    <cellStyle name="Comma 5 2 3 3 2 3 5" xfId="18880" xr:uid="{811B8CC7-9BB2-4FBA-82DA-5964F8FA6ED5}"/>
    <cellStyle name="Comma 5 2 3 3 2 4" xfId="2620" xr:uid="{4187EC87-5C37-4921-8561-5E4FAD056EE2}"/>
    <cellStyle name="Comma 5 2 3 3 2 4 2" xfId="6956" xr:uid="{764ED832-A463-42AB-BB33-717ECFFBFBE7}"/>
    <cellStyle name="Comma 5 2 3 3 2 4 2 2" xfId="15628" xr:uid="{69D3A42E-A45D-4799-9A05-9FA2069F4CDD}"/>
    <cellStyle name="Comma 5 2 3 3 2 4 2 2 2" xfId="32972" xr:uid="{3F52C4B5-92FD-4264-8725-739C2862D221}"/>
    <cellStyle name="Comma 5 2 3 3 2 4 2 3" xfId="24300" xr:uid="{EAE373D3-CB7C-4D88-A208-3FEB6F7EFA7A}"/>
    <cellStyle name="Comma 5 2 3 3 2 4 3" xfId="11292" xr:uid="{40273C6A-8B56-4C78-ADEB-11C809BDFD09}"/>
    <cellStyle name="Comma 5 2 3 3 2 4 3 2" xfId="28636" xr:uid="{AD6D1CE6-088C-42F5-BA3C-3EED9C703DBF}"/>
    <cellStyle name="Comma 5 2 3 3 2 4 4" xfId="19964" xr:uid="{48819727-7F6C-4C59-8BE1-FC4873940B56}"/>
    <cellStyle name="Comma 5 2 3 3 2 5" xfId="4788" xr:uid="{1B4321E0-0723-4819-A56F-F029F63F639B}"/>
    <cellStyle name="Comma 5 2 3 3 2 5 2" xfId="13460" xr:uid="{5CB7C7FA-70C6-48FB-8B75-0CA1AE158C84}"/>
    <cellStyle name="Comma 5 2 3 3 2 5 2 2" xfId="30804" xr:uid="{7D8FB82E-9168-49EE-9E4C-8C3089846336}"/>
    <cellStyle name="Comma 5 2 3 3 2 5 3" xfId="22132" xr:uid="{95961E20-1F89-42DD-ADD0-3E57B7F46998}"/>
    <cellStyle name="Comma 5 2 3 3 2 6" xfId="9124" xr:uid="{3840A877-7E1C-4BBB-820C-7D31445FCADA}"/>
    <cellStyle name="Comma 5 2 3 3 2 6 2" xfId="26468" xr:uid="{A1FE6F0C-4607-4E00-AD18-D383AF211D34}"/>
    <cellStyle name="Comma 5 2 3 3 2 7" xfId="17796" xr:uid="{E68DAD3E-0D7E-43E7-94CC-32CE8362FE11}"/>
    <cellStyle name="Comma 5 2 3 3 3" xfId="723" xr:uid="{1C6E00D9-0D00-4A78-B9A6-74EA467E5DC7}"/>
    <cellStyle name="Comma 5 2 3 3 3 2" xfId="1807" xr:uid="{4AA09B62-4256-4C49-BEC4-12FDD2F06073}"/>
    <cellStyle name="Comma 5 2 3 3 3 2 2" xfId="3975" xr:uid="{05B693C6-692C-49E7-B07E-5C9C30F60C76}"/>
    <cellStyle name="Comma 5 2 3 3 3 2 2 2" xfId="8311" xr:uid="{09B56B3F-9F9D-423D-B85A-46C6FB87E698}"/>
    <cellStyle name="Comma 5 2 3 3 3 2 2 2 2" xfId="16983" xr:uid="{3AC40610-B720-4ACD-AFCC-677EAD7F1326}"/>
    <cellStyle name="Comma 5 2 3 3 3 2 2 2 2 2" xfId="34327" xr:uid="{E59F8051-660C-406C-B027-9F1FA70CC9E4}"/>
    <cellStyle name="Comma 5 2 3 3 3 2 2 2 3" xfId="25655" xr:uid="{BC5C76F6-5754-433D-BE47-8613ADC466FA}"/>
    <cellStyle name="Comma 5 2 3 3 3 2 2 3" xfId="12647" xr:uid="{9F868C28-6703-4820-AA5C-4D9AE4B197D2}"/>
    <cellStyle name="Comma 5 2 3 3 3 2 2 3 2" xfId="29991" xr:uid="{3CAA6D26-6488-4020-8E9F-8EF2B812F994}"/>
    <cellStyle name="Comma 5 2 3 3 3 2 2 4" xfId="21319" xr:uid="{CA80E00F-610B-412C-AC66-A5AF914B648B}"/>
    <cellStyle name="Comma 5 2 3 3 3 2 3" xfId="6143" xr:uid="{D7874DC5-8760-4292-95ED-2FBCC18D4F72}"/>
    <cellStyle name="Comma 5 2 3 3 3 2 3 2" xfId="14815" xr:uid="{5EE419D8-0E9E-4BA1-B916-9D03E72130F5}"/>
    <cellStyle name="Comma 5 2 3 3 3 2 3 2 2" xfId="32159" xr:uid="{9B221A50-916B-469D-8515-D3216A9ED12E}"/>
    <cellStyle name="Comma 5 2 3 3 3 2 3 3" xfId="23487" xr:uid="{64C3B63C-68A6-4B49-BEE3-1B3C28EB324F}"/>
    <cellStyle name="Comma 5 2 3 3 3 2 4" xfId="10479" xr:uid="{C1650A1D-FE5A-46DB-9C67-4CA9DAD6EFFD}"/>
    <cellStyle name="Comma 5 2 3 3 3 2 4 2" xfId="27823" xr:uid="{15590C7F-4325-4E61-B08D-C3FA6B7055EB}"/>
    <cellStyle name="Comma 5 2 3 3 3 2 5" xfId="19151" xr:uid="{EFC0CA43-6D77-4F78-A2F4-FFDC13449D42}"/>
    <cellStyle name="Comma 5 2 3 3 3 3" xfId="2891" xr:uid="{FB204447-BBF6-4BD7-A195-45B3C5238026}"/>
    <cellStyle name="Comma 5 2 3 3 3 3 2" xfId="7227" xr:uid="{666E658F-1EDA-4017-B956-867BB40F3781}"/>
    <cellStyle name="Comma 5 2 3 3 3 3 2 2" xfId="15899" xr:uid="{4AF7064A-BBD3-4DEF-AD6E-F6D224E00305}"/>
    <cellStyle name="Comma 5 2 3 3 3 3 2 2 2" xfId="33243" xr:uid="{B2A0E67B-D507-42F9-84A9-8140E8CC5521}"/>
    <cellStyle name="Comma 5 2 3 3 3 3 2 3" xfId="24571" xr:uid="{7EC4BAF9-4614-4614-9DAF-4056F7DB0398}"/>
    <cellStyle name="Comma 5 2 3 3 3 3 3" xfId="11563" xr:uid="{0FD38E84-97E4-447A-A0C4-158FF114A086}"/>
    <cellStyle name="Comma 5 2 3 3 3 3 3 2" xfId="28907" xr:uid="{B4DDF34F-83E0-43E8-865F-320C4F7A06E8}"/>
    <cellStyle name="Comma 5 2 3 3 3 3 4" xfId="20235" xr:uid="{0F5679A6-7165-44B5-B6F9-A20FE7B4FA57}"/>
    <cellStyle name="Comma 5 2 3 3 3 4" xfId="5059" xr:uid="{E4DAD093-7C04-41CF-BAF2-8636A2C3B9C8}"/>
    <cellStyle name="Comma 5 2 3 3 3 4 2" xfId="13731" xr:uid="{5E1D0FA9-5F5D-4C05-B1C1-BDF400D44CF3}"/>
    <cellStyle name="Comma 5 2 3 3 3 4 2 2" xfId="31075" xr:uid="{F3C56BFA-1058-4952-8DEE-58A3E5984C67}"/>
    <cellStyle name="Comma 5 2 3 3 3 4 3" xfId="22403" xr:uid="{3D1A6DEA-DD3C-414C-8D76-2C89160D04A7}"/>
    <cellStyle name="Comma 5 2 3 3 3 5" xfId="9395" xr:uid="{79B4B13B-F8C8-4EA8-80E7-354E0ECF5F53}"/>
    <cellStyle name="Comma 5 2 3 3 3 5 2" xfId="26739" xr:uid="{00E901F8-8C16-49BC-8A9F-20DB9EEDEF68}"/>
    <cellStyle name="Comma 5 2 3 3 3 6" xfId="18067" xr:uid="{62C88F8A-39E5-4CDA-BB6C-C84E4E7DA477}"/>
    <cellStyle name="Comma 5 2 3 3 4" xfId="1266" xr:uid="{5CEE1449-782C-4EFE-888B-3CBF8FD9831B}"/>
    <cellStyle name="Comma 5 2 3 3 4 2" xfId="3434" xr:uid="{945D486B-3DAB-4FAC-82A5-1183A1130F5B}"/>
    <cellStyle name="Comma 5 2 3 3 4 2 2" xfId="7770" xr:uid="{64D4E4F5-ADF2-41F8-AB78-170309E0AD04}"/>
    <cellStyle name="Comma 5 2 3 3 4 2 2 2" xfId="16442" xr:uid="{0E9304BA-05EF-4060-BBC8-AF1CD0FFE202}"/>
    <cellStyle name="Comma 5 2 3 3 4 2 2 2 2" xfId="33786" xr:uid="{8499433C-FB58-4D6B-AEBA-4367A617199E}"/>
    <cellStyle name="Comma 5 2 3 3 4 2 2 3" xfId="25114" xr:uid="{D6C86022-5F18-4FAF-B2E4-4A7BAF8406EE}"/>
    <cellStyle name="Comma 5 2 3 3 4 2 3" xfId="12106" xr:uid="{833DF7BA-9364-48C8-B0A4-5B8C406B698D}"/>
    <cellStyle name="Comma 5 2 3 3 4 2 3 2" xfId="29450" xr:uid="{27AD5AC1-EF43-48C0-AA15-D1900D94CA66}"/>
    <cellStyle name="Comma 5 2 3 3 4 2 4" xfId="20778" xr:uid="{0A2F45FA-3245-4C23-9284-1F2928A7C100}"/>
    <cellStyle name="Comma 5 2 3 3 4 3" xfId="5602" xr:uid="{9A081DD2-BAAE-42C6-A867-6B5FFD17555F}"/>
    <cellStyle name="Comma 5 2 3 3 4 3 2" xfId="14274" xr:uid="{DE8450C6-A649-45B4-AB55-40D20468B08C}"/>
    <cellStyle name="Comma 5 2 3 3 4 3 2 2" xfId="31618" xr:uid="{B645C9E9-FC55-4637-9035-D74C6986F929}"/>
    <cellStyle name="Comma 5 2 3 3 4 3 3" xfId="22946" xr:uid="{17F27758-EDC1-416B-815D-4B67B8E612FA}"/>
    <cellStyle name="Comma 5 2 3 3 4 4" xfId="9938" xr:uid="{7443804D-25DD-49DE-956B-656FA2B5CE85}"/>
    <cellStyle name="Comma 5 2 3 3 4 4 2" xfId="27282" xr:uid="{CE5AE23B-CD28-4FDC-B15B-2A4804E2B0B0}"/>
    <cellStyle name="Comma 5 2 3 3 4 5" xfId="18610" xr:uid="{543E2C57-077F-4B83-B3E3-6E9A5BBA3684}"/>
    <cellStyle name="Comma 5 2 3 3 5" xfId="2350" xr:uid="{0AF55DFF-B371-4F50-BFCC-662A149D534A}"/>
    <cellStyle name="Comma 5 2 3 3 5 2" xfId="6686" xr:uid="{EAF48E32-352B-4BE7-BA49-0F4322B66F97}"/>
    <cellStyle name="Comma 5 2 3 3 5 2 2" xfId="15358" xr:uid="{33A94722-D937-40ED-8D0B-B6156EAF9C3F}"/>
    <cellStyle name="Comma 5 2 3 3 5 2 2 2" xfId="32702" xr:uid="{2336336C-AA6E-464C-9E47-A91D9DC90463}"/>
    <cellStyle name="Comma 5 2 3 3 5 2 3" xfId="24030" xr:uid="{C362B850-6DF2-4960-A8F4-BF5FD7C749F3}"/>
    <cellStyle name="Comma 5 2 3 3 5 3" xfId="11022" xr:uid="{90331E8E-512E-4D23-B534-D8E4FE3BBF45}"/>
    <cellStyle name="Comma 5 2 3 3 5 3 2" xfId="28366" xr:uid="{C1A86FA1-DDDA-4A29-BE5F-DA79EFC83A6C}"/>
    <cellStyle name="Comma 5 2 3 3 5 4" xfId="19694" xr:uid="{4B725107-9C72-4A73-B6D2-17BB9A42E14B}"/>
    <cellStyle name="Comma 5 2 3 3 6" xfId="4518" xr:uid="{76F84E72-71A4-41F9-A4EF-14EBD996B381}"/>
    <cellStyle name="Comma 5 2 3 3 6 2" xfId="13190" xr:uid="{F501946A-8B50-4BEB-AE7F-7998615332DB}"/>
    <cellStyle name="Comma 5 2 3 3 6 2 2" xfId="30534" xr:uid="{9F1CA953-41BD-4CC7-AC80-3D454846ABB4}"/>
    <cellStyle name="Comma 5 2 3 3 6 3" xfId="21862" xr:uid="{A2C0CF7B-F131-40ED-9AC7-8ADB9929765D}"/>
    <cellStyle name="Comma 5 2 3 3 7" xfId="8854" xr:uid="{2CAFC274-364A-4A20-85CE-612E3F6DBD8B}"/>
    <cellStyle name="Comma 5 2 3 3 7 2" xfId="26198" xr:uid="{E20B3D53-BF24-427E-93A5-560850158785}"/>
    <cellStyle name="Comma 5 2 3 3 8" xfId="17526" xr:uid="{17D8ED5C-BCD0-4B92-8481-2CFAA5651DA7}"/>
    <cellStyle name="Comma 5 2 3 4" xfId="330" xr:uid="{2DCB73E5-917B-4A16-A048-209332FA0375}"/>
    <cellStyle name="Comma 5 2 3 4 2" xfId="871" xr:uid="{D2184E5A-F121-4B20-BB3E-9644B3230E1E}"/>
    <cellStyle name="Comma 5 2 3 4 2 2" xfId="1955" xr:uid="{AF0F580E-2C8E-4F63-BDCD-3EEFFC13CB55}"/>
    <cellStyle name="Comma 5 2 3 4 2 2 2" xfId="4123" xr:uid="{C42B606E-AEFD-487D-9647-BCBAA5E172D8}"/>
    <cellStyle name="Comma 5 2 3 4 2 2 2 2" xfId="8459" xr:uid="{3324515C-CC54-45CB-A46E-B218ACB280E1}"/>
    <cellStyle name="Comma 5 2 3 4 2 2 2 2 2" xfId="17131" xr:uid="{8004D487-CC39-41CA-902C-E80CBDBABDBD}"/>
    <cellStyle name="Comma 5 2 3 4 2 2 2 2 2 2" xfId="34475" xr:uid="{8B359148-12E0-45A7-B1FD-40B413120A3C}"/>
    <cellStyle name="Comma 5 2 3 4 2 2 2 2 3" xfId="25803" xr:uid="{904D5F02-133E-4346-B741-25FB041D58FC}"/>
    <cellStyle name="Comma 5 2 3 4 2 2 2 3" xfId="12795" xr:uid="{1C091FA4-18E2-40AA-8B8D-AFF1897734D4}"/>
    <cellStyle name="Comma 5 2 3 4 2 2 2 3 2" xfId="30139" xr:uid="{6B0E82B5-4C8D-4F6F-92FE-86C1A687F39D}"/>
    <cellStyle name="Comma 5 2 3 4 2 2 2 4" xfId="21467" xr:uid="{90D4FF9E-75FA-4DCD-B85B-63E5F1B099C8}"/>
    <cellStyle name="Comma 5 2 3 4 2 2 3" xfId="6291" xr:uid="{EA3C2B47-FE39-4EA2-BE58-76BC2D3A3367}"/>
    <cellStyle name="Comma 5 2 3 4 2 2 3 2" xfId="14963" xr:uid="{4981AF80-F67B-4AB4-AA75-8907E6B9D8D6}"/>
    <cellStyle name="Comma 5 2 3 4 2 2 3 2 2" xfId="32307" xr:uid="{AC58DE0F-479D-4324-9B1B-24F88BA6B771}"/>
    <cellStyle name="Comma 5 2 3 4 2 2 3 3" xfId="23635" xr:uid="{11255951-A074-4E64-974D-6000FFEC574C}"/>
    <cellStyle name="Comma 5 2 3 4 2 2 4" xfId="10627" xr:uid="{6F9F63DF-B22F-40E1-8D82-9622080E7273}"/>
    <cellStyle name="Comma 5 2 3 4 2 2 4 2" xfId="27971" xr:uid="{04546BF6-A344-469C-B11F-9D32D5427A50}"/>
    <cellStyle name="Comma 5 2 3 4 2 2 5" xfId="19299" xr:uid="{C7680E0F-9F6A-4AF6-B83E-534AB55CBEF9}"/>
    <cellStyle name="Comma 5 2 3 4 2 3" xfId="3039" xr:uid="{CDFA2340-829D-432C-BF1B-4AC8C446C16F}"/>
    <cellStyle name="Comma 5 2 3 4 2 3 2" xfId="7375" xr:uid="{1117C4EE-8858-4168-A4C6-78F7650954FC}"/>
    <cellStyle name="Comma 5 2 3 4 2 3 2 2" xfId="16047" xr:uid="{C4BA078A-22D9-438B-8385-AC8593849717}"/>
    <cellStyle name="Comma 5 2 3 4 2 3 2 2 2" xfId="33391" xr:uid="{C8E81D79-A5F6-4E63-97C9-53639898813A}"/>
    <cellStyle name="Comma 5 2 3 4 2 3 2 3" xfId="24719" xr:uid="{83523B37-2BD7-455B-BBFD-9925B8E4430E}"/>
    <cellStyle name="Comma 5 2 3 4 2 3 3" xfId="11711" xr:uid="{520E6069-65B8-42D1-9470-E80223DECC20}"/>
    <cellStyle name="Comma 5 2 3 4 2 3 3 2" xfId="29055" xr:uid="{4872D6E7-F625-4850-8B88-340977F76F5F}"/>
    <cellStyle name="Comma 5 2 3 4 2 3 4" xfId="20383" xr:uid="{9D8360D0-099D-44A7-85B1-1849170113A1}"/>
    <cellStyle name="Comma 5 2 3 4 2 4" xfId="5207" xr:uid="{87AFCFD7-7F6B-451B-9747-E3FA8107F713}"/>
    <cellStyle name="Comma 5 2 3 4 2 4 2" xfId="13879" xr:uid="{D99DD4A7-9F31-418E-ABE7-84695051B627}"/>
    <cellStyle name="Comma 5 2 3 4 2 4 2 2" xfId="31223" xr:uid="{EC4E1543-C697-49C0-9210-87DE97DEEE03}"/>
    <cellStyle name="Comma 5 2 3 4 2 4 3" xfId="22551" xr:uid="{507D3273-699C-406A-AA42-26DFEC5EB2CA}"/>
    <cellStyle name="Comma 5 2 3 4 2 5" xfId="9543" xr:uid="{5DB80C39-9FF9-4A85-9926-379BFFB0DB3E}"/>
    <cellStyle name="Comma 5 2 3 4 2 5 2" xfId="26887" xr:uid="{4BCE63E6-41E4-4D1C-ABC0-2372266E62CF}"/>
    <cellStyle name="Comma 5 2 3 4 2 6" xfId="18215" xr:uid="{6818B9E8-7F96-4945-A748-70EA7660D92B}"/>
    <cellStyle name="Comma 5 2 3 4 3" xfId="1414" xr:uid="{92F4E214-E21C-4D93-B622-93B1C1768D46}"/>
    <cellStyle name="Comma 5 2 3 4 3 2" xfId="3582" xr:uid="{DC42D3E1-9F39-4042-8E28-760D4DAE72BB}"/>
    <cellStyle name="Comma 5 2 3 4 3 2 2" xfId="7918" xr:uid="{13AD0AA3-1694-45C6-813A-7D874420C6FB}"/>
    <cellStyle name="Comma 5 2 3 4 3 2 2 2" xfId="16590" xr:uid="{64EFB11B-CEC0-45BA-B0E1-2A33AB4DDDF4}"/>
    <cellStyle name="Comma 5 2 3 4 3 2 2 2 2" xfId="33934" xr:uid="{858ABC32-80BD-486D-A7B4-D77C5C92FDDD}"/>
    <cellStyle name="Comma 5 2 3 4 3 2 2 3" xfId="25262" xr:uid="{2461A86C-04F0-4AA2-95CB-FB370610C373}"/>
    <cellStyle name="Comma 5 2 3 4 3 2 3" xfId="12254" xr:uid="{48638CCA-5678-4AA7-AB22-67D6C26EBA0D}"/>
    <cellStyle name="Comma 5 2 3 4 3 2 3 2" xfId="29598" xr:uid="{10AE8290-91B4-452F-A2E5-6FD7FF1E35EC}"/>
    <cellStyle name="Comma 5 2 3 4 3 2 4" xfId="20926" xr:uid="{490323C3-3F1A-48B8-AD83-EC26D9373157}"/>
    <cellStyle name="Comma 5 2 3 4 3 3" xfId="5750" xr:uid="{3D15D3F0-63B5-48DE-A841-3A47E068ED61}"/>
    <cellStyle name="Comma 5 2 3 4 3 3 2" xfId="14422" xr:uid="{4DD628ED-7804-4294-8812-1C39F9201A11}"/>
    <cellStyle name="Comma 5 2 3 4 3 3 2 2" xfId="31766" xr:uid="{2FE3FF9F-2962-4C1D-980C-CB2C938EE194}"/>
    <cellStyle name="Comma 5 2 3 4 3 3 3" xfId="23094" xr:uid="{3454AE6C-4590-4AD5-BDF6-1472478AC780}"/>
    <cellStyle name="Comma 5 2 3 4 3 4" xfId="10086" xr:uid="{C0977A94-BFAF-43EC-A50C-B5FA3CDFF0A4}"/>
    <cellStyle name="Comma 5 2 3 4 3 4 2" xfId="27430" xr:uid="{24C29B50-159D-4378-B98A-28E04629AF44}"/>
    <cellStyle name="Comma 5 2 3 4 3 5" xfId="18758" xr:uid="{90876F4E-99D5-439B-9C81-106BF72E05B6}"/>
    <cellStyle name="Comma 5 2 3 4 4" xfId="2498" xr:uid="{8103B5C7-6F08-4F0B-B89F-93D620A7716F}"/>
    <cellStyle name="Comma 5 2 3 4 4 2" xfId="6834" xr:uid="{F1ED1D83-2023-4E0F-8752-E95DB79585FC}"/>
    <cellStyle name="Comma 5 2 3 4 4 2 2" xfId="15506" xr:uid="{DBAEBAAD-725D-4DD8-992E-2A75546D920D}"/>
    <cellStyle name="Comma 5 2 3 4 4 2 2 2" xfId="32850" xr:uid="{5690ECFB-4413-46C3-AEBE-B2CC9A220BD8}"/>
    <cellStyle name="Comma 5 2 3 4 4 2 3" xfId="24178" xr:uid="{55C54FF8-5973-4623-9469-4AB11A446A0E}"/>
    <cellStyle name="Comma 5 2 3 4 4 3" xfId="11170" xr:uid="{4141FC1F-5CCD-49E9-BF7B-882DE7F035A9}"/>
    <cellStyle name="Comma 5 2 3 4 4 3 2" xfId="28514" xr:uid="{34A3FDFD-BBC7-459B-8313-254C521B77D5}"/>
    <cellStyle name="Comma 5 2 3 4 4 4" xfId="19842" xr:uid="{471D0BA0-A314-4239-B052-E61706760638}"/>
    <cellStyle name="Comma 5 2 3 4 5" xfId="4666" xr:uid="{13DE9DB3-C4B8-47D8-909F-9DF635D9487C}"/>
    <cellStyle name="Comma 5 2 3 4 5 2" xfId="13338" xr:uid="{CA47855E-9ED4-4C7C-A28A-4485DA17755B}"/>
    <cellStyle name="Comma 5 2 3 4 5 2 2" xfId="30682" xr:uid="{56EDA662-73DC-437D-B12B-D6007880F7F2}"/>
    <cellStyle name="Comma 5 2 3 4 5 3" xfId="22010" xr:uid="{B7AD9639-F09A-439A-BD30-8879D16E7AC5}"/>
    <cellStyle name="Comma 5 2 3 4 6" xfId="9002" xr:uid="{FD8F33A7-1480-4159-B268-50C3A372409D}"/>
    <cellStyle name="Comma 5 2 3 4 6 2" xfId="26346" xr:uid="{C0155A0D-11A2-4CC9-AC28-DC1D155820C3}"/>
    <cellStyle name="Comma 5 2 3 4 7" xfId="17674" xr:uid="{9907F080-50EA-4EF8-B58C-5F158F9D7278}"/>
    <cellStyle name="Comma 5 2 3 5" xfId="601" xr:uid="{FA6E5719-19DA-4005-BAFA-D63E9F0CA269}"/>
    <cellStyle name="Comma 5 2 3 5 2" xfId="1685" xr:uid="{E1BE7927-F281-456B-A7C5-B67928EE113C}"/>
    <cellStyle name="Comma 5 2 3 5 2 2" xfId="3853" xr:uid="{1DBCFB0B-5EA3-4348-A440-F28A7C9312E3}"/>
    <cellStyle name="Comma 5 2 3 5 2 2 2" xfId="8189" xr:uid="{695B567D-300E-44F8-A348-1EEE495A84F9}"/>
    <cellStyle name="Comma 5 2 3 5 2 2 2 2" xfId="16861" xr:uid="{1215C721-638F-41DB-9891-7BFC0999C8F7}"/>
    <cellStyle name="Comma 5 2 3 5 2 2 2 2 2" xfId="34205" xr:uid="{0BF3084D-C24D-4EB7-AE2E-9C4BEBDACA05}"/>
    <cellStyle name="Comma 5 2 3 5 2 2 2 3" xfId="25533" xr:uid="{6ECFAA70-817D-4954-B8D3-E2FD33BD6344}"/>
    <cellStyle name="Comma 5 2 3 5 2 2 3" xfId="12525" xr:uid="{7DA7F971-1CE9-422A-B843-C0DF59A8F9D0}"/>
    <cellStyle name="Comma 5 2 3 5 2 2 3 2" xfId="29869" xr:uid="{2A5B4BB5-E3FF-4805-BA61-D52A86FAF083}"/>
    <cellStyle name="Comma 5 2 3 5 2 2 4" xfId="21197" xr:uid="{9A611BF3-F332-44E9-80B4-F90BB2C2C67F}"/>
    <cellStyle name="Comma 5 2 3 5 2 3" xfId="6021" xr:uid="{5BC310BD-0BE9-4A55-A527-BE0E95C49AAC}"/>
    <cellStyle name="Comma 5 2 3 5 2 3 2" xfId="14693" xr:uid="{C9640E2A-1E6B-43B0-9AEF-D2FEE45863CF}"/>
    <cellStyle name="Comma 5 2 3 5 2 3 2 2" xfId="32037" xr:uid="{D528F208-2E67-4219-A51D-21EC0C13F565}"/>
    <cellStyle name="Comma 5 2 3 5 2 3 3" xfId="23365" xr:uid="{F2BC53B8-8F79-4BEF-8EB8-9D05B747071A}"/>
    <cellStyle name="Comma 5 2 3 5 2 4" xfId="10357" xr:uid="{057EEBE8-B62A-4BCB-BFB5-C85EB1868FC7}"/>
    <cellStyle name="Comma 5 2 3 5 2 4 2" xfId="27701" xr:uid="{505378E0-73F7-4629-9624-4DA2BDBCF9E4}"/>
    <cellStyle name="Comma 5 2 3 5 2 5" xfId="19029" xr:uid="{954F96C7-89EC-45E5-997B-EB4AD6690B4B}"/>
    <cellStyle name="Comma 5 2 3 5 3" xfId="2769" xr:uid="{69F900CE-8B57-4F6D-A342-FD0892CCC6A9}"/>
    <cellStyle name="Comma 5 2 3 5 3 2" xfId="7105" xr:uid="{23F19144-32F4-469B-84AA-9F70B52071C0}"/>
    <cellStyle name="Comma 5 2 3 5 3 2 2" xfId="15777" xr:uid="{B70EA346-ED30-4773-B520-066013E792BD}"/>
    <cellStyle name="Comma 5 2 3 5 3 2 2 2" xfId="33121" xr:uid="{526C703D-800E-465A-B6E2-CC26B678E9C5}"/>
    <cellStyle name="Comma 5 2 3 5 3 2 3" xfId="24449" xr:uid="{BA44F99E-79F2-41D4-9028-CF04D9F41A2D}"/>
    <cellStyle name="Comma 5 2 3 5 3 3" xfId="11441" xr:uid="{D1C27DFC-1EC9-4622-8CBD-02C943E3EEBC}"/>
    <cellStyle name="Comma 5 2 3 5 3 3 2" xfId="28785" xr:uid="{1F37CB6B-F092-46A0-AEEE-0DA8525E8AF7}"/>
    <cellStyle name="Comma 5 2 3 5 3 4" xfId="20113" xr:uid="{B1E804E3-5EDA-41E3-B939-AA1DE7DB56C7}"/>
    <cellStyle name="Comma 5 2 3 5 4" xfId="4937" xr:uid="{21D0AC27-20B2-4BE3-8192-1CFCBEFA178E}"/>
    <cellStyle name="Comma 5 2 3 5 4 2" xfId="13609" xr:uid="{AA29C516-474E-4485-8AFA-D921FADA0DFD}"/>
    <cellStyle name="Comma 5 2 3 5 4 2 2" xfId="30953" xr:uid="{B40011AF-BED9-4EAB-8428-F527FE133860}"/>
    <cellStyle name="Comma 5 2 3 5 4 3" xfId="22281" xr:uid="{005C4F7F-53F3-4856-9377-B20279B75A3D}"/>
    <cellStyle name="Comma 5 2 3 5 5" xfId="9273" xr:uid="{0A53BF73-72FC-41CB-89AD-1FEE08CAB147}"/>
    <cellStyle name="Comma 5 2 3 5 5 2" xfId="26617" xr:uid="{42C71176-F398-42CE-AC55-3FC216BA29A1}"/>
    <cellStyle name="Comma 5 2 3 5 6" xfId="17945" xr:uid="{A256A419-AD87-42D9-8A52-87DEC19C0DFE}"/>
    <cellStyle name="Comma 5 2 3 6" xfId="1144" xr:uid="{8A3E4F59-DCA6-4A1D-B615-6A02EC8B883C}"/>
    <cellStyle name="Comma 5 2 3 6 2" xfId="3312" xr:uid="{A8C369AD-CD8E-498E-8971-B54193023D8D}"/>
    <cellStyle name="Comma 5 2 3 6 2 2" xfId="7648" xr:uid="{64937CF5-5417-490A-B4A6-84E0A01CFFE2}"/>
    <cellStyle name="Comma 5 2 3 6 2 2 2" xfId="16320" xr:uid="{EB4ED2BC-CA00-4A1B-AD55-C324EE3BD402}"/>
    <cellStyle name="Comma 5 2 3 6 2 2 2 2" xfId="33664" xr:uid="{1296FEB3-39FD-4258-9B9D-27F169386678}"/>
    <cellStyle name="Comma 5 2 3 6 2 2 3" xfId="24992" xr:uid="{BAE9EAC5-15EF-4C5C-ABA5-EC53695C907D}"/>
    <cellStyle name="Comma 5 2 3 6 2 3" xfId="11984" xr:uid="{54332813-35E9-4BFB-B0D3-B90905B72C12}"/>
    <cellStyle name="Comma 5 2 3 6 2 3 2" xfId="29328" xr:uid="{80C1F97C-8E1F-4844-982C-7FDF864520A3}"/>
    <cellStyle name="Comma 5 2 3 6 2 4" xfId="20656" xr:uid="{A57B6407-EC92-44F6-BA14-B941196C5D9E}"/>
    <cellStyle name="Comma 5 2 3 6 3" xfId="5480" xr:uid="{10BA4C54-5BD7-4193-86A6-E11268B19093}"/>
    <cellStyle name="Comma 5 2 3 6 3 2" xfId="14152" xr:uid="{3C3C8960-BE78-432A-8109-43CE5D9A7AAD}"/>
    <cellStyle name="Comma 5 2 3 6 3 2 2" xfId="31496" xr:uid="{48144F51-5D05-4F9A-837E-910114311CBD}"/>
    <cellStyle name="Comma 5 2 3 6 3 3" xfId="22824" xr:uid="{8AE5DEBE-C27C-468F-99D7-49452059A314}"/>
    <cellStyle name="Comma 5 2 3 6 4" xfId="9816" xr:uid="{FF7755C8-12D8-43EA-BD09-6A399E77BEAD}"/>
    <cellStyle name="Comma 5 2 3 6 4 2" xfId="27160" xr:uid="{39EE7760-A50F-4F89-AD5F-7396EC0467A8}"/>
    <cellStyle name="Comma 5 2 3 6 5" xfId="18488" xr:uid="{14F9C531-619D-44A1-A877-3949BCF0B4A9}"/>
    <cellStyle name="Comma 5 2 3 7" xfId="2228" xr:uid="{844537A2-EE83-4F41-AC14-C52FCB43123C}"/>
    <cellStyle name="Comma 5 2 3 7 2" xfId="6564" xr:uid="{DA48067F-A917-4630-82CC-BFE9EEB3ACD7}"/>
    <cellStyle name="Comma 5 2 3 7 2 2" xfId="15236" xr:uid="{F5941309-D30F-407A-84D8-3990339129B0}"/>
    <cellStyle name="Comma 5 2 3 7 2 2 2" xfId="32580" xr:uid="{866875AB-464B-4842-9760-8C2C5A27F176}"/>
    <cellStyle name="Comma 5 2 3 7 2 3" xfId="23908" xr:uid="{BCE1371C-2183-4B7F-8A01-8F8219F8B166}"/>
    <cellStyle name="Comma 5 2 3 7 3" xfId="10900" xr:uid="{473FF41C-7276-4288-8353-66047824E22D}"/>
    <cellStyle name="Comma 5 2 3 7 3 2" xfId="28244" xr:uid="{66A1F0B2-EA58-46D2-B86F-C78CC8417E48}"/>
    <cellStyle name="Comma 5 2 3 7 4" xfId="19572" xr:uid="{F6E9FE1A-C913-48EC-9660-8717B5088094}"/>
    <cellStyle name="Comma 5 2 3 8" xfId="4396" xr:uid="{0A994E79-D881-4D69-ADBF-A7F930247BE5}"/>
    <cellStyle name="Comma 5 2 3 8 2" xfId="13068" xr:uid="{D1ED88C5-5A1A-4E3F-BCBC-9AB3C12ED59D}"/>
    <cellStyle name="Comma 5 2 3 8 2 2" xfId="30412" xr:uid="{91B340A4-F0C8-4964-9CD2-FC5F0E6CA3B5}"/>
    <cellStyle name="Comma 5 2 3 8 3" xfId="21740" xr:uid="{40125CFA-A109-44E2-A40C-E970B3F934AF}"/>
    <cellStyle name="Comma 5 2 3 9" xfId="8732" xr:uid="{5477E34D-C6EC-4FD2-8AE3-6DB0670E4B21}"/>
    <cellStyle name="Comma 5 2 3 9 2" xfId="26076" xr:uid="{C1FFF38A-9F9E-4D93-87CB-4D8709611AE0}"/>
    <cellStyle name="Comma 5 2 4" xfId="73" xr:uid="{297540C3-1BE1-476A-8FED-FA7537A5AAF7}"/>
    <cellStyle name="Comma 5 2 4 2" xfId="195" xr:uid="{08D5D641-9102-4C2A-8BA3-C56DD8B63D8D}"/>
    <cellStyle name="Comma 5 2 4 2 2" xfId="465" xr:uid="{762B2949-2897-4E89-9945-C3B55448294C}"/>
    <cellStyle name="Comma 5 2 4 2 2 2" xfId="1006" xr:uid="{D33455CA-EB24-41D4-979B-3B82709FA7E0}"/>
    <cellStyle name="Comma 5 2 4 2 2 2 2" xfId="2090" xr:uid="{CCA836F9-E0B6-4463-9E8E-C3947C4D99AB}"/>
    <cellStyle name="Comma 5 2 4 2 2 2 2 2" xfId="4258" xr:uid="{6886A258-97E2-460A-AAA7-1111EF231F40}"/>
    <cellStyle name="Comma 5 2 4 2 2 2 2 2 2" xfId="8594" xr:uid="{24C70193-3299-454D-8E33-24521D07944D}"/>
    <cellStyle name="Comma 5 2 4 2 2 2 2 2 2 2" xfId="17266" xr:uid="{861E2D2F-A22C-4145-BDCE-55C2DAD060AA}"/>
    <cellStyle name="Comma 5 2 4 2 2 2 2 2 2 2 2" xfId="34610" xr:uid="{AAEF9478-71AE-4394-9B94-3CC5D681F931}"/>
    <cellStyle name="Comma 5 2 4 2 2 2 2 2 2 3" xfId="25938" xr:uid="{4E8ED449-AE3D-463C-9640-05726ED1DD01}"/>
    <cellStyle name="Comma 5 2 4 2 2 2 2 2 3" xfId="12930" xr:uid="{EEE58085-648B-4309-B282-46F7C9C49CDC}"/>
    <cellStyle name="Comma 5 2 4 2 2 2 2 2 3 2" xfId="30274" xr:uid="{A5793744-56E5-49BB-8F6F-BAE9532C038C}"/>
    <cellStyle name="Comma 5 2 4 2 2 2 2 2 4" xfId="21602" xr:uid="{E893888F-7C38-46A5-8E8A-2CC429BC9285}"/>
    <cellStyle name="Comma 5 2 4 2 2 2 2 3" xfId="6426" xr:uid="{87789397-8310-40A2-B627-C265C6F24C3E}"/>
    <cellStyle name="Comma 5 2 4 2 2 2 2 3 2" xfId="15098" xr:uid="{4148B7CF-8B0A-440D-B97A-E50F9D58FABF}"/>
    <cellStyle name="Comma 5 2 4 2 2 2 2 3 2 2" xfId="32442" xr:uid="{7F8F3BA8-F456-4A5D-9A66-22A12D7125F0}"/>
    <cellStyle name="Comma 5 2 4 2 2 2 2 3 3" xfId="23770" xr:uid="{C3BD0C3B-1ACF-4AB6-9A9B-80C5B97F955E}"/>
    <cellStyle name="Comma 5 2 4 2 2 2 2 4" xfId="10762" xr:uid="{8FA2606E-E313-44DF-BECC-E4921C57E617}"/>
    <cellStyle name="Comma 5 2 4 2 2 2 2 4 2" xfId="28106" xr:uid="{65D66C6E-E8D7-418B-858F-762A2882839B}"/>
    <cellStyle name="Comma 5 2 4 2 2 2 2 5" xfId="19434" xr:uid="{011E3F65-655B-49A9-B9A2-8F5AAB867A16}"/>
    <cellStyle name="Comma 5 2 4 2 2 2 3" xfId="3174" xr:uid="{A946247C-C662-416B-A318-ECCFDABEF637}"/>
    <cellStyle name="Comma 5 2 4 2 2 2 3 2" xfId="7510" xr:uid="{00403772-C1B4-4D71-9699-F1F58CDAD9FB}"/>
    <cellStyle name="Comma 5 2 4 2 2 2 3 2 2" xfId="16182" xr:uid="{95562D8D-37D3-4E06-821A-2871F3B5ADA7}"/>
    <cellStyle name="Comma 5 2 4 2 2 2 3 2 2 2" xfId="33526" xr:uid="{899048AD-58EB-4AAA-AD56-F4CA5D2CC865}"/>
    <cellStyle name="Comma 5 2 4 2 2 2 3 2 3" xfId="24854" xr:uid="{70306A41-F143-451A-A04B-659A12D282AD}"/>
    <cellStyle name="Comma 5 2 4 2 2 2 3 3" xfId="11846" xr:uid="{45F606A5-68CA-4572-B19D-147BA609024F}"/>
    <cellStyle name="Comma 5 2 4 2 2 2 3 3 2" xfId="29190" xr:uid="{3B96A709-E023-4C6C-9BD3-BA3484233E87}"/>
    <cellStyle name="Comma 5 2 4 2 2 2 3 4" xfId="20518" xr:uid="{0A68957D-F89E-42E3-BE66-3F301100A85D}"/>
    <cellStyle name="Comma 5 2 4 2 2 2 4" xfId="5342" xr:uid="{2E83C526-2A16-4987-B985-ECAB7D042F70}"/>
    <cellStyle name="Comma 5 2 4 2 2 2 4 2" xfId="14014" xr:uid="{086DDA0B-806A-4C10-8526-F1951EA1C2C2}"/>
    <cellStyle name="Comma 5 2 4 2 2 2 4 2 2" xfId="31358" xr:uid="{98B85F57-0733-464F-A93C-E5B9FC831A86}"/>
    <cellStyle name="Comma 5 2 4 2 2 2 4 3" xfId="22686" xr:uid="{14B23A9F-6BE7-44D1-B95E-1651B76EE0F6}"/>
    <cellStyle name="Comma 5 2 4 2 2 2 5" xfId="9678" xr:uid="{544CB3F1-76FF-485C-B490-317EDCC6F76E}"/>
    <cellStyle name="Comma 5 2 4 2 2 2 5 2" xfId="27022" xr:uid="{77611911-BD8A-452F-A9B2-F5EB3D6046F0}"/>
    <cellStyle name="Comma 5 2 4 2 2 2 6" xfId="18350" xr:uid="{B8835A7A-E0CE-4D61-9C29-105E74D31175}"/>
    <cellStyle name="Comma 5 2 4 2 2 3" xfId="1549" xr:uid="{6748A792-605A-44D4-94DB-4BFDEF7CDEFC}"/>
    <cellStyle name="Comma 5 2 4 2 2 3 2" xfId="3717" xr:uid="{8751DF3F-96E4-4E64-A5A7-4ECC88978118}"/>
    <cellStyle name="Comma 5 2 4 2 2 3 2 2" xfId="8053" xr:uid="{04DAD5CE-E1AC-4CA1-9BE3-06D7C3B6DC6E}"/>
    <cellStyle name="Comma 5 2 4 2 2 3 2 2 2" xfId="16725" xr:uid="{CD1970CB-4C08-406B-BAC5-E6729340F8D5}"/>
    <cellStyle name="Comma 5 2 4 2 2 3 2 2 2 2" xfId="34069" xr:uid="{1013652E-875C-471A-BA10-B630DAF063B6}"/>
    <cellStyle name="Comma 5 2 4 2 2 3 2 2 3" xfId="25397" xr:uid="{38E15FEE-1BD0-4556-B590-E4E74F98196B}"/>
    <cellStyle name="Comma 5 2 4 2 2 3 2 3" xfId="12389" xr:uid="{5C2F8223-46A1-416C-89B0-7E95A9FF78E2}"/>
    <cellStyle name="Comma 5 2 4 2 2 3 2 3 2" xfId="29733" xr:uid="{233FC823-065B-44A6-8A4F-5B23678EE6BC}"/>
    <cellStyle name="Comma 5 2 4 2 2 3 2 4" xfId="21061" xr:uid="{7BB22D99-E748-4212-BC43-DDD2B4B35757}"/>
    <cellStyle name="Comma 5 2 4 2 2 3 3" xfId="5885" xr:uid="{7648E9AD-00A6-4D78-835C-FEE07D6DBC25}"/>
    <cellStyle name="Comma 5 2 4 2 2 3 3 2" xfId="14557" xr:uid="{ABE1548B-F032-41EE-A068-40D0212CB3FB}"/>
    <cellStyle name="Comma 5 2 4 2 2 3 3 2 2" xfId="31901" xr:uid="{80FF1EE7-B303-479D-98F6-9B3BB158BC72}"/>
    <cellStyle name="Comma 5 2 4 2 2 3 3 3" xfId="23229" xr:uid="{A4AB0357-5109-443A-9A25-03EF85E07A3D}"/>
    <cellStyle name="Comma 5 2 4 2 2 3 4" xfId="10221" xr:uid="{B52E71AC-B858-4ADB-B460-E2AA756D0AF5}"/>
    <cellStyle name="Comma 5 2 4 2 2 3 4 2" xfId="27565" xr:uid="{C5430E3B-FE0F-4755-9ECA-CDB4BE2463A2}"/>
    <cellStyle name="Comma 5 2 4 2 2 3 5" xfId="18893" xr:uid="{49ACD3E2-3264-4F8E-8B37-59E11ACA0273}"/>
    <cellStyle name="Comma 5 2 4 2 2 4" xfId="2633" xr:uid="{1BC1131F-8644-4880-89FE-0B28E80EDE13}"/>
    <cellStyle name="Comma 5 2 4 2 2 4 2" xfId="6969" xr:uid="{BCFDB036-24A5-4483-ABD6-CBAA3827F490}"/>
    <cellStyle name="Comma 5 2 4 2 2 4 2 2" xfId="15641" xr:uid="{B02774A3-E03F-4400-9813-9C73F4FE0011}"/>
    <cellStyle name="Comma 5 2 4 2 2 4 2 2 2" xfId="32985" xr:uid="{4B952121-437F-4F41-875D-12E9DA29AE13}"/>
    <cellStyle name="Comma 5 2 4 2 2 4 2 3" xfId="24313" xr:uid="{665496FE-34C6-48C1-8B2B-A652A2E9A729}"/>
    <cellStyle name="Comma 5 2 4 2 2 4 3" xfId="11305" xr:uid="{9D2D4BF6-C35E-4E8C-9317-F8802FFEB997}"/>
    <cellStyle name="Comma 5 2 4 2 2 4 3 2" xfId="28649" xr:uid="{0CF145F3-EDC8-403E-BA5E-2BC98AE91E7E}"/>
    <cellStyle name="Comma 5 2 4 2 2 4 4" xfId="19977" xr:uid="{4C0164CB-2EF6-4309-945E-9AE96DA62BEC}"/>
    <cellStyle name="Comma 5 2 4 2 2 5" xfId="4801" xr:uid="{7596861A-8E7F-4CEA-9F94-9EB69ED053D5}"/>
    <cellStyle name="Comma 5 2 4 2 2 5 2" xfId="13473" xr:uid="{91751F88-73D4-430A-A27E-FF67B30A700B}"/>
    <cellStyle name="Comma 5 2 4 2 2 5 2 2" xfId="30817" xr:uid="{D99556EE-EC46-44D2-924A-73E2EFCDD29E}"/>
    <cellStyle name="Comma 5 2 4 2 2 5 3" xfId="22145" xr:uid="{9321CE53-DD6B-4AC7-ACFF-BB0687357714}"/>
    <cellStyle name="Comma 5 2 4 2 2 6" xfId="9137" xr:uid="{B8E3773D-9357-4F64-A84C-55FEC3A8ED0E}"/>
    <cellStyle name="Comma 5 2 4 2 2 6 2" xfId="26481" xr:uid="{8005E208-4389-448A-BD47-22226FD900B5}"/>
    <cellStyle name="Comma 5 2 4 2 2 7" xfId="17809" xr:uid="{1AEF4A47-A91C-47C6-BFC0-919E84C83A43}"/>
    <cellStyle name="Comma 5 2 4 2 3" xfId="736" xr:uid="{4FB98E79-6903-436D-8482-576DBC3F8D5B}"/>
    <cellStyle name="Comma 5 2 4 2 3 2" xfId="1820" xr:uid="{03D7F87A-DBB9-46D1-81E8-6E07D384B4CC}"/>
    <cellStyle name="Comma 5 2 4 2 3 2 2" xfId="3988" xr:uid="{24C1A5F5-BF90-445C-9102-51E141038958}"/>
    <cellStyle name="Comma 5 2 4 2 3 2 2 2" xfId="8324" xr:uid="{49CAE42C-505F-4D60-A275-909A3D191245}"/>
    <cellStyle name="Comma 5 2 4 2 3 2 2 2 2" xfId="16996" xr:uid="{A125B397-A44B-4BD9-ABE8-AEA9BB65B43C}"/>
    <cellStyle name="Comma 5 2 4 2 3 2 2 2 2 2" xfId="34340" xr:uid="{172A0E79-1966-4C97-A02E-1FC491B09912}"/>
    <cellStyle name="Comma 5 2 4 2 3 2 2 2 3" xfId="25668" xr:uid="{15E4DE6A-BDC7-4CAB-A8F4-C80B6382AB70}"/>
    <cellStyle name="Comma 5 2 4 2 3 2 2 3" xfId="12660" xr:uid="{FFC77E1D-1769-47E1-AF40-E0E5F8F99DCC}"/>
    <cellStyle name="Comma 5 2 4 2 3 2 2 3 2" xfId="30004" xr:uid="{9665F6A0-9BEC-4A5D-A395-624F33287713}"/>
    <cellStyle name="Comma 5 2 4 2 3 2 2 4" xfId="21332" xr:uid="{42DFFA09-1F08-4649-B3FA-981DBD18F4CE}"/>
    <cellStyle name="Comma 5 2 4 2 3 2 3" xfId="6156" xr:uid="{325E3F28-34FA-4846-9DCE-F51B68A76B01}"/>
    <cellStyle name="Comma 5 2 4 2 3 2 3 2" xfId="14828" xr:uid="{200107D5-264E-4CE3-8A89-B36C43A8C90D}"/>
    <cellStyle name="Comma 5 2 4 2 3 2 3 2 2" xfId="32172" xr:uid="{A4CF723E-A5B1-474E-AB91-D7D162960075}"/>
    <cellStyle name="Comma 5 2 4 2 3 2 3 3" xfId="23500" xr:uid="{EE3DD515-1EC9-42A3-AB47-126F16CF481C}"/>
    <cellStyle name="Comma 5 2 4 2 3 2 4" xfId="10492" xr:uid="{FC9D20D8-FDF7-4AD7-8B81-2A010BA1F248}"/>
    <cellStyle name="Comma 5 2 4 2 3 2 4 2" xfId="27836" xr:uid="{B6828102-5484-4668-9801-B46A46827705}"/>
    <cellStyle name="Comma 5 2 4 2 3 2 5" xfId="19164" xr:uid="{34E07900-9707-4E81-9BFC-DFCB6FAD485A}"/>
    <cellStyle name="Comma 5 2 4 2 3 3" xfId="2904" xr:uid="{B1F0448E-8AA5-48A8-8891-D29393E82A5A}"/>
    <cellStyle name="Comma 5 2 4 2 3 3 2" xfId="7240" xr:uid="{E5C621C0-5DBF-431E-8599-DFD9D48ADCE5}"/>
    <cellStyle name="Comma 5 2 4 2 3 3 2 2" xfId="15912" xr:uid="{A5B07A86-62AB-437B-B92D-07D035AF418B}"/>
    <cellStyle name="Comma 5 2 4 2 3 3 2 2 2" xfId="33256" xr:uid="{06AE649C-9D6F-4C7E-A8BB-82CAF30CBC9B}"/>
    <cellStyle name="Comma 5 2 4 2 3 3 2 3" xfId="24584" xr:uid="{0C33AF11-4725-4300-B34F-B21F67F815C8}"/>
    <cellStyle name="Comma 5 2 4 2 3 3 3" xfId="11576" xr:uid="{37233641-359F-4188-B7C1-FE359408BECB}"/>
    <cellStyle name="Comma 5 2 4 2 3 3 3 2" xfId="28920" xr:uid="{0FBF45E6-800A-4BDD-839E-42D26842ECDD}"/>
    <cellStyle name="Comma 5 2 4 2 3 3 4" xfId="20248" xr:uid="{555BCF0E-B3C9-44CD-BEA6-22F6758F8FC2}"/>
    <cellStyle name="Comma 5 2 4 2 3 4" xfId="5072" xr:uid="{B2869050-AF6B-499D-A8A9-FE2AFA8D8242}"/>
    <cellStyle name="Comma 5 2 4 2 3 4 2" xfId="13744" xr:uid="{BB65C05E-F82E-4FFB-818C-6277DCE54A59}"/>
    <cellStyle name="Comma 5 2 4 2 3 4 2 2" xfId="31088" xr:uid="{849A475A-8F06-4643-94A1-29B92B38B731}"/>
    <cellStyle name="Comma 5 2 4 2 3 4 3" xfId="22416" xr:uid="{89A76BBC-637D-4663-B1F2-AACD6681CF15}"/>
    <cellStyle name="Comma 5 2 4 2 3 5" xfId="9408" xr:uid="{C775C078-69D2-4685-942A-B4D23C19B26D}"/>
    <cellStyle name="Comma 5 2 4 2 3 5 2" xfId="26752" xr:uid="{46A6062E-5033-4045-BFA7-1AFA6C83BD50}"/>
    <cellStyle name="Comma 5 2 4 2 3 6" xfId="18080" xr:uid="{1ADE9DDB-2BCB-445A-A9FA-C2CB80EFF639}"/>
    <cellStyle name="Comma 5 2 4 2 4" xfId="1279" xr:uid="{FE8B2CFA-9868-4087-B7AA-FA51B67D363D}"/>
    <cellStyle name="Comma 5 2 4 2 4 2" xfId="3447" xr:uid="{2A3BBE0A-3F6C-44B8-B937-CC8903A677E9}"/>
    <cellStyle name="Comma 5 2 4 2 4 2 2" xfId="7783" xr:uid="{97FB9417-27A3-4D5A-A3DA-C0DB0F53421C}"/>
    <cellStyle name="Comma 5 2 4 2 4 2 2 2" xfId="16455" xr:uid="{B786AB35-F3A3-4206-BC75-F341A0FDDDE3}"/>
    <cellStyle name="Comma 5 2 4 2 4 2 2 2 2" xfId="33799" xr:uid="{5EF05762-3C62-4BA0-87C1-F14D7D76149A}"/>
    <cellStyle name="Comma 5 2 4 2 4 2 2 3" xfId="25127" xr:uid="{85A73D93-A72A-4B68-B26F-716AC4798B99}"/>
    <cellStyle name="Comma 5 2 4 2 4 2 3" xfId="12119" xr:uid="{606C7F5D-7DF4-4A74-8812-826A9C6DB7B2}"/>
    <cellStyle name="Comma 5 2 4 2 4 2 3 2" xfId="29463" xr:uid="{76A1CAE4-6397-4055-BCA0-68F8C5D14961}"/>
    <cellStyle name="Comma 5 2 4 2 4 2 4" xfId="20791" xr:uid="{9E04232E-621E-4303-8E5A-E073C5499264}"/>
    <cellStyle name="Comma 5 2 4 2 4 3" xfId="5615" xr:uid="{579E31EF-5F66-45F6-999D-203D319BD376}"/>
    <cellStyle name="Comma 5 2 4 2 4 3 2" xfId="14287" xr:uid="{23F54009-8737-45E2-AF5E-D329DABC7389}"/>
    <cellStyle name="Comma 5 2 4 2 4 3 2 2" xfId="31631" xr:uid="{CB982490-496F-45BC-A443-C3B158B6AB65}"/>
    <cellStyle name="Comma 5 2 4 2 4 3 3" xfId="22959" xr:uid="{438C0FD3-2636-4690-8968-AEC11B01FE83}"/>
    <cellStyle name="Comma 5 2 4 2 4 4" xfId="9951" xr:uid="{7E2B5EDF-4E73-4CEF-8C18-8E453BD23D50}"/>
    <cellStyle name="Comma 5 2 4 2 4 4 2" xfId="27295" xr:uid="{8B91B1D7-5A3E-4036-A4E7-ED9C1A9C67F9}"/>
    <cellStyle name="Comma 5 2 4 2 4 5" xfId="18623" xr:uid="{57F1232F-602C-4E07-A112-7990E384E038}"/>
    <cellStyle name="Comma 5 2 4 2 5" xfId="2363" xr:uid="{C09249CD-DFE1-4F6D-95BD-2B1E7AFF7C1C}"/>
    <cellStyle name="Comma 5 2 4 2 5 2" xfId="6699" xr:uid="{292D6E60-8554-4BCD-954E-9765DAAC12DF}"/>
    <cellStyle name="Comma 5 2 4 2 5 2 2" xfId="15371" xr:uid="{8C0722B9-8265-40A9-AC7A-0D1BD4A65A3A}"/>
    <cellStyle name="Comma 5 2 4 2 5 2 2 2" xfId="32715" xr:uid="{102F0355-5BC2-4DF7-99FB-DD797428D324}"/>
    <cellStyle name="Comma 5 2 4 2 5 2 3" xfId="24043" xr:uid="{462423E6-E834-459F-A210-53F3F4A20402}"/>
    <cellStyle name="Comma 5 2 4 2 5 3" xfId="11035" xr:uid="{A262D915-9309-4D57-8A4A-EFFC98BF540B}"/>
    <cellStyle name="Comma 5 2 4 2 5 3 2" xfId="28379" xr:uid="{BCB0C3F5-AAF2-452A-8690-03DAEFDF37FB}"/>
    <cellStyle name="Comma 5 2 4 2 5 4" xfId="19707" xr:uid="{B7123395-F1E5-499D-8060-1A18936BF269}"/>
    <cellStyle name="Comma 5 2 4 2 6" xfId="4531" xr:uid="{2FDA6ACB-9F98-4DC3-A463-FD1041C8723F}"/>
    <cellStyle name="Comma 5 2 4 2 6 2" xfId="13203" xr:uid="{E47FEFA1-BFB1-46C7-BDA3-C3D152740397}"/>
    <cellStyle name="Comma 5 2 4 2 6 2 2" xfId="30547" xr:uid="{18D92F8A-1DBB-48BB-B387-2684DC3AEBB9}"/>
    <cellStyle name="Comma 5 2 4 2 6 3" xfId="21875" xr:uid="{84D21B92-6CAF-4A4B-B07A-84CE9AE608D3}"/>
    <cellStyle name="Comma 5 2 4 2 7" xfId="8867" xr:uid="{6FB3F2B8-731C-4372-A5E9-28D0AD8DD65B}"/>
    <cellStyle name="Comma 5 2 4 2 7 2" xfId="26211" xr:uid="{97736356-DF7C-487D-8BF3-B21AA378BC53}"/>
    <cellStyle name="Comma 5 2 4 2 8" xfId="17539" xr:uid="{3B572793-C276-4F42-BD17-5B625B155794}"/>
    <cellStyle name="Comma 5 2 4 3" xfId="343" xr:uid="{91DC05BA-C868-4674-A01E-55AAA51DF728}"/>
    <cellStyle name="Comma 5 2 4 3 2" xfId="884" xr:uid="{C70BA598-4E8D-4A46-ACC7-6977A8EEE3E2}"/>
    <cellStyle name="Comma 5 2 4 3 2 2" xfId="1968" xr:uid="{46267CE4-EC62-417A-B28F-B10BA7314BF6}"/>
    <cellStyle name="Comma 5 2 4 3 2 2 2" xfId="4136" xr:uid="{D4724404-BA53-4F7A-A014-9254E44ED475}"/>
    <cellStyle name="Comma 5 2 4 3 2 2 2 2" xfId="8472" xr:uid="{028F19BB-DF3D-477E-8209-AED8D3E61099}"/>
    <cellStyle name="Comma 5 2 4 3 2 2 2 2 2" xfId="17144" xr:uid="{C4D859BA-0756-4B67-BBEF-07C16927B594}"/>
    <cellStyle name="Comma 5 2 4 3 2 2 2 2 2 2" xfId="34488" xr:uid="{E295A42C-C1D2-4401-955C-BBBCA370A7B0}"/>
    <cellStyle name="Comma 5 2 4 3 2 2 2 2 3" xfId="25816" xr:uid="{5EA13BF5-76FF-46C7-A34F-9296A28AFA11}"/>
    <cellStyle name="Comma 5 2 4 3 2 2 2 3" xfId="12808" xr:uid="{139C82DF-FBF6-43B2-B70D-D26F15BE0C6B}"/>
    <cellStyle name="Comma 5 2 4 3 2 2 2 3 2" xfId="30152" xr:uid="{C2C324CB-4142-4E16-B1F7-FE16F4635845}"/>
    <cellStyle name="Comma 5 2 4 3 2 2 2 4" xfId="21480" xr:uid="{EB5E3210-0F13-428B-BB87-A16310FCE127}"/>
    <cellStyle name="Comma 5 2 4 3 2 2 3" xfId="6304" xr:uid="{6598E3A0-2645-4172-9108-2D70AF718AF1}"/>
    <cellStyle name="Comma 5 2 4 3 2 2 3 2" xfId="14976" xr:uid="{54BE450A-4244-47C4-B6DF-1EA2EB4BDE68}"/>
    <cellStyle name="Comma 5 2 4 3 2 2 3 2 2" xfId="32320" xr:uid="{496CE2F0-52EF-42C0-B0D3-6EFCCA8F9AFA}"/>
    <cellStyle name="Comma 5 2 4 3 2 2 3 3" xfId="23648" xr:uid="{9D22AF5B-4DC6-4E13-A6CF-B8CBA11A0583}"/>
    <cellStyle name="Comma 5 2 4 3 2 2 4" xfId="10640" xr:uid="{5A25D58F-892B-45C8-9AA6-119207BB39E5}"/>
    <cellStyle name="Comma 5 2 4 3 2 2 4 2" xfId="27984" xr:uid="{65161F4A-FA19-406E-9CE0-26286428B2EA}"/>
    <cellStyle name="Comma 5 2 4 3 2 2 5" xfId="19312" xr:uid="{4174EB9A-D253-4D86-B0DC-4319BA618BC4}"/>
    <cellStyle name="Comma 5 2 4 3 2 3" xfId="3052" xr:uid="{01B050BA-6FBF-45F6-8F08-E0597A9E5267}"/>
    <cellStyle name="Comma 5 2 4 3 2 3 2" xfId="7388" xr:uid="{CE384ADE-99F8-4707-92E4-4605340DE0D9}"/>
    <cellStyle name="Comma 5 2 4 3 2 3 2 2" xfId="16060" xr:uid="{761DB41F-FB10-43FF-87B1-3BB4A63402CA}"/>
    <cellStyle name="Comma 5 2 4 3 2 3 2 2 2" xfId="33404" xr:uid="{B98C0578-840F-4CD7-AAF7-B1AEAC043B72}"/>
    <cellStyle name="Comma 5 2 4 3 2 3 2 3" xfId="24732" xr:uid="{2C3928E0-F847-400D-8FF6-661A257B647E}"/>
    <cellStyle name="Comma 5 2 4 3 2 3 3" xfId="11724" xr:uid="{BCF6AA81-95FB-45CB-9EB2-4A60D41EDAF5}"/>
    <cellStyle name="Comma 5 2 4 3 2 3 3 2" xfId="29068" xr:uid="{E2F21354-228E-4635-B01C-E4760B692FD9}"/>
    <cellStyle name="Comma 5 2 4 3 2 3 4" xfId="20396" xr:uid="{65165AE1-3450-4221-A6E7-98D6E66E1EFF}"/>
    <cellStyle name="Comma 5 2 4 3 2 4" xfId="5220" xr:uid="{5A0A6440-93DD-4999-9EC0-EB6337CB7BD7}"/>
    <cellStyle name="Comma 5 2 4 3 2 4 2" xfId="13892" xr:uid="{A48CFCE3-8180-4644-B950-9551906D3AA9}"/>
    <cellStyle name="Comma 5 2 4 3 2 4 2 2" xfId="31236" xr:uid="{4F176478-A38B-4670-8A83-02E7AAA8FD3D}"/>
    <cellStyle name="Comma 5 2 4 3 2 4 3" xfId="22564" xr:uid="{482DD996-24E3-47F0-8AB0-E33679864F0D}"/>
    <cellStyle name="Comma 5 2 4 3 2 5" xfId="9556" xr:uid="{3EC7E28F-01C4-4AE6-BB23-44B3E54DE530}"/>
    <cellStyle name="Comma 5 2 4 3 2 5 2" xfId="26900" xr:uid="{11D48827-0F4C-4864-B313-76FA8DA5BBC1}"/>
    <cellStyle name="Comma 5 2 4 3 2 6" xfId="18228" xr:uid="{2400D465-3936-40DB-986D-0DE999DC65BF}"/>
    <cellStyle name="Comma 5 2 4 3 3" xfId="1427" xr:uid="{AFE633C4-90E4-4D77-A69F-37C10823F1A0}"/>
    <cellStyle name="Comma 5 2 4 3 3 2" xfId="3595" xr:uid="{81CA1ED2-2B20-4DD6-BFFF-929004F98B5F}"/>
    <cellStyle name="Comma 5 2 4 3 3 2 2" xfId="7931" xr:uid="{68377147-8A2A-4132-977E-72F3750ADFE2}"/>
    <cellStyle name="Comma 5 2 4 3 3 2 2 2" xfId="16603" xr:uid="{518543EA-8069-43F8-A2B4-D5E26653AF34}"/>
    <cellStyle name="Comma 5 2 4 3 3 2 2 2 2" xfId="33947" xr:uid="{D9D9D59D-4528-4882-965D-461A39EC36C1}"/>
    <cellStyle name="Comma 5 2 4 3 3 2 2 3" xfId="25275" xr:uid="{E4147BDE-88E5-4EE8-B27C-EA2A61741DDE}"/>
    <cellStyle name="Comma 5 2 4 3 3 2 3" xfId="12267" xr:uid="{7F7983C6-C124-4948-8D09-D9BF9C572B1D}"/>
    <cellStyle name="Comma 5 2 4 3 3 2 3 2" xfId="29611" xr:uid="{286163A3-E25F-41C3-9EA6-726264719579}"/>
    <cellStyle name="Comma 5 2 4 3 3 2 4" xfId="20939" xr:uid="{02CDBBFE-C012-4550-99CE-291ACD80BE03}"/>
    <cellStyle name="Comma 5 2 4 3 3 3" xfId="5763" xr:uid="{65D15761-A855-4CB9-9155-704B9F74201C}"/>
    <cellStyle name="Comma 5 2 4 3 3 3 2" xfId="14435" xr:uid="{742FE2C4-1C34-44D0-B39A-DEADFBC51B36}"/>
    <cellStyle name="Comma 5 2 4 3 3 3 2 2" xfId="31779" xr:uid="{72ACFF93-FBE4-4319-B985-64CAA92250EE}"/>
    <cellStyle name="Comma 5 2 4 3 3 3 3" xfId="23107" xr:uid="{1A3F30CF-01EB-4F42-94EB-73228C0E1028}"/>
    <cellStyle name="Comma 5 2 4 3 3 4" xfId="10099" xr:uid="{AAFE17C9-73DB-4138-A480-8FC501699DBD}"/>
    <cellStyle name="Comma 5 2 4 3 3 4 2" xfId="27443" xr:uid="{DF3148E8-DB7C-42FB-A871-4523A1F134E0}"/>
    <cellStyle name="Comma 5 2 4 3 3 5" xfId="18771" xr:uid="{395DB271-5E08-49A6-A73E-E05299A816D3}"/>
    <cellStyle name="Comma 5 2 4 3 4" xfId="2511" xr:uid="{978E0149-6A31-4161-A6AC-84D260CC828F}"/>
    <cellStyle name="Comma 5 2 4 3 4 2" xfId="6847" xr:uid="{942AB6D4-0AA7-4A94-885C-42EEC7973C12}"/>
    <cellStyle name="Comma 5 2 4 3 4 2 2" xfId="15519" xr:uid="{59A25081-BFF3-48EF-BDF0-B3D6EF9E033B}"/>
    <cellStyle name="Comma 5 2 4 3 4 2 2 2" xfId="32863" xr:uid="{B35B0F80-D4E9-4FF5-BED3-E3910F6690D1}"/>
    <cellStyle name="Comma 5 2 4 3 4 2 3" xfId="24191" xr:uid="{ADA77FBB-FEA6-4346-8EFB-599CE732945B}"/>
    <cellStyle name="Comma 5 2 4 3 4 3" xfId="11183" xr:uid="{A5A5EDD9-826F-4D7D-8DD0-FEC5250C301C}"/>
    <cellStyle name="Comma 5 2 4 3 4 3 2" xfId="28527" xr:uid="{D30243CA-8B7F-4D75-9D30-731400A781EA}"/>
    <cellStyle name="Comma 5 2 4 3 4 4" xfId="19855" xr:uid="{96A01B3E-E9E0-44A4-BC9A-24239E554C24}"/>
    <cellStyle name="Comma 5 2 4 3 5" xfId="4679" xr:uid="{90E744EE-06EA-420E-9FD6-A03A930D3A5D}"/>
    <cellStyle name="Comma 5 2 4 3 5 2" xfId="13351" xr:uid="{935D9C96-A89E-4FF5-935E-0A84AACD46D9}"/>
    <cellStyle name="Comma 5 2 4 3 5 2 2" xfId="30695" xr:uid="{90BC9306-3A4B-4BEF-9DB2-2B1DAC4DA42E}"/>
    <cellStyle name="Comma 5 2 4 3 5 3" xfId="22023" xr:uid="{C5F344C0-9E7F-469E-81E7-681EF2F6A3E4}"/>
    <cellStyle name="Comma 5 2 4 3 6" xfId="9015" xr:uid="{D527A5EE-71EF-4C6B-AC26-B0B1174279EE}"/>
    <cellStyle name="Comma 5 2 4 3 6 2" xfId="26359" xr:uid="{981C415A-4B33-4D96-BA3C-18560969DE4F}"/>
    <cellStyle name="Comma 5 2 4 3 7" xfId="17687" xr:uid="{6DE9D8B4-B65D-4986-A027-55507A516D6F}"/>
    <cellStyle name="Comma 5 2 4 4" xfId="614" xr:uid="{3DEAC866-7AEA-45ED-B313-2964A08AE441}"/>
    <cellStyle name="Comma 5 2 4 4 2" xfId="1698" xr:uid="{2488D58B-DA92-4004-8A3D-9014FF3BA6B3}"/>
    <cellStyle name="Comma 5 2 4 4 2 2" xfId="3866" xr:uid="{1E0FEFF1-2C1F-4C44-B8B6-182FAE254D40}"/>
    <cellStyle name="Comma 5 2 4 4 2 2 2" xfId="8202" xr:uid="{B607F03F-B023-44B6-A9B2-E6A39E4D85A4}"/>
    <cellStyle name="Comma 5 2 4 4 2 2 2 2" xfId="16874" xr:uid="{E5346CE9-B147-4A70-9603-864668AA6D31}"/>
    <cellStyle name="Comma 5 2 4 4 2 2 2 2 2" xfId="34218" xr:uid="{D2304364-CD50-4364-8117-E9EE9139E2A8}"/>
    <cellStyle name="Comma 5 2 4 4 2 2 2 3" xfId="25546" xr:uid="{1FE5D41F-8FF5-4DA4-879F-D8E92B2FFCB5}"/>
    <cellStyle name="Comma 5 2 4 4 2 2 3" xfId="12538" xr:uid="{648BB467-246E-4BD0-91F5-0D7776A48424}"/>
    <cellStyle name="Comma 5 2 4 4 2 2 3 2" xfId="29882" xr:uid="{905B91BB-62F5-4C3E-BC3B-1533D34658B4}"/>
    <cellStyle name="Comma 5 2 4 4 2 2 4" xfId="21210" xr:uid="{7EA9197A-B7DF-46D6-941F-6302809CA549}"/>
    <cellStyle name="Comma 5 2 4 4 2 3" xfId="6034" xr:uid="{EF707176-AC50-4AEE-89B3-EFE1A3696B2B}"/>
    <cellStyle name="Comma 5 2 4 4 2 3 2" xfId="14706" xr:uid="{D5C87345-A581-41C1-B87D-D88544327CA7}"/>
    <cellStyle name="Comma 5 2 4 4 2 3 2 2" xfId="32050" xr:uid="{8B970D42-C984-4A5B-90D2-3AEFEF21AC63}"/>
    <cellStyle name="Comma 5 2 4 4 2 3 3" xfId="23378" xr:uid="{E3346792-2F68-4F5F-8F6F-2C2C8F13C728}"/>
    <cellStyle name="Comma 5 2 4 4 2 4" xfId="10370" xr:uid="{DEA17766-9A71-43FF-979D-06F71A534236}"/>
    <cellStyle name="Comma 5 2 4 4 2 4 2" xfId="27714" xr:uid="{2371D12B-BC58-482A-94CD-4DDB1374FF73}"/>
    <cellStyle name="Comma 5 2 4 4 2 5" xfId="19042" xr:uid="{29B2B345-28E9-4CB0-B39D-BFD2245907B3}"/>
    <cellStyle name="Comma 5 2 4 4 3" xfId="2782" xr:uid="{227CAADE-F874-40D3-9691-5F54DB162AED}"/>
    <cellStyle name="Comma 5 2 4 4 3 2" xfId="7118" xr:uid="{80AE2EA2-489A-4319-82AE-1FB131FB2824}"/>
    <cellStyle name="Comma 5 2 4 4 3 2 2" xfId="15790" xr:uid="{BA8EB626-3E36-42F1-937A-0D41587D2DF2}"/>
    <cellStyle name="Comma 5 2 4 4 3 2 2 2" xfId="33134" xr:uid="{43E820B7-93BA-409A-A4A7-32D759FD67FB}"/>
    <cellStyle name="Comma 5 2 4 4 3 2 3" xfId="24462" xr:uid="{6B19E483-3495-483C-8DC5-652F3CBBA031}"/>
    <cellStyle name="Comma 5 2 4 4 3 3" xfId="11454" xr:uid="{E29FD3E5-D5D3-45CE-93A0-97381EA12A15}"/>
    <cellStyle name="Comma 5 2 4 4 3 3 2" xfId="28798" xr:uid="{9C9FCEA3-F749-41E5-A697-55E88D355405}"/>
    <cellStyle name="Comma 5 2 4 4 3 4" xfId="20126" xr:uid="{68695B18-86FB-4780-9D6B-69E86F818AFF}"/>
    <cellStyle name="Comma 5 2 4 4 4" xfId="4950" xr:uid="{CE218D01-6AE5-4BDA-BCF8-C022ED1879BC}"/>
    <cellStyle name="Comma 5 2 4 4 4 2" xfId="13622" xr:uid="{7C85A43F-C1EC-4026-9974-ECD0386B452A}"/>
    <cellStyle name="Comma 5 2 4 4 4 2 2" xfId="30966" xr:uid="{C0C79277-BC09-4918-8E10-5EF40D5C0AE7}"/>
    <cellStyle name="Comma 5 2 4 4 4 3" xfId="22294" xr:uid="{BA7624A4-FC7E-412E-80CA-8EEECCC49B4D}"/>
    <cellStyle name="Comma 5 2 4 4 5" xfId="9286" xr:uid="{1E6CDEAE-8006-413B-9096-F245964D080C}"/>
    <cellStyle name="Comma 5 2 4 4 5 2" xfId="26630" xr:uid="{60BC9A82-FE5C-4545-A8B5-1C32C536F920}"/>
    <cellStyle name="Comma 5 2 4 4 6" xfId="17958" xr:uid="{87135E08-65F3-46DF-8EB5-EF9FB59E337B}"/>
    <cellStyle name="Comma 5 2 4 5" xfId="1157" xr:uid="{5226F41A-2723-42A1-A311-7A14045F5D13}"/>
    <cellStyle name="Comma 5 2 4 5 2" xfId="3325" xr:uid="{415F1692-BC79-4167-9327-75D579E29F77}"/>
    <cellStyle name="Comma 5 2 4 5 2 2" xfId="7661" xr:uid="{4C4C8530-3EB7-4A66-985C-375BFC14BBAA}"/>
    <cellStyle name="Comma 5 2 4 5 2 2 2" xfId="16333" xr:uid="{A598B53C-F50F-4ED4-9259-B0B8DC5CFC40}"/>
    <cellStyle name="Comma 5 2 4 5 2 2 2 2" xfId="33677" xr:uid="{ADCD6DA9-4447-4069-BDAA-3C20778D9CA8}"/>
    <cellStyle name="Comma 5 2 4 5 2 2 3" xfId="25005" xr:uid="{D5EE034A-E155-414B-95AC-126E55326639}"/>
    <cellStyle name="Comma 5 2 4 5 2 3" xfId="11997" xr:uid="{51F02FAE-B037-42DD-A698-3EF89025648F}"/>
    <cellStyle name="Comma 5 2 4 5 2 3 2" xfId="29341" xr:uid="{998A32AC-504A-4AB9-85C6-2CD04EC5A7A8}"/>
    <cellStyle name="Comma 5 2 4 5 2 4" xfId="20669" xr:uid="{ED4E9282-92D1-4B86-B12B-5AD21E010E9E}"/>
    <cellStyle name="Comma 5 2 4 5 3" xfId="5493" xr:uid="{6A9785F1-F332-4B0F-947D-B800BFCE94A4}"/>
    <cellStyle name="Comma 5 2 4 5 3 2" xfId="14165" xr:uid="{1C4B6E91-54EA-4A48-A006-243FA9154BCB}"/>
    <cellStyle name="Comma 5 2 4 5 3 2 2" xfId="31509" xr:uid="{BEB05D58-3880-4FC0-87CB-778424329994}"/>
    <cellStyle name="Comma 5 2 4 5 3 3" xfId="22837" xr:uid="{F1AD0D84-F9AA-43BD-8993-25556AE3A882}"/>
    <cellStyle name="Comma 5 2 4 5 4" xfId="9829" xr:uid="{E811DEC4-FF1F-4492-98AB-4D875A97951C}"/>
    <cellStyle name="Comma 5 2 4 5 4 2" xfId="27173" xr:uid="{3CFDF6BB-FF5F-4711-A991-FA33D0051561}"/>
    <cellStyle name="Comma 5 2 4 5 5" xfId="18501" xr:uid="{F233B806-668E-47ED-A991-D3F43E8DC3E6}"/>
    <cellStyle name="Comma 5 2 4 6" xfId="2241" xr:uid="{FBEFCDC3-D229-43EA-A330-5468D946E475}"/>
    <cellStyle name="Comma 5 2 4 6 2" xfId="6577" xr:uid="{3EF485C9-4191-46A8-BCD0-D28859E71D42}"/>
    <cellStyle name="Comma 5 2 4 6 2 2" xfId="15249" xr:uid="{BB8CB4F9-4F8F-4176-BDB2-D0613C7A0CAA}"/>
    <cellStyle name="Comma 5 2 4 6 2 2 2" xfId="32593" xr:uid="{17F9BFAC-5D6D-4110-89BB-74A2AD9AD012}"/>
    <cellStyle name="Comma 5 2 4 6 2 3" xfId="23921" xr:uid="{222B704E-94B6-437A-BD80-4CE98EA908FA}"/>
    <cellStyle name="Comma 5 2 4 6 3" xfId="10913" xr:uid="{891BDF8A-E4F7-4C41-A01C-1603B051DC17}"/>
    <cellStyle name="Comma 5 2 4 6 3 2" xfId="28257" xr:uid="{4FA73BE6-32C3-4DCC-8577-788A1F7218CC}"/>
    <cellStyle name="Comma 5 2 4 6 4" xfId="19585" xr:uid="{02232B48-96DB-4D36-85F2-197DD1369B86}"/>
    <cellStyle name="Comma 5 2 4 7" xfId="4409" xr:uid="{A4B17484-35E8-488B-BF64-8C925ECDC3A8}"/>
    <cellStyle name="Comma 5 2 4 7 2" xfId="13081" xr:uid="{4CED6174-C142-46C7-AB4C-983845ED6D10}"/>
    <cellStyle name="Comma 5 2 4 7 2 2" xfId="30425" xr:uid="{301229FC-6420-49EB-AA0F-F7C338DBC67E}"/>
    <cellStyle name="Comma 5 2 4 7 3" xfId="21753" xr:uid="{CEF2A29B-C45B-436F-8E71-D22DE827CBAC}"/>
    <cellStyle name="Comma 5 2 4 8" xfId="8745" xr:uid="{826A1856-4B3C-436A-BD3A-52DE71539819}"/>
    <cellStyle name="Comma 5 2 4 8 2" xfId="26089" xr:uid="{3CF59AB7-4864-4E19-8728-1F6D4CD8D72E}"/>
    <cellStyle name="Comma 5 2 4 9" xfId="17417" xr:uid="{3B40BF7A-1216-4930-AD70-73F043456C81}"/>
    <cellStyle name="Comma 5 2 5" xfId="134" xr:uid="{B853605A-3946-4A10-86F7-41CD07CD3588}"/>
    <cellStyle name="Comma 5 2 5 2" xfId="404" xr:uid="{CC5B2CCE-2B84-4A29-BFDE-1EC32DF4A573}"/>
    <cellStyle name="Comma 5 2 5 2 2" xfId="945" xr:uid="{A3B7FD47-E5AD-40B5-9DE0-BE35785E6F06}"/>
    <cellStyle name="Comma 5 2 5 2 2 2" xfId="2029" xr:uid="{2AAC0A3C-A7B6-4ADD-92DD-45A56FCCC64D}"/>
    <cellStyle name="Comma 5 2 5 2 2 2 2" xfId="4197" xr:uid="{C8DE8F10-F689-4571-8D03-689726987750}"/>
    <cellStyle name="Comma 5 2 5 2 2 2 2 2" xfId="8533" xr:uid="{DFD3FC2F-B351-4CC3-AC05-7FC48E4C2E96}"/>
    <cellStyle name="Comma 5 2 5 2 2 2 2 2 2" xfId="17205" xr:uid="{E0A09A49-AA97-46DC-8F6E-DE2D82423DEA}"/>
    <cellStyle name="Comma 5 2 5 2 2 2 2 2 2 2" xfId="34549" xr:uid="{10CEFB15-36E0-4215-BB0E-DEC249A4D35D}"/>
    <cellStyle name="Comma 5 2 5 2 2 2 2 2 3" xfId="25877" xr:uid="{A0260443-71C9-48B1-B50B-4C83626D8A26}"/>
    <cellStyle name="Comma 5 2 5 2 2 2 2 3" xfId="12869" xr:uid="{45910E66-509A-4E77-80A3-C962E66FD04A}"/>
    <cellStyle name="Comma 5 2 5 2 2 2 2 3 2" xfId="30213" xr:uid="{1DD5564A-48A7-4B6F-AE8F-C30D31E12748}"/>
    <cellStyle name="Comma 5 2 5 2 2 2 2 4" xfId="21541" xr:uid="{06346641-857A-468A-A7DE-05EB3B898785}"/>
    <cellStyle name="Comma 5 2 5 2 2 2 3" xfId="6365" xr:uid="{2B380C9A-21A2-4240-BC76-AF5BD0F308A8}"/>
    <cellStyle name="Comma 5 2 5 2 2 2 3 2" xfId="15037" xr:uid="{05C79CDB-579C-4A4A-BA3A-7BE1A1B2E3BE}"/>
    <cellStyle name="Comma 5 2 5 2 2 2 3 2 2" xfId="32381" xr:uid="{91318F05-7932-42E2-BBD0-ED87B639538B}"/>
    <cellStyle name="Comma 5 2 5 2 2 2 3 3" xfId="23709" xr:uid="{D7FD042D-2DA2-49D7-B95B-2DF8AC0066D2}"/>
    <cellStyle name="Comma 5 2 5 2 2 2 4" xfId="10701" xr:uid="{20FA6515-0682-46AB-BE5C-373BEE64525D}"/>
    <cellStyle name="Comma 5 2 5 2 2 2 4 2" xfId="28045" xr:uid="{3F00BB36-960D-4662-9FE6-8893B464C4CE}"/>
    <cellStyle name="Comma 5 2 5 2 2 2 5" xfId="19373" xr:uid="{F8938B5D-42EF-4589-9E84-F41CCE4EA451}"/>
    <cellStyle name="Comma 5 2 5 2 2 3" xfId="3113" xr:uid="{58F70B06-0DF4-46D7-B868-597134A0B9E6}"/>
    <cellStyle name="Comma 5 2 5 2 2 3 2" xfId="7449" xr:uid="{31314EAB-E695-4254-96C2-B763A7E500E8}"/>
    <cellStyle name="Comma 5 2 5 2 2 3 2 2" xfId="16121" xr:uid="{5D8715A0-DCEB-4224-9F10-304594DA2D7B}"/>
    <cellStyle name="Comma 5 2 5 2 2 3 2 2 2" xfId="33465" xr:uid="{EAF8FF61-0904-47BD-810A-AF4B38D848AC}"/>
    <cellStyle name="Comma 5 2 5 2 2 3 2 3" xfId="24793" xr:uid="{B8740D48-2CDF-4CF0-9577-A570F24BFBFD}"/>
    <cellStyle name="Comma 5 2 5 2 2 3 3" xfId="11785" xr:uid="{AD7AC104-CC4B-4346-A114-09547BA027B9}"/>
    <cellStyle name="Comma 5 2 5 2 2 3 3 2" xfId="29129" xr:uid="{7FD1CE1F-5D69-45CB-9A5A-7FF3F3A88276}"/>
    <cellStyle name="Comma 5 2 5 2 2 3 4" xfId="20457" xr:uid="{97CF2AAE-CBD0-479C-8B0B-068850047147}"/>
    <cellStyle name="Comma 5 2 5 2 2 4" xfId="5281" xr:uid="{DB015EA8-E027-4620-8DB3-8C1D7EFC0673}"/>
    <cellStyle name="Comma 5 2 5 2 2 4 2" xfId="13953" xr:uid="{6092F34D-E423-4739-AC5D-026E480C4E26}"/>
    <cellStyle name="Comma 5 2 5 2 2 4 2 2" xfId="31297" xr:uid="{9F662962-F25C-4851-8352-F7CC1F809938}"/>
    <cellStyle name="Comma 5 2 5 2 2 4 3" xfId="22625" xr:uid="{98919336-8680-4C97-A71E-D43655AA1E8A}"/>
    <cellStyle name="Comma 5 2 5 2 2 5" xfId="9617" xr:uid="{E9B9CB86-8132-456B-A026-11D1CB92DF97}"/>
    <cellStyle name="Comma 5 2 5 2 2 5 2" xfId="26961" xr:uid="{DDD7D4E4-E320-444B-9EF9-8CC38CCDA2F3}"/>
    <cellStyle name="Comma 5 2 5 2 2 6" xfId="18289" xr:uid="{1A1A4F23-DFEF-484A-8C88-F7B6E0F71A19}"/>
    <cellStyle name="Comma 5 2 5 2 3" xfId="1488" xr:uid="{2EC956E5-12E3-4C73-898C-7BB6C29AB346}"/>
    <cellStyle name="Comma 5 2 5 2 3 2" xfId="3656" xr:uid="{7237A6C3-874B-4129-A4E4-360841F8F5F4}"/>
    <cellStyle name="Comma 5 2 5 2 3 2 2" xfId="7992" xr:uid="{3501B719-B283-48A2-9287-292BC151FB14}"/>
    <cellStyle name="Comma 5 2 5 2 3 2 2 2" xfId="16664" xr:uid="{ED97568E-E513-4C81-B0AA-E9FFCA16C83A}"/>
    <cellStyle name="Comma 5 2 5 2 3 2 2 2 2" xfId="34008" xr:uid="{A5CD16C1-B191-4207-87E0-2AC6A3386082}"/>
    <cellStyle name="Comma 5 2 5 2 3 2 2 3" xfId="25336" xr:uid="{3002D466-CEF9-474E-B5A3-B362CA4E5AC5}"/>
    <cellStyle name="Comma 5 2 5 2 3 2 3" xfId="12328" xr:uid="{2F377B97-53C4-47C0-84E1-77275F537120}"/>
    <cellStyle name="Comma 5 2 5 2 3 2 3 2" xfId="29672" xr:uid="{67941D21-9C71-4A3E-9812-AADF5C91EDC5}"/>
    <cellStyle name="Comma 5 2 5 2 3 2 4" xfId="21000" xr:uid="{9A76A8A6-02A9-4E60-8448-4666BCCDFE6C}"/>
    <cellStyle name="Comma 5 2 5 2 3 3" xfId="5824" xr:uid="{8F46E078-87C0-4BEA-B1AA-2063D62AB1C4}"/>
    <cellStyle name="Comma 5 2 5 2 3 3 2" xfId="14496" xr:uid="{47BC6F35-1E37-4594-8D4E-3E91618BE149}"/>
    <cellStyle name="Comma 5 2 5 2 3 3 2 2" xfId="31840" xr:uid="{B80C9193-339D-4BBC-A78B-CD1C5199D020}"/>
    <cellStyle name="Comma 5 2 5 2 3 3 3" xfId="23168" xr:uid="{128951AA-C680-4309-9439-943C3809267D}"/>
    <cellStyle name="Comma 5 2 5 2 3 4" xfId="10160" xr:uid="{A7B71445-1D00-4639-BBCF-DF8E7D63D541}"/>
    <cellStyle name="Comma 5 2 5 2 3 4 2" xfId="27504" xr:uid="{4DDFE5F4-AC14-46C6-8F3A-80F2A334982D}"/>
    <cellStyle name="Comma 5 2 5 2 3 5" xfId="18832" xr:uid="{82155B51-79E3-4BC9-B26B-D944F8ABB5DF}"/>
    <cellStyle name="Comma 5 2 5 2 4" xfId="2572" xr:uid="{F2C4F0E2-C211-4BFD-9FE2-2301A7ED6724}"/>
    <cellStyle name="Comma 5 2 5 2 4 2" xfId="6908" xr:uid="{81711B46-7E41-4838-BC8A-BF7DDA318629}"/>
    <cellStyle name="Comma 5 2 5 2 4 2 2" xfId="15580" xr:uid="{9356319A-102D-4160-B7A2-567E97C9CA08}"/>
    <cellStyle name="Comma 5 2 5 2 4 2 2 2" xfId="32924" xr:uid="{4ACBE261-12A2-4D26-81B8-928991D745B3}"/>
    <cellStyle name="Comma 5 2 5 2 4 2 3" xfId="24252" xr:uid="{A2DFFB9F-F1DA-480E-B096-073B77CE383E}"/>
    <cellStyle name="Comma 5 2 5 2 4 3" xfId="11244" xr:uid="{945F1EF8-5D3C-4D79-9896-E9F464610C62}"/>
    <cellStyle name="Comma 5 2 5 2 4 3 2" xfId="28588" xr:uid="{C293F5F9-9379-4F7B-8BE4-C93ED57C7061}"/>
    <cellStyle name="Comma 5 2 5 2 4 4" xfId="19916" xr:uid="{1697176D-CA2D-47AD-BF43-634D8270F4E5}"/>
    <cellStyle name="Comma 5 2 5 2 5" xfId="4740" xr:uid="{06B53DEB-8DE6-40A0-9BAA-8AC0BD475FD9}"/>
    <cellStyle name="Comma 5 2 5 2 5 2" xfId="13412" xr:uid="{0B04736E-1948-4673-B9E7-6AD664AFE370}"/>
    <cellStyle name="Comma 5 2 5 2 5 2 2" xfId="30756" xr:uid="{24245C8E-7A75-4931-BFED-126AC784EEA0}"/>
    <cellStyle name="Comma 5 2 5 2 5 3" xfId="22084" xr:uid="{18B842E3-50CC-44C1-93A6-F14D4ED4787F}"/>
    <cellStyle name="Comma 5 2 5 2 6" xfId="9076" xr:uid="{FD7976BD-CE62-4A71-983E-1C744CBEC550}"/>
    <cellStyle name="Comma 5 2 5 2 6 2" xfId="26420" xr:uid="{A61843E7-997A-4C3F-9F75-C0E5095D475F}"/>
    <cellStyle name="Comma 5 2 5 2 7" xfId="17748" xr:uid="{E9E66F72-2A99-4F8B-BF5D-DAFADD09FD4C}"/>
    <cellStyle name="Comma 5 2 5 3" xfId="675" xr:uid="{D7E8E333-0A4E-4941-9F87-91BECC62880A}"/>
    <cellStyle name="Comma 5 2 5 3 2" xfId="1759" xr:uid="{DEEAC332-FF98-4566-910A-B329F20B4FB1}"/>
    <cellStyle name="Comma 5 2 5 3 2 2" xfId="3927" xr:uid="{4E03E8DE-6C30-4D02-81AD-588A9459B2EA}"/>
    <cellStyle name="Comma 5 2 5 3 2 2 2" xfId="8263" xr:uid="{E75DEA68-0B0E-429C-B8AB-463E895443E3}"/>
    <cellStyle name="Comma 5 2 5 3 2 2 2 2" xfId="16935" xr:uid="{9D04DD74-6AE1-4832-BF51-7B7A62B9E471}"/>
    <cellStyle name="Comma 5 2 5 3 2 2 2 2 2" xfId="34279" xr:uid="{6395333A-06C7-4686-9304-6DDFE2E6CDDC}"/>
    <cellStyle name="Comma 5 2 5 3 2 2 2 3" xfId="25607" xr:uid="{B6180017-367D-4D98-9550-55C0C39F00AC}"/>
    <cellStyle name="Comma 5 2 5 3 2 2 3" xfId="12599" xr:uid="{7F151032-D821-4DF2-B98F-25729BE947BA}"/>
    <cellStyle name="Comma 5 2 5 3 2 2 3 2" xfId="29943" xr:uid="{3B67575B-7BD9-4D38-B3B3-27C800125CE6}"/>
    <cellStyle name="Comma 5 2 5 3 2 2 4" xfId="21271" xr:uid="{8ACD8382-4BCC-4832-917A-DF829BCC73B9}"/>
    <cellStyle name="Comma 5 2 5 3 2 3" xfId="6095" xr:uid="{8822408D-CC92-4CFD-BD90-B54675091557}"/>
    <cellStyle name="Comma 5 2 5 3 2 3 2" xfId="14767" xr:uid="{B136055D-0C94-4557-A20B-2D0E3E227E55}"/>
    <cellStyle name="Comma 5 2 5 3 2 3 2 2" xfId="32111" xr:uid="{AE40CB95-1DC3-4C66-A312-05B4E8546CB0}"/>
    <cellStyle name="Comma 5 2 5 3 2 3 3" xfId="23439" xr:uid="{59D83406-2CDB-423F-A17B-644DB58B3E74}"/>
    <cellStyle name="Comma 5 2 5 3 2 4" xfId="10431" xr:uid="{267F90BC-C39E-47EF-A0D5-15F86600914C}"/>
    <cellStyle name="Comma 5 2 5 3 2 4 2" xfId="27775" xr:uid="{D7EC8806-CB73-4BA8-AAAF-68A22B861FDC}"/>
    <cellStyle name="Comma 5 2 5 3 2 5" xfId="19103" xr:uid="{A98CF9BA-0BF6-48A5-B39E-54733FC123C9}"/>
    <cellStyle name="Comma 5 2 5 3 3" xfId="2843" xr:uid="{0B5E0C5A-65B8-4C71-80DC-91EED0869D00}"/>
    <cellStyle name="Comma 5 2 5 3 3 2" xfId="7179" xr:uid="{F71DFE45-822D-45BA-AA7F-2A7B48F8F068}"/>
    <cellStyle name="Comma 5 2 5 3 3 2 2" xfId="15851" xr:uid="{3C8D8D91-7601-4438-81F5-510A1183123B}"/>
    <cellStyle name="Comma 5 2 5 3 3 2 2 2" xfId="33195" xr:uid="{1B64CF36-60A7-4DA4-B992-C796FC478416}"/>
    <cellStyle name="Comma 5 2 5 3 3 2 3" xfId="24523" xr:uid="{89F29BC9-1FA2-4F47-A6AF-6775C23C2B0C}"/>
    <cellStyle name="Comma 5 2 5 3 3 3" xfId="11515" xr:uid="{BFFA974D-20D1-4F09-AD98-026C239CAD0D}"/>
    <cellStyle name="Comma 5 2 5 3 3 3 2" xfId="28859" xr:uid="{FF0EBB07-35BC-48E2-BC22-5081F70A782C}"/>
    <cellStyle name="Comma 5 2 5 3 3 4" xfId="20187" xr:uid="{F97EA428-33A6-4C46-8104-0B1797518B33}"/>
    <cellStyle name="Comma 5 2 5 3 4" xfId="5011" xr:uid="{AFAAA1C8-44E9-4E66-8239-E36458E7D5C1}"/>
    <cellStyle name="Comma 5 2 5 3 4 2" xfId="13683" xr:uid="{14A1D8A7-1335-42B4-8878-34724F861840}"/>
    <cellStyle name="Comma 5 2 5 3 4 2 2" xfId="31027" xr:uid="{77D64504-57A1-4126-B98E-823FD8F4212B}"/>
    <cellStyle name="Comma 5 2 5 3 4 3" xfId="22355" xr:uid="{BE0B2219-4C2E-4583-B72B-AB42DDD48E65}"/>
    <cellStyle name="Comma 5 2 5 3 5" xfId="9347" xr:uid="{422ECFD5-DD56-44DC-B1A4-BA3662D67860}"/>
    <cellStyle name="Comma 5 2 5 3 5 2" xfId="26691" xr:uid="{B31BB273-2E05-4E6C-B625-B7BA5C2E862E}"/>
    <cellStyle name="Comma 5 2 5 3 6" xfId="18019" xr:uid="{69C1F367-6886-44D6-8DE3-69C0DBCD6B6C}"/>
    <cellStyle name="Comma 5 2 5 4" xfId="1218" xr:uid="{6ABFE598-47DD-4DE7-9B81-79664FCA7530}"/>
    <cellStyle name="Comma 5 2 5 4 2" xfId="3386" xr:uid="{33B2BA59-80CD-4590-BAE6-D5D1AE5E5A6A}"/>
    <cellStyle name="Comma 5 2 5 4 2 2" xfId="7722" xr:uid="{0C93815A-5272-4786-8EFF-43CAA70DB8BE}"/>
    <cellStyle name="Comma 5 2 5 4 2 2 2" xfId="16394" xr:uid="{A3AD32A6-1A46-4DDA-9F9A-BF8A933F2C09}"/>
    <cellStyle name="Comma 5 2 5 4 2 2 2 2" xfId="33738" xr:uid="{DAE850C4-1E41-4934-B861-89F5B09E8893}"/>
    <cellStyle name="Comma 5 2 5 4 2 2 3" xfId="25066" xr:uid="{4DAF94B1-D88D-4580-A3C0-61DCF42186DF}"/>
    <cellStyle name="Comma 5 2 5 4 2 3" xfId="12058" xr:uid="{4AC9F273-9C66-4E0A-92F4-72717B866A5D}"/>
    <cellStyle name="Comma 5 2 5 4 2 3 2" xfId="29402" xr:uid="{D3554A83-7693-4813-9E10-3422C3A7C57B}"/>
    <cellStyle name="Comma 5 2 5 4 2 4" xfId="20730" xr:uid="{64254775-1DC0-403E-9990-84D56C8B7E94}"/>
    <cellStyle name="Comma 5 2 5 4 3" xfId="5554" xr:uid="{4DFC7E9B-4717-47C1-8FFD-FB4FDBA27F07}"/>
    <cellStyle name="Comma 5 2 5 4 3 2" xfId="14226" xr:uid="{B98DD5D8-922D-4DC6-A022-655208B4A5AA}"/>
    <cellStyle name="Comma 5 2 5 4 3 2 2" xfId="31570" xr:uid="{3DDD7763-E0D1-4A62-A75D-96E8615E58B8}"/>
    <cellStyle name="Comma 5 2 5 4 3 3" xfId="22898" xr:uid="{AAF25951-8D93-4768-B33D-14C2B576D2D8}"/>
    <cellStyle name="Comma 5 2 5 4 4" xfId="9890" xr:uid="{61BBA668-9F4F-40F4-8DE1-4B13E061E15A}"/>
    <cellStyle name="Comma 5 2 5 4 4 2" xfId="27234" xr:uid="{AEA35040-AB9D-4E37-84BB-8E59B694F5C2}"/>
    <cellStyle name="Comma 5 2 5 4 5" xfId="18562" xr:uid="{82419735-187E-40C5-B34B-C31E45183E2E}"/>
    <cellStyle name="Comma 5 2 5 5" xfId="2302" xr:uid="{894C61FF-7787-4023-A5BB-D3C1C2367CBA}"/>
    <cellStyle name="Comma 5 2 5 5 2" xfId="6638" xr:uid="{8C9BC989-12B6-4B61-903F-0CDAF9A0BA1C}"/>
    <cellStyle name="Comma 5 2 5 5 2 2" xfId="15310" xr:uid="{F2FB7DE5-0CBF-4665-AC65-E1DC6F4B9611}"/>
    <cellStyle name="Comma 5 2 5 5 2 2 2" xfId="32654" xr:uid="{AB27C2AB-C3A1-46E1-BDA4-B56228A0CA72}"/>
    <cellStyle name="Comma 5 2 5 5 2 3" xfId="23982" xr:uid="{4DA7977E-1AAA-4D92-9F0A-473B73FBA0B6}"/>
    <cellStyle name="Comma 5 2 5 5 3" xfId="10974" xr:uid="{8B88A26A-7500-4836-9712-6A628B33343E}"/>
    <cellStyle name="Comma 5 2 5 5 3 2" xfId="28318" xr:uid="{47EA3A85-8C64-4D7D-9DBE-234258F27162}"/>
    <cellStyle name="Comma 5 2 5 5 4" xfId="19646" xr:uid="{0DFF47D7-EE85-44EC-B228-D59C0DBFB035}"/>
    <cellStyle name="Comma 5 2 5 6" xfId="4470" xr:uid="{3FBA8EEC-590B-4B88-8860-819A49CCB639}"/>
    <cellStyle name="Comma 5 2 5 6 2" xfId="13142" xr:uid="{314C405C-BA9E-48E9-B0F1-78DCF81CF930}"/>
    <cellStyle name="Comma 5 2 5 6 2 2" xfId="30486" xr:uid="{27CF20E1-1D75-4769-A55B-C67CA345FAD3}"/>
    <cellStyle name="Comma 5 2 5 6 3" xfId="21814" xr:uid="{C92C93F1-BE7D-4FFB-8493-ADC0F0BE319F}"/>
    <cellStyle name="Comma 5 2 5 7" xfId="8806" xr:uid="{931B45E2-789D-4366-A1E0-A946E8D16D55}"/>
    <cellStyle name="Comma 5 2 5 7 2" xfId="26150" xr:uid="{F8D58026-57EB-44FE-8714-32FA22BCCA23}"/>
    <cellStyle name="Comma 5 2 5 8" xfId="17478" xr:uid="{DE058B27-EB44-40C0-B01D-F2B94042EC18}"/>
    <cellStyle name="Comma 5 2 6" xfId="260" xr:uid="{198B633C-394A-4407-8459-E87C44AC148B}"/>
    <cellStyle name="Comma 5 2 6 2" xfId="530" xr:uid="{CEFF498D-C5CC-4B35-A8EB-E8D91C9530EB}"/>
    <cellStyle name="Comma 5 2 6 2 2" xfId="1071" xr:uid="{7309B9B3-E3B0-4F68-9A15-B4D45DFBF904}"/>
    <cellStyle name="Comma 5 2 6 2 2 2" xfId="2155" xr:uid="{FF879287-8656-46B2-88BD-EB1A42692942}"/>
    <cellStyle name="Comma 5 2 6 2 2 2 2" xfId="4323" xr:uid="{48866A34-EA4B-43D7-8135-0C9347A7FAB5}"/>
    <cellStyle name="Comma 5 2 6 2 2 2 2 2" xfId="8659" xr:uid="{FD6BC41E-86A7-46BB-B164-0E67180CE936}"/>
    <cellStyle name="Comma 5 2 6 2 2 2 2 2 2" xfId="17331" xr:uid="{CA3059E5-0C00-45F1-914E-49651C2CD4C5}"/>
    <cellStyle name="Comma 5 2 6 2 2 2 2 2 2 2" xfId="34675" xr:uid="{902F1A7A-4D22-4BD2-BC92-3B13B9ECAD4E}"/>
    <cellStyle name="Comma 5 2 6 2 2 2 2 2 3" xfId="26003" xr:uid="{0D82E290-2644-4994-BB04-8FEC8839D21A}"/>
    <cellStyle name="Comma 5 2 6 2 2 2 2 3" xfId="12995" xr:uid="{B25831D4-5F6A-424D-A587-DD0ADF5D6A7E}"/>
    <cellStyle name="Comma 5 2 6 2 2 2 2 3 2" xfId="30339" xr:uid="{8EE2F9F2-2229-4BCD-9C9C-8546DC107AB8}"/>
    <cellStyle name="Comma 5 2 6 2 2 2 2 4" xfId="21667" xr:uid="{8B07B493-6575-4460-B1ED-EE9F0D31E5A5}"/>
    <cellStyle name="Comma 5 2 6 2 2 2 3" xfId="6491" xr:uid="{8952BB80-2CC9-4D79-AB11-23F509E1A9BF}"/>
    <cellStyle name="Comma 5 2 6 2 2 2 3 2" xfId="15163" xr:uid="{5834A3AF-7F99-407D-9416-2E9966A7E09B}"/>
    <cellStyle name="Comma 5 2 6 2 2 2 3 2 2" xfId="32507" xr:uid="{8E01141C-5C5C-4FCE-944E-FBB5A41A2AE7}"/>
    <cellStyle name="Comma 5 2 6 2 2 2 3 3" xfId="23835" xr:uid="{C72149C5-5D43-47E9-AC35-15F72B503632}"/>
    <cellStyle name="Comma 5 2 6 2 2 2 4" xfId="10827" xr:uid="{F736A4C8-7441-4C35-882F-0E87ED338E6D}"/>
    <cellStyle name="Comma 5 2 6 2 2 2 4 2" xfId="28171" xr:uid="{2954DAB5-9FC2-40FC-8DE3-049078650626}"/>
    <cellStyle name="Comma 5 2 6 2 2 2 5" xfId="19499" xr:uid="{E35BCEA8-51F4-4578-BE8E-1F655DF489D0}"/>
    <cellStyle name="Comma 5 2 6 2 2 3" xfId="3239" xr:uid="{40BCA512-4BF5-4788-91BB-8477E020761B}"/>
    <cellStyle name="Comma 5 2 6 2 2 3 2" xfId="7575" xr:uid="{A8DC9390-FD64-470D-89BA-45D02B397E60}"/>
    <cellStyle name="Comma 5 2 6 2 2 3 2 2" xfId="16247" xr:uid="{FB7AC448-01FD-4876-BE26-C04B9B754A00}"/>
    <cellStyle name="Comma 5 2 6 2 2 3 2 2 2" xfId="33591" xr:uid="{A60100EC-463C-4DCC-9316-298AD423F8AD}"/>
    <cellStyle name="Comma 5 2 6 2 2 3 2 3" xfId="24919" xr:uid="{E4EBD48A-C3DF-4517-AEE5-BC7EF4A8A4A1}"/>
    <cellStyle name="Comma 5 2 6 2 2 3 3" xfId="11911" xr:uid="{4F513DC1-6A43-4B6F-8F9A-3B960FE54E08}"/>
    <cellStyle name="Comma 5 2 6 2 2 3 3 2" xfId="29255" xr:uid="{86946328-2AB1-4F30-8169-03F7675909D6}"/>
    <cellStyle name="Comma 5 2 6 2 2 3 4" xfId="20583" xr:uid="{529CD26C-2461-467E-AC34-1F87978926A0}"/>
    <cellStyle name="Comma 5 2 6 2 2 4" xfId="5407" xr:uid="{F55D70F7-2A67-4DDB-82AA-327C3B187473}"/>
    <cellStyle name="Comma 5 2 6 2 2 4 2" xfId="14079" xr:uid="{0156E095-B934-4A26-A765-F47C2911D7EF}"/>
    <cellStyle name="Comma 5 2 6 2 2 4 2 2" xfId="31423" xr:uid="{817622D4-59C6-46DE-9484-FD594AD14AB9}"/>
    <cellStyle name="Comma 5 2 6 2 2 4 3" xfId="22751" xr:uid="{233FFA9D-AB75-4816-890F-BE9A83655855}"/>
    <cellStyle name="Comma 5 2 6 2 2 5" xfId="9743" xr:uid="{07BBE1CC-1288-46C3-8015-30F3B9B0D715}"/>
    <cellStyle name="Comma 5 2 6 2 2 5 2" xfId="27087" xr:uid="{2D3896A1-7070-4491-995B-DF4D6870806A}"/>
    <cellStyle name="Comma 5 2 6 2 2 6" xfId="18415" xr:uid="{4C73D9FB-57DD-4F55-AB51-51784A13FA5E}"/>
    <cellStyle name="Comma 5 2 6 2 3" xfId="1614" xr:uid="{2E1E497A-FF60-4255-B13B-697E4E381214}"/>
    <cellStyle name="Comma 5 2 6 2 3 2" xfId="3782" xr:uid="{95F3C48F-44A2-4CB0-9FC2-A01DCABDA042}"/>
    <cellStyle name="Comma 5 2 6 2 3 2 2" xfId="8118" xr:uid="{E44AD9D6-5B40-40D2-8FB0-9B7BFD7E8648}"/>
    <cellStyle name="Comma 5 2 6 2 3 2 2 2" xfId="16790" xr:uid="{939EFAD9-B983-428A-B075-4AD8EEA7B630}"/>
    <cellStyle name="Comma 5 2 6 2 3 2 2 2 2" xfId="34134" xr:uid="{FA18DC24-9AAB-4A2B-9260-238650701D3C}"/>
    <cellStyle name="Comma 5 2 6 2 3 2 2 3" xfId="25462" xr:uid="{19BA6410-A93D-41E9-9E25-27CF3E93A834}"/>
    <cellStyle name="Comma 5 2 6 2 3 2 3" xfId="12454" xr:uid="{44BE1A6B-0AEB-4594-B8C3-5EF02AA31E07}"/>
    <cellStyle name="Comma 5 2 6 2 3 2 3 2" xfId="29798" xr:uid="{141FC01C-8B7E-413A-8924-F896F0C5A7CF}"/>
    <cellStyle name="Comma 5 2 6 2 3 2 4" xfId="21126" xr:uid="{88BD0256-E3DE-477D-B3FE-F3B824368A18}"/>
    <cellStyle name="Comma 5 2 6 2 3 3" xfId="5950" xr:uid="{CB1F6890-4BF2-4971-992F-EAD8795ECEB7}"/>
    <cellStyle name="Comma 5 2 6 2 3 3 2" xfId="14622" xr:uid="{BF231AB5-1995-4669-ABD7-05C27152C32D}"/>
    <cellStyle name="Comma 5 2 6 2 3 3 2 2" xfId="31966" xr:uid="{9E8FF703-B5C6-419D-B57D-28567990B1CB}"/>
    <cellStyle name="Comma 5 2 6 2 3 3 3" xfId="23294" xr:uid="{D2A31965-FE65-4A11-B38C-43C7879FEADF}"/>
    <cellStyle name="Comma 5 2 6 2 3 4" xfId="10286" xr:uid="{94FD485B-D503-472A-9A4A-A0D52620BC65}"/>
    <cellStyle name="Comma 5 2 6 2 3 4 2" xfId="27630" xr:uid="{0D6201B0-8255-4BA2-818B-09E954F87172}"/>
    <cellStyle name="Comma 5 2 6 2 3 5" xfId="18958" xr:uid="{460BC457-6D3A-47A1-8553-03BD171E60F8}"/>
    <cellStyle name="Comma 5 2 6 2 4" xfId="2698" xr:uid="{92AFCE85-20BD-47F0-B891-ECE0FAB1736C}"/>
    <cellStyle name="Comma 5 2 6 2 4 2" xfId="7034" xr:uid="{AE64202E-1644-4817-B55E-DEE606563220}"/>
    <cellStyle name="Comma 5 2 6 2 4 2 2" xfId="15706" xr:uid="{FA6F8956-1C3A-48E7-A71E-BAE0DAA8D189}"/>
    <cellStyle name="Comma 5 2 6 2 4 2 2 2" xfId="33050" xr:uid="{81395D91-5217-478E-856C-98AEDA6C9599}"/>
    <cellStyle name="Comma 5 2 6 2 4 2 3" xfId="24378" xr:uid="{F226508A-8C52-4ADD-8424-AA4975D562A6}"/>
    <cellStyle name="Comma 5 2 6 2 4 3" xfId="11370" xr:uid="{295E8CEC-9C84-47BC-AF87-93599B13B191}"/>
    <cellStyle name="Comma 5 2 6 2 4 3 2" xfId="28714" xr:uid="{2E88E196-0E1E-46BC-9006-E3CF196BA8D4}"/>
    <cellStyle name="Comma 5 2 6 2 4 4" xfId="20042" xr:uid="{3236AA84-58C3-4FB2-9D42-25328CEFA968}"/>
    <cellStyle name="Comma 5 2 6 2 5" xfId="4866" xr:uid="{73FDEEEB-D525-4F00-BE9E-71B621CE7197}"/>
    <cellStyle name="Comma 5 2 6 2 5 2" xfId="13538" xr:uid="{05B05BCE-F6C5-4BE9-98AC-6E7E646CBE98}"/>
    <cellStyle name="Comma 5 2 6 2 5 2 2" xfId="30882" xr:uid="{86B754C7-680C-48F1-9D1C-CB351FFD0E6A}"/>
    <cellStyle name="Comma 5 2 6 2 5 3" xfId="22210" xr:uid="{4FA15A92-A899-4F61-88B8-E2905CE3B1FA}"/>
    <cellStyle name="Comma 5 2 6 2 6" xfId="9202" xr:uid="{E09F5FDF-8E24-45EE-B7CA-D5245C68DC85}"/>
    <cellStyle name="Comma 5 2 6 2 6 2" xfId="26546" xr:uid="{4774A022-88EB-4966-A67B-DECA55ED0DAC}"/>
    <cellStyle name="Comma 5 2 6 2 7" xfId="17874" xr:uid="{B04910E3-4D8E-42DB-9C29-AEC68C9D2CCD}"/>
    <cellStyle name="Comma 5 2 6 3" xfId="801" xr:uid="{57BA0C12-658E-44BA-9E60-06C3F786EE9F}"/>
    <cellStyle name="Comma 5 2 6 3 2" xfId="1885" xr:uid="{D8AF73C4-50D0-45DF-8FFB-FE0A4DE6C20F}"/>
    <cellStyle name="Comma 5 2 6 3 2 2" xfId="4053" xr:uid="{50869217-60ED-4BAA-B35D-3EF3FEEBE503}"/>
    <cellStyle name="Comma 5 2 6 3 2 2 2" xfId="8389" xr:uid="{05885915-BD3C-4A1E-A37A-845971C6521F}"/>
    <cellStyle name="Comma 5 2 6 3 2 2 2 2" xfId="17061" xr:uid="{C44C9429-E02F-4741-8242-12130FFDD06C}"/>
    <cellStyle name="Comma 5 2 6 3 2 2 2 2 2" xfId="34405" xr:uid="{9D86799B-AC66-4A2A-BEE9-9E8D24F225B4}"/>
    <cellStyle name="Comma 5 2 6 3 2 2 2 3" xfId="25733" xr:uid="{E2CAFE4D-F9EF-46AE-B8BF-F572598C0B88}"/>
    <cellStyle name="Comma 5 2 6 3 2 2 3" xfId="12725" xr:uid="{4F092281-F285-481A-9C08-B9A133E02469}"/>
    <cellStyle name="Comma 5 2 6 3 2 2 3 2" xfId="30069" xr:uid="{8F748413-3121-404A-8997-1D0F9ACE1C89}"/>
    <cellStyle name="Comma 5 2 6 3 2 2 4" xfId="21397" xr:uid="{6CF864B2-F492-4AE1-A5CC-8F52AE30A78B}"/>
    <cellStyle name="Comma 5 2 6 3 2 3" xfId="6221" xr:uid="{963C7079-53FF-4652-BD44-FE39DD37849A}"/>
    <cellStyle name="Comma 5 2 6 3 2 3 2" xfId="14893" xr:uid="{B2615453-6E09-49A0-B819-8CBA2A64D713}"/>
    <cellStyle name="Comma 5 2 6 3 2 3 2 2" xfId="32237" xr:uid="{198DF04C-5121-46A3-81A9-5DD57B32A1F5}"/>
    <cellStyle name="Comma 5 2 6 3 2 3 3" xfId="23565" xr:uid="{F8B22207-ACDB-4372-A324-6182C3D8F7EA}"/>
    <cellStyle name="Comma 5 2 6 3 2 4" xfId="10557" xr:uid="{09F45488-2BDE-44E4-A3EC-FDEA21044220}"/>
    <cellStyle name="Comma 5 2 6 3 2 4 2" xfId="27901" xr:uid="{08FA30CE-E229-441A-B391-60070C4D02E0}"/>
    <cellStyle name="Comma 5 2 6 3 2 5" xfId="19229" xr:uid="{A378715C-D1CE-4530-A0FD-ADFD719A842B}"/>
    <cellStyle name="Comma 5 2 6 3 3" xfId="2969" xr:uid="{E32F921E-38CA-4A40-9592-17BE4BB24936}"/>
    <cellStyle name="Comma 5 2 6 3 3 2" xfId="7305" xr:uid="{59B90474-09B6-484E-9363-3A295DF515FD}"/>
    <cellStyle name="Comma 5 2 6 3 3 2 2" xfId="15977" xr:uid="{688B6106-0DB2-4FDA-A436-81BBAC848951}"/>
    <cellStyle name="Comma 5 2 6 3 3 2 2 2" xfId="33321" xr:uid="{0904126B-F2F4-44D1-8AC3-3F20C6DFDC10}"/>
    <cellStyle name="Comma 5 2 6 3 3 2 3" xfId="24649" xr:uid="{60FB3D71-91FD-4B3E-8C13-92CD0A2C1CFD}"/>
    <cellStyle name="Comma 5 2 6 3 3 3" xfId="11641" xr:uid="{DF4801A0-C2D8-40F2-8513-DD82CA59C848}"/>
    <cellStyle name="Comma 5 2 6 3 3 3 2" xfId="28985" xr:uid="{BFF6976D-9935-4DCE-8BB4-B8EF549042F5}"/>
    <cellStyle name="Comma 5 2 6 3 3 4" xfId="20313" xr:uid="{E0252B3F-5147-4FBB-A18B-A78CC9FCEA65}"/>
    <cellStyle name="Comma 5 2 6 3 4" xfId="5137" xr:uid="{38036924-E87C-4144-955A-ADBD4114DFFD}"/>
    <cellStyle name="Comma 5 2 6 3 4 2" xfId="13809" xr:uid="{6D50C98A-56D6-4939-B78F-498CFDD4CFB0}"/>
    <cellStyle name="Comma 5 2 6 3 4 2 2" xfId="31153" xr:uid="{008B593D-99E8-45C5-9034-BD31B51EF38B}"/>
    <cellStyle name="Comma 5 2 6 3 4 3" xfId="22481" xr:uid="{CFEFD2FC-0877-470F-AEEA-418C7BE25840}"/>
    <cellStyle name="Comma 5 2 6 3 5" xfId="9473" xr:uid="{044C72C2-46B7-4336-8AD3-5D366D64CB2A}"/>
    <cellStyle name="Comma 5 2 6 3 5 2" xfId="26817" xr:uid="{3D3C2DF4-0F89-4364-9AA1-3F1A7D4855BA}"/>
    <cellStyle name="Comma 5 2 6 3 6" xfId="18145" xr:uid="{6FB39C45-5963-4DD0-B163-5406317352BD}"/>
    <cellStyle name="Comma 5 2 6 4" xfId="1344" xr:uid="{D1CC8814-68C2-4537-802C-0080F7F45C04}"/>
    <cellStyle name="Comma 5 2 6 4 2" xfId="3512" xr:uid="{BA0DA3FE-00DB-493E-B10E-8BA3C44A9348}"/>
    <cellStyle name="Comma 5 2 6 4 2 2" xfId="7848" xr:uid="{BE7AEA6F-284E-46C2-B3A4-4A93E83B78F8}"/>
    <cellStyle name="Comma 5 2 6 4 2 2 2" xfId="16520" xr:uid="{DC3DE2AB-DDAC-4CAC-A0A1-EBA078AE68CD}"/>
    <cellStyle name="Comma 5 2 6 4 2 2 2 2" xfId="33864" xr:uid="{191641D1-1705-47EA-8C91-8423316CFD76}"/>
    <cellStyle name="Comma 5 2 6 4 2 2 3" xfId="25192" xr:uid="{200A656C-AADE-4D6F-8EAC-418C035C47F4}"/>
    <cellStyle name="Comma 5 2 6 4 2 3" xfId="12184" xr:uid="{313B0E37-F751-43D8-860F-0CBEF822D4D1}"/>
    <cellStyle name="Comma 5 2 6 4 2 3 2" xfId="29528" xr:uid="{2707BB2E-76D9-4BC8-95AF-FA6B79081184}"/>
    <cellStyle name="Comma 5 2 6 4 2 4" xfId="20856" xr:uid="{EA34D4D2-4DEB-4896-833E-4CF8D83EE6CF}"/>
    <cellStyle name="Comma 5 2 6 4 3" xfId="5680" xr:uid="{3B1C8F22-A5C7-47B5-9D79-C11DF545C70D}"/>
    <cellStyle name="Comma 5 2 6 4 3 2" xfId="14352" xr:uid="{1CB6D096-B7D7-4C11-A5B8-BE9B140D94DB}"/>
    <cellStyle name="Comma 5 2 6 4 3 2 2" xfId="31696" xr:uid="{4A152D19-ACE1-4FF9-8123-F5A03790C566}"/>
    <cellStyle name="Comma 5 2 6 4 3 3" xfId="23024" xr:uid="{458F425D-179F-488F-AEE6-DBC7F16D1C2E}"/>
    <cellStyle name="Comma 5 2 6 4 4" xfId="10016" xr:uid="{6CCFEEBB-AC19-4346-B5BF-CECA2DD375B6}"/>
    <cellStyle name="Comma 5 2 6 4 4 2" xfId="27360" xr:uid="{0D2C3273-5D44-46DB-A3DF-F3E0DAE7D8D4}"/>
    <cellStyle name="Comma 5 2 6 4 5" xfId="18688" xr:uid="{A0E01E54-4E1B-4506-893D-43F14DE5CC5E}"/>
    <cellStyle name="Comma 5 2 6 5" xfId="2428" xr:uid="{2955DEAA-7599-4512-8344-5BB962158EE6}"/>
    <cellStyle name="Comma 5 2 6 5 2" xfId="6764" xr:uid="{6732195F-F123-4722-A56C-82360EB7018B}"/>
    <cellStyle name="Comma 5 2 6 5 2 2" xfId="15436" xr:uid="{276B035B-91D5-424A-942B-0AB48EE83344}"/>
    <cellStyle name="Comma 5 2 6 5 2 2 2" xfId="32780" xr:uid="{24D836D6-9EC9-46F8-9305-3FC95FD3275B}"/>
    <cellStyle name="Comma 5 2 6 5 2 3" xfId="24108" xr:uid="{5592642C-F636-45F9-829D-3D3D4A559A06}"/>
    <cellStyle name="Comma 5 2 6 5 3" xfId="11100" xr:uid="{F352DCB0-623D-436E-948C-435CF24329E9}"/>
    <cellStyle name="Comma 5 2 6 5 3 2" xfId="28444" xr:uid="{C95D84A8-CB2E-475A-9CAE-B9314ECD926E}"/>
    <cellStyle name="Comma 5 2 6 5 4" xfId="19772" xr:uid="{B412C0CD-C265-49F2-8B77-96941F7E6D82}"/>
    <cellStyle name="Comma 5 2 6 6" xfId="4596" xr:uid="{25B3E0E3-65EF-43C5-BAC2-2D1A73D018C0}"/>
    <cellStyle name="Comma 5 2 6 6 2" xfId="13268" xr:uid="{CD25691D-D5FB-4076-BF7F-FBDFCC51DAE5}"/>
    <cellStyle name="Comma 5 2 6 6 2 2" xfId="30612" xr:uid="{E05AD7F2-3337-4AB4-A3B6-5B99AA54AABC}"/>
    <cellStyle name="Comma 5 2 6 6 3" xfId="21940" xr:uid="{BF19C9D7-D3D4-4AD0-8E39-AAD10CAAB16C}"/>
    <cellStyle name="Comma 5 2 6 7" xfId="8932" xr:uid="{C17203FA-416E-4974-A9F2-931EB32E9CE4}"/>
    <cellStyle name="Comma 5 2 6 7 2" xfId="26276" xr:uid="{3A9BD2AB-3302-4685-AD00-704086823499}"/>
    <cellStyle name="Comma 5 2 6 8" xfId="17604" xr:uid="{D599A7BA-0DC1-4829-8164-251E37558EB2}"/>
    <cellStyle name="Comma 5 2 7" xfId="282" xr:uid="{C88EE1AD-5303-4DE5-97C2-6746A5735D8A}"/>
    <cellStyle name="Comma 5 2 7 2" xfId="823" xr:uid="{8359F443-9297-4EBB-9518-9C83B0A81C32}"/>
    <cellStyle name="Comma 5 2 7 2 2" xfId="1907" xr:uid="{B31AC37A-55F7-4170-B822-B21D48231DAB}"/>
    <cellStyle name="Comma 5 2 7 2 2 2" xfId="4075" xr:uid="{6FFA8D1A-04D9-4000-836C-93DA98E70AF2}"/>
    <cellStyle name="Comma 5 2 7 2 2 2 2" xfId="8411" xr:uid="{508960D1-93F4-4025-B9A3-CCB314E78F8F}"/>
    <cellStyle name="Comma 5 2 7 2 2 2 2 2" xfId="17083" xr:uid="{B0B51392-7D56-47C1-9EBA-B85062E18944}"/>
    <cellStyle name="Comma 5 2 7 2 2 2 2 2 2" xfId="34427" xr:uid="{BBCD8A66-508F-4E44-9926-FDE39A565AB6}"/>
    <cellStyle name="Comma 5 2 7 2 2 2 2 3" xfId="25755" xr:uid="{B51D7DE7-8AA6-466C-8B46-C46C091E18A6}"/>
    <cellStyle name="Comma 5 2 7 2 2 2 3" xfId="12747" xr:uid="{752362FA-13CB-4AED-8928-B15D104E7BA6}"/>
    <cellStyle name="Comma 5 2 7 2 2 2 3 2" xfId="30091" xr:uid="{391CBB37-EE6E-41C1-A918-FA701E4B811D}"/>
    <cellStyle name="Comma 5 2 7 2 2 2 4" xfId="21419" xr:uid="{DFE3BD0B-B0E9-404A-B909-318D06689BCD}"/>
    <cellStyle name="Comma 5 2 7 2 2 3" xfId="6243" xr:uid="{C08BEFDC-56CD-4E27-937C-15D6C7D9D67C}"/>
    <cellStyle name="Comma 5 2 7 2 2 3 2" xfId="14915" xr:uid="{AA6B8E86-8F9E-4C14-BC78-15C58C3F2124}"/>
    <cellStyle name="Comma 5 2 7 2 2 3 2 2" xfId="32259" xr:uid="{3F426653-6234-42FA-A251-FD756AAE3A49}"/>
    <cellStyle name="Comma 5 2 7 2 2 3 3" xfId="23587" xr:uid="{07EC3C7C-CB65-449D-BABC-F8A58EE34ED8}"/>
    <cellStyle name="Comma 5 2 7 2 2 4" xfId="10579" xr:uid="{D4FB3FE8-2E67-4D94-BC50-0E6B38B756CE}"/>
    <cellStyle name="Comma 5 2 7 2 2 4 2" xfId="27923" xr:uid="{BEAA16D3-0943-4604-8968-9E8A1B3B25C8}"/>
    <cellStyle name="Comma 5 2 7 2 2 5" xfId="19251" xr:uid="{B0AFECC5-93C7-4757-ABF7-3E803E9CD012}"/>
    <cellStyle name="Comma 5 2 7 2 3" xfId="2991" xr:uid="{29814C4E-560F-4B3C-8F42-358E399C57CD}"/>
    <cellStyle name="Comma 5 2 7 2 3 2" xfId="7327" xr:uid="{100DD914-1392-48D7-BFE6-1E3D24D3D71F}"/>
    <cellStyle name="Comma 5 2 7 2 3 2 2" xfId="15999" xr:uid="{24E0BACA-93F1-4EFA-A44C-FCFC619F5A1D}"/>
    <cellStyle name="Comma 5 2 7 2 3 2 2 2" xfId="33343" xr:uid="{62AB789F-AAD8-4354-BCC4-2B4D7ACBFB54}"/>
    <cellStyle name="Comma 5 2 7 2 3 2 3" xfId="24671" xr:uid="{01D8FE5C-4CF8-4557-A5ED-9EB7A90A3179}"/>
    <cellStyle name="Comma 5 2 7 2 3 3" xfId="11663" xr:uid="{4D5A1F1C-A023-48D0-BBA9-83373EC9EC36}"/>
    <cellStyle name="Comma 5 2 7 2 3 3 2" xfId="29007" xr:uid="{DB60DD03-73D2-4BB9-B3F3-FF0181669244}"/>
    <cellStyle name="Comma 5 2 7 2 3 4" xfId="20335" xr:uid="{92D7E381-56AD-4116-B43D-4C769087EE87}"/>
    <cellStyle name="Comma 5 2 7 2 4" xfId="5159" xr:uid="{5660A0DC-E9B5-4DC7-A6F7-3946EDA87830}"/>
    <cellStyle name="Comma 5 2 7 2 4 2" xfId="13831" xr:uid="{DEE1EB3A-6F83-4324-A7C9-3C0B334AD836}"/>
    <cellStyle name="Comma 5 2 7 2 4 2 2" xfId="31175" xr:uid="{36752CE6-8D7E-4629-9EE9-DBAA474DF51C}"/>
    <cellStyle name="Comma 5 2 7 2 4 3" xfId="22503" xr:uid="{1C41FF28-E98B-4FF4-B2EC-A0700D0F8798}"/>
    <cellStyle name="Comma 5 2 7 2 5" xfId="9495" xr:uid="{D148BF33-C4BE-4792-80E1-73C6CC651755}"/>
    <cellStyle name="Comma 5 2 7 2 5 2" xfId="26839" xr:uid="{A195D0DD-E547-4AC3-8B06-56E84EC526AA}"/>
    <cellStyle name="Comma 5 2 7 2 6" xfId="18167" xr:uid="{F4FBA65C-0DB6-49C7-A057-321A2F239190}"/>
    <cellStyle name="Comma 5 2 7 3" xfId="1366" xr:uid="{12BBC629-C1D2-4710-9647-968ECDFA35BF}"/>
    <cellStyle name="Comma 5 2 7 3 2" xfId="3534" xr:uid="{C10A99A8-35F0-4C4D-B325-79980212C65C}"/>
    <cellStyle name="Comma 5 2 7 3 2 2" xfId="7870" xr:uid="{CE74B992-C8E5-4EA2-8A97-DB20E5397E0F}"/>
    <cellStyle name="Comma 5 2 7 3 2 2 2" xfId="16542" xr:uid="{C7B398D8-DC03-47BE-BC4B-1C337A6A500C}"/>
    <cellStyle name="Comma 5 2 7 3 2 2 2 2" xfId="33886" xr:uid="{D36ADF96-B482-4D82-9922-54D5D14B5A21}"/>
    <cellStyle name="Comma 5 2 7 3 2 2 3" xfId="25214" xr:uid="{1CD45BF5-E9D3-4492-8D65-2D166C3EA9BE}"/>
    <cellStyle name="Comma 5 2 7 3 2 3" xfId="12206" xr:uid="{ECCF5462-C644-4D76-B480-30A32BF515DC}"/>
    <cellStyle name="Comma 5 2 7 3 2 3 2" xfId="29550" xr:uid="{0E231FA6-9C45-4946-AA13-DA381AE73FD3}"/>
    <cellStyle name="Comma 5 2 7 3 2 4" xfId="20878" xr:uid="{17AF500D-F7A5-484C-B7D0-1CFD480C76AA}"/>
    <cellStyle name="Comma 5 2 7 3 3" xfId="5702" xr:uid="{6BE2EAA7-8981-43CC-984E-970A5E112470}"/>
    <cellStyle name="Comma 5 2 7 3 3 2" xfId="14374" xr:uid="{FC73D174-8247-4803-BD7D-0340949F70FA}"/>
    <cellStyle name="Comma 5 2 7 3 3 2 2" xfId="31718" xr:uid="{B80BF8AF-5DFE-4A82-A18D-61D06E36B601}"/>
    <cellStyle name="Comma 5 2 7 3 3 3" xfId="23046" xr:uid="{259C7E11-D9C5-4F36-A16F-E6688456C9BF}"/>
    <cellStyle name="Comma 5 2 7 3 4" xfId="10038" xr:uid="{CF78ABA1-0852-4BA4-BDBB-5FD04DB7B3EE}"/>
    <cellStyle name="Comma 5 2 7 3 4 2" xfId="27382" xr:uid="{B3B95B2F-025F-4C87-B28E-935663AB7E93}"/>
    <cellStyle name="Comma 5 2 7 3 5" xfId="18710" xr:uid="{376A033E-65DD-4EC1-B5E3-359CF0BC2A73}"/>
    <cellStyle name="Comma 5 2 7 4" xfId="2450" xr:uid="{3672FFC8-A59A-4DBB-A9C9-C74081B0B447}"/>
    <cellStyle name="Comma 5 2 7 4 2" xfId="6786" xr:uid="{DF429E90-239C-4D42-9340-988A33002507}"/>
    <cellStyle name="Comma 5 2 7 4 2 2" xfId="15458" xr:uid="{B4F67DA9-E26D-43E9-8E21-5E7F20CC574E}"/>
    <cellStyle name="Comma 5 2 7 4 2 2 2" xfId="32802" xr:uid="{5E81BB23-C03A-4044-A67A-68AA216D8559}"/>
    <cellStyle name="Comma 5 2 7 4 2 3" xfId="24130" xr:uid="{EAB6906C-92A1-4B66-809C-0AF400A3DCC3}"/>
    <cellStyle name="Comma 5 2 7 4 3" xfId="11122" xr:uid="{A614DC4C-16D4-4982-91DC-23C22DB69816}"/>
    <cellStyle name="Comma 5 2 7 4 3 2" xfId="28466" xr:uid="{109F26A2-22B1-4D0E-9169-94C2F68B4E78}"/>
    <cellStyle name="Comma 5 2 7 4 4" xfId="19794" xr:uid="{81ADA644-192F-4E09-871E-2FE9D5D9CD82}"/>
    <cellStyle name="Comma 5 2 7 5" xfId="4618" xr:uid="{47B88C32-F475-4F56-9A45-86BAC05DD788}"/>
    <cellStyle name="Comma 5 2 7 5 2" xfId="13290" xr:uid="{169BB943-F7ED-42BE-B8F2-CB10DB816E74}"/>
    <cellStyle name="Comma 5 2 7 5 2 2" xfId="30634" xr:uid="{B2CDAC18-FA21-4233-BE40-16C9B2CA1F32}"/>
    <cellStyle name="Comma 5 2 7 5 3" xfId="21962" xr:uid="{10D3E2B0-A77E-423D-93FF-05076E7AD4A8}"/>
    <cellStyle name="Comma 5 2 7 6" xfId="8954" xr:uid="{B0FEDA00-8CE6-4A49-B1F3-45817393E3F7}"/>
    <cellStyle name="Comma 5 2 7 6 2" xfId="26298" xr:uid="{818C71A9-ED08-4736-9473-72017C2DDDEA}"/>
    <cellStyle name="Comma 5 2 7 7" xfId="17626" xr:uid="{2C1ABA66-8F34-4EE9-B7A2-01AF12E76990}"/>
    <cellStyle name="Comma 5 2 8" xfId="553" xr:uid="{B3E06FC0-C434-4519-BD18-85B9A78DB4A6}"/>
    <cellStyle name="Comma 5 2 8 2" xfId="1637" xr:uid="{4E402208-3637-4542-997B-F7C31F93E7A5}"/>
    <cellStyle name="Comma 5 2 8 2 2" xfId="3805" xr:uid="{A199FE6D-8928-40C0-B363-688FE4419339}"/>
    <cellStyle name="Comma 5 2 8 2 2 2" xfId="8141" xr:uid="{5B225E6B-A3CC-4838-90A5-D37AA9FA4777}"/>
    <cellStyle name="Comma 5 2 8 2 2 2 2" xfId="16813" xr:uid="{91E07591-F646-4D86-B8B6-26DFF69921E3}"/>
    <cellStyle name="Comma 5 2 8 2 2 2 2 2" xfId="34157" xr:uid="{5BBA40EF-CCA5-44FA-A359-EE45C72F7FC8}"/>
    <cellStyle name="Comma 5 2 8 2 2 2 3" xfId="25485" xr:uid="{50BAF653-AECF-4526-98DC-78D95E2D828A}"/>
    <cellStyle name="Comma 5 2 8 2 2 3" xfId="12477" xr:uid="{06735A7C-598B-43AB-A126-B65C393169FD}"/>
    <cellStyle name="Comma 5 2 8 2 2 3 2" xfId="29821" xr:uid="{D6F861B1-812E-47FB-88D7-D14B82DAF20B}"/>
    <cellStyle name="Comma 5 2 8 2 2 4" xfId="21149" xr:uid="{31814C56-FBD4-4C37-B93B-671848060857}"/>
    <cellStyle name="Comma 5 2 8 2 3" xfId="5973" xr:uid="{C1466A86-ACE6-4014-84DD-F9768B064B62}"/>
    <cellStyle name="Comma 5 2 8 2 3 2" xfId="14645" xr:uid="{BAF685FF-5B5A-4ED0-844D-AF3441669988}"/>
    <cellStyle name="Comma 5 2 8 2 3 2 2" xfId="31989" xr:uid="{567F4C01-CC23-4B50-AB20-F6691C1981D9}"/>
    <cellStyle name="Comma 5 2 8 2 3 3" xfId="23317" xr:uid="{B2FDB24D-E034-47D3-822B-0379A954E6A6}"/>
    <cellStyle name="Comma 5 2 8 2 4" xfId="10309" xr:uid="{F12A85C7-8245-4CAB-8AB2-024811E5F698}"/>
    <cellStyle name="Comma 5 2 8 2 4 2" xfId="27653" xr:uid="{386A1FE1-DB90-47E7-9182-5CB2732C3EEE}"/>
    <cellStyle name="Comma 5 2 8 2 5" xfId="18981" xr:uid="{5CC206A6-79A9-4CAE-B80B-B4C3332F057E}"/>
    <cellStyle name="Comma 5 2 8 3" xfId="2721" xr:uid="{392DE7C6-1580-41CA-889D-3E739E5C88A5}"/>
    <cellStyle name="Comma 5 2 8 3 2" xfId="7057" xr:uid="{A7831870-E0CB-444D-9E18-1DC7330E749B}"/>
    <cellStyle name="Comma 5 2 8 3 2 2" xfId="15729" xr:uid="{BEE4DBD9-062E-4F12-8A93-AA918DF71510}"/>
    <cellStyle name="Comma 5 2 8 3 2 2 2" xfId="33073" xr:uid="{9DED2F90-2C01-40B8-9325-6F822266C8A3}"/>
    <cellStyle name="Comma 5 2 8 3 2 3" xfId="24401" xr:uid="{E531C0F1-5AE4-4C42-84E3-F5B89784BAB8}"/>
    <cellStyle name="Comma 5 2 8 3 3" xfId="11393" xr:uid="{A31BA241-BD7F-4311-B087-4282E215F196}"/>
    <cellStyle name="Comma 5 2 8 3 3 2" xfId="28737" xr:uid="{FEE6FA8B-5F07-4E13-9ADA-CF055309DD06}"/>
    <cellStyle name="Comma 5 2 8 3 4" xfId="20065" xr:uid="{D5D2E00A-C00E-4479-956E-DD9663DB0895}"/>
    <cellStyle name="Comma 5 2 8 4" xfId="4889" xr:uid="{A0AAA7CF-2892-4F68-B53B-1410F6BD8C42}"/>
    <cellStyle name="Comma 5 2 8 4 2" xfId="13561" xr:uid="{0642669C-F68E-4684-B1CA-653A23358BDC}"/>
    <cellStyle name="Comma 5 2 8 4 2 2" xfId="30905" xr:uid="{E278C01D-3CBE-45FA-A2D4-E172C6FFE6A7}"/>
    <cellStyle name="Comma 5 2 8 4 3" xfId="22233" xr:uid="{81BDB2FC-82F7-4C37-9887-72571DEDFF68}"/>
    <cellStyle name="Comma 5 2 8 5" xfId="9225" xr:uid="{08F45EB6-A607-43DD-BF4D-45484EEA3A1E}"/>
    <cellStyle name="Comma 5 2 8 5 2" xfId="26569" xr:uid="{295F3EBC-5196-476B-B02E-D2663A250803}"/>
    <cellStyle name="Comma 5 2 8 6" xfId="17897" xr:uid="{F7A607FA-BEA1-4A32-9C0B-B4741AB75C23}"/>
    <cellStyle name="Comma 5 2 9" xfId="1096" xr:uid="{E99FC02F-E369-40AF-BC2A-E2F9EF65A9D1}"/>
    <cellStyle name="Comma 5 2 9 2" xfId="3264" xr:uid="{061A1C70-3B66-43E2-9BD7-FCE338E96F96}"/>
    <cellStyle name="Comma 5 2 9 2 2" xfId="7600" xr:uid="{3AC878F0-7F90-4FCD-B647-029D2AFAFBB3}"/>
    <cellStyle name="Comma 5 2 9 2 2 2" xfId="16272" xr:uid="{18DCFDB8-DB41-48BA-A23D-F18BD9F82D85}"/>
    <cellStyle name="Comma 5 2 9 2 2 2 2" xfId="33616" xr:uid="{D09B7D7E-5283-401F-A042-DCBAE90D1245}"/>
    <cellStyle name="Comma 5 2 9 2 2 3" xfId="24944" xr:uid="{6836176C-2953-466C-B8A8-4E2E03B4DAF1}"/>
    <cellStyle name="Comma 5 2 9 2 3" xfId="11936" xr:uid="{7F498CA7-4A90-4E09-9489-F38FD35F3B2B}"/>
    <cellStyle name="Comma 5 2 9 2 3 2" xfId="29280" xr:uid="{E43032EE-F7E3-4D55-9349-C318CEA71453}"/>
    <cellStyle name="Comma 5 2 9 2 4" xfId="20608" xr:uid="{5ADDFA43-483F-428D-A0C3-66BC6E85899E}"/>
    <cellStyle name="Comma 5 2 9 3" xfId="5432" xr:uid="{E23BFD72-A63D-4718-B2F4-2189EA129861}"/>
    <cellStyle name="Comma 5 2 9 3 2" xfId="14104" xr:uid="{A8A65D1C-346F-4C67-8779-0EB423249B39}"/>
    <cellStyle name="Comma 5 2 9 3 2 2" xfId="31448" xr:uid="{4B92D036-79A2-4B61-9743-4EFF5EBB795B}"/>
    <cellStyle name="Comma 5 2 9 3 3" xfId="22776" xr:uid="{DE411A5D-7B9F-493A-8266-E49E3D05245C}"/>
    <cellStyle name="Comma 5 2 9 4" xfId="9768" xr:uid="{D325325B-89F3-4B80-A289-DC8FCE7409C7}"/>
    <cellStyle name="Comma 5 2 9 4 2" xfId="27112" xr:uid="{D608B2D8-178F-4EBC-9619-3AC1B86CF81D}"/>
    <cellStyle name="Comma 5 2 9 5" xfId="18440" xr:uid="{95D2884D-C888-43D2-90C1-1A6F0DC87A06}"/>
    <cellStyle name="Comma 5 3" xfId="22" xr:uid="{6BFD9B36-AC9E-4731-B12B-60546B2DD8DB}"/>
    <cellStyle name="Comma 5 3 10" xfId="8694" xr:uid="{2E6328EA-E690-45CD-A8B8-F45457171ED5}"/>
    <cellStyle name="Comma 5 3 10 2" xfId="26038" xr:uid="{A656A288-428B-45EF-822C-0CB2431850DD}"/>
    <cellStyle name="Comma 5 3 11" xfId="17366" xr:uid="{FCED0C0C-CBE3-4024-A745-4C23D9CC8A80}"/>
    <cellStyle name="Comma 5 3 2" xfId="83" xr:uid="{FECBD241-9A70-4FBF-8DEA-B9D5595F7A30}"/>
    <cellStyle name="Comma 5 3 2 2" xfId="205" xr:uid="{54707109-85B6-405C-BE0D-7E19FBB5D0DD}"/>
    <cellStyle name="Comma 5 3 2 2 2" xfId="475" xr:uid="{5C7D2E47-4748-446E-A51C-B3D33DBD6256}"/>
    <cellStyle name="Comma 5 3 2 2 2 2" xfId="1016" xr:uid="{843DA014-6DBF-4EB2-B9D7-6879B968981D}"/>
    <cellStyle name="Comma 5 3 2 2 2 2 2" xfId="2100" xr:uid="{4FD3C582-0A9E-4A42-95C3-7FCFB82C9A22}"/>
    <cellStyle name="Comma 5 3 2 2 2 2 2 2" xfId="4268" xr:uid="{42C6E054-C5CF-49CD-B992-91413DC49903}"/>
    <cellStyle name="Comma 5 3 2 2 2 2 2 2 2" xfId="8604" xr:uid="{804E94F3-0B4C-4256-9266-39C35B2A4F92}"/>
    <cellStyle name="Comma 5 3 2 2 2 2 2 2 2 2" xfId="17276" xr:uid="{F34A7C28-5FAA-44C3-8E44-5DE948517ECA}"/>
    <cellStyle name="Comma 5 3 2 2 2 2 2 2 2 2 2" xfId="34620" xr:uid="{4F1D6FD1-347A-4B7A-8005-FAAE2AB7FD63}"/>
    <cellStyle name="Comma 5 3 2 2 2 2 2 2 2 3" xfId="25948" xr:uid="{4FFCF525-3F6D-448A-AA69-790714C8C11E}"/>
    <cellStyle name="Comma 5 3 2 2 2 2 2 2 3" xfId="12940" xr:uid="{F6286557-3CD0-44C8-9EF3-1CC0F3538341}"/>
    <cellStyle name="Comma 5 3 2 2 2 2 2 2 3 2" xfId="30284" xr:uid="{81A48DBB-7480-4FD0-861F-7855B5879EE6}"/>
    <cellStyle name="Comma 5 3 2 2 2 2 2 2 4" xfId="21612" xr:uid="{8511804E-0480-4C3E-992D-41B5BC080800}"/>
    <cellStyle name="Comma 5 3 2 2 2 2 2 3" xfId="6436" xr:uid="{DE7A7B0D-F873-4567-A1E1-F92CBEA21FFC}"/>
    <cellStyle name="Comma 5 3 2 2 2 2 2 3 2" xfId="15108" xr:uid="{C1C1FD71-168B-4A0C-BD21-A30091FF26E5}"/>
    <cellStyle name="Comma 5 3 2 2 2 2 2 3 2 2" xfId="32452" xr:uid="{31C60C37-82C7-4336-98C9-0CB97AC597DD}"/>
    <cellStyle name="Comma 5 3 2 2 2 2 2 3 3" xfId="23780" xr:uid="{11B2C59D-4672-4FD6-997B-BE466E1E4A72}"/>
    <cellStyle name="Comma 5 3 2 2 2 2 2 4" xfId="10772" xr:uid="{EEE57F60-99DF-4AB8-80E2-1EEDCDFC3AAB}"/>
    <cellStyle name="Comma 5 3 2 2 2 2 2 4 2" xfId="28116" xr:uid="{E2D6D83C-8D95-4398-BC0C-D28F8057D02A}"/>
    <cellStyle name="Comma 5 3 2 2 2 2 2 5" xfId="19444" xr:uid="{92B69494-8581-4855-8CB1-AD1F8465580E}"/>
    <cellStyle name="Comma 5 3 2 2 2 2 3" xfId="3184" xr:uid="{FF9464AD-B7AE-4969-A5C8-1579B308F8C7}"/>
    <cellStyle name="Comma 5 3 2 2 2 2 3 2" xfId="7520" xr:uid="{2EF349BD-D875-4BF9-80DC-9EA669177550}"/>
    <cellStyle name="Comma 5 3 2 2 2 2 3 2 2" xfId="16192" xr:uid="{47B28C9D-EB7F-45F3-A303-7449767133C7}"/>
    <cellStyle name="Comma 5 3 2 2 2 2 3 2 2 2" xfId="33536" xr:uid="{82F8EE38-7453-4845-B418-F4E6967923D5}"/>
    <cellStyle name="Comma 5 3 2 2 2 2 3 2 3" xfId="24864" xr:uid="{5F0C134C-7786-4F1C-B3D8-1EA8F3FFAC09}"/>
    <cellStyle name="Comma 5 3 2 2 2 2 3 3" xfId="11856" xr:uid="{27D41DAA-1578-42E4-9F06-FD5F145F3B76}"/>
    <cellStyle name="Comma 5 3 2 2 2 2 3 3 2" xfId="29200" xr:uid="{ED4A69CB-AC85-4F59-B1FE-E0BA979B3EF6}"/>
    <cellStyle name="Comma 5 3 2 2 2 2 3 4" xfId="20528" xr:uid="{2905C917-949F-4C12-B47F-DCD90C78D4BD}"/>
    <cellStyle name="Comma 5 3 2 2 2 2 4" xfId="5352" xr:uid="{763DB0F1-E46F-4F29-AD0B-ED4B93727F55}"/>
    <cellStyle name="Comma 5 3 2 2 2 2 4 2" xfId="14024" xr:uid="{147C0624-868B-4CD4-80F8-90946B82D741}"/>
    <cellStyle name="Comma 5 3 2 2 2 2 4 2 2" xfId="31368" xr:uid="{60195004-4D38-4F94-92F7-E26FCFFB69CC}"/>
    <cellStyle name="Comma 5 3 2 2 2 2 4 3" xfId="22696" xr:uid="{968BB857-8D36-4BBA-9EBC-1B8A1732C561}"/>
    <cellStyle name="Comma 5 3 2 2 2 2 5" xfId="9688" xr:uid="{973F91A3-B4B6-4DE1-AE84-5082DF38578B}"/>
    <cellStyle name="Comma 5 3 2 2 2 2 5 2" xfId="27032" xr:uid="{7098EC85-33A0-4837-B180-AD16BBB8DB36}"/>
    <cellStyle name="Comma 5 3 2 2 2 2 6" xfId="18360" xr:uid="{75635C4B-9798-439F-8739-7FD969D25AFE}"/>
    <cellStyle name="Comma 5 3 2 2 2 3" xfId="1559" xr:uid="{8EEA52AC-B2E7-484E-AB7E-402F5565A5A5}"/>
    <cellStyle name="Comma 5 3 2 2 2 3 2" xfId="3727" xr:uid="{5CCE32F1-B146-4B34-87C2-21EAEED7D8A1}"/>
    <cellStyle name="Comma 5 3 2 2 2 3 2 2" xfId="8063" xr:uid="{FD0715C0-1069-4C6B-8AB6-4CC9737374B6}"/>
    <cellStyle name="Comma 5 3 2 2 2 3 2 2 2" xfId="16735" xr:uid="{A667D113-1E00-4A72-9899-60F031F88373}"/>
    <cellStyle name="Comma 5 3 2 2 2 3 2 2 2 2" xfId="34079" xr:uid="{E33CC897-65FC-4C3A-B826-582E958BE623}"/>
    <cellStyle name="Comma 5 3 2 2 2 3 2 2 3" xfId="25407" xr:uid="{4AE64DF3-B5A0-40EA-9FE2-868FCB50A818}"/>
    <cellStyle name="Comma 5 3 2 2 2 3 2 3" xfId="12399" xr:uid="{BE2B3141-4C24-472B-9AF8-E91D8A14EB6A}"/>
    <cellStyle name="Comma 5 3 2 2 2 3 2 3 2" xfId="29743" xr:uid="{D04229FA-74DC-4049-B941-DB36F1A24EEA}"/>
    <cellStyle name="Comma 5 3 2 2 2 3 2 4" xfId="21071" xr:uid="{DA049A18-5570-49F4-A154-C39BB1087A3D}"/>
    <cellStyle name="Comma 5 3 2 2 2 3 3" xfId="5895" xr:uid="{A7D3098E-FF11-42C0-A6D5-11262FB28F76}"/>
    <cellStyle name="Comma 5 3 2 2 2 3 3 2" xfId="14567" xr:uid="{4229F55D-CD35-403C-87B4-4F2B9A991872}"/>
    <cellStyle name="Comma 5 3 2 2 2 3 3 2 2" xfId="31911" xr:uid="{4950257D-79B0-4F5F-928B-FC02AE4D60D3}"/>
    <cellStyle name="Comma 5 3 2 2 2 3 3 3" xfId="23239" xr:uid="{FFC88BA9-E0F8-40E2-84BA-3D40CE5D7485}"/>
    <cellStyle name="Comma 5 3 2 2 2 3 4" xfId="10231" xr:uid="{93E8C101-4C6C-4904-BE73-5489D2838669}"/>
    <cellStyle name="Comma 5 3 2 2 2 3 4 2" xfId="27575" xr:uid="{CB99F2F1-6442-489E-B975-842B51149BBC}"/>
    <cellStyle name="Comma 5 3 2 2 2 3 5" xfId="18903" xr:uid="{477E4CBD-9A75-407C-8846-B3841F8923DF}"/>
    <cellStyle name="Comma 5 3 2 2 2 4" xfId="2643" xr:uid="{766A3879-38C2-487A-A479-64D1E39F6D3B}"/>
    <cellStyle name="Comma 5 3 2 2 2 4 2" xfId="6979" xr:uid="{501F59DE-C69A-4002-87A7-7931ABBB81AE}"/>
    <cellStyle name="Comma 5 3 2 2 2 4 2 2" xfId="15651" xr:uid="{142DF69B-B9D4-495A-A7DE-FCB96296C6F6}"/>
    <cellStyle name="Comma 5 3 2 2 2 4 2 2 2" xfId="32995" xr:uid="{3B6FD73A-4C93-4381-AD3F-5EA7D8D05C77}"/>
    <cellStyle name="Comma 5 3 2 2 2 4 2 3" xfId="24323" xr:uid="{8FCED41A-C187-401B-8C24-FA39723B7179}"/>
    <cellStyle name="Comma 5 3 2 2 2 4 3" xfId="11315" xr:uid="{5937A4D7-6223-494B-962A-DB8E31F6E84D}"/>
    <cellStyle name="Comma 5 3 2 2 2 4 3 2" xfId="28659" xr:uid="{0210238A-6030-4FB5-ACE8-0B411BB7E3CE}"/>
    <cellStyle name="Comma 5 3 2 2 2 4 4" xfId="19987" xr:uid="{07EEEB26-47B6-4323-AE87-A46B4AF0B2C3}"/>
    <cellStyle name="Comma 5 3 2 2 2 5" xfId="4811" xr:uid="{F4A048EA-8C97-4C5E-9BF5-E2932B64D0FF}"/>
    <cellStyle name="Comma 5 3 2 2 2 5 2" xfId="13483" xr:uid="{7784AAF4-3C3F-4D8B-A894-B8683C80E9B1}"/>
    <cellStyle name="Comma 5 3 2 2 2 5 2 2" xfId="30827" xr:uid="{51237748-7395-45FF-B7EA-36979997D3A4}"/>
    <cellStyle name="Comma 5 3 2 2 2 5 3" xfId="22155" xr:uid="{F9FCB824-4FA1-4578-8D7F-82AC2CA66E41}"/>
    <cellStyle name="Comma 5 3 2 2 2 6" xfId="9147" xr:uid="{F4461D6B-14A2-4649-A340-4286A4DA9002}"/>
    <cellStyle name="Comma 5 3 2 2 2 6 2" xfId="26491" xr:uid="{040C9DCD-CDBE-49DC-94C5-AA2EFDC3C0D2}"/>
    <cellStyle name="Comma 5 3 2 2 2 7" xfId="17819" xr:uid="{19E6D1C2-BBDD-4A1B-8E4E-D6C6ABC53E72}"/>
    <cellStyle name="Comma 5 3 2 2 3" xfId="746" xr:uid="{FA325D7C-F10E-464D-90B2-1D83CE94DD66}"/>
    <cellStyle name="Comma 5 3 2 2 3 2" xfId="1830" xr:uid="{45E04884-3E95-4350-98E7-C96958112DFC}"/>
    <cellStyle name="Comma 5 3 2 2 3 2 2" xfId="3998" xr:uid="{922E97E2-F4B9-4EEF-8A68-A21D87F4A9C5}"/>
    <cellStyle name="Comma 5 3 2 2 3 2 2 2" xfId="8334" xr:uid="{F6F5CBC3-9EF5-4074-BD27-2AD6AFB97711}"/>
    <cellStyle name="Comma 5 3 2 2 3 2 2 2 2" xfId="17006" xr:uid="{308DEEAD-1D41-4A33-B3C1-83F284A1971A}"/>
    <cellStyle name="Comma 5 3 2 2 3 2 2 2 2 2" xfId="34350" xr:uid="{92721A4E-59C4-4C96-9C08-3498A74406B3}"/>
    <cellStyle name="Comma 5 3 2 2 3 2 2 2 3" xfId="25678" xr:uid="{5362D772-DAB0-4742-A75C-71A7136A3F86}"/>
    <cellStyle name="Comma 5 3 2 2 3 2 2 3" xfId="12670" xr:uid="{AC4293DA-F416-4A03-9A92-106D4385618F}"/>
    <cellStyle name="Comma 5 3 2 2 3 2 2 3 2" xfId="30014" xr:uid="{1FEF5C53-FCA2-4802-A420-4079A19B34F9}"/>
    <cellStyle name="Comma 5 3 2 2 3 2 2 4" xfId="21342" xr:uid="{AD0DD09F-3395-4D45-883D-A6AD0BF62C08}"/>
    <cellStyle name="Comma 5 3 2 2 3 2 3" xfId="6166" xr:uid="{6F04ECFA-ED8D-4B2E-A5A1-1B1D6AFCD40C}"/>
    <cellStyle name="Comma 5 3 2 2 3 2 3 2" xfId="14838" xr:uid="{466691F7-FAE3-45C2-83EA-79AB06A83B98}"/>
    <cellStyle name="Comma 5 3 2 2 3 2 3 2 2" xfId="32182" xr:uid="{8D70E2B9-0459-43F6-ACEF-1CCA748A06C2}"/>
    <cellStyle name="Comma 5 3 2 2 3 2 3 3" xfId="23510" xr:uid="{F15A5183-3166-48EC-B60F-97A136976526}"/>
    <cellStyle name="Comma 5 3 2 2 3 2 4" xfId="10502" xr:uid="{1D8F5C2F-4D92-474A-A62B-BFDD3DAE59EC}"/>
    <cellStyle name="Comma 5 3 2 2 3 2 4 2" xfId="27846" xr:uid="{0198664B-8AA8-4D8A-A296-40F3B0A2DE92}"/>
    <cellStyle name="Comma 5 3 2 2 3 2 5" xfId="19174" xr:uid="{FA7E7C81-E02E-4D7E-8094-8E3ACA8B9377}"/>
    <cellStyle name="Comma 5 3 2 2 3 3" xfId="2914" xr:uid="{0548037E-D7DB-4C26-B469-C07D592B1E94}"/>
    <cellStyle name="Comma 5 3 2 2 3 3 2" xfId="7250" xr:uid="{79F39B61-B719-43C2-9C7D-5D7D0B08DAA7}"/>
    <cellStyle name="Comma 5 3 2 2 3 3 2 2" xfId="15922" xr:uid="{32E718A4-4129-4A44-B0FE-79A1038D9313}"/>
    <cellStyle name="Comma 5 3 2 2 3 3 2 2 2" xfId="33266" xr:uid="{85CBCC3A-2F85-44B8-9259-5D0B3FD71E3C}"/>
    <cellStyle name="Comma 5 3 2 2 3 3 2 3" xfId="24594" xr:uid="{2058BFD1-52B1-48A8-B643-8EAFF1993821}"/>
    <cellStyle name="Comma 5 3 2 2 3 3 3" xfId="11586" xr:uid="{7455CD1C-48EB-49FE-B828-3FE534F1E0EF}"/>
    <cellStyle name="Comma 5 3 2 2 3 3 3 2" xfId="28930" xr:uid="{E9C7C421-4BEB-434D-A5C0-CF5D86CDDC92}"/>
    <cellStyle name="Comma 5 3 2 2 3 3 4" xfId="20258" xr:uid="{2F683BC2-E262-451B-BD39-02EE4BBBDF9E}"/>
    <cellStyle name="Comma 5 3 2 2 3 4" xfId="5082" xr:uid="{E7B19918-80C3-4A4B-9845-2D32743DD26E}"/>
    <cellStyle name="Comma 5 3 2 2 3 4 2" xfId="13754" xr:uid="{71D89CFB-D34D-4D29-BACB-C0544581798C}"/>
    <cellStyle name="Comma 5 3 2 2 3 4 2 2" xfId="31098" xr:uid="{3D3CB628-3A28-4D85-A6EF-DA0DAB3E2C0E}"/>
    <cellStyle name="Comma 5 3 2 2 3 4 3" xfId="22426" xr:uid="{D3A5CE5E-5ADF-4E06-8912-B74621A171BA}"/>
    <cellStyle name="Comma 5 3 2 2 3 5" xfId="9418" xr:uid="{AC0C3FDC-558C-4F39-9C88-2B7E2A2BF666}"/>
    <cellStyle name="Comma 5 3 2 2 3 5 2" xfId="26762" xr:uid="{DA7C6727-B898-4D8F-9FDA-FA1DDA81091B}"/>
    <cellStyle name="Comma 5 3 2 2 3 6" xfId="18090" xr:uid="{0D2BDBE1-1710-4C50-9ABE-396C4FE6176F}"/>
    <cellStyle name="Comma 5 3 2 2 4" xfId="1289" xr:uid="{4EE3CFCD-BA8E-4505-A843-2FAA9935FEB1}"/>
    <cellStyle name="Comma 5 3 2 2 4 2" xfId="3457" xr:uid="{7B8A4AEB-DBA1-4349-96DB-5934B85190E3}"/>
    <cellStyle name="Comma 5 3 2 2 4 2 2" xfId="7793" xr:uid="{BBE334FE-7F35-4560-A4BB-50F1CE3A6EE3}"/>
    <cellStyle name="Comma 5 3 2 2 4 2 2 2" xfId="16465" xr:uid="{6F3168D7-930E-4E6A-AC21-1D8C350C9091}"/>
    <cellStyle name="Comma 5 3 2 2 4 2 2 2 2" xfId="33809" xr:uid="{6C7AA71C-402F-492F-81D4-90F4A090D678}"/>
    <cellStyle name="Comma 5 3 2 2 4 2 2 3" xfId="25137" xr:uid="{BCE3230D-D9C8-42C1-B2EA-4D87B54BF23A}"/>
    <cellStyle name="Comma 5 3 2 2 4 2 3" xfId="12129" xr:uid="{8D90A3CE-C81C-4C1A-ABCD-E4B03AD7164B}"/>
    <cellStyle name="Comma 5 3 2 2 4 2 3 2" xfId="29473" xr:uid="{CE464A04-73B2-42CF-ABE1-E1B6B931F359}"/>
    <cellStyle name="Comma 5 3 2 2 4 2 4" xfId="20801" xr:uid="{39F26FCA-E243-4435-AC0A-F8F558A7C815}"/>
    <cellStyle name="Comma 5 3 2 2 4 3" xfId="5625" xr:uid="{A2DED6D5-2674-42C4-9097-81B40295B470}"/>
    <cellStyle name="Comma 5 3 2 2 4 3 2" xfId="14297" xr:uid="{892F1287-9AFA-41DF-8518-53DB25E0D13E}"/>
    <cellStyle name="Comma 5 3 2 2 4 3 2 2" xfId="31641" xr:uid="{8D510310-64BC-49C2-97C4-5DA44D08B1A5}"/>
    <cellStyle name="Comma 5 3 2 2 4 3 3" xfId="22969" xr:uid="{F68078A6-17A9-4341-9E85-F13F96F96162}"/>
    <cellStyle name="Comma 5 3 2 2 4 4" xfId="9961" xr:uid="{5E5D05A4-C8AD-4CC6-B5DE-93A6550CF165}"/>
    <cellStyle name="Comma 5 3 2 2 4 4 2" xfId="27305" xr:uid="{1CEEAC15-5B0D-4B40-B4D9-F14E81B23C48}"/>
    <cellStyle name="Comma 5 3 2 2 4 5" xfId="18633" xr:uid="{29C9E6F6-DD31-4229-9692-485F5AD35242}"/>
    <cellStyle name="Comma 5 3 2 2 5" xfId="2373" xr:uid="{7C4BD3BD-EDA6-47B9-ADF5-588776046663}"/>
    <cellStyle name="Comma 5 3 2 2 5 2" xfId="6709" xr:uid="{5C3F16D7-25E4-497A-B156-52B58FCDAEFE}"/>
    <cellStyle name="Comma 5 3 2 2 5 2 2" xfId="15381" xr:uid="{1743636F-6F54-44B2-B9A3-C71EFA91AFDC}"/>
    <cellStyle name="Comma 5 3 2 2 5 2 2 2" xfId="32725" xr:uid="{CE9AFD04-BEA3-4036-980C-88C7393D6CC6}"/>
    <cellStyle name="Comma 5 3 2 2 5 2 3" xfId="24053" xr:uid="{F99151B8-3CDD-4128-AFB9-7A9365FDFEE8}"/>
    <cellStyle name="Comma 5 3 2 2 5 3" xfId="11045" xr:uid="{8ADC37AA-7F26-4B6E-A26D-67ED93EA4EBE}"/>
    <cellStyle name="Comma 5 3 2 2 5 3 2" xfId="28389" xr:uid="{7C110080-B94B-4FF5-B05B-3C849AB859F0}"/>
    <cellStyle name="Comma 5 3 2 2 5 4" xfId="19717" xr:uid="{4ADE26A7-28B4-444A-8C98-2281A924B2BC}"/>
    <cellStyle name="Comma 5 3 2 2 6" xfId="4541" xr:uid="{DD8B72A8-0541-4114-8F63-F8982E72572B}"/>
    <cellStyle name="Comma 5 3 2 2 6 2" xfId="13213" xr:uid="{A7C9DB9F-0B76-4DCC-A8E3-6C41EAD0881E}"/>
    <cellStyle name="Comma 5 3 2 2 6 2 2" xfId="30557" xr:uid="{3B29D6C6-D065-4898-85D5-908EB851EA54}"/>
    <cellStyle name="Comma 5 3 2 2 6 3" xfId="21885" xr:uid="{890A747F-C6D4-44CC-A111-F21B87E0EB28}"/>
    <cellStyle name="Comma 5 3 2 2 7" xfId="8877" xr:uid="{6F7A91EA-8DD3-4AEF-8261-B74441BF376C}"/>
    <cellStyle name="Comma 5 3 2 2 7 2" xfId="26221" xr:uid="{66F148BA-B75C-44FB-8D7C-74C5362376D7}"/>
    <cellStyle name="Comma 5 3 2 2 8" xfId="17549" xr:uid="{EB89D0B3-ADC0-4555-B9D6-977C5A97CC41}"/>
    <cellStyle name="Comma 5 3 2 3" xfId="353" xr:uid="{755DFDCD-E2B9-4F9A-A9AA-F6E2A51091E7}"/>
    <cellStyle name="Comma 5 3 2 3 2" xfId="894" xr:uid="{41BC24AF-4EA4-4EB2-BB48-41CDA6F192C4}"/>
    <cellStyle name="Comma 5 3 2 3 2 2" xfId="1978" xr:uid="{E89F3E5A-84AF-4DDB-AC40-4D71597958E3}"/>
    <cellStyle name="Comma 5 3 2 3 2 2 2" xfId="4146" xr:uid="{5C1C3A63-C86E-4C10-878E-B5CC9276DE8E}"/>
    <cellStyle name="Comma 5 3 2 3 2 2 2 2" xfId="8482" xr:uid="{CE39F815-ABEA-4C6E-9206-74D5F1BD18E3}"/>
    <cellStyle name="Comma 5 3 2 3 2 2 2 2 2" xfId="17154" xr:uid="{76BF2457-9E51-48E4-8773-77C4E32FABBC}"/>
    <cellStyle name="Comma 5 3 2 3 2 2 2 2 2 2" xfId="34498" xr:uid="{C682BFD6-4B89-435E-8B9E-F03283ED3F7C}"/>
    <cellStyle name="Comma 5 3 2 3 2 2 2 2 3" xfId="25826" xr:uid="{0DD01765-03AC-4DE7-9CB3-04254A95C4AF}"/>
    <cellStyle name="Comma 5 3 2 3 2 2 2 3" xfId="12818" xr:uid="{36619AAB-F762-46EB-BF1F-CB099D219DA0}"/>
    <cellStyle name="Comma 5 3 2 3 2 2 2 3 2" xfId="30162" xr:uid="{CCD00D0B-1290-4AFB-BF8F-65C54D366DCF}"/>
    <cellStyle name="Comma 5 3 2 3 2 2 2 4" xfId="21490" xr:uid="{240E2B96-31DA-41AE-93B1-9257820D8A00}"/>
    <cellStyle name="Comma 5 3 2 3 2 2 3" xfId="6314" xr:uid="{A75523AB-067D-4564-B968-7BF7F1C9206E}"/>
    <cellStyle name="Comma 5 3 2 3 2 2 3 2" xfId="14986" xr:uid="{564C3BC5-4EBC-45FF-B2AA-C043F24BFEFA}"/>
    <cellStyle name="Comma 5 3 2 3 2 2 3 2 2" xfId="32330" xr:uid="{4E525FCC-9301-4706-B51A-5C4ABB8E3FAC}"/>
    <cellStyle name="Comma 5 3 2 3 2 2 3 3" xfId="23658" xr:uid="{90A11260-864D-40EB-8113-601A7B6378BE}"/>
    <cellStyle name="Comma 5 3 2 3 2 2 4" xfId="10650" xr:uid="{F1D68618-9CD0-4F65-8EF6-95952EE36E87}"/>
    <cellStyle name="Comma 5 3 2 3 2 2 4 2" xfId="27994" xr:uid="{375165DD-ED26-437D-9690-56742D3F7C65}"/>
    <cellStyle name="Comma 5 3 2 3 2 2 5" xfId="19322" xr:uid="{0E3D2530-9878-440D-920D-FFE73B50AA32}"/>
    <cellStyle name="Comma 5 3 2 3 2 3" xfId="3062" xr:uid="{A62C550B-C89C-48EE-80AF-1CC7B351AC53}"/>
    <cellStyle name="Comma 5 3 2 3 2 3 2" xfId="7398" xr:uid="{3F39E26C-D79E-4812-A90B-76D89B8AA400}"/>
    <cellStyle name="Comma 5 3 2 3 2 3 2 2" xfId="16070" xr:uid="{A55CE097-B90C-46D1-9E7B-BBBE01E3724F}"/>
    <cellStyle name="Comma 5 3 2 3 2 3 2 2 2" xfId="33414" xr:uid="{677BA71B-30D1-48F8-971B-D35D954997DD}"/>
    <cellStyle name="Comma 5 3 2 3 2 3 2 3" xfId="24742" xr:uid="{D7354E18-10B0-4097-8708-88B286B1107A}"/>
    <cellStyle name="Comma 5 3 2 3 2 3 3" xfId="11734" xr:uid="{5C7C66BA-FC57-4B1E-B441-891EDBEE210C}"/>
    <cellStyle name="Comma 5 3 2 3 2 3 3 2" xfId="29078" xr:uid="{5615A022-6272-48B8-B828-91C18905A323}"/>
    <cellStyle name="Comma 5 3 2 3 2 3 4" xfId="20406" xr:uid="{62D9011A-EC64-42A4-985C-7ABBD57B2240}"/>
    <cellStyle name="Comma 5 3 2 3 2 4" xfId="5230" xr:uid="{6903DA3A-61A0-4942-BD17-A3207D49CEC9}"/>
    <cellStyle name="Comma 5 3 2 3 2 4 2" xfId="13902" xr:uid="{6648490F-4490-4853-BD8E-C99F81EA1854}"/>
    <cellStyle name="Comma 5 3 2 3 2 4 2 2" xfId="31246" xr:uid="{4AA31830-B477-4053-8A88-A7CB5BF27109}"/>
    <cellStyle name="Comma 5 3 2 3 2 4 3" xfId="22574" xr:uid="{F1B0669E-453C-4725-B45C-7050FD2DE053}"/>
    <cellStyle name="Comma 5 3 2 3 2 5" xfId="9566" xr:uid="{D656205F-45D0-453D-A8FE-13E86F11AC75}"/>
    <cellStyle name="Comma 5 3 2 3 2 5 2" xfId="26910" xr:uid="{420E3217-45F4-47EC-84F8-2116CDB7ED73}"/>
    <cellStyle name="Comma 5 3 2 3 2 6" xfId="18238" xr:uid="{16A6775A-6A51-4414-864F-BF6D20FD5D59}"/>
    <cellStyle name="Comma 5 3 2 3 3" xfId="1437" xr:uid="{FA29153C-B8AC-45F2-AAEC-B8A49BC63EE1}"/>
    <cellStyle name="Comma 5 3 2 3 3 2" xfId="3605" xr:uid="{BEBF1281-A039-4700-B09E-FC4508F26D0B}"/>
    <cellStyle name="Comma 5 3 2 3 3 2 2" xfId="7941" xr:uid="{0B7C65DF-7CA4-4BD9-A26B-1BEDD7A4FD35}"/>
    <cellStyle name="Comma 5 3 2 3 3 2 2 2" xfId="16613" xr:uid="{0096B2BD-5E9A-49F9-BD05-043D4590620C}"/>
    <cellStyle name="Comma 5 3 2 3 3 2 2 2 2" xfId="33957" xr:uid="{97F3E8C8-1914-46BF-8034-BC4217132A7E}"/>
    <cellStyle name="Comma 5 3 2 3 3 2 2 3" xfId="25285" xr:uid="{51CE575B-EDB6-49F4-93AB-B59B4EC64F7E}"/>
    <cellStyle name="Comma 5 3 2 3 3 2 3" xfId="12277" xr:uid="{F86782D6-67F1-4342-912E-FD3FA5DAC7F5}"/>
    <cellStyle name="Comma 5 3 2 3 3 2 3 2" xfId="29621" xr:uid="{4EBC11A4-1513-49F9-AE61-E5B834BCB158}"/>
    <cellStyle name="Comma 5 3 2 3 3 2 4" xfId="20949" xr:uid="{E9393954-BDC9-4C1A-9141-659E267CDABA}"/>
    <cellStyle name="Comma 5 3 2 3 3 3" xfId="5773" xr:uid="{7CF92F35-A8CE-48F6-8CEE-338B02FE3FCF}"/>
    <cellStyle name="Comma 5 3 2 3 3 3 2" xfId="14445" xr:uid="{842A85C2-AD54-45E1-9A34-F9CCA683067B}"/>
    <cellStyle name="Comma 5 3 2 3 3 3 2 2" xfId="31789" xr:uid="{06E10014-F435-43F7-BA5F-16F6F462BB5B}"/>
    <cellStyle name="Comma 5 3 2 3 3 3 3" xfId="23117" xr:uid="{A8A7060D-7C9D-40BD-BE2E-6BB4C14F0116}"/>
    <cellStyle name="Comma 5 3 2 3 3 4" xfId="10109" xr:uid="{CDA19F7C-1B01-4ADD-A43F-2392EDB30A2E}"/>
    <cellStyle name="Comma 5 3 2 3 3 4 2" xfId="27453" xr:uid="{2545C7DB-4FB7-45D6-89D3-147766695F59}"/>
    <cellStyle name="Comma 5 3 2 3 3 5" xfId="18781" xr:uid="{1B458197-AC98-4CFA-94A4-37DAD07F3565}"/>
    <cellStyle name="Comma 5 3 2 3 4" xfId="2521" xr:uid="{719D730A-B89F-45DD-AEF5-816764BBD835}"/>
    <cellStyle name="Comma 5 3 2 3 4 2" xfId="6857" xr:uid="{AFB9D5DC-F6A2-43A6-9912-B121BE00B793}"/>
    <cellStyle name="Comma 5 3 2 3 4 2 2" xfId="15529" xr:uid="{F136140A-FEFF-447C-9E41-60ACB3F7C0B5}"/>
    <cellStyle name="Comma 5 3 2 3 4 2 2 2" xfId="32873" xr:uid="{F323804C-FB30-492E-BC4C-3F539F814236}"/>
    <cellStyle name="Comma 5 3 2 3 4 2 3" xfId="24201" xr:uid="{279B2199-9DD8-4076-AA41-370A2DF2D7ED}"/>
    <cellStyle name="Comma 5 3 2 3 4 3" xfId="11193" xr:uid="{EEC15BA4-B5B4-4E12-AEEF-90419CDA37FD}"/>
    <cellStyle name="Comma 5 3 2 3 4 3 2" xfId="28537" xr:uid="{336EBC9F-C8AC-4C7A-B350-CD37FFE12873}"/>
    <cellStyle name="Comma 5 3 2 3 4 4" xfId="19865" xr:uid="{C013DC07-3C79-419D-AE9E-C62B467C5700}"/>
    <cellStyle name="Comma 5 3 2 3 5" xfId="4689" xr:uid="{B2DD141E-CB9A-4C19-8EE4-064551F83EE5}"/>
    <cellStyle name="Comma 5 3 2 3 5 2" xfId="13361" xr:uid="{B7AAB82A-1A37-4ED6-B423-1C56E6DAA80F}"/>
    <cellStyle name="Comma 5 3 2 3 5 2 2" xfId="30705" xr:uid="{9C468243-38A5-446C-B1F5-656E95862374}"/>
    <cellStyle name="Comma 5 3 2 3 5 3" xfId="22033" xr:uid="{42548F8B-9491-4250-83E3-A6C381E91964}"/>
    <cellStyle name="Comma 5 3 2 3 6" xfId="9025" xr:uid="{EB3972D4-5E81-47E7-9C50-93D351C53D34}"/>
    <cellStyle name="Comma 5 3 2 3 6 2" xfId="26369" xr:uid="{6903F461-0EB7-4037-AC97-371647AF984C}"/>
    <cellStyle name="Comma 5 3 2 3 7" xfId="17697" xr:uid="{84A6AE55-7470-4A92-93D0-CD09A39B82A3}"/>
    <cellStyle name="Comma 5 3 2 4" xfId="624" xr:uid="{9D54BAB7-8B82-4148-B2B1-0CF5FE4B589A}"/>
    <cellStyle name="Comma 5 3 2 4 2" xfId="1708" xr:uid="{9642434E-8FB9-450F-A3A8-ACCDA0BB1349}"/>
    <cellStyle name="Comma 5 3 2 4 2 2" xfId="3876" xr:uid="{043B7939-7D84-471A-ABCA-71049E3734BD}"/>
    <cellStyle name="Comma 5 3 2 4 2 2 2" xfId="8212" xr:uid="{A317FFC3-C972-43F2-A257-FC20E588F542}"/>
    <cellStyle name="Comma 5 3 2 4 2 2 2 2" xfId="16884" xr:uid="{D71A6435-D3F2-45BD-9D2C-7D18120AE187}"/>
    <cellStyle name="Comma 5 3 2 4 2 2 2 2 2" xfId="34228" xr:uid="{AB157C84-3AB4-4E0F-AD7E-9F59E3D39F75}"/>
    <cellStyle name="Comma 5 3 2 4 2 2 2 3" xfId="25556" xr:uid="{2184CAFB-02B0-4222-8769-623452544329}"/>
    <cellStyle name="Comma 5 3 2 4 2 2 3" xfId="12548" xr:uid="{4078902C-7602-41DE-9644-65D70BE95817}"/>
    <cellStyle name="Comma 5 3 2 4 2 2 3 2" xfId="29892" xr:uid="{04AE996B-F3A4-4E4F-B29A-A3D7799048D2}"/>
    <cellStyle name="Comma 5 3 2 4 2 2 4" xfId="21220" xr:uid="{D6657759-C5E1-4C06-8C32-3489265A658C}"/>
    <cellStyle name="Comma 5 3 2 4 2 3" xfId="6044" xr:uid="{8E2C7D87-4F95-4615-992C-8429A6E9E672}"/>
    <cellStyle name="Comma 5 3 2 4 2 3 2" xfId="14716" xr:uid="{45B8AECD-74A3-42A7-94EF-73C15F1C8403}"/>
    <cellStyle name="Comma 5 3 2 4 2 3 2 2" xfId="32060" xr:uid="{3155E1F9-A538-484B-AF17-41BBE02E8493}"/>
    <cellStyle name="Comma 5 3 2 4 2 3 3" xfId="23388" xr:uid="{A7B4AAB9-CD4C-4DF1-922D-B07B87C8ABD0}"/>
    <cellStyle name="Comma 5 3 2 4 2 4" xfId="10380" xr:uid="{9CC781DA-0E9D-4DF0-8ED8-07DC112C272F}"/>
    <cellStyle name="Comma 5 3 2 4 2 4 2" xfId="27724" xr:uid="{2536F4DD-584D-4116-9A91-243AC93F3AA7}"/>
    <cellStyle name="Comma 5 3 2 4 2 5" xfId="19052" xr:uid="{498C0A29-5815-4329-B7F0-A2FB38D8BBDE}"/>
    <cellStyle name="Comma 5 3 2 4 3" xfId="2792" xr:uid="{DAD486A2-EEFE-4CB4-863D-218FF834273E}"/>
    <cellStyle name="Comma 5 3 2 4 3 2" xfId="7128" xr:uid="{75B052CB-4DBE-47D0-AD51-446848F78F48}"/>
    <cellStyle name="Comma 5 3 2 4 3 2 2" xfId="15800" xr:uid="{EF518504-9A87-474A-9921-EE69A2516501}"/>
    <cellStyle name="Comma 5 3 2 4 3 2 2 2" xfId="33144" xr:uid="{CBE4D127-94A0-4115-94A4-AE0678048772}"/>
    <cellStyle name="Comma 5 3 2 4 3 2 3" xfId="24472" xr:uid="{10D440F6-592E-4000-87C1-72B9245A77E3}"/>
    <cellStyle name="Comma 5 3 2 4 3 3" xfId="11464" xr:uid="{98362776-9EE1-4CF9-88C6-E95AC5F0FD75}"/>
    <cellStyle name="Comma 5 3 2 4 3 3 2" xfId="28808" xr:uid="{CDE9C9B1-8848-44B3-B46A-B7A73608A75A}"/>
    <cellStyle name="Comma 5 3 2 4 3 4" xfId="20136" xr:uid="{2B9AA990-42ED-428D-9961-C2F5BCCD8BC6}"/>
    <cellStyle name="Comma 5 3 2 4 4" xfId="4960" xr:uid="{05E5187E-2715-42AA-AC84-771AC731BA7D}"/>
    <cellStyle name="Comma 5 3 2 4 4 2" xfId="13632" xr:uid="{FA9CD351-4CA1-4384-AD63-208E7BF958E8}"/>
    <cellStyle name="Comma 5 3 2 4 4 2 2" xfId="30976" xr:uid="{2CCDA49F-C0BC-45BF-860B-F8C9AC0E9252}"/>
    <cellStyle name="Comma 5 3 2 4 4 3" xfId="22304" xr:uid="{BF5045A6-0BC7-4B59-872D-310A21A7709B}"/>
    <cellStyle name="Comma 5 3 2 4 5" xfId="9296" xr:uid="{4B2C36FE-22C7-4CF8-BBFF-A666EDD45EA8}"/>
    <cellStyle name="Comma 5 3 2 4 5 2" xfId="26640" xr:uid="{0CBDAAC3-01C8-4843-BA32-C6F7B76F00E3}"/>
    <cellStyle name="Comma 5 3 2 4 6" xfId="17968" xr:uid="{DB6111B9-30DA-44E8-A5B0-E3043EAFE427}"/>
    <cellStyle name="Comma 5 3 2 5" xfId="1167" xr:uid="{2263CF5F-C22C-41C6-82B4-465E295E4073}"/>
    <cellStyle name="Comma 5 3 2 5 2" xfId="3335" xr:uid="{5038A7F8-40A8-4D81-AC59-DD1B0E8BCE6F}"/>
    <cellStyle name="Comma 5 3 2 5 2 2" xfId="7671" xr:uid="{91006F67-9CE3-47F6-938A-2CB16C383494}"/>
    <cellStyle name="Comma 5 3 2 5 2 2 2" xfId="16343" xr:uid="{5EEFB422-2B5C-42D4-8C17-A377AA0D3FF2}"/>
    <cellStyle name="Comma 5 3 2 5 2 2 2 2" xfId="33687" xr:uid="{517C30B2-4A43-4528-B222-4FA337A6EF87}"/>
    <cellStyle name="Comma 5 3 2 5 2 2 3" xfId="25015" xr:uid="{C17335FF-5AAA-4E03-96F1-FC6BBCF9444D}"/>
    <cellStyle name="Comma 5 3 2 5 2 3" xfId="12007" xr:uid="{1EBF6B9D-103C-4F26-833E-39698480695B}"/>
    <cellStyle name="Comma 5 3 2 5 2 3 2" xfId="29351" xr:uid="{68F2632B-09B5-47C3-8E2E-A0399E0BA985}"/>
    <cellStyle name="Comma 5 3 2 5 2 4" xfId="20679" xr:uid="{A259CB77-7B60-4CE4-A830-0D8E9AF45599}"/>
    <cellStyle name="Comma 5 3 2 5 3" xfId="5503" xr:uid="{1BE91EB1-3C3B-401D-921B-0852E7EBA0D3}"/>
    <cellStyle name="Comma 5 3 2 5 3 2" xfId="14175" xr:uid="{52550BB5-B384-4864-B05D-460AC20568AD}"/>
    <cellStyle name="Comma 5 3 2 5 3 2 2" xfId="31519" xr:uid="{932BC06F-F3AC-4C14-9B85-9D44FF7D6142}"/>
    <cellStyle name="Comma 5 3 2 5 3 3" xfId="22847" xr:uid="{4E24DC9C-7232-4923-B7DC-600EE6909F39}"/>
    <cellStyle name="Comma 5 3 2 5 4" xfId="9839" xr:uid="{E50184F7-7AAD-49A2-8D47-A95CB7AA7681}"/>
    <cellStyle name="Comma 5 3 2 5 4 2" xfId="27183" xr:uid="{26630159-3EFB-44AA-82CC-D6042F979897}"/>
    <cellStyle name="Comma 5 3 2 5 5" xfId="18511" xr:uid="{092F052D-E149-4781-AEDC-1233F844DE60}"/>
    <cellStyle name="Comma 5 3 2 6" xfId="2251" xr:uid="{BF38FCCF-23C8-4EDC-AD13-6898600F526F}"/>
    <cellStyle name="Comma 5 3 2 6 2" xfId="6587" xr:uid="{F30E06D3-8F62-43AF-B620-ED57DBDB00C5}"/>
    <cellStyle name="Comma 5 3 2 6 2 2" xfId="15259" xr:uid="{BE1F858E-281A-4FD8-9E63-C26DCE03E4FB}"/>
    <cellStyle name="Comma 5 3 2 6 2 2 2" xfId="32603" xr:uid="{00FD481C-6D89-408C-BFCC-AB0AA3378168}"/>
    <cellStyle name="Comma 5 3 2 6 2 3" xfId="23931" xr:uid="{D93BA9A7-3949-4C8F-A799-4F6163D0B40B}"/>
    <cellStyle name="Comma 5 3 2 6 3" xfId="10923" xr:uid="{42A8F3C3-A9AE-42BC-A00A-286502D4D508}"/>
    <cellStyle name="Comma 5 3 2 6 3 2" xfId="28267" xr:uid="{EB6DD5EE-BCD3-4452-83BD-0EFB3032CB99}"/>
    <cellStyle name="Comma 5 3 2 6 4" xfId="19595" xr:uid="{A420AA8F-BF36-4D06-B2FB-FD799C44ED79}"/>
    <cellStyle name="Comma 5 3 2 7" xfId="4419" xr:uid="{7B68248C-B565-42F6-A3A6-F59F9C0941D2}"/>
    <cellStyle name="Comma 5 3 2 7 2" xfId="13091" xr:uid="{8F07AEF4-B8F6-4CB3-A6FE-C873B1BF5D3E}"/>
    <cellStyle name="Comma 5 3 2 7 2 2" xfId="30435" xr:uid="{25EB93BC-3A5A-4FB9-A0EB-6F16E218CF5E}"/>
    <cellStyle name="Comma 5 3 2 7 3" xfId="21763" xr:uid="{318E59CF-B14E-48A3-9D71-D143580979D1}"/>
    <cellStyle name="Comma 5 3 2 8" xfId="8755" xr:uid="{8216211F-2A18-4A7B-B78F-C85051C45FDB}"/>
    <cellStyle name="Comma 5 3 2 8 2" xfId="26099" xr:uid="{69E8EA91-F53A-45B9-B844-BB3F5F46E5F8}"/>
    <cellStyle name="Comma 5 3 2 9" xfId="17427" xr:uid="{ED2A69D6-12E8-43DB-AE81-E15BB53EF6C1}"/>
    <cellStyle name="Comma 5 3 3" xfId="144" xr:uid="{8FD10D0C-79BD-4A69-9B81-74B57575E20C}"/>
    <cellStyle name="Comma 5 3 3 2" xfId="414" xr:uid="{D60BDEAA-E38C-49E7-8F5E-9B905CE245A2}"/>
    <cellStyle name="Comma 5 3 3 2 2" xfId="955" xr:uid="{55AA08FA-F007-4787-A982-6267120C3F0D}"/>
    <cellStyle name="Comma 5 3 3 2 2 2" xfId="2039" xr:uid="{A1D4A224-0770-4560-A8C9-BD571E04E719}"/>
    <cellStyle name="Comma 5 3 3 2 2 2 2" xfId="4207" xr:uid="{CA282924-3F20-4630-939F-5C7E18772952}"/>
    <cellStyle name="Comma 5 3 3 2 2 2 2 2" xfId="8543" xr:uid="{96145317-2865-4590-BA95-7C175FAC687C}"/>
    <cellStyle name="Comma 5 3 3 2 2 2 2 2 2" xfId="17215" xr:uid="{26E3DE94-4714-45A3-86BD-5E3B7B6716CE}"/>
    <cellStyle name="Comma 5 3 3 2 2 2 2 2 2 2" xfId="34559" xr:uid="{2731C489-3FCB-4B77-BF2B-75394FFF6F36}"/>
    <cellStyle name="Comma 5 3 3 2 2 2 2 2 3" xfId="25887" xr:uid="{527443BC-9CAB-46B6-8D84-79F343AD1229}"/>
    <cellStyle name="Comma 5 3 3 2 2 2 2 3" xfId="12879" xr:uid="{FC2AA2AC-1CDB-4681-9247-ED13D1F424E3}"/>
    <cellStyle name="Comma 5 3 3 2 2 2 2 3 2" xfId="30223" xr:uid="{31106F18-3A8E-44AC-BB70-97F922A11845}"/>
    <cellStyle name="Comma 5 3 3 2 2 2 2 4" xfId="21551" xr:uid="{6D466BEE-BA3F-49BB-9620-1FDC9119184D}"/>
    <cellStyle name="Comma 5 3 3 2 2 2 3" xfId="6375" xr:uid="{12AC83CF-7550-40A3-AC98-3E31FF8E3E96}"/>
    <cellStyle name="Comma 5 3 3 2 2 2 3 2" xfId="15047" xr:uid="{D4FB7085-2AED-4F1F-8287-0ABD1414BEF7}"/>
    <cellStyle name="Comma 5 3 3 2 2 2 3 2 2" xfId="32391" xr:uid="{4571A2A7-F561-4FCC-A4F7-2181263E198E}"/>
    <cellStyle name="Comma 5 3 3 2 2 2 3 3" xfId="23719" xr:uid="{674881B1-72AC-4655-8D71-EE8532BB9DAC}"/>
    <cellStyle name="Comma 5 3 3 2 2 2 4" xfId="10711" xr:uid="{74D0F79D-5053-48E5-A5EA-3B0A4FA5177E}"/>
    <cellStyle name="Comma 5 3 3 2 2 2 4 2" xfId="28055" xr:uid="{B08DDA92-9CE0-4F71-A2D5-6CF846C32013}"/>
    <cellStyle name="Comma 5 3 3 2 2 2 5" xfId="19383" xr:uid="{41FA312B-FC5C-4DA1-B6AB-81030A734965}"/>
    <cellStyle name="Comma 5 3 3 2 2 3" xfId="3123" xr:uid="{2300805D-F0B8-4135-9C40-FB3B6EB6EC8B}"/>
    <cellStyle name="Comma 5 3 3 2 2 3 2" xfId="7459" xr:uid="{81A7B20D-BDC6-451A-83C7-53EBF7B6493F}"/>
    <cellStyle name="Comma 5 3 3 2 2 3 2 2" xfId="16131" xr:uid="{3E050D03-D120-446F-9AFF-450B08F9F09D}"/>
    <cellStyle name="Comma 5 3 3 2 2 3 2 2 2" xfId="33475" xr:uid="{060AE59D-426B-437B-88FA-1E4215BB5F4E}"/>
    <cellStyle name="Comma 5 3 3 2 2 3 2 3" xfId="24803" xr:uid="{85FB73CC-5CCC-4A67-860A-06513FA88F30}"/>
    <cellStyle name="Comma 5 3 3 2 2 3 3" xfId="11795" xr:uid="{B5B80FFB-B5C7-4E9D-9084-DD826C84288D}"/>
    <cellStyle name="Comma 5 3 3 2 2 3 3 2" xfId="29139" xr:uid="{F87D4B58-F17E-495B-9590-96EBF3943E8C}"/>
    <cellStyle name="Comma 5 3 3 2 2 3 4" xfId="20467" xr:uid="{63A8F6EB-C27F-4606-9C61-CFE6E01ABEC5}"/>
    <cellStyle name="Comma 5 3 3 2 2 4" xfId="5291" xr:uid="{CA2BCE4D-6650-4173-886B-725224E2C448}"/>
    <cellStyle name="Comma 5 3 3 2 2 4 2" xfId="13963" xr:uid="{D8B85634-8D73-449B-BEE0-09BA055DAC40}"/>
    <cellStyle name="Comma 5 3 3 2 2 4 2 2" xfId="31307" xr:uid="{4C009074-2B09-4926-98E7-BA4838DED683}"/>
    <cellStyle name="Comma 5 3 3 2 2 4 3" xfId="22635" xr:uid="{55C06CCD-6A22-485C-9B6E-C79CBC128978}"/>
    <cellStyle name="Comma 5 3 3 2 2 5" xfId="9627" xr:uid="{5F08F63F-6042-4BC2-A68F-D1FF7EA6D37F}"/>
    <cellStyle name="Comma 5 3 3 2 2 5 2" xfId="26971" xr:uid="{A323D6E7-C283-4BCA-A713-150D1E88E335}"/>
    <cellStyle name="Comma 5 3 3 2 2 6" xfId="18299" xr:uid="{5678D9B5-56CC-4DC9-8D15-B3220F54E410}"/>
    <cellStyle name="Comma 5 3 3 2 3" xfId="1498" xr:uid="{FEEFE8D8-A1AB-4624-8B03-E0DC256EB248}"/>
    <cellStyle name="Comma 5 3 3 2 3 2" xfId="3666" xr:uid="{FF807D72-80A1-4F3F-BBF5-CDCD5883FB63}"/>
    <cellStyle name="Comma 5 3 3 2 3 2 2" xfId="8002" xr:uid="{8C7817F4-FD96-4031-9BCF-FF9D210F9732}"/>
    <cellStyle name="Comma 5 3 3 2 3 2 2 2" xfId="16674" xr:uid="{11593131-2FBF-4631-9B06-57E6CED9D456}"/>
    <cellStyle name="Comma 5 3 3 2 3 2 2 2 2" xfId="34018" xr:uid="{538887DD-1261-494D-897A-C71CAED3A1C5}"/>
    <cellStyle name="Comma 5 3 3 2 3 2 2 3" xfId="25346" xr:uid="{121522E4-4DA5-4E78-B3D6-94CABC312B5C}"/>
    <cellStyle name="Comma 5 3 3 2 3 2 3" xfId="12338" xr:uid="{20D4543B-5FC9-44A3-8728-50428829EF1F}"/>
    <cellStyle name="Comma 5 3 3 2 3 2 3 2" xfId="29682" xr:uid="{041F1868-D46C-43F1-8195-42AB5F741EE7}"/>
    <cellStyle name="Comma 5 3 3 2 3 2 4" xfId="21010" xr:uid="{C836798D-D19D-4DE6-9F81-3B06E43E245A}"/>
    <cellStyle name="Comma 5 3 3 2 3 3" xfId="5834" xr:uid="{62082745-EC41-44CC-A9AA-733034EC9D10}"/>
    <cellStyle name="Comma 5 3 3 2 3 3 2" xfId="14506" xr:uid="{A9485F7E-3C86-4A81-B1B8-B8EEA370F795}"/>
    <cellStyle name="Comma 5 3 3 2 3 3 2 2" xfId="31850" xr:uid="{4DF007CB-2A1A-4CFF-BD34-FAACFC9EF69E}"/>
    <cellStyle name="Comma 5 3 3 2 3 3 3" xfId="23178" xr:uid="{BEBA03E2-6E00-4E1F-83CA-38260D2B79BE}"/>
    <cellStyle name="Comma 5 3 3 2 3 4" xfId="10170" xr:uid="{C1F553AF-DE0F-4BF3-B690-49A6DEFD0D93}"/>
    <cellStyle name="Comma 5 3 3 2 3 4 2" xfId="27514" xr:uid="{D1A604F9-1B2F-4E45-949F-DA2AB6ED50C7}"/>
    <cellStyle name="Comma 5 3 3 2 3 5" xfId="18842" xr:uid="{A0288487-3714-4631-8B01-10899A39A7F2}"/>
    <cellStyle name="Comma 5 3 3 2 4" xfId="2582" xr:uid="{2A6A5650-6EFE-43EB-90D5-75E98DC47C16}"/>
    <cellStyle name="Comma 5 3 3 2 4 2" xfId="6918" xr:uid="{6ACE9812-54D8-41B7-A7A1-AF27AEE7C989}"/>
    <cellStyle name="Comma 5 3 3 2 4 2 2" xfId="15590" xr:uid="{B75C65C5-E3BF-4A25-91BC-E3A76FD78024}"/>
    <cellStyle name="Comma 5 3 3 2 4 2 2 2" xfId="32934" xr:uid="{57047368-C386-4C9B-B668-1E3F820D4D24}"/>
    <cellStyle name="Comma 5 3 3 2 4 2 3" xfId="24262" xr:uid="{35EAABD3-9F6E-480F-9F09-99B7AD471BD4}"/>
    <cellStyle name="Comma 5 3 3 2 4 3" xfId="11254" xr:uid="{5D8D0C47-2683-431B-BFF2-9A821ADF2F3E}"/>
    <cellStyle name="Comma 5 3 3 2 4 3 2" xfId="28598" xr:uid="{2CC682F3-ECC4-4560-A265-014B32E49135}"/>
    <cellStyle name="Comma 5 3 3 2 4 4" xfId="19926" xr:uid="{D21148DA-1DDC-4B82-AB96-9D21F49A8BA5}"/>
    <cellStyle name="Comma 5 3 3 2 5" xfId="4750" xr:uid="{8103BF15-453F-4C1D-8D7B-DAC43F777EE3}"/>
    <cellStyle name="Comma 5 3 3 2 5 2" xfId="13422" xr:uid="{35BCC7CC-83BE-42B3-8D3B-4E3B7CDE0C5F}"/>
    <cellStyle name="Comma 5 3 3 2 5 2 2" xfId="30766" xr:uid="{C94A450C-51A5-4B5B-9CAA-91125BA15D05}"/>
    <cellStyle name="Comma 5 3 3 2 5 3" xfId="22094" xr:uid="{719CFA8F-E765-4A0B-8E50-9C5CB0BB0478}"/>
    <cellStyle name="Comma 5 3 3 2 6" xfId="9086" xr:uid="{0ADE84A4-FF6B-4EA3-B0DA-FB8E1F7696F0}"/>
    <cellStyle name="Comma 5 3 3 2 6 2" xfId="26430" xr:uid="{5A6C68EF-BAA6-4679-9EFA-98403E8C7014}"/>
    <cellStyle name="Comma 5 3 3 2 7" xfId="17758" xr:uid="{D39D3ADB-6434-41E6-92B2-25D75157BDB4}"/>
    <cellStyle name="Comma 5 3 3 3" xfId="685" xr:uid="{5F12B4B5-5BFF-42B3-896A-564FFA6314D7}"/>
    <cellStyle name="Comma 5 3 3 3 2" xfId="1769" xr:uid="{B4A08EE0-830F-4E5F-9925-18062192B3BC}"/>
    <cellStyle name="Comma 5 3 3 3 2 2" xfId="3937" xr:uid="{27AD8F88-2987-4662-BB8E-2255348C9790}"/>
    <cellStyle name="Comma 5 3 3 3 2 2 2" xfId="8273" xr:uid="{8433CE77-891A-449F-B7B4-465F5BC8D0D5}"/>
    <cellStyle name="Comma 5 3 3 3 2 2 2 2" xfId="16945" xr:uid="{852D9FE7-95FF-45CD-8DC3-35775A20115F}"/>
    <cellStyle name="Comma 5 3 3 3 2 2 2 2 2" xfId="34289" xr:uid="{D79AF20A-D475-4CAC-AFEB-F83F2BB0F08D}"/>
    <cellStyle name="Comma 5 3 3 3 2 2 2 3" xfId="25617" xr:uid="{893A21E8-9688-4A90-8E8E-6B014028F7A2}"/>
    <cellStyle name="Comma 5 3 3 3 2 2 3" xfId="12609" xr:uid="{9B09F9A3-4E90-4A2F-8699-30906F59FBDD}"/>
    <cellStyle name="Comma 5 3 3 3 2 2 3 2" xfId="29953" xr:uid="{9BC1FB66-6701-4AE7-8325-DCD536BA1289}"/>
    <cellStyle name="Comma 5 3 3 3 2 2 4" xfId="21281" xr:uid="{6D91314E-6ABA-4036-827D-AF9765454BD1}"/>
    <cellStyle name="Comma 5 3 3 3 2 3" xfId="6105" xr:uid="{62EE872C-C4B9-4CEF-9790-D98D1C42E94D}"/>
    <cellStyle name="Comma 5 3 3 3 2 3 2" xfId="14777" xr:uid="{6B4018F0-B0A9-46C7-B48B-92C2F12458B1}"/>
    <cellStyle name="Comma 5 3 3 3 2 3 2 2" xfId="32121" xr:uid="{71A5E7D2-D00F-414D-9D24-A5486FC947C9}"/>
    <cellStyle name="Comma 5 3 3 3 2 3 3" xfId="23449" xr:uid="{8E451469-1D95-4C5D-9013-034A73947944}"/>
    <cellStyle name="Comma 5 3 3 3 2 4" xfId="10441" xr:uid="{8BF06DF2-3DBC-4277-929F-0CCFD2F0C6E4}"/>
    <cellStyle name="Comma 5 3 3 3 2 4 2" xfId="27785" xr:uid="{26F270E5-7B0F-4069-A719-43391999DEAE}"/>
    <cellStyle name="Comma 5 3 3 3 2 5" xfId="19113" xr:uid="{B98069A1-3640-4A69-A302-4FF79256465C}"/>
    <cellStyle name="Comma 5 3 3 3 3" xfId="2853" xr:uid="{28132E0E-F12A-47B9-A2A6-90C75D38CD30}"/>
    <cellStyle name="Comma 5 3 3 3 3 2" xfId="7189" xr:uid="{950DCA96-4E19-4563-A421-FF67A56323B8}"/>
    <cellStyle name="Comma 5 3 3 3 3 2 2" xfId="15861" xr:uid="{1FDCB815-1243-48A6-86FF-5A7538426A08}"/>
    <cellStyle name="Comma 5 3 3 3 3 2 2 2" xfId="33205" xr:uid="{6FA93415-1997-4669-A4D0-9A08C220EE35}"/>
    <cellStyle name="Comma 5 3 3 3 3 2 3" xfId="24533" xr:uid="{64EC7574-75C3-405E-ACB0-76808EEC5381}"/>
    <cellStyle name="Comma 5 3 3 3 3 3" xfId="11525" xr:uid="{CC3D3A00-3690-4AC2-B034-33EC38C0569D}"/>
    <cellStyle name="Comma 5 3 3 3 3 3 2" xfId="28869" xr:uid="{ADC1859A-C083-4086-86D5-E58D1BBC76E2}"/>
    <cellStyle name="Comma 5 3 3 3 3 4" xfId="20197" xr:uid="{D36A669D-4906-48C8-9867-4ABD28AFB11B}"/>
    <cellStyle name="Comma 5 3 3 3 4" xfId="5021" xr:uid="{F83C80C4-3185-4241-9839-0347BAFD8D87}"/>
    <cellStyle name="Comma 5 3 3 3 4 2" xfId="13693" xr:uid="{4E9BD2B7-A194-4A50-9825-4BDE4CF42FB5}"/>
    <cellStyle name="Comma 5 3 3 3 4 2 2" xfId="31037" xr:uid="{9C456D00-989E-4000-81B8-481C8CE1AD04}"/>
    <cellStyle name="Comma 5 3 3 3 4 3" xfId="22365" xr:uid="{275BBAE1-3C87-4E9A-9B63-F7D2AB70B946}"/>
    <cellStyle name="Comma 5 3 3 3 5" xfId="9357" xr:uid="{49F9B8C8-8E8A-4E87-B38F-9BE272625815}"/>
    <cellStyle name="Comma 5 3 3 3 5 2" xfId="26701" xr:uid="{71CA6FDD-EF13-4AF6-A1D2-8F236D242CD7}"/>
    <cellStyle name="Comma 5 3 3 3 6" xfId="18029" xr:uid="{8415D91D-E0F8-4DC5-AEA8-2820CB23C60F}"/>
    <cellStyle name="Comma 5 3 3 4" xfId="1228" xr:uid="{A52B9471-192D-4E31-A028-1D819342F3A4}"/>
    <cellStyle name="Comma 5 3 3 4 2" xfId="3396" xr:uid="{BDC7CA44-2A99-44E0-A423-6AE244274404}"/>
    <cellStyle name="Comma 5 3 3 4 2 2" xfId="7732" xr:uid="{6D9023B4-DB83-4196-8B4D-AC0A7FDC2713}"/>
    <cellStyle name="Comma 5 3 3 4 2 2 2" xfId="16404" xr:uid="{709F07C0-D752-4A1A-ABFE-62F84D5BD641}"/>
    <cellStyle name="Comma 5 3 3 4 2 2 2 2" xfId="33748" xr:uid="{11E09794-E7E6-4700-ACFC-F060A0458A00}"/>
    <cellStyle name="Comma 5 3 3 4 2 2 3" xfId="25076" xr:uid="{F11A5BC1-2B19-408A-92A1-B1F159183C12}"/>
    <cellStyle name="Comma 5 3 3 4 2 3" xfId="12068" xr:uid="{642FBAFB-6283-4F3E-B9AD-D247DCC6113D}"/>
    <cellStyle name="Comma 5 3 3 4 2 3 2" xfId="29412" xr:uid="{4BF973CA-292C-4472-B5E0-83511937087B}"/>
    <cellStyle name="Comma 5 3 3 4 2 4" xfId="20740" xr:uid="{0BC279EF-8C39-4953-831A-87A9C733082B}"/>
    <cellStyle name="Comma 5 3 3 4 3" xfId="5564" xr:uid="{7B27A74E-3DF9-4568-9FEB-A4823108A560}"/>
    <cellStyle name="Comma 5 3 3 4 3 2" xfId="14236" xr:uid="{41E9854D-CFFD-41FD-B99E-ADB712B6B2D8}"/>
    <cellStyle name="Comma 5 3 3 4 3 2 2" xfId="31580" xr:uid="{5A80CE23-5606-4E55-B3AE-D05CF60ECEC8}"/>
    <cellStyle name="Comma 5 3 3 4 3 3" xfId="22908" xr:uid="{CBDB996B-E018-40F1-B6F8-E98A0199A3DA}"/>
    <cellStyle name="Comma 5 3 3 4 4" xfId="9900" xr:uid="{AA704F99-1380-4A9F-A9C0-421893EECD84}"/>
    <cellStyle name="Comma 5 3 3 4 4 2" xfId="27244" xr:uid="{4F00FA12-F52A-4EE3-9577-3E8A5C32E702}"/>
    <cellStyle name="Comma 5 3 3 4 5" xfId="18572" xr:uid="{AD2C45F0-0500-4F5A-8B08-8A6D9C6BB7D1}"/>
    <cellStyle name="Comma 5 3 3 5" xfId="2312" xr:uid="{7AB6704E-9D90-4DEE-9F54-C17919F67732}"/>
    <cellStyle name="Comma 5 3 3 5 2" xfId="6648" xr:uid="{DF7F9BFA-56C9-4BF8-9F85-42FD35836C54}"/>
    <cellStyle name="Comma 5 3 3 5 2 2" xfId="15320" xr:uid="{2CEBAB23-929B-479E-8BF1-D4DD7C415F54}"/>
    <cellStyle name="Comma 5 3 3 5 2 2 2" xfId="32664" xr:uid="{DA92663D-E3E6-4229-B77E-8552BCB0FB6F}"/>
    <cellStyle name="Comma 5 3 3 5 2 3" xfId="23992" xr:uid="{728DC815-0926-4C59-B6DF-2838D90B98CF}"/>
    <cellStyle name="Comma 5 3 3 5 3" xfId="10984" xr:uid="{6DCD3562-AE8D-4B0C-AC75-7007E94C62C7}"/>
    <cellStyle name="Comma 5 3 3 5 3 2" xfId="28328" xr:uid="{0484CA06-2DD9-456D-8E6D-1EC59D1BDCEF}"/>
    <cellStyle name="Comma 5 3 3 5 4" xfId="19656" xr:uid="{0ABC8F89-B8B6-430D-89DA-80F318241904}"/>
    <cellStyle name="Comma 5 3 3 6" xfId="4480" xr:uid="{E740C1A6-607E-4AC8-97F5-B4125696A177}"/>
    <cellStyle name="Comma 5 3 3 6 2" xfId="13152" xr:uid="{2DE6EB73-13BD-45D8-AB88-560EC8E64191}"/>
    <cellStyle name="Comma 5 3 3 6 2 2" xfId="30496" xr:uid="{F10DDEE2-8831-409D-B228-981E97C53ECB}"/>
    <cellStyle name="Comma 5 3 3 6 3" xfId="21824" xr:uid="{8A2209EE-C42B-4649-8BBA-4201A1A3ADF4}"/>
    <cellStyle name="Comma 5 3 3 7" xfId="8816" xr:uid="{DB1F2185-AC3A-4E22-B436-91210A01DE3F}"/>
    <cellStyle name="Comma 5 3 3 7 2" xfId="26160" xr:uid="{8EB5492E-906E-4A48-BF5A-38F5BB85EFB5}"/>
    <cellStyle name="Comma 5 3 3 8" xfId="17488" xr:uid="{049A2284-FFE6-4ACC-A3A0-288800270E57}"/>
    <cellStyle name="Comma 5 3 4" xfId="268" xr:uid="{458D6FAF-4476-41E3-B2DE-445FED70FCCC}"/>
    <cellStyle name="Comma 5 3 4 2" xfId="538" xr:uid="{3455FD81-8181-45FF-83EC-DA53EDF6575E}"/>
    <cellStyle name="Comma 5 3 4 2 2" xfId="1079" xr:uid="{DF5178E4-4652-4425-BEC0-25B7A707BB34}"/>
    <cellStyle name="Comma 5 3 4 2 2 2" xfId="2163" xr:uid="{45510484-5319-47F2-80B2-2D1EC7FA69C3}"/>
    <cellStyle name="Comma 5 3 4 2 2 2 2" xfId="4331" xr:uid="{73D2221A-4227-4484-BBDF-BBA0273B3CB5}"/>
    <cellStyle name="Comma 5 3 4 2 2 2 2 2" xfId="8667" xr:uid="{49B108FF-D050-4F0A-8154-6DC876C5C187}"/>
    <cellStyle name="Comma 5 3 4 2 2 2 2 2 2" xfId="17339" xr:uid="{7E893C40-75B9-42F8-8793-4701DE2C965C}"/>
    <cellStyle name="Comma 5 3 4 2 2 2 2 2 2 2" xfId="34683" xr:uid="{2BCB7BC7-D5DC-4E16-BE40-2055020DBEEC}"/>
    <cellStyle name="Comma 5 3 4 2 2 2 2 2 3" xfId="26011" xr:uid="{6CDBA2EA-3C6F-4E9A-A6A7-6C9D03C45AEE}"/>
    <cellStyle name="Comma 5 3 4 2 2 2 2 3" xfId="13003" xr:uid="{6F15BFB0-222D-4BA4-855A-EE77447CFF41}"/>
    <cellStyle name="Comma 5 3 4 2 2 2 2 3 2" xfId="30347" xr:uid="{89563585-0A7D-4DB5-829E-3C51066CA2B6}"/>
    <cellStyle name="Comma 5 3 4 2 2 2 2 4" xfId="21675" xr:uid="{12639790-1C98-45DF-8BF1-BC9A34814112}"/>
    <cellStyle name="Comma 5 3 4 2 2 2 3" xfId="6499" xr:uid="{396DB87A-B29C-44E4-BE96-16BA88B55A3D}"/>
    <cellStyle name="Comma 5 3 4 2 2 2 3 2" xfId="15171" xr:uid="{E81C435D-BDD9-4EFF-AE45-0E9F69432D02}"/>
    <cellStyle name="Comma 5 3 4 2 2 2 3 2 2" xfId="32515" xr:uid="{C08BD70F-8379-4C76-8E52-9BFA19B303A8}"/>
    <cellStyle name="Comma 5 3 4 2 2 2 3 3" xfId="23843" xr:uid="{29FCC1F2-D11C-487D-A908-5DB086F2C26E}"/>
    <cellStyle name="Comma 5 3 4 2 2 2 4" xfId="10835" xr:uid="{151BBE31-C917-4BF7-992E-ADAA6C07708E}"/>
    <cellStyle name="Comma 5 3 4 2 2 2 4 2" xfId="28179" xr:uid="{2726AEEB-82D1-4341-A96C-F9DB6473579A}"/>
    <cellStyle name="Comma 5 3 4 2 2 2 5" xfId="19507" xr:uid="{AF8421BF-4955-4B21-8B0B-CC5DE446E73D}"/>
    <cellStyle name="Comma 5 3 4 2 2 3" xfId="3247" xr:uid="{D74B5463-94BA-4FCC-9F2D-9B3FEE45FB95}"/>
    <cellStyle name="Comma 5 3 4 2 2 3 2" xfId="7583" xr:uid="{14CE9626-F5D8-48F2-AACD-1FA419A5364E}"/>
    <cellStyle name="Comma 5 3 4 2 2 3 2 2" xfId="16255" xr:uid="{A74A0D3A-D856-4104-8C12-39406D180F57}"/>
    <cellStyle name="Comma 5 3 4 2 2 3 2 2 2" xfId="33599" xr:uid="{AF994BC5-A76D-4DE9-997C-444D8C7EC458}"/>
    <cellStyle name="Comma 5 3 4 2 2 3 2 3" xfId="24927" xr:uid="{F0FCB11D-AFC1-4606-B1EA-1D825A5CCA38}"/>
    <cellStyle name="Comma 5 3 4 2 2 3 3" xfId="11919" xr:uid="{0E3BC7B7-BCD0-40F8-BB2D-EBA2CC2BF3E6}"/>
    <cellStyle name="Comma 5 3 4 2 2 3 3 2" xfId="29263" xr:uid="{0F33DE17-0557-4A61-81F7-8A17EC1235FA}"/>
    <cellStyle name="Comma 5 3 4 2 2 3 4" xfId="20591" xr:uid="{27E2BEB3-4CF2-4F76-9AE1-C2DB00AA88BD}"/>
    <cellStyle name="Comma 5 3 4 2 2 4" xfId="5415" xr:uid="{73918180-CC5A-49CE-8521-4ED09C03A1E7}"/>
    <cellStyle name="Comma 5 3 4 2 2 4 2" xfId="14087" xr:uid="{FF9A24D3-9567-4519-B8A5-F895D96D42E8}"/>
    <cellStyle name="Comma 5 3 4 2 2 4 2 2" xfId="31431" xr:uid="{3293E44D-4D26-450E-8620-C40138DDB432}"/>
    <cellStyle name="Comma 5 3 4 2 2 4 3" xfId="22759" xr:uid="{EF2A6D89-321D-49C2-B6A5-F0C5F239957F}"/>
    <cellStyle name="Comma 5 3 4 2 2 5" xfId="9751" xr:uid="{608137CF-E5AA-43F9-9316-B24EBB2F6F8C}"/>
    <cellStyle name="Comma 5 3 4 2 2 5 2" xfId="27095" xr:uid="{928C6BEE-C113-40F9-BA3C-586608EA2434}"/>
    <cellStyle name="Comma 5 3 4 2 2 6" xfId="18423" xr:uid="{A6D5ACA2-0F54-4CFB-ADF0-F7A3DD75A6F1}"/>
    <cellStyle name="Comma 5 3 4 2 3" xfId="1622" xr:uid="{528FF8E6-BEDD-4738-AB6B-E19D084CABB7}"/>
    <cellStyle name="Comma 5 3 4 2 3 2" xfId="3790" xr:uid="{8F0C1D75-E405-4301-86F0-544844AB4275}"/>
    <cellStyle name="Comma 5 3 4 2 3 2 2" xfId="8126" xr:uid="{22E1A2C9-38C7-4BD9-A238-2B48626F1BEF}"/>
    <cellStyle name="Comma 5 3 4 2 3 2 2 2" xfId="16798" xr:uid="{F974425C-A540-47FE-B178-8C43A9B609C5}"/>
    <cellStyle name="Comma 5 3 4 2 3 2 2 2 2" xfId="34142" xr:uid="{BC4382DE-2CA3-4A74-B131-6FD159DD70A8}"/>
    <cellStyle name="Comma 5 3 4 2 3 2 2 3" xfId="25470" xr:uid="{210D511C-58FC-4DB6-879E-CDACC1246811}"/>
    <cellStyle name="Comma 5 3 4 2 3 2 3" xfId="12462" xr:uid="{9C890520-430C-4914-8F47-04030EDAAA9E}"/>
    <cellStyle name="Comma 5 3 4 2 3 2 3 2" xfId="29806" xr:uid="{5BAC3CCD-CE9F-4994-8A82-0D754467FA01}"/>
    <cellStyle name="Comma 5 3 4 2 3 2 4" xfId="21134" xr:uid="{15FB8A7D-BECD-4BAC-851D-26927D234DF7}"/>
    <cellStyle name="Comma 5 3 4 2 3 3" xfId="5958" xr:uid="{465522A0-D5A5-4239-AF3F-E8210E81FD53}"/>
    <cellStyle name="Comma 5 3 4 2 3 3 2" xfId="14630" xr:uid="{726F79A3-1F4E-4566-8527-26A71B45C71F}"/>
    <cellStyle name="Comma 5 3 4 2 3 3 2 2" xfId="31974" xr:uid="{2D29BFD9-5279-41B0-BA49-09EF76A2B2C0}"/>
    <cellStyle name="Comma 5 3 4 2 3 3 3" xfId="23302" xr:uid="{FD03E6A8-0892-4321-9180-18E1578158D8}"/>
    <cellStyle name="Comma 5 3 4 2 3 4" xfId="10294" xr:uid="{1FAEDFAA-474E-4114-9EF0-F3C453C14371}"/>
    <cellStyle name="Comma 5 3 4 2 3 4 2" xfId="27638" xr:uid="{24647F4A-BA6E-4791-8BBE-357074241B10}"/>
    <cellStyle name="Comma 5 3 4 2 3 5" xfId="18966" xr:uid="{412DEDBC-9571-41D2-B166-599F75D9DC44}"/>
    <cellStyle name="Comma 5 3 4 2 4" xfId="2706" xr:uid="{CAD4694F-57F9-4D71-8169-0941253DF619}"/>
    <cellStyle name="Comma 5 3 4 2 4 2" xfId="7042" xr:uid="{59B4F341-FAEB-4D97-A99B-78C1FF457339}"/>
    <cellStyle name="Comma 5 3 4 2 4 2 2" xfId="15714" xr:uid="{DEA2950E-2C94-412D-8C8C-DB9E9F5BC148}"/>
    <cellStyle name="Comma 5 3 4 2 4 2 2 2" xfId="33058" xr:uid="{E22D735B-543B-4F0D-BB43-8A95D26ED533}"/>
    <cellStyle name="Comma 5 3 4 2 4 2 3" xfId="24386" xr:uid="{AE31C93A-DFE9-42A7-B9B6-B42CA0554712}"/>
    <cellStyle name="Comma 5 3 4 2 4 3" xfId="11378" xr:uid="{8EFBF4B9-5C3C-4FF0-A5BA-4D0FD4D84149}"/>
    <cellStyle name="Comma 5 3 4 2 4 3 2" xfId="28722" xr:uid="{E55F67C0-5EC7-45C0-AC84-A25BE54A7538}"/>
    <cellStyle name="Comma 5 3 4 2 4 4" xfId="20050" xr:uid="{A1BC602B-8EBF-4CC7-A8FC-B70CB53FD746}"/>
    <cellStyle name="Comma 5 3 4 2 5" xfId="4874" xr:uid="{5DB9FAB7-9E83-433B-8CAF-25B0E0BF7985}"/>
    <cellStyle name="Comma 5 3 4 2 5 2" xfId="13546" xr:uid="{AB5975DB-1DEC-42D0-A2DF-488513981CBE}"/>
    <cellStyle name="Comma 5 3 4 2 5 2 2" xfId="30890" xr:uid="{621808D8-4F88-4615-A42A-B32BB12B3CDD}"/>
    <cellStyle name="Comma 5 3 4 2 5 3" xfId="22218" xr:uid="{F9040C65-90B0-4EFA-B635-5E364697E348}"/>
    <cellStyle name="Comma 5 3 4 2 6" xfId="9210" xr:uid="{D463EF98-B69D-4A1E-B84F-03ECFC2EC3DF}"/>
    <cellStyle name="Comma 5 3 4 2 6 2" xfId="26554" xr:uid="{72C6EAAC-0524-4406-AC8A-6950BEE02ACD}"/>
    <cellStyle name="Comma 5 3 4 2 7" xfId="17882" xr:uid="{5BD2C3E3-8DB9-473F-81A2-E4B45384F9B3}"/>
    <cellStyle name="Comma 5 3 4 3" xfId="809" xr:uid="{40B764F0-CEC5-4B41-B407-5C92B4E7C365}"/>
    <cellStyle name="Comma 5 3 4 3 2" xfId="1893" xr:uid="{5C2D2ECF-5779-4F17-A86C-BF75D03EF607}"/>
    <cellStyle name="Comma 5 3 4 3 2 2" xfId="4061" xr:uid="{4E48AA77-46AC-444D-B685-C7581652CC15}"/>
    <cellStyle name="Comma 5 3 4 3 2 2 2" xfId="8397" xr:uid="{43779773-ABC4-4BF9-BD08-69D3AA9B4D30}"/>
    <cellStyle name="Comma 5 3 4 3 2 2 2 2" xfId="17069" xr:uid="{E2A07921-5C6F-4FAA-8FF4-BA6946361414}"/>
    <cellStyle name="Comma 5 3 4 3 2 2 2 2 2" xfId="34413" xr:uid="{38B07429-F340-4403-95A5-42ABB1B4A588}"/>
    <cellStyle name="Comma 5 3 4 3 2 2 2 3" xfId="25741" xr:uid="{C86A875F-48D5-4B18-AB64-D42CD71D8978}"/>
    <cellStyle name="Comma 5 3 4 3 2 2 3" xfId="12733" xr:uid="{DB19F01D-2C4B-482D-B3A3-2833F1D678FC}"/>
    <cellStyle name="Comma 5 3 4 3 2 2 3 2" xfId="30077" xr:uid="{E86824D8-EB6D-4792-9377-05A4A6E93B8F}"/>
    <cellStyle name="Comma 5 3 4 3 2 2 4" xfId="21405" xr:uid="{BA9A1901-04E4-4132-8E4C-DA908107432B}"/>
    <cellStyle name="Comma 5 3 4 3 2 3" xfId="6229" xr:uid="{9D35F937-9E76-43C9-8FAB-C65EE72F4031}"/>
    <cellStyle name="Comma 5 3 4 3 2 3 2" xfId="14901" xr:uid="{CBB0D606-8736-404A-8DD9-E33B6BF482D4}"/>
    <cellStyle name="Comma 5 3 4 3 2 3 2 2" xfId="32245" xr:uid="{3FB1326B-C0F1-4CF7-9803-C3D7629B6B0E}"/>
    <cellStyle name="Comma 5 3 4 3 2 3 3" xfId="23573" xr:uid="{6513FD73-F428-4432-A7D1-596A0A698D40}"/>
    <cellStyle name="Comma 5 3 4 3 2 4" xfId="10565" xr:uid="{CB6BB1C5-FCD4-4906-9C99-ABFF2BDC5C73}"/>
    <cellStyle name="Comma 5 3 4 3 2 4 2" xfId="27909" xr:uid="{7FF7851C-C060-4C18-A45B-0433E15D4CF1}"/>
    <cellStyle name="Comma 5 3 4 3 2 5" xfId="19237" xr:uid="{9794636E-5822-432A-940E-97C9DF5C9D12}"/>
    <cellStyle name="Comma 5 3 4 3 3" xfId="2977" xr:uid="{658A179D-DFC5-495F-9F2F-A3DB3A447AC8}"/>
    <cellStyle name="Comma 5 3 4 3 3 2" xfId="7313" xr:uid="{D37C373D-6FA0-4EFC-97DF-D099B9F0287F}"/>
    <cellStyle name="Comma 5 3 4 3 3 2 2" xfId="15985" xr:uid="{73BB32AB-0EA8-4788-B754-5792478488C4}"/>
    <cellStyle name="Comma 5 3 4 3 3 2 2 2" xfId="33329" xr:uid="{B3F1EF1B-6C8B-4E4F-ACBE-C4A3A1BDB89C}"/>
    <cellStyle name="Comma 5 3 4 3 3 2 3" xfId="24657" xr:uid="{98EF7C8F-4A94-49B4-B367-61AB5D02475B}"/>
    <cellStyle name="Comma 5 3 4 3 3 3" xfId="11649" xr:uid="{1A52BA0B-2505-40B8-B0F4-37D0378E3760}"/>
    <cellStyle name="Comma 5 3 4 3 3 3 2" xfId="28993" xr:uid="{F8EF386A-BEFA-4CE2-8D43-342F23090531}"/>
    <cellStyle name="Comma 5 3 4 3 3 4" xfId="20321" xr:uid="{66EDA0D1-F736-486F-9FC0-076AD8C7E05D}"/>
    <cellStyle name="Comma 5 3 4 3 4" xfId="5145" xr:uid="{607690E4-5699-483D-8834-50A12B682416}"/>
    <cellStyle name="Comma 5 3 4 3 4 2" xfId="13817" xr:uid="{038151DE-E302-4E3C-BBD1-598EE49CD1DB}"/>
    <cellStyle name="Comma 5 3 4 3 4 2 2" xfId="31161" xr:uid="{71F06EBB-0A13-4927-B325-46C75464EFF4}"/>
    <cellStyle name="Comma 5 3 4 3 4 3" xfId="22489" xr:uid="{3D7EC470-02C8-47A3-A89B-6C63215356BB}"/>
    <cellStyle name="Comma 5 3 4 3 5" xfId="9481" xr:uid="{A46080FE-8B02-4216-92A4-0795B3B6D603}"/>
    <cellStyle name="Comma 5 3 4 3 5 2" xfId="26825" xr:uid="{43F51214-6480-4F52-92A8-FF2A0E6EFCDA}"/>
    <cellStyle name="Comma 5 3 4 3 6" xfId="18153" xr:uid="{249C4737-F102-4BB6-A42A-0B7BBCBD2C7F}"/>
    <cellStyle name="Comma 5 3 4 4" xfId="1352" xr:uid="{BA3F1C75-1F25-4010-902D-D93B85886DC5}"/>
    <cellStyle name="Comma 5 3 4 4 2" xfId="3520" xr:uid="{542C711A-C2F8-47E3-A7D4-6282BB12AD5C}"/>
    <cellStyle name="Comma 5 3 4 4 2 2" xfId="7856" xr:uid="{FD17B11F-2889-41C5-9901-1A96F7092693}"/>
    <cellStyle name="Comma 5 3 4 4 2 2 2" xfId="16528" xr:uid="{233E1C5B-B5D5-4C55-99C8-43E337F7029D}"/>
    <cellStyle name="Comma 5 3 4 4 2 2 2 2" xfId="33872" xr:uid="{AED08790-218E-4B21-B0D0-B2C49891D0FD}"/>
    <cellStyle name="Comma 5 3 4 4 2 2 3" xfId="25200" xr:uid="{708B4F2B-1EFD-4EED-BA25-FACA0AE5A237}"/>
    <cellStyle name="Comma 5 3 4 4 2 3" xfId="12192" xr:uid="{C16E205A-854E-4417-9ADD-D1C3403D2D66}"/>
    <cellStyle name="Comma 5 3 4 4 2 3 2" xfId="29536" xr:uid="{179CB646-F9CE-4D88-B648-5F4C5022625C}"/>
    <cellStyle name="Comma 5 3 4 4 2 4" xfId="20864" xr:uid="{E02C4029-B222-42AC-8965-550DD59B18EF}"/>
    <cellStyle name="Comma 5 3 4 4 3" xfId="5688" xr:uid="{6B85BB6F-AA21-4CFF-8995-A61BF75419E2}"/>
    <cellStyle name="Comma 5 3 4 4 3 2" xfId="14360" xr:uid="{E7C8929A-1860-464F-8609-0D1EFACE49F4}"/>
    <cellStyle name="Comma 5 3 4 4 3 2 2" xfId="31704" xr:uid="{20494723-5956-418A-9165-A82E1FE8917F}"/>
    <cellStyle name="Comma 5 3 4 4 3 3" xfId="23032" xr:uid="{68284EC9-D989-4001-9757-46F49AB4DB21}"/>
    <cellStyle name="Comma 5 3 4 4 4" xfId="10024" xr:uid="{F5989122-D693-4AB7-9B92-1BF01E3AE881}"/>
    <cellStyle name="Comma 5 3 4 4 4 2" xfId="27368" xr:uid="{280D5C2A-1552-4362-99E5-B978A5F984E7}"/>
    <cellStyle name="Comma 5 3 4 4 5" xfId="18696" xr:uid="{621347EF-A3FB-4198-B156-A8BA1346994E}"/>
    <cellStyle name="Comma 5 3 4 5" xfId="2436" xr:uid="{D79C498B-C6E0-47CA-BAFA-50F7D40A422D}"/>
    <cellStyle name="Comma 5 3 4 5 2" xfId="6772" xr:uid="{E3F19637-1702-421D-A798-468462D91233}"/>
    <cellStyle name="Comma 5 3 4 5 2 2" xfId="15444" xr:uid="{787AEF5A-64AD-4586-A3AB-8C959763C905}"/>
    <cellStyle name="Comma 5 3 4 5 2 2 2" xfId="32788" xr:uid="{7722BCDF-0965-4D5A-A4F4-29287B588E10}"/>
    <cellStyle name="Comma 5 3 4 5 2 3" xfId="24116" xr:uid="{D334BEC5-A76C-4C22-90A1-69D8A1334B8A}"/>
    <cellStyle name="Comma 5 3 4 5 3" xfId="11108" xr:uid="{166384D9-0D84-4BB4-A946-8376F4B02475}"/>
    <cellStyle name="Comma 5 3 4 5 3 2" xfId="28452" xr:uid="{93454594-ECFC-42AA-A0D3-3557029F65E9}"/>
    <cellStyle name="Comma 5 3 4 5 4" xfId="19780" xr:uid="{773864AC-8F6E-45BA-ADEB-B74DE8B81F41}"/>
    <cellStyle name="Comma 5 3 4 6" xfId="4604" xr:uid="{0480238E-F323-4A83-8414-6BF4F96F3158}"/>
    <cellStyle name="Comma 5 3 4 6 2" xfId="13276" xr:uid="{EC4D3C9A-E5DD-460A-8ECC-F19A110EAFD0}"/>
    <cellStyle name="Comma 5 3 4 6 2 2" xfId="30620" xr:uid="{30D9EBB5-B5FA-4A68-B8E6-2FE6F58F84C2}"/>
    <cellStyle name="Comma 5 3 4 6 3" xfId="21948" xr:uid="{02CA56D8-D4AA-4BF5-8ACE-AFAF6372C45A}"/>
    <cellStyle name="Comma 5 3 4 7" xfId="8940" xr:uid="{58471CE9-0875-48CC-9955-1C297A400E20}"/>
    <cellStyle name="Comma 5 3 4 7 2" xfId="26284" xr:uid="{84832579-B54F-4DFD-903A-82EED584B6CF}"/>
    <cellStyle name="Comma 5 3 4 8" xfId="17612" xr:uid="{CA107DF5-B555-4F3E-B5F4-7852C97BB822}"/>
    <cellStyle name="Comma 5 3 5" xfId="292" xr:uid="{240F92C6-8D18-492E-9113-ECF3180DC99B}"/>
    <cellStyle name="Comma 5 3 5 2" xfId="833" xr:uid="{500EE52F-6704-46AA-965C-C18D4EEB2214}"/>
    <cellStyle name="Comma 5 3 5 2 2" xfId="1917" xr:uid="{71FA1534-9958-408C-98CD-23B3968E705E}"/>
    <cellStyle name="Comma 5 3 5 2 2 2" xfId="4085" xr:uid="{63F4700E-99D9-4B1B-83FE-82A4060F4EC3}"/>
    <cellStyle name="Comma 5 3 5 2 2 2 2" xfId="8421" xr:uid="{6C58D912-547E-47B1-9BA9-E9330483DC42}"/>
    <cellStyle name="Comma 5 3 5 2 2 2 2 2" xfId="17093" xr:uid="{D575774D-60FE-4444-8260-1268E0D2EC8B}"/>
    <cellStyle name="Comma 5 3 5 2 2 2 2 2 2" xfId="34437" xr:uid="{D20906AA-CA11-4326-97BF-98EC5A33AEFD}"/>
    <cellStyle name="Comma 5 3 5 2 2 2 2 3" xfId="25765" xr:uid="{8F9CE381-AAA4-421F-A5D4-9C5CB03BBE83}"/>
    <cellStyle name="Comma 5 3 5 2 2 2 3" xfId="12757" xr:uid="{875EB680-1CF5-4960-959A-150763BA12F3}"/>
    <cellStyle name="Comma 5 3 5 2 2 2 3 2" xfId="30101" xr:uid="{3662BD2E-5B09-4565-A039-42871DC0D683}"/>
    <cellStyle name="Comma 5 3 5 2 2 2 4" xfId="21429" xr:uid="{CAE51B7D-7372-4008-AF26-4E677A8652BB}"/>
    <cellStyle name="Comma 5 3 5 2 2 3" xfId="6253" xr:uid="{38E02E89-3FFA-468B-BE10-1C356FF966D3}"/>
    <cellStyle name="Comma 5 3 5 2 2 3 2" xfId="14925" xr:uid="{96B366CF-BFB4-47E0-9D46-4DBA0B920ECF}"/>
    <cellStyle name="Comma 5 3 5 2 2 3 2 2" xfId="32269" xr:uid="{0DC07FA7-ECED-48D1-837F-2D18F248D17B}"/>
    <cellStyle name="Comma 5 3 5 2 2 3 3" xfId="23597" xr:uid="{7B30F36B-158F-443F-A770-FC094E5DC8ED}"/>
    <cellStyle name="Comma 5 3 5 2 2 4" xfId="10589" xr:uid="{68443519-95F5-4C7D-AFFE-CAB307CC7307}"/>
    <cellStyle name="Comma 5 3 5 2 2 4 2" xfId="27933" xr:uid="{65AA824C-BEE5-4C08-9E5D-2003F1A04F13}"/>
    <cellStyle name="Comma 5 3 5 2 2 5" xfId="19261" xr:uid="{6C9DD9DF-F31F-417F-AFC8-5C121E284BE6}"/>
    <cellStyle name="Comma 5 3 5 2 3" xfId="3001" xr:uid="{43999AB0-9D68-4369-AF90-63D8AAC50C5A}"/>
    <cellStyle name="Comma 5 3 5 2 3 2" xfId="7337" xr:uid="{6D7E03E7-5509-4A3A-90EC-6C53554D1E7C}"/>
    <cellStyle name="Comma 5 3 5 2 3 2 2" xfId="16009" xr:uid="{3D35FD8F-5547-40FE-8F33-6EF8084A3C1B}"/>
    <cellStyle name="Comma 5 3 5 2 3 2 2 2" xfId="33353" xr:uid="{096737E3-5DBD-4276-9143-3B2E5AFA597D}"/>
    <cellStyle name="Comma 5 3 5 2 3 2 3" xfId="24681" xr:uid="{FC79FCB1-713C-4E22-B6FA-C7662A9AA343}"/>
    <cellStyle name="Comma 5 3 5 2 3 3" xfId="11673" xr:uid="{5E97D0A9-EFA3-4A2A-A9CE-D9FB896B7020}"/>
    <cellStyle name="Comma 5 3 5 2 3 3 2" xfId="29017" xr:uid="{9E32EBDD-0F00-46B7-836D-6E28D7F4FAAA}"/>
    <cellStyle name="Comma 5 3 5 2 3 4" xfId="20345" xr:uid="{1E8AC7AC-2EED-4417-9433-E28ADF7BBF77}"/>
    <cellStyle name="Comma 5 3 5 2 4" xfId="5169" xr:uid="{36F39C01-7921-4133-975F-8131005D9E9F}"/>
    <cellStyle name="Comma 5 3 5 2 4 2" xfId="13841" xr:uid="{5440F6BB-459C-437D-92EF-07D18F35314A}"/>
    <cellStyle name="Comma 5 3 5 2 4 2 2" xfId="31185" xr:uid="{6E14E386-0B96-452C-9AED-F68B88434E59}"/>
    <cellStyle name="Comma 5 3 5 2 4 3" xfId="22513" xr:uid="{D40F9D05-FFAC-4628-ACE4-0A5B656E8E4C}"/>
    <cellStyle name="Comma 5 3 5 2 5" xfId="9505" xr:uid="{769825D3-2101-4574-B084-5885F95799B0}"/>
    <cellStyle name="Comma 5 3 5 2 5 2" xfId="26849" xr:uid="{26BB3644-5EDB-44BA-ADC7-164EE0347971}"/>
    <cellStyle name="Comma 5 3 5 2 6" xfId="18177" xr:uid="{92C073F8-45C1-44D5-8650-1F09BBB5055F}"/>
    <cellStyle name="Comma 5 3 5 3" xfId="1376" xr:uid="{9CE04618-9387-4D50-B200-2B87A2C14340}"/>
    <cellStyle name="Comma 5 3 5 3 2" xfId="3544" xr:uid="{9FDA8FA7-DC54-433A-A627-BBE9B6E47CA3}"/>
    <cellStyle name="Comma 5 3 5 3 2 2" xfId="7880" xr:uid="{2839B532-DA5E-412C-BFCD-87213134D804}"/>
    <cellStyle name="Comma 5 3 5 3 2 2 2" xfId="16552" xr:uid="{C15272BB-111F-4873-8687-7C8FB7722D51}"/>
    <cellStyle name="Comma 5 3 5 3 2 2 2 2" xfId="33896" xr:uid="{3928DABB-F0D1-4D4F-B9F6-9DEAE6FECECE}"/>
    <cellStyle name="Comma 5 3 5 3 2 2 3" xfId="25224" xr:uid="{EAD1E99C-C499-4907-B7B4-7F56FFDFDC88}"/>
    <cellStyle name="Comma 5 3 5 3 2 3" xfId="12216" xr:uid="{AB672A32-99C6-40F4-804D-55470EB9C0B7}"/>
    <cellStyle name="Comma 5 3 5 3 2 3 2" xfId="29560" xr:uid="{23C6D087-3084-430E-A244-A60DA030F4E9}"/>
    <cellStyle name="Comma 5 3 5 3 2 4" xfId="20888" xr:uid="{5822AF1C-40E7-4967-954C-3D7F3D494731}"/>
    <cellStyle name="Comma 5 3 5 3 3" xfId="5712" xr:uid="{818A50F0-5580-464B-A83B-3B272C2E4071}"/>
    <cellStyle name="Comma 5 3 5 3 3 2" xfId="14384" xr:uid="{EEF58815-340D-4032-BE68-E65E3BC0668A}"/>
    <cellStyle name="Comma 5 3 5 3 3 2 2" xfId="31728" xr:uid="{CDA19D40-7CD1-4B4D-BDBE-D10F1FFC84BA}"/>
    <cellStyle name="Comma 5 3 5 3 3 3" xfId="23056" xr:uid="{DF5E842D-3E82-481C-BB94-D29A0B7B705A}"/>
    <cellStyle name="Comma 5 3 5 3 4" xfId="10048" xr:uid="{F206872B-3CFA-4451-AE3F-7883071904F5}"/>
    <cellStyle name="Comma 5 3 5 3 4 2" xfId="27392" xr:uid="{C0395A2D-3E81-4D88-B752-19E9BB7D4073}"/>
    <cellStyle name="Comma 5 3 5 3 5" xfId="18720" xr:uid="{EE2679E4-9AF0-4097-B785-118D37A2187B}"/>
    <cellStyle name="Comma 5 3 5 4" xfId="2460" xr:uid="{21AB0254-5BB5-406D-AFC6-AD0FC200AF3F}"/>
    <cellStyle name="Comma 5 3 5 4 2" xfId="6796" xr:uid="{840F3037-8877-4C33-A084-F553C59944A9}"/>
    <cellStyle name="Comma 5 3 5 4 2 2" xfId="15468" xr:uid="{181A8F3C-4812-4E0C-8315-89FDEA6F8381}"/>
    <cellStyle name="Comma 5 3 5 4 2 2 2" xfId="32812" xr:uid="{158F5670-30AC-4CBC-99C6-0021CF9E1FC1}"/>
    <cellStyle name="Comma 5 3 5 4 2 3" xfId="24140" xr:uid="{BABE614D-C715-4559-BE69-1AA38B2258E6}"/>
    <cellStyle name="Comma 5 3 5 4 3" xfId="11132" xr:uid="{344C5D91-F13E-4267-AEBD-1450CEAE5802}"/>
    <cellStyle name="Comma 5 3 5 4 3 2" xfId="28476" xr:uid="{99ABAE8D-0D0A-4F34-9EF4-79107CDA63A2}"/>
    <cellStyle name="Comma 5 3 5 4 4" xfId="19804" xr:uid="{14E0DD38-FC91-403B-A78F-20053E1B54F4}"/>
    <cellStyle name="Comma 5 3 5 5" xfId="4628" xr:uid="{E9212003-6E28-4627-A869-34C78F86B1AC}"/>
    <cellStyle name="Comma 5 3 5 5 2" xfId="13300" xr:uid="{3557CB9F-C76E-4EC4-9DA5-644B55DC2B5A}"/>
    <cellStyle name="Comma 5 3 5 5 2 2" xfId="30644" xr:uid="{96F0AE82-2B98-40D1-B02A-02F36BB7B073}"/>
    <cellStyle name="Comma 5 3 5 5 3" xfId="21972" xr:uid="{06A9A765-E94E-45FD-A0E3-1475A5738EEA}"/>
    <cellStyle name="Comma 5 3 5 6" xfId="8964" xr:uid="{A3AE6C2C-69DD-41BE-905A-C9295C8AB5DB}"/>
    <cellStyle name="Comma 5 3 5 6 2" xfId="26308" xr:uid="{8A3BC4CC-B1B4-4D31-8550-8187F4B4A648}"/>
    <cellStyle name="Comma 5 3 5 7" xfId="17636" xr:uid="{5E5AB90E-28A3-4D14-8CE2-2951ECAC0E1D}"/>
    <cellStyle name="Comma 5 3 6" xfId="563" xr:uid="{EF1A706A-BFA3-464A-8C83-E8D368DFCFC3}"/>
    <cellStyle name="Comma 5 3 6 2" xfId="1647" xr:uid="{EA604667-8859-49C6-B4DA-009831E5E21D}"/>
    <cellStyle name="Comma 5 3 6 2 2" xfId="3815" xr:uid="{5352A00B-1D98-4F0C-BE53-2B4202E4E43C}"/>
    <cellStyle name="Comma 5 3 6 2 2 2" xfId="8151" xr:uid="{BC155D04-6DCC-4F04-AB3C-F890778FE3EB}"/>
    <cellStyle name="Comma 5 3 6 2 2 2 2" xfId="16823" xr:uid="{04B5CECF-0B11-4C02-BB07-0D7C6C347295}"/>
    <cellStyle name="Comma 5 3 6 2 2 2 2 2" xfId="34167" xr:uid="{10A938DD-CC59-4D5E-BF3C-049037E67B7C}"/>
    <cellStyle name="Comma 5 3 6 2 2 2 3" xfId="25495" xr:uid="{F31EB02A-77DE-447A-988C-7D0B9D23D473}"/>
    <cellStyle name="Comma 5 3 6 2 2 3" xfId="12487" xr:uid="{9F083C41-243B-4A41-A00D-085B6B4C8E97}"/>
    <cellStyle name="Comma 5 3 6 2 2 3 2" xfId="29831" xr:uid="{5F4C5238-D5A8-4DD4-B898-4ED9D362A16F}"/>
    <cellStyle name="Comma 5 3 6 2 2 4" xfId="21159" xr:uid="{6C761152-4B53-4265-92FB-DB99D9AC2D21}"/>
    <cellStyle name="Comma 5 3 6 2 3" xfId="5983" xr:uid="{ABAD13E2-6BB1-47B5-8CC7-7BA9DEEB659C}"/>
    <cellStyle name="Comma 5 3 6 2 3 2" xfId="14655" xr:uid="{8E09165D-5F8D-4392-8EFB-89C70C2A4CA2}"/>
    <cellStyle name="Comma 5 3 6 2 3 2 2" xfId="31999" xr:uid="{D60D6706-E9E0-4CD9-871E-79E3E38CA3CE}"/>
    <cellStyle name="Comma 5 3 6 2 3 3" xfId="23327" xr:uid="{26AE1FDB-7B60-445F-87F0-67260BC5E38B}"/>
    <cellStyle name="Comma 5 3 6 2 4" xfId="10319" xr:uid="{47F14B56-8C96-4AB5-9385-466AFF0134E1}"/>
    <cellStyle name="Comma 5 3 6 2 4 2" xfId="27663" xr:uid="{AE5CD7EC-66DB-4990-B0E0-47A547AB768B}"/>
    <cellStyle name="Comma 5 3 6 2 5" xfId="18991" xr:uid="{4F527896-A411-4CA8-95F0-05DBE76FEE52}"/>
    <cellStyle name="Comma 5 3 6 3" xfId="2731" xr:uid="{138C0210-570E-4812-AB23-B122649A20B6}"/>
    <cellStyle name="Comma 5 3 6 3 2" xfId="7067" xr:uid="{3DA979C7-106E-4E99-B5E5-F24C1693BFE2}"/>
    <cellStyle name="Comma 5 3 6 3 2 2" xfId="15739" xr:uid="{563AEC4D-49D4-4FA8-BF25-4EDC8840373A}"/>
    <cellStyle name="Comma 5 3 6 3 2 2 2" xfId="33083" xr:uid="{4200472A-DB0C-46F8-9849-CD92FB3F29E8}"/>
    <cellStyle name="Comma 5 3 6 3 2 3" xfId="24411" xr:uid="{0DDAE906-ADE6-48BB-B4B8-B2B950A21118}"/>
    <cellStyle name="Comma 5 3 6 3 3" xfId="11403" xr:uid="{8F03FC7F-D28A-48CE-AAE8-3063FE6BFC37}"/>
    <cellStyle name="Comma 5 3 6 3 3 2" xfId="28747" xr:uid="{2A54C3A9-9B26-4E01-AB95-55AFA06B23D3}"/>
    <cellStyle name="Comma 5 3 6 3 4" xfId="20075" xr:uid="{2AF7AD9D-EC79-4D94-8A29-208EFE923C6A}"/>
    <cellStyle name="Comma 5 3 6 4" xfId="4899" xr:uid="{CA43BC86-BBA9-46F2-A7AB-E18661936AD5}"/>
    <cellStyle name="Comma 5 3 6 4 2" xfId="13571" xr:uid="{DD759B34-D2C8-470F-834B-BDD9F6BB4F5A}"/>
    <cellStyle name="Comma 5 3 6 4 2 2" xfId="30915" xr:uid="{4FE25A6F-07A6-43C4-B637-0C33DC26312F}"/>
    <cellStyle name="Comma 5 3 6 4 3" xfId="22243" xr:uid="{3CA73806-F5EE-4E36-A73A-BA4B08187389}"/>
    <cellStyle name="Comma 5 3 6 5" xfId="9235" xr:uid="{4DCD8EEC-1916-4D28-B2B8-7DF8E7C266A0}"/>
    <cellStyle name="Comma 5 3 6 5 2" xfId="26579" xr:uid="{CBEB3976-450D-4FBA-A6D3-8915A80983C1}"/>
    <cellStyle name="Comma 5 3 6 6" xfId="17907" xr:uid="{D0D6515E-1E7C-45C3-8EA5-D982915E15C7}"/>
    <cellStyle name="Comma 5 3 7" xfId="1106" xr:uid="{C7AB9744-67B2-40B0-B6ED-17CFB548F472}"/>
    <cellStyle name="Comma 5 3 7 2" xfId="3274" xr:uid="{C83E7577-8CDB-44AA-959F-D31141D8B869}"/>
    <cellStyle name="Comma 5 3 7 2 2" xfId="7610" xr:uid="{499EE17D-50C8-401C-A34E-AB40DA66DEBC}"/>
    <cellStyle name="Comma 5 3 7 2 2 2" xfId="16282" xr:uid="{3D4A1C93-7361-4028-8386-E7356EEAE9D1}"/>
    <cellStyle name="Comma 5 3 7 2 2 2 2" xfId="33626" xr:uid="{B5D2E487-7CE7-4DCA-A5F0-56944A94594E}"/>
    <cellStyle name="Comma 5 3 7 2 2 3" xfId="24954" xr:uid="{CBA6386E-01DB-4BB5-8CCD-9EA3E2A3CA0D}"/>
    <cellStyle name="Comma 5 3 7 2 3" xfId="11946" xr:uid="{2CB565B0-63EB-40B5-85A4-D667C65683DC}"/>
    <cellStyle name="Comma 5 3 7 2 3 2" xfId="29290" xr:uid="{883DDAB6-0105-4C92-BEBA-DE4E123485EB}"/>
    <cellStyle name="Comma 5 3 7 2 4" xfId="20618" xr:uid="{F295D9E1-DE8E-4B30-AB67-273EE2DFEB79}"/>
    <cellStyle name="Comma 5 3 7 3" xfId="5442" xr:uid="{DDCCAFEC-7A9A-401F-A985-016A8F9EA021}"/>
    <cellStyle name="Comma 5 3 7 3 2" xfId="14114" xr:uid="{46E532F7-5D7D-49C2-BEA8-3A00CAA268A8}"/>
    <cellStyle name="Comma 5 3 7 3 2 2" xfId="31458" xr:uid="{12E30481-58F0-418A-8042-20C94827F4B4}"/>
    <cellStyle name="Comma 5 3 7 3 3" xfId="22786" xr:uid="{749C6FFD-BA6F-46B5-9172-CA174A831F81}"/>
    <cellStyle name="Comma 5 3 7 4" xfId="9778" xr:uid="{131A36B1-FA90-47F5-872B-7EC338E2884F}"/>
    <cellStyle name="Comma 5 3 7 4 2" xfId="27122" xr:uid="{085F7E36-9026-4EA5-B739-45FE702361E3}"/>
    <cellStyle name="Comma 5 3 7 5" xfId="18450" xr:uid="{54B5A8B5-6737-4BFB-8133-FE649378062A}"/>
    <cellStyle name="Comma 5 3 8" xfId="2190" xr:uid="{6A4AC1EA-D678-4A6C-B6F2-886EC29A8ED6}"/>
    <cellStyle name="Comma 5 3 8 2" xfId="6526" xr:uid="{CAF7390F-D0CC-498C-99A1-F81068398A0D}"/>
    <cellStyle name="Comma 5 3 8 2 2" xfId="15198" xr:uid="{8DBAA21F-257A-4E1B-8BAE-0BED97527EB1}"/>
    <cellStyle name="Comma 5 3 8 2 2 2" xfId="32542" xr:uid="{897E51A1-0B8B-45FF-8348-974BC00904D2}"/>
    <cellStyle name="Comma 5 3 8 2 3" xfId="23870" xr:uid="{2E0E98E1-CC74-41C7-9214-265EC6DB649D}"/>
    <cellStyle name="Comma 5 3 8 3" xfId="10862" xr:uid="{7AA72DF0-5BF0-4AC9-B6DC-07529977DC3F}"/>
    <cellStyle name="Comma 5 3 8 3 2" xfId="28206" xr:uid="{75A430AD-D138-484A-9331-1B5884DC1FD1}"/>
    <cellStyle name="Comma 5 3 8 4" xfId="19534" xr:uid="{70492489-A295-480D-B054-83CAB77691E3}"/>
    <cellStyle name="Comma 5 3 9" xfId="4358" xr:uid="{3D1EC3FB-B72F-474D-B5EA-9D854E9DF94F}"/>
    <cellStyle name="Comma 5 3 9 2" xfId="13030" xr:uid="{EA579E5B-6B09-4E7B-8751-544AAE630FD1}"/>
    <cellStyle name="Comma 5 3 9 2 2" xfId="30374" xr:uid="{6209E62C-1659-4907-87FA-9B26EDC70C91}"/>
    <cellStyle name="Comma 5 3 9 3" xfId="21702" xr:uid="{75868568-3045-40E4-969C-58465A34FE45}"/>
    <cellStyle name="Comma 5 4" xfId="39" xr:uid="{731648C8-2CAE-45FE-B678-3F5960E5B684}"/>
    <cellStyle name="Comma 5 4 10" xfId="17383" xr:uid="{3664A5FE-F2AE-44AF-9AD4-2CF1C4320F7E}"/>
    <cellStyle name="Comma 5 4 2" xfId="100" xr:uid="{F532D8D1-AA8F-4BFD-80FE-9598F406A2B1}"/>
    <cellStyle name="Comma 5 4 2 2" xfId="222" xr:uid="{7ECC42FA-AAA7-416F-8482-9AA7BF8073C8}"/>
    <cellStyle name="Comma 5 4 2 2 2" xfId="492" xr:uid="{98E98727-17DE-408B-84DB-A8DB8238E4BA}"/>
    <cellStyle name="Comma 5 4 2 2 2 2" xfId="1033" xr:uid="{154F6BAB-2F9A-4798-A1B8-6E5AFE94F497}"/>
    <cellStyle name="Comma 5 4 2 2 2 2 2" xfId="2117" xr:uid="{8E2BAE2A-6805-47A8-B253-627E4BFD1932}"/>
    <cellStyle name="Comma 5 4 2 2 2 2 2 2" xfId="4285" xr:uid="{98028BA5-47DA-4AA5-AD3E-8A68723CF515}"/>
    <cellStyle name="Comma 5 4 2 2 2 2 2 2 2" xfId="8621" xr:uid="{2E357D7A-A80B-4B63-885E-79BA2FE1AB83}"/>
    <cellStyle name="Comma 5 4 2 2 2 2 2 2 2 2" xfId="17293" xr:uid="{CAA254B4-0A18-42A9-AB2F-65CCD511AEE8}"/>
    <cellStyle name="Comma 5 4 2 2 2 2 2 2 2 2 2" xfId="34637" xr:uid="{76B7AE5B-EF1F-438F-ADC9-07E2D0F3D0CB}"/>
    <cellStyle name="Comma 5 4 2 2 2 2 2 2 2 3" xfId="25965" xr:uid="{14E7ECA7-9682-4EE0-885F-E39844FC5EB3}"/>
    <cellStyle name="Comma 5 4 2 2 2 2 2 2 3" xfId="12957" xr:uid="{B87DB885-74B3-4A3F-91D5-766A4ABA0C0B}"/>
    <cellStyle name="Comma 5 4 2 2 2 2 2 2 3 2" xfId="30301" xr:uid="{652E716D-E791-41D8-B324-5327F8D1AF9C}"/>
    <cellStyle name="Comma 5 4 2 2 2 2 2 2 4" xfId="21629" xr:uid="{A76B796C-E1EB-4E9A-A28C-0B963ABCE1A0}"/>
    <cellStyle name="Comma 5 4 2 2 2 2 2 3" xfId="6453" xr:uid="{BC851C0E-62D9-40AF-B214-500C471F787C}"/>
    <cellStyle name="Comma 5 4 2 2 2 2 2 3 2" xfId="15125" xr:uid="{C3071A52-5841-46E8-92BB-0193C590BA5A}"/>
    <cellStyle name="Comma 5 4 2 2 2 2 2 3 2 2" xfId="32469" xr:uid="{A2D7901E-42AB-42A3-9617-22E2B6FCB644}"/>
    <cellStyle name="Comma 5 4 2 2 2 2 2 3 3" xfId="23797" xr:uid="{DF495BF2-6563-447C-99BF-3DEE6834C52D}"/>
    <cellStyle name="Comma 5 4 2 2 2 2 2 4" xfId="10789" xr:uid="{FD0CC54D-EB6F-42A1-99DB-BD706F7A3BCA}"/>
    <cellStyle name="Comma 5 4 2 2 2 2 2 4 2" xfId="28133" xr:uid="{1C61BDCC-D7E2-4F59-A412-A7FC906AE0DB}"/>
    <cellStyle name="Comma 5 4 2 2 2 2 2 5" xfId="19461" xr:uid="{89B2B2C9-C6EF-4F2C-80B7-898149BBC68D}"/>
    <cellStyle name="Comma 5 4 2 2 2 2 3" xfId="3201" xr:uid="{66DCC9F7-4490-4EB6-83A1-357404D26B59}"/>
    <cellStyle name="Comma 5 4 2 2 2 2 3 2" xfId="7537" xr:uid="{CECDE159-DD4E-492A-8E8A-CDAD89427E4F}"/>
    <cellStyle name="Comma 5 4 2 2 2 2 3 2 2" xfId="16209" xr:uid="{15C87EE2-0268-4F5F-A799-9DE441F2BA72}"/>
    <cellStyle name="Comma 5 4 2 2 2 2 3 2 2 2" xfId="33553" xr:uid="{59D5923A-94B4-47BC-AC19-1A278B5C872F}"/>
    <cellStyle name="Comma 5 4 2 2 2 2 3 2 3" xfId="24881" xr:uid="{02BBF77F-03C0-4106-B810-3B9565352855}"/>
    <cellStyle name="Comma 5 4 2 2 2 2 3 3" xfId="11873" xr:uid="{F7CDD569-9F8E-4B7B-9A41-F2FADA0B3971}"/>
    <cellStyle name="Comma 5 4 2 2 2 2 3 3 2" xfId="29217" xr:uid="{3FA04085-A952-4B2F-8399-5E873819CDD9}"/>
    <cellStyle name="Comma 5 4 2 2 2 2 3 4" xfId="20545" xr:uid="{8A34EE2A-89A0-4579-9D41-E72C65CA4773}"/>
    <cellStyle name="Comma 5 4 2 2 2 2 4" xfId="5369" xr:uid="{15EE9367-3D03-4821-A343-46A49D74B5D0}"/>
    <cellStyle name="Comma 5 4 2 2 2 2 4 2" xfId="14041" xr:uid="{12D1A16C-F42E-4CD3-B260-FC169B8825C1}"/>
    <cellStyle name="Comma 5 4 2 2 2 2 4 2 2" xfId="31385" xr:uid="{0AB60EB5-6C34-4E51-896D-1D07BF6DC221}"/>
    <cellStyle name="Comma 5 4 2 2 2 2 4 3" xfId="22713" xr:uid="{373DCF5B-B59D-4A2E-8146-DBF043A3C021}"/>
    <cellStyle name="Comma 5 4 2 2 2 2 5" xfId="9705" xr:uid="{1BC10BB4-83AF-415C-89B5-3BF2F99F85C2}"/>
    <cellStyle name="Comma 5 4 2 2 2 2 5 2" xfId="27049" xr:uid="{242758FE-263B-4EE3-A428-5CDDDE719929}"/>
    <cellStyle name="Comma 5 4 2 2 2 2 6" xfId="18377" xr:uid="{5B779570-2DEE-453D-AC9D-76CABD9E68B6}"/>
    <cellStyle name="Comma 5 4 2 2 2 3" xfId="1576" xr:uid="{DF73A5CF-A086-42FC-A720-E4F061D95EB7}"/>
    <cellStyle name="Comma 5 4 2 2 2 3 2" xfId="3744" xr:uid="{6D202F86-7204-42C7-8516-979154037083}"/>
    <cellStyle name="Comma 5 4 2 2 2 3 2 2" xfId="8080" xr:uid="{28B0B49E-72BE-4382-867B-C9FAB33846BF}"/>
    <cellStyle name="Comma 5 4 2 2 2 3 2 2 2" xfId="16752" xr:uid="{43964E84-C652-481A-8D28-DF1623A8AB9B}"/>
    <cellStyle name="Comma 5 4 2 2 2 3 2 2 2 2" xfId="34096" xr:uid="{BE4B3AA4-6CB8-4EA2-9772-0B3F41762EB4}"/>
    <cellStyle name="Comma 5 4 2 2 2 3 2 2 3" xfId="25424" xr:uid="{178E6A58-CA5B-42DB-8082-DFE9ABB4A1F9}"/>
    <cellStyle name="Comma 5 4 2 2 2 3 2 3" xfId="12416" xr:uid="{5C912BF2-7C0D-4B4E-9FAC-1EF5F02F0E3A}"/>
    <cellStyle name="Comma 5 4 2 2 2 3 2 3 2" xfId="29760" xr:uid="{B2D5CE35-F4AF-4F80-AC2D-AD3C62D33590}"/>
    <cellStyle name="Comma 5 4 2 2 2 3 2 4" xfId="21088" xr:uid="{CA6AD031-D1B7-451A-8AE9-539DB59D9FFF}"/>
    <cellStyle name="Comma 5 4 2 2 2 3 3" xfId="5912" xr:uid="{68BA07F0-DE5C-4F14-9310-3655F3DD84B9}"/>
    <cellStyle name="Comma 5 4 2 2 2 3 3 2" xfId="14584" xr:uid="{1BE8B76B-23AD-4084-89B7-D8FEB9EF83EE}"/>
    <cellStyle name="Comma 5 4 2 2 2 3 3 2 2" xfId="31928" xr:uid="{63A37E3A-6967-4F5C-9C62-8284BA6117BD}"/>
    <cellStyle name="Comma 5 4 2 2 2 3 3 3" xfId="23256" xr:uid="{01CF70B5-5E37-404D-9975-8BFD68B30D23}"/>
    <cellStyle name="Comma 5 4 2 2 2 3 4" xfId="10248" xr:uid="{F104F37C-51D5-41CF-B1B3-C89EFAD92B89}"/>
    <cellStyle name="Comma 5 4 2 2 2 3 4 2" xfId="27592" xr:uid="{B8E97983-BC46-4438-8AE7-A9C0ADF96FF8}"/>
    <cellStyle name="Comma 5 4 2 2 2 3 5" xfId="18920" xr:uid="{351EACD6-ADDD-403A-A3F8-4EF6F8BA573D}"/>
    <cellStyle name="Comma 5 4 2 2 2 4" xfId="2660" xr:uid="{8570C1B3-1D0D-4C2C-B6B0-7E75F1A0A8AC}"/>
    <cellStyle name="Comma 5 4 2 2 2 4 2" xfId="6996" xr:uid="{A21EDBEB-E585-4320-9EF8-73B89769118B}"/>
    <cellStyle name="Comma 5 4 2 2 2 4 2 2" xfId="15668" xr:uid="{B7D3C7B0-B133-4BB2-8F93-42CE78B4BC59}"/>
    <cellStyle name="Comma 5 4 2 2 2 4 2 2 2" xfId="33012" xr:uid="{94E6DCD9-B5EB-4835-955D-B17C08733D15}"/>
    <cellStyle name="Comma 5 4 2 2 2 4 2 3" xfId="24340" xr:uid="{D389B85F-2C9A-45BE-A169-00693AB14079}"/>
    <cellStyle name="Comma 5 4 2 2 2 4 3" xfId="11332" xr:uid="{AE322845-1735-4B1F-8150-EE056F2953B2}"/>
    <cellStyle name="Comma 5 4 2 2 2 4 3 2" xfId="28676" xr:uid="{EE6E2585-AEBD-475A-A5A2-267282FC4727}"/>
    <cellStyle name="Comma 5 4 2 2 2 4 4" xfId="20004" xr:uid="{56BFA513-E6C8-4242-A4C6-9415B87D0241}"/>
    <cellStyle name="Comma 5 4 2 2 2 5" xfId="4828" xr:uid="{2536F7AA-815F-49DC-9AC2-3B72FE38B2A6}"/>
    <cellStyle name="Comma 5 4 2 2 2 5 2" xfId="13500" xr:uid="{FC91ECC5-BA56-44B1-8601-D60564FCA6DB}"/>
    <cellStyle name="Comma 5 4 2 2 2 5 2 2" xfId="30844" xr:uid="{C88AF8BA-7E2D-4BF0-9D93-89A75A0AC5CB}"/>
    <cellStyle name="Comma 5 4 2 2 2 5 3" xfId="22172" xr:uid="{80581F3C-AD74-45C2-9ED9-DB26E803FBBC}"/>
    <cellStyle name="Comma 5 4 2 2 2 6" xfId="9164" xr:uid="{A0187503-423C-45DF-B29E-2B581EB5AF45}"/>
    <cellStyle name="Comma 5 4 2 2 2 6 2" xfId="26508" xr:uid="{118667B1-3BB5-4986-B7B6-EDA6E37C7381}"/>
    <cellStyle name="Comma 5 4 2 2 2 7" xfId="17836" xr:uid="{CD6F55C3-621E-409F-934F-834E4243D35C}"/>
    <cellStyle name="Comma 5 4 2 2 3" xfId="763" xr:uid="{B9373A3F-5F57-4DD4-90EE-3062BD446C7D}"/>
    <cellStyle name="Comma 5 4 2 2 3 2" xfId="1847" xr:uid="{7382A487-0EF2-4A0D-AB13-2FB420BE6E49}"/>
    <cellStyle name="Comma 5 4 2 2 3 2 2" xfId="4015" xr:uid="{3F9C6257-CD80-4568-B57E-DA1DB2147957}"/>
    <cellStyle name="Comma 5 4 2 2 3 2 2 2" xfId="8351" xr:uid="{799F2790-EB3F-4AF1-8BFB-B3985D3170EA}"/>
    <cellStyle name="Comma 5 4 2 2 3 2 2 2 2" xfId="17023" xr:uid="{567E540A-C79D-4790-BFDB-C0C001BB453F}"/>
    <cellStyle name="Comma 5 4 2 2 3 2 2 2 2 2" xfId="34367" xr:uid="{F138954D-C695-4575-BE59-0AF5DFEF82C9}"/>
    <cellStyle name="Comma 5 4 2 2 3 2 2 2 3" xfId="25695" xr:uid="{D5C9334E-D602-491D-8AA4-B442CF1B1088}"/>
    <cellStyle name="Comma 5 4 2 2 3 2 2 3" xfId="12687" xr:uid="{A7789A35-9562-44EC-93D6-ABFC032DE82B}"/>
    <cellStyle name="Comma 5 4 2 2 3 2 2 3 2" xfId="30031" xr:uid="{6C67507E-2BD9-411A-A7E4-81CCA919EA12}"/>
    <cellStyle name="Comma 5 4 2 2 3 2 2 4" xfId="21359" xr:uid="{3ECC3D81-744B-44EA-BAA8-4442993652F1}"/>
    <cellStyle name="Comma 5 4 2 2 3 2 3" xfId="6183" xr:uid="{6E4C3F4A-950D-447C-AE37-500DD707F664}"/>
    <cellStyle name="Comma 5 4 2 2 3 2 3 2" xfId="14855" xr:uid="{05F75D8E-5FC1-4284-96A8-8DA0E3CEA155}"/>
    <cellStyle name="Comma 5 4 2 2 3 2 3 2 2" xfId="32199" xr:uid="{B550E589-6D15-4981-853A-CCC6173C13D8}"/>
    <cellStyle name="Comma 5 4 2 2 3 2 3 3" xfId="23527" xr:uid="{CDD5590E-9716-437C-B096-C8CDE7122F10}"/>
    <cellStyle name="Comma 5 4 2 2 3 2 4" xfId="10519" xr:uid="{CAFFB92B-07FF-4E43-BBFE-E5FFEDBAAFB5}"/>
    <cellStyle name="Comma 5 4 2 2 3 2 4 2" xfId="27863" xr:uid="{BCDBCEBE-6E97-4B6E-8CA7-E50292FA1BAD}"/>
    <cellStyle name="Comma 5 4 2 2 3 2 5" xfId="19191" xr:uid="{0571005A-7168-4B8E-8858-4FB5FE66EC63}"/>
    <cellStyle name="Comma 5 4 2 2 3 3" xfId="2931" xr:uid="{8E2D9B61-6B98-49B8-9E09-13BFB4563603}"/>
    <cellStyle name="Comma 5 4 2 2 3 3 2" xfId="7267" xr:uid="{3880C337-E483-494C-89C9-EF6A57A1F4AC}"/>
    <cellStyle name="Comma 5 4 2 2 3 3 2 2" xfId="15939" xr:uid="{BDD3A0F4-6B4F-4D05-88B6-550FE2211EF2}"/>
    <cellStyle name="Comma 5 4 2 2 3 3 2 2 2" xfId="33283" xr:uid="{B21AF114-2745-4732-AA6A-05B2A52174B1}"/>
    <cellStyle name="Comma 5 4 2 2 3 3 2 3" xfId="24611" xr:uid="{1632C5A0-204C-434F-8B9C-6AD4DC2313B4}"/>
    <cellStyle name="Comma 5 4 2 2 3 3 3" xfId="11603" xr:uid="{52FB7CC8-BDB2-4674-964E-3F2F4D63EE19}"/>
    <cellStyle name="Comma 5 4 2 2 3 3 3 2" xfId="28947" xr:uid="{7DAC4FC6-EF0B-407B-A7FA-AB1EFAC388EE}"/>
    <cellStyle name="Comma 5 4 2 2 3 3 4" xfId="20275" xr:uid="{CC47ADC8-3931-453F-8378-F72343BB85D8}"/>
    <cellStyle name="Comma 5 4 2 2 3 4" xfId="5099" xr:uid="{8DE688AE-20FA-4FB3-819F-7F1C7370A4C3}"/>
    <cellStyle name="Comma 5 4 2 2 3 4 2" xfId="13771" xr:uid="{9A1181C7-5284-4970-B651-DD2C82D86DC8}"/>
    <cellStyle name="Comma 5 4 2 2 3 4 2 2" xfId="31115" xr:uid="{46E1C7DC-4ABE-4127-AC73-799DEF121108}"/>
    <cellStyle name="Comma 5 4 2 2 3 4 3" xfId="22443" xr:uid="{C12E841A-7347-4AE4-9424-1DE08BEF6F67}"/>
    <cellStyle name="Comma 5 4 2 2 3 5" xfId="9435" xr:uid="{725A8EDB-D701-4AA5-BC5A-0825378B6B99}"/>
    <cellStyle name="Comma 5 4 2 2 3 5 2" xfId="26779" xr:uid="{09072A53-6186-4B81-9517-B71232FA6586}"/>
    <cellStyle name="Comma 5 4 2 2 3 6" xfId="18107" xr:uid="{E7746191-A5CD-429D-9474-4F328E13D60C}"/>
    <cellStyle name="Comma 5 4 2 2 4" xfId="1306" xr:uid="{4DB284BE-51C3-423B-A553-E1796F74F102}"/>
    <cellStyle name="Comma 5 4 2 2 4 2" xfId="3474" xr:uid="{2A437E14-56E7-4B31-B0A2-C14A7364AAFD}"/>
    <cellStyle name="Comma 5 4 2 2 4 2 2" xfId="7810" xr:uid="{29EEB29E-80F8-4C92-B7C6-2A35F433C303}"/>
    <cellStyle name="Comma 5 4 2 2 4 2 2 2" xfId="16482" xr:uid="{F0119DDD-1382-405E-BDA1-0BB7F65ACEB3}"/>
    <cellStyle name="Comma 5 4 2 2 4 2 2 2 2" xfId="33826" xr:uid="{85F54033-3859-4CF6-BD17-A6D5F74CB7A5}"/>
    <cellStyle name="Comma 5 4 2 2 4 2 2 3" xfId="25154" xr:uid="{3518728C-6E3E-4232-8179-8EC79FB2E0FD}"/>
    <cellStyle name="Comma 5 4 2 2 4 2 3" xfId="12146" xr:uid="{97D64E59-FFFA-4E03-89BF-71DC3B91CA0A}"/>
    <cellStyle name="Comma 5 4 2 2 4 2 3 2" xfId="29490" xr:uid="{60DF1D1C-B96C-43B0-B7E4-492265B915F0}"/>
    <cellStyle name="Comma 5 4 2 2 4 2 4" xfId="20818" xr:uid="{83F65836-FA13-488D-BBC3-9EF6934F8E22}"/>
    <cellStyle name="Comma 5 4 2 2 4 3" xfId="5642" xr:uid="{E077F063-5738-48BC-A4CD-C99F70CEA3AA}"/>
    <cellStyle name="Comma 5 4 2 2 4 3 2" xfId="14314" xr:uid="{0A6C7F48-0A2F-4E25-AFEA-B1311B1AC62E}"/>
    <cellStyle name="Comma 5 4 2 2 4 3 2 2" xfId="31658" xr:uid="{9EEEB101-A8E7-4C71-8D43-C8033B60ABA5}"/>
    <cellStyle name="Comma 5 4 2 2 4 3 3" xfId="22986" xr:uid="{CE24D4B1-B044-4138-A362-9B0591A58352}"/>
    <cellStyle name="Comma 5 4 2 2 4 4" xfId="9978" xr:uid="{F7C9AEE6-81C5-401A-9A75-7542BE4AFB9A}"/>
    <cellStyle name="Comma 5 4 2 2 4 4 2" xfId="27322" xr:uid="{205E3EA7-69E5-4FF2-B1E7-726CAEB66D77}"/>
    <cellStyle name="Comma 5 4 2 2 4 5" xfId="18650" xr:uid="{8B3B6231-1EEA-47AF-9A3B-EA7C27BC463A}"/>
    <cellStyle name="Comma 5 4 2 2 5" xfId="2390" xr:uid="{30F5892B-B6AE-4BF9-8A1D-7473F689387A}"/>
    <cellStyle name="Comma 5 4 2 2 5 2" xfId="6726" xr:uid="{7C3EE376-A520-4843-8AE3-CE7858CFCB57}"/>
    <cellStyle name="Comma 5 4 2 2 5 2 2" xfId="15398" xr:uid="{25A1B22B-79F4-4118-86C2-C97703251D42}"/>
    <cellStyle name="Comma 5 4 2 2 5 2 2 2" xfId="32742" xr:uid="{6D3CA999-E905-4675-A5B4-93D251264694}"/>
    <cellStyle name="Comma 5 4 2 2 5 2 3" xfId="24070" xr:uid="{44AC2861-ED54-4390-96BE-15572D6669DE}"/>
    <cellStyle name="Comma 5 4 2 2 5 3" xfId="11062" xr:uid="{411ADF69-25E6-470F-BAB7-BC554D67D499}"/>
    <cellStyle name="Comma 5 4 2 2 5 3 2" xfId="28406" xr:uid="{4D381339-878B-4F74-91CB-80A02A0EF4F3}"/>
    <cellStyle name="Comma 5 4 2 2 5 4" xfId="19734" xr:uid="{57BB5521-E7E0-4392-BF87-F39BCC9E1D4F}"/>
    <cellStyle name="Comma 5 4 2 2 6" xfId="4558" xr:uid="{E6E3A2FE-AA04-442D-B74E-CC33520B0BBD}"/>
    <cellStyle name="Comma 5 4 2 2 6 2" xfId="13230" xr:uid="{A02E8A98-E5B4-46FA-9D93-A836FE7C412F}"/>
    <cellStyle name="Comma 5 4 2 2 6 2 2" xfId="30574" xr:uid="{7A42B651-76AA-4E4E-A8CA-B86F3B18E83F}"/>
    <cellStyle name="Comma 5 4 2 2 6 3" xfId="21902" xr:uid="{A3828D76-12C3-40AE-815F-A8634CB0EB35}"/>
    <cellStyle name="Comma 5 4 2 2 7" xfId="8894" xr:uid="{F440752E-7105-4F61-9F39-FE96C1C4B8CD}"/>
    <cellStyle name="Comma 5 4 2 2 7 2" xfId="26238" xr:uid="{7AA6C0A5-010F-4021-A088-AB508A57F085}"/>
    <cellStyle name="Comma 5 4 2 2 8" xfId="17566" xr:uid="{376A5A27-9762-41D9-BC7D-2519D5DCB598}"/>
    <cellStyle name="Comma 5 4 2 3" xfId="370" xr:uid="{975EA243-CD71-400D-8BB4-EEAB221C1FF7}"/>
    <cellStyle name="Comma 5 4 2 3 2" xfId="911" xr:uid="{489771D8-8BFE-4E65-9CC8-4814EB649FF8}"/>
    <cellStyle name="Comma 5 4 2 3 2 2" xfId="1995" xr:uid="{A2537F88-7F57-48FD-AF4C-ADFA7663D50C}"/>
    <cellStyle name="Comma 5 4 2 3 2 2 2" xfId="4163" xr:uid="{E61890B1-BECF-4202-836E-09B0A030FD01}"/>
    <cellStyle name="Comma 5 4 2 3 2 2 2 2" xfId="8499" xr:uid="{5EE4F713-80F5-41C6-97C0-5EBDB9DB9CE5}"/>
    <cellStyle name="Comma 5 4 2 3 2 2 2 2 2" xfId="17171" xr:uid="{3F71F6E9-0460-4A49-80E2-5B225A889E99}"/>
    <cellStyle name="Comma 5 4 2 3 2 2 2 2 2 2" xfId="34515" xr:uid="{00F0BF96-25E3-475C-863E-C6E162125B80}"/>
    <cellStyle name="Comma 5 4 2 3 2 2 2 2 3" xfId="25843" xr:uid="{302C60B1-1F36-46DD-B168-2E7C90DBD016}"/>
    <cellStyle name="Comma 5 4 2 3 2 2 2 3" xfId="12835" xr:uid="{C7156592-F74D-43AA-BEC6-1B9D11EFBADB}"/>
    <cellStyle name="Comma 5 4 2 3 2 2 2 3 2" xfId="30179" xr:uid="{E2F90D5D-8E2B-4BF0-A3D9-D32ABCD71D8E}"/>
    <cellStyle name="Comma 5 4 2 3 2 2 2 4" xfId="21507" xr:uid="{67A9392C-412A-443E-BF61-517D0F0AA946}"/>
    <cellStyle name="Comma 5 4 2 3 2 2 3" xfId="6331" xr:uid="{9835E8E4-D2E6-44DF-8CCC-EB8E71DA914A}"/>
    <cellStyle name="Comma 5 4 2 3 2 2 3 2" xfId="15003" xr:uid="{47E06930-BE00-4D91-9725-7EEDC61E18F1}"/>
    <cellStyle name="Comma 5 4 2 3 2 2 3 2 2" xfId="32347" xr:uid="{66D1C708-5F3B-4AC2-988C-07729E3B4C40}"/>
    <cellStyle name="Comma 5 4 2 3 2 2 3 3" xfId="23675" xr:uid="{5CBE423D-7527-4FF3-90CB-75B68C717680}"/>
    <cellStyle name="Comma 5 4 2 3 2 2 4" xfId="10667" xr:uid="{4FDD0173-602E-4FEA-B30E-6963D7157020}"/>
    <cellStyle name="Comma 5 4 2 3 2 2 4 2" xfId="28011" xr:uid="{7B1E7DE5-80F9-4C24-879F-98BDBA679A5A}"/>
    <cellStyle name="Comma 5 4 2 3 2 2 5" xfId="19339" xr:uid="{9D884F6D-1666-497F-B657-EF1ABC1BB219}"/>
    <cellStyle name="Comma 5 4 2 3 2 3" xfId="3079" xr:uid="{DC267EE5-9956-40B1-B3FC-27F5F6167779}"/>
    <cellStyle name="Comma 5 4 2 3 2 3 2" xfId="7415" xr:uid="{07CB2D88-E37D-444C-9AF8-101C9EF1501B}"/>
    <cellStyle name="Comma 5 4 2 3 2 3 2 2" xfId="16087" xr:uid="{4E59347E-3630-4920-AE3C-42E5008780B3}"/>
    <cellStyle name="Comma 5 4 2 3 2 3 2 2 2" xfId="33431" xr:uid="{9659DCD6-3274-42A9-8724-59624F4BA70D}"/>
    <cellStyle name="Comma 5 4 2 3 2 3 2 3" xfId="24759" xr:uid="{1D1A18B7-CE98-45E9-91D2-FCD7DE07B297}"/>
    <cellStyle name="Comma 5 4 2 3 2 3 3" xfId="11751" xr:uid="{5D9C73B0-A40F-4F50-8D5E-C19FBC79EAA0}"/>
    <cellStyle name="Comma 5 4 2 3 2 3 3 2" xfId="29095" xr:uid="{5E130190-C2E5-48CD-B1BE-A54AEB184190}"/>
    <cellStyle name="Comma 5 4 2 3 2 3 4" xfId="20423" xr:uid="{2B5F8E23-ABB1-41A0-ACBC-3B3815B82AF3}"/>
    <cellStyle name="Comma 5 4 2 3 2 4" xfId="5247" xr:uid="{33F5E7DD-FCC9-43DF-8625-DED4A9949242}"/>
    <cellStyle name="Comma 5 4 2 3 2 4 2" xfId="13919" xr:uid="{EFDC6830-5B15-4AA7-AC2B-EDE001212F14}"/>
    <cellStyle name="Comma 5 4 2 3 2 4 2 2" xfId="31263" xr:uid="{C2503F9A-2B11-4827-A0E0-C6EF6D934786}"/>
    <cellStyle name="Comma 5 4 2 3 2 4 3" xfId="22591" xr:uid="{8792477D-D737-4A70-89A4-4E7C7FB43016}"/>
    <cellStyle name="Comma 5 4 2 3 2 5" xfId="9583" xr:uid="{C9582B41-FE65-43B2-BA2D-B3A2188B01BE}"/>
    <cellStyle name="Comma 5 4 2 3 2 5 2" xfId="26927" xr:uid="{BAFD2C79-B898-40FD-ACDE-FC1EA816168D}"/>
    <cellStyle name="Comma 5 4 2 3 2 6" xfId="18255" xr:uid="{B085EB1C-CFE3-40AA-87E2-B58363A1D3E2}"/>
    <cellStyle name="Comma 5 4 2 3 3" xfId="1454" xr:uid="{F3963A92-01A8-4357-B2F8-6FA88DE5697B}"/>
    <cellStyle name="Comma 5 4 2 3 3 2" xfId="3622" xr:uid="{D2B13F50-DB45-42B7-8F32-25A54082B26C}"/>
    <cellStyle name="Comma 5 4 2 3 3 2 2" xfId="7958" xr:uid="{9208BFDD-5929-4823-B8FD-283F3BEB9959}"/>
    <cellStyle name="Comma 5 4 2 3 3 2 2 2" xfId="16630" xr:uid="{CBBAFEC9-38BC-411F-B3D6-33547F5992FC}"/>
    <cellStyle name="Comma 5 4 2 3 3 2 2 2 2" xfId="33974" xr:uid="{F9E70E73-1EC1-49D9-BC34-593E0CE91854}"/>
    <cellStyle name="Comma 5 4 2 3 3 2 2 3" xfId="25302" xr:uid="{4173452D-503E-4B22-BED4-CA2D28C94D6A}"/>
    <cellStyle name="Comma 5 4 2 3 3 2 3" xfId="12294" xr:uid="{1BF6D963-711A-4021-B57F-30872DED8187}"/>
    <cellStyle name="Comma 5 4 2 3 3 2 3 2" xfId="29638" xr:uid="{7200B53C-6F82-4A51-9BFD-A40495CC2C1A}"/>
    <cellStyle name="Comma 5 4 2 3 3 2 4" xfId="20966" xr:uid="{F25570CD-FA92-4CFE-81E6-64B745B18DDF}"/>
    <cellStyle name="Comma 5 4 2 3 3 3" xfId="5790" xr:uid="{CE6D4BC8-5582-4222-8E6B-D6454A982A43}"/>
    <cellStyle name="Comma 5 4 2 3 3 3 2" xfId="14462" xr:uid="{EF4CF95A-6755-49E4-B40C-48406D28E10D}"/>
    <cellStyle name="Comma 5 4 2 3 3 3 2 2" xfId="31806" xr:uid="{4E1F7FBC-6208-41C7-A609-D82CBD55968A}"/>
    <cellStyle name="Comma 5 4 2 3 3 3 3" xfId="23134" xr:uid="{27F6032E-EF4C-41F8-8F38-D739C80E2DDE}"/>
    <cellStyle name="Comma 5 4 2 3 3 4" xfId="10126" xr:uid="{7CA05C25-51D1-4A49-9AF9-AC579343821B}"/>
    <cellStyle name="Comma 5 4 2 3 3 4 2" xfId="27470" xr:uid="{1A8F04DF-08A9-4F5B-B398-0769EE1295E9}"/>
    <cellStyle name="Comma 5 4 2 3 3 5" xfId="18798" xr:uid="{86DA9292-437E-47C7-B014-F2B4663F6919}"/>
    <cellStyle name="Comma 5 4 2 3 4" xfId="2538" xr:uid="{75D42A5C-826E-48F5-98AA-8DD0E9FD4C7C}"/>
    <cellStyle name="Comma 5 4 2 3 4 2" xfId="6874" xr:uid="{D445C813-485C-4D4E-9FCA-AF23F58A1EF6}"/>
    <cellStyle name="Comma 5 4 2 3 4 2 2" xfId="15546" xr:uid="{C9DFC4D3-EB55-4B57-A8FE-A3F3921B61DA}"/>
    <cellStyle name="Comma 5 4 2 3 4 2 2 2" xfId="32890" xr:uid="{19E45F7B-D1E6-4663-8AE0-3352F4AFD38B}"/>
    <cellStyle name="Comma 5 4 2 3 4 2 3" xfId="24218" xr:uid="{7E30F0D0-E43C-4562-AB96-4800E6C77760}"/>
    <cellStyle name="Comma 5 4 2 3 4 3" xfId="11210" xr:uid="{C9700971-DF6F-4686-9415-1E0FF4DF3F2B}"/>
    <cellStyle name="Comma 5 4 2 3 4 3 2" xfId="28554" xr:uid="{8837EB90-9D73-45D6-B926-5384C8AC0528}"/>
    <cellStyle name="Comma 5 4 2 3 4 4" xfId="19882" xr:uid="{BE6DF239-B606-491A-910A-786ACE12F067}"/>
    <cellStyle name="Comma 5 4 2 3 5" xfId="4706" xr:uid="{FE6738BC-3EC5-44A9-BB9F-361F7D626D43}"/>
    <cellStyle name="Comma 5 4 2 3 5 2" xfId="13378" xr:uid="{8D0872A5-1E11-4F1F-A866-BA4E8AE142DD}"/>
    <cellStyle name="Comma 5 4 2 3 5 2 2" xfId="30722" xr:uid="{781C0647-A142-4520-AE95-7DB1DE8E8AC9}"/>
    <cellStyle name="Comma 5 4 2 3 5 3" xfId="22050" xr:uid="{C6C4DB42-1DD2-4203-8676-1CB8E9430B72}"/>
    <cellStyle name="Comma 5 4 2 3 6" xfId="9042" xr:uid="{5B051CA1-BBBF-44ED-9E10-B1767379C255}"/>
    <cellStyle name="Comma 5 4 2 3 6 2" xfId="26386" xr:uid="{3108B2AF-0A47-4E0A-A3CC-D44469FD8F22}"/>
    <cellStyle name="Comma 5 4 2 3 7" xfId="17714" xr:uid="{AC65613D-29CC-4F1A-8E7F-2F1EC7B8864B}"/>
    <cellStyle name="Comma 5 4 2 4" xfId="641" xr:uid="{2B134759-0AD2-4E5A-A0FF-57E1B734F165}"/>
    <cellStyle name="Comma 5 4 2 4 2" xfId="1725" xr:uid="{607CD95B-F541-4BFF-A839-E04901577F32}"/>
    <cellStyle name="Comma 5 4 2 4 2 2" xfId="3893" xr:uid="{999BC88B-4B50-460F-A231-14171F933273}"/>
    <cellStyle name="Comma 5 4 2 4 2 2 2" xfId="8229" xr:uid="{98A946D1-FE55-406E-AC58-7F85E97EE363}"/>
    <cellStyle name="Comma 5 4 2 4 2 2 2 2" xfId="16901" xr:uid="{AF8A4DC9-DC48-4ED2-B00F-4CA54CCDBF47}"/>
    <cellStyle name="Comma 5 4 2 4 2 2 2 2 2" xfId="34245" xr:uid="{3ADD6AA2-8C88-4059-A5CC-F9E42962E6D0}"/>
    <cellStyle name="Comma 5 4 2 4 2 2 2 3" xfId="25573" xr:uid="{254CC64D-B833-4B43-B7BA-D0DB298040DF}"/>
    <cellStyle name="Comma 5 4 2 4 2 2 3" xfId="12565" xr:uid="{939FB6A8-EE26-45C0-B048-33E0B0C9BD3C}"/>
    <cellStyle name="Comma 5 4 2 4 2 2 3 2" xfId="29909" xr:uid="{8DF488BE-2761-4BE7-9803-BA4812AC31EB}"/>
    <cellStyle name="Comma 5 4 2 4 2 2 4" xfId="21237" xr:uid="{21944CF0-635F-438D-89E0-E897EF0C1860}"/>
    <cellStyle name="Comma 5 4 2 4 2 3" xfId="6061" xr:uid="{19137501-0B48-4C19-A59C-BAEC15BDEDBD}"/>
    <cellStyle name="Comma 5 4 2 4 2 3 2" xfId="14733" xr:uid="{8E02BD20-F638-4FAC-85D8-557F29E746FB}"/>
    <cellStyle name="Comma 5 4 2 4 2 3 2 2" xfId="32077" xr:uid="{51B6B9DE-2AE5-4601-844B-93B8D6C6B3B9}"/>
    <cellStyle name="Comma 5 4 2 4 2 3 3" xfId="23405" xr:uid="{40C56A81-FFB3-4D1B-B6B0-C828458570E8}"/>
    <cellStyle name="Comma 5 4 2 4 2 4" xfId="10397" xr:uid="{1CE58576-7482-4C77-B19C-549B8BE7212B}"/>
    <cellStyle name="Comma 5 4 2 4 2 4 2" xfId="27741" xr:uid="{35E1FC34-3797-4C25-8555-CC357D75905B}"/>
    <cellStyle name="Comma 5 4 2 4 2 5" xfId="19069" xr:uid="{69DC0F7D-C15C-4B39-ADA5-20358AC1B83A}"/>
    <cellStyle name="Comma 5 4 2 4 3" xfId="2809" xr:uid="{DB8B6EFF-EC64-4B18-9B62-F2257547CDC0}"/>
    <cellStyle name="Comma 5 4 2 4 3 2" xfId="7145" xr:uid="{52526E2D-F7EA-4825-822C-7538304FD063}"/>
    <cellStyle name="Comma 5 4 2 4 3 2 2" xfId="15817" xr:uid="{75BF1E15-A0E0-4267-AAD4-ADBBE75BBD61}"/>
    <cellStyle name="Comma 5 4 2 4 3 2 2 2" xfId="33161" xr:uid="{F3B0C846-5072-4A85-B9E9-8CFA069F5F88}"/>
    <cellStyle name="Comma 5 4 2 4 3 2 3" xfId="24489" xr:uid="{A41E68A0-FFEB-4349-A810-ADF07AB6DE3C}"/>
    <cellStyle name="Comma 5 4 2 4 3 3" xfId="11481" xr:uid="{485F9AA3-6BB8-4242-B733-324B6B95F7C2}"/>
    <cellStyle name="Comma 5 4 2 4 3 3 2" xfId="28825" xr:uid="{B2D5D46E-085F-4F2D-9CD6-2A7E0B0CCB85}"/>
    <cellStyle name="Comma 5 4 2 4 3 4" xfId="20153" xr:uid="{10F4B85A-C4DF-4642-8127-F5A5EFAECF3E}"/>
    <cellStyle name="Comma 5 4 2 4 4" xfId="4977" xr:uid="{EE618AB6-AE63-4528-8975-9D22C4F8F36E}"/>
    <cellStyle name="Comma 5 4 2 4 4 2" xfId="13649" xr:uid="{A6241D70-0B19-4B92-B017-BF82BFDAC224}"/>
    <cellStyle name="Comma 5 4 2 4 4 2 2" xfId="30993" xr:uid="{029B016F-2AC0-47EE-BE58-72F3358500C9}"/>
    <cellStyle name="Comma 5 4 2 4 4 3" xfId="22321" xr:uid="{79BBE9C9-D85B-4997-B000-4683B832E088}"/>
    <cellStyle name="Comma 5 4 2 4 5" xfId="9313" xr:uid="{8C63D2A5-6BD8-4390-B8AE-FF5E6E0AF5BC}"/>
    <cellStyle name="Comma 5 4 2 4 5 2" xfId="26657" xr:uid="{C4AB5683-3860-4B5D-9015-41F06E2534F8}"/>
    <cellStyle name="Comma 5 4 2 4 6" xfId="17985" xr:uid="{58671B4A-CB24-4840-A140-6A6D2D4FE245}"/>
    <cellStyle name="Comma 5 4 2 5" xfId="1184" xr:uid="{5EE9CFD2-7446-4F60-AEE6-887FE66AF7C1}"/>
    <cellStyle name="Comma 5 4 2 5 2" xfId="3352" xr:uid="{C2B4B755-833C-4131-A20F-00EDBFD01A66}"/>
    <cellStyle name="Comma 5 4 2 5 2 2" xfId="7688" xr:uid="{BB1308A4-AF5B-451F-BD41-C5F25E22D599}"/>
    <cellStyle name="Comma 5 4 2 5 2 2 2" xfId="16360" xr:uid="{C4A34C2E-9E49-428F-9B98-C67249FC611F}"/>
    <cellStyle name="Comma 5 4 2 5 2 2 2 2" xfId="33704" xr:uid="{DE4F8FD8-A8F6-403C-8798-69A4A6E2DFC6}"/>
    <cellStyle name="Comma 5 4 2 5 2 2 3" xfId="25032" xr:uid="{2D2309FE-21BE-4A51-BB30-4119D0DB8759}"/>
    <cellStyle name="Comma 5 4 2 5 2 3" xfId="12024" xr:uid="{E90CBC96-7FFC-48FA-9D20-10E78A374A1C}"/>
    <cellStyle name="Comma 5 4 2 5 2 3 2" xfId="29368" xr:uid="{12195B50-E3B0-47DC-AB7A-D0937EEFCA18}"/>
    <cellStyle name="Comma 5 4 2 5 2 4" xfId="20696" xr:uid="{2FED634F-6F07-4BDD-9C1F-1343866DBE23}"/>
    <cellStyle name="Comma 5 4 2 5 3" xfId="5520" xr:uid="{5F3758CB-683E-4D8C-85D7-48DDC4D230B1}"/>
    <cellStyle name="Comma 5 4 2 5 3 2" xfId="14192" xr:uid="{6013802C-9311-4481-A6AE-6C963805FECA}"/>
    <cellStyle name="Comma 5 4 2 5 3 2 2" xfId="31536" xr:uid="{90963997-5DD3-432A-8D45-6F3E9EA55672}"/>
    <cellStyle name="Comma 5 4 2 5 3 3" xfId="22864" xr:uid="{025EBE01-33FB-4A33-A61F-F4C0023B7DFB}"/>
    <cellStyle name="Comma 5 4 2 5 4" xfId="9856" xr:uid="{1AD9AA9D-A6A5-4C36-8F2C-A66C6F0AC658}"/>
    <cellStyle name="Comma 5 4 2 5 4 2" xfId="27200" xr:uid="{4FA2BF8B-EF39-4B63-8D29-84AC2E332CDF}"/>
    <cellStyle name="Comma 5 4 2 5 5" xfId="18528" xr:uid="{B9C97BE5-809D-4CF5-8624-5BA43A11F5DF}"/>
    <cellStyle name="Comma 5 4 2 6" xfId="2268" xr:uid="{7658B73E-6380-4E58-80C3-46F1A583CC86}"/>
    <cellStyle name="Comma 5 4 2 6 2" xfId="6604" xr:uid="{BD806090-BE67-461F-B34A-201773921F76}"/>
    <cellStyle name="Comma 5 4 2 6 2 2" xfId="15276" xr:uid="{90391FBF-EA80-4C99-9268-D4597FB9565A}"/>
    <cellStyle name="Comma 5 4 2 6 2 2 2" xfId="32620" xr:uid="{45AA1EA5-FCCF-4ABD-B7A7-1C1E3C8642C3}"/>
    <cellStyle name="Comma 5 4 2 6 2 3" xfId="23948" xr:uid="{90AA5020-613E-4A1A-BE98-20ED7F5634DC}"/>
    <cellStyle name="Comma 5 4 2 6 3" xfId="10940" xr:uid="{552E8772-CAA6-4580-8BA2-40BE1F1F9225}"/>
    <cellStyle name="Comma 5 4 2 6 3 2" xfId="28284" xr:uid="{C000A7AA-2952-4384-BB93-9706B2931F34}"/>
    <cellStyle name="Comma 5 4 2 6 4" xfId="19612" xr:uid="{ADFDD4C1-0E1C-467C-8626-D032C8D708FD}"/>
    <cellStyle name="Comma 5 4 2 7" xfId="4436" xr:uid="{B2A6D005-20D7-4D8F-98CC-6A7D312995F2}"/>
    <cellStyle name="Comma 5 4 2 7 2" xfId="13108" xr:uid="{B718F216-0FF0-432E-9EC8-76A0B73C8662}"/>
    <cellStyle name="Comma 5 4 2 7 2 2" xfId="30452" xr:uid="{450CE38B-64D4-4048-9F83-D6A285F5AA73}"/>
    <cellStyle name="Comma 5 4 2 7 3" xfId="21780" xr:uid="{6BAFFB5F-F4B1-4811-9A96-3397D281015C}"/>
    <cellStyle name="Comma 5 4 2 8" xfId="8772" xr:uid="{4D4C0A7E-8E6B-4C11-9FC4-CF075DA31911}"/>
    <cellStyle name="Comma 5 4 2 8 2" xfId="26116" xr:uid="{A2013065-F9EB-4700-973D-0F80F439D56C}"/>
    <cellStyle name="Comma 5 4 2 9" xfId="17444" xr:uid="{05793B58-B87A-442C-A602-10FF75410E62}"/>
    <cellStyle name="Comma 5 4 3" xfId="161" xr:uid="{5191ABA3-D1E5-4F1A-B1A6-DA31A31625C2}"/>
    <cellStyle name="Comma 5 4 3 2" xfId="431" xr:uid="{6727AD0A-BE66-4891-A810-29A374184A6D}"/>
    <cellStyle name="Comma 5 4 3 2 2" xfId="972" xr:uid="{094A799C-A02C-4AEE-B4E3-A86496D22066}"/>
    <cellStyle name="Comma 5 4 3 2 2 2" xfId="2056" xr:uid="{B09C6350-1F83-4EF2-9762-CDF8F7E919CD}"/>
    <cellStyle name="Comma 5 4 3 2 2 2 2" xfId="4224" xr:uid="{C4D42CAE-27D4-4157-A8B8-3385D16AB1D8}"/>
    <cellStyle name="Comma 5 4 3 2 2 2 2 2" xfId="8560" xr:uid="{EFE3D265-E7FD-454A-9ED9-BDD7C0B8D505}"/>
    <cellStyle name="Comma 5 4 3 2 2 2 2 2 2" xfId="17232" xr:uid="{10BD4CB9-DCE1-4AFD-81B5-FAAE14246361}"/>
    <cellStyle name="Comma 5 4 3 2 2 2 2 2 2 2" xfId="34576" xr:uid="{AB86FF33-2624-4488-AD49-8F6153246DB6}"/>
    <cellStyle name="Comma 5 4 3 2 2 2 2 2 3" xfId="25904" xr:uid="{33F6C75A-AE83-4A7A-911B-F514EF1D9173}"/>
    <cellStyle name="Comma 5 4 3 2 2 2 2 3" xfId="12896" xr:uid="{4F3F30FD-3F4D-4C23-8BB9-B974A2B597C4}"/>
    <cellStyle name="Comma 5 4 3 2 2 2 2 3 2" xfId="30240" xr:uid="{5CCBD423-5835-4F25-91B3-453C3A27DA62}"/>
    <cellStyle name="Comma 5 4 3 2 2 2 2 4" xfId="21568" xr:uid="{F393E974-BCCF-4082-9B40-C990965EDD4C}"/>
    <cellStyle name="Comma 5 4 3 2 2 2 3" xfId="6392" xr:uid="{A56DE040-DDB9-4F56-B088-C0640E12FA4F}"/>
    <cellStyle name="Comma 5 4 3 2 2 2 3 2" xfId="15064" xr:uid="{084F454B-B962-498C-A948-EAFC68C349FA}"/>
    <cellStyle name="Comma 5 4 3 2 2 2 3 2 2" xfId="32408" xr:uid="{EED7635C-1802-48C5-9073-CC25F96B56B4}"/>
    <cellStyle name="Comma 5 4 3 2 2 2 3 3" xfId="23736" xr:uid="{D7DA3821-58F4-4040-9A0A-F78F86E735EF}"/>
    <cellStyle name="Comma 5 4 3 2 2 2 4" xfId="10728" xr:uid="{294AF22B-FAFC-455D-B21F-22C4186A2083}"/>
    <cellStyle name="Comma 5 4 3 2 2 2 4 2" xfId="28072" xr:uid="{6C9C3D7C-A601-44EB-A060-F4FBCDCA51A4}"/>
    <cellStyle name="Comma 5 4 3 2 2 2 5" xfId="19400" xr:uid="{0C77F973-B553-43E9-8C55-A09DBBFC8914}"/>
    <cellStyle name="Comma 5 4 3 2 2 3" xfId="3140" xr:uid="{D045351E-96B4-4A64-B7F2-71844F1C4015}"/>
    <cellStyle name="Comma 5 4 3 2 2 3 2" xfId="7476" xr:uid="{9A629519-CABC-415F-B346-94FF0418B78E}"/>
    <cellStyle name="Comma 5 4 3 2 2 3 2 2" xfId="16148" xr:uid="{3841AE77-2B77-4D73-89F0-FF0E5A149BD5}"/>
    <cellStyle name="Comma 5 4 3 2 2 3 2 2 2" xfId="33492" xr:uid="{2A28E788-61B3-49EC-B812-F7F794421C7B}"/>
    <cellStyle name="Comma 5 4 3 2 2 3 2 3" xfId="24820" xr:uid="{8CAA6DFE-C5DE-4FB9-9EC1-6BEA7DDC7BF4}"/>
    <cellStyle name="Comma 5 4 3 2 2 3 3" xfId="11812" xr:uid="{FF7D60CC-A01C-4284-B209-41A4AC83CF7C}"/>
    <cellStyle name="Comma 5 4 3 2 2 3 3 2" xfId="29156" xr:uid="{98859B78-0D27-46B6-8989-5A27026AE9DD}"/>
    <cellStyle name="Comma 5 4 3 2 2 3 4" xfId="20484" xr:uid="{FF786BAF-61B0-4205-A5B3-6C2ABC4BC256}"/>
    <cellStyle name="Comma 5 4 3 2 2 4" xfId="5308" xr:uid="{118E340E-02E8-4AFE-A127-4F95D8B19972}"/>
    <cellStyle name="Comma 5 4 3 2 2 4 2" xfId="13980" xr:uid="{33E656CB-940F-4DF4-BA1B-B1034A92E42F}"/>
    <cellStyle name="Comma 5 4 3 2 2 4 2 2" xfId="31324" xr:uid="{9E8135C1-FC42-4E69-A040-AA6E1B6BFE76}"/>
    <cellStyle name="Comma 5 4 3 2 2 4 3" xfId="22652" xr:uid="{63FAD6D7-E94D-4CBF-8FC2-389305B1E39A}"/>
    <cellStyle name="Comma 5 4 3 2 2 5" xfId="9644" xr:uid="{6DB7DB24-DB34-4531-BFB2-9AF2AED9815F}"/>
    <cellStyle name="Comma 5 4 3 2 2 5 2" xfId="26988" xr:uid="{BEDFA8C0-98ED-40C2-9B36-7DCA33C72984}"/>
    <cellStyle name="Comma 5 4 3 2 2 6" xfId="18316" xr:uid="{E321EC5B-2067-4E52-AD25-CA24772D5AE5}"/>
    <cellStyle name="Comma 5 4 3 2 3" xfId="1515" xr:uid="{5DA7CA3A-91F6-4BB2-8C40-0D7DFC575DF8}"/>
    <cellStyle name="Comma 5 4 3 2 3 2" xfId="3683" xr:uid="{FF8DBB4E-C52D-4325-ADDC-7104F8100DFA}"/>
    <cellStyle name="Comma 5 4 3 2 3 2 2" xfId="8019" xr:uid="{BA9E4220-C87E-4878-BA1C-ADF8551D8C43}"/>
    <cellStyle name="Comma 5 4 3 2 3 2 2 2" xfId="16691" xr:uid="{77E65538-4876-4261-B50C-9C65013C9421}"/>
    <cellStyle name="Comma 5 4 3 2 3 2 2 2 2" xfId="34035" xr:uid="{9E916D09-1490-48E1-8E4B-BCFAAA77D1B9}"/>
    <cellStyle name="Comma 5 4 3 2 3 2 2 3" xfId="25363" xr:uid="{8637BCE2-5BF3-47E6-B65D-AC5BBCDA9A76}"/>
    <cellStyle name="Comma 5 4 3 2 3 2 3" xfId="12355" xr:uid="{D8389CDF-7BB5-4D1F-8555-ABD51E940238}"/>
    <cellStyle name="Comma 5 4 3 2 3 2 3 2" xfId="29699" xr:uid="{473332E9-B1BF-4D78-90F1-04E0597B1416}"/>
    <cellStyle name="Comma 5 4 3 2 3 2 4" xfId="21027" xr:uid="{AC80BEA0-1E2A-44B7-9B02-CB3FC5F0F1E6}"/>
    <cellStyle name="Comma 5 4 3 2 3 3" xfId="5851" xr:uid="{2634BC59-F5C7-4E92-A0BD-3E3662B37BF0}"/>
    <cellStyle name="Comma 5 4 3 2 3 3 2" xfId="14523" xr:uid="{FFECC838-C3CA-42DD-8E70-5FE69B3FE045}"/>
    <cellStyle name="Comma 5 4 3 2 3 3 2 2" xfId="31867" xr:uid="{A32F96D3-BBEB-43D0-881D-0F20A5EAEBB8}"/>
    <cellStyle name="Comma 5 4 3 2 3 3 3" xfId="23195" xr:uid="{8ADF8F52-765B-4F3A-88D2-01C1EE251568}"/>
    <cellStyle name="Comma 5 4 3 2 3 4" xfId="10187" xr:uid="{89606D5C-7308-4D03-8D07-46FA7954D2C3}"/>
    <cellStyle name="Comma 5 4 3 2 3 4 2" xfId="27531" xr:uid="{A31F2CAA-1740-455D-8A1E-48DDC7AC969B}"/>
    <cellStyle name="Comma 5 4 3 2 3 5" xfId="18859" xr:uid="{BC6CBC5C-40E6-4E43-A988-92797AB82AD4}"/>
    <cellStyle name="Comma 5 4 3 2 4" xfId="2599" xr:uid="{036A967D-6798-442B-A2C3-1C5EF3D4218D}"/>
    <cellStyle name="Comma 5 4 3 2 4 2" xfId="6935" xr:uid="{32CD313E-B5DB-45A7-AF75-115A7EAF462E}"/>
    <cellStyle name="Comma 5 4 3 2 4 2 2" xfId="15607" xr:uid="{60F18E82-CEF2-4780-8F9F-FA2CEE6B07AA}"/>
    <cellStyle name="Comma 5 4 3 2 4 2 2 2" xfId="32951" xr:uid="{E02715D7-B6E2-45D1-85DB-5EFA62771D8D}"/>
    <cellStyle name="Comma 5 4 3 2 4 2 3" xfId="24279" xr:uid="{1D45301F-1E58-4D69-814C-FD54CC0A8FB3}"/>
    <cellStyle name="Comma 5 4 3 2 4 3" xfId="11271" xr:uid="{1DDB4E31-4F9D-40F3-8902-50A81BAF0FE4}"/>
    <cellStyle name="Comma 5 4 3 2 4 3 2" xfId="28615" xr:uid="{E2F64495-B773-431C-BD82-1F6126281A59}"/>
    <cellStyle name="Comma 5 4 3 2 4 4" xfId="19943" xr:uid="{8AFBBD3F-D669-4C81-A5DC-CA178367387A}"/>
    <cellStyle name="Comma 5 4 3 2 5" xfId="4767" xr:uid="{78F9E895-3930-4E5A-B1EA-60AC696B6718}"/>
    <cellStyle name="Comma 5 4 3 2 5 2" xfId="13439" xr:uid="{3EBBA622-E626-4ED9-BC38-73BBE9497C68}"/>
    <cellStyle name="Comma 5 4 3 2 5 2 2" xfId="30783" xr:uid="{378181D8-DC77-416E-BE59-FA67404E6BB6}"/>
    <cellStyle name="Comma 5 4 3 2 5 3" xfId="22111" xr:uid="{7EF03413-F994-4D83-97C7-1461E7EDAF75}"/>
    <cellStyle name="Comma 5 4 3 2 6" xfId="9103" xr:uid="{D9506456-4E74-48BD-8797-532EF424C642}"/>
    <cellStyle name="Comma 5 4 3 2 6 2" xfId="26447" xr:uid="{9D05E31E-70C0-487B-9A6C-4699F2E9BD12}"/>
    <cellStyle name="Comma 5 4 3 2 7" xfId="17775" xr:uid="{646CBE3B-C817-481C-B94D-FE9F4B3B4601}"/>
    <cellStyle name="Comma 5 4 3 3" xfId="702" xr:uid="{AA67A837-2734-4C8E-A32E-FD8346935065}"/>
    <cellStyle name="Comma 5 4 3 3 2" xfId="1786" xr:uid="{C0621451-DFAD-4D1A-B3FF-D7B050DC2004}"/>
    <cellStyle name="Comma 5 4 3 3 2 2" xfId="3954" xr:uid="{5AD12BF1-1A98-4670-B700-478CEEA76F51}"/>
    <cellStyle name="Comma 5 4 3 3 2 2 2" xfId="8290" xr:uid="{65CD6F1B-7D4B-4392-924C-E03150E6B33D}"/>
    <cellStyle name="Comma 5 4 3 3 2 2 2 2" xfId="16962" xr:uid="{40C37911-57CA-47B8-84D9-CB2C868EEBA3}"/>
    <cellStyle name="Comma 5 4 3 3 2 2 2 2 2" xfId="34306" xr:uid="{72B6F42C-1358-4BC2-9C70-5984296B6060}"/>
    <cellStyle name="Comma 5 4 3 3 2 2 2 3" xfId="25634" xr:uid="{692C2B2B-C7BE-42E7-8655-9A075333246E}"/>
    <cellStyle name="Comma 5 4 3 3 2 2 3" xfId="12626" xr:uid="{1475996C-65F5-4237-8A3E-88E8266E6AEF}"/>
    <cellStyle name="Comma 5 4 3 3 2 2 3 2" xfId="29970" xr:uid="{2317B08C-19D2-4393-B9CB-C2EB4A93DDE9}"/>
    <cellStyle name="Comma 5 4 3 3 2 2 4" xfId="21298" xr:uid="{B7D7E336-7627-4FD0-870B-7E92FF36E1D4}"/>
    <cellStyle name="Comma 5 4 3 3 2 3" xfId="6122" xr:uid="{E2CE1ACC-D0D0-4B5B-9AF4-5D502B3ABAD3}"/>
    <cellStyle name="Comma 5 4 3 3 2 3 2" xfId="14794" xr:uid="{C658E3F4-49B1-4BC8-BEDF-FFEF6D8A5B5B}"/>
    <cellStyle name="Comma 5 4 3 3 2 3 2 2" xfId="32138" xr:uid="{8467928B-D5E7-4ABB-90FF-266BF0D42461}"/>
    <cellStyle name="Comma 5 4 3 3 2 3 3" xfId="23466" xr:uid="{D4364CA6-18FF-4827-A69B-00763ED88B75}"/>
    <cellStyle name="Comma 5 4 3 3 2 4" xfId="10458" xr:uid="{9ABAEB60-233A-4DE1-8908-340B48C4DE14}"/>
    <cellStyle name="Comma 5 4 3 3 2 4 2" xfId="27802" xr:uid="{0766241D-F718-422D-876F-35BB5C77A85E}"/>
    <cellStyle name="Comma 5 4 3 3 2 5" xfId="19130" xr:uid="{2C876875-4642-4DAA-865B-A332BC58454A}"/>
    <cellStyle name="Comma 5 4 3 3 3" xfId="2870" xr:uid="{786A757A-DF52-4848-85DA-5D6629C00904}"/>
    <cellStyle name="Comma 5 4 3 3 3 2" xfId="7206" xr:uid="{F6471E74-625A-4C20-9B69-D0BF2744C0EF}"/>
    <cellStyle name="Comma 5 4 3 3 3 2 2" xfId="15878" xr:uid="{3839B86D-8F32-4F38-B52E-031E470CBAEE}"/>
    <cellStyle name="Comma 5 4 3 3 3 2 2 2" xfId="33222" xr:uid="{D4350A15-7619-4CF5-8310-93C89CF4671C}"/>
    <cellStyle name="Comma 5 4 3 3 3 2 3" xfId="24550" xr:uid="{D26057D3-C370-4539-8218-E17C2CB88B68}"/>
    <cellStyle name="Comma 5 4 3 3 3 3" xfId="11542" xr:uid="{4BAE5371-D7D1-4111-86D4-7830E50CC80B}"/>
    <cellStyle name="Comma 5 4 3 3 3 3 2" xfId="28886" xr:uid="{D5FD70C2-1DB8-45D3-81E4-0D96E2FAB4BE}"/>
    <cellStyle name="Comma 5 4 3 3 3 4" xfId="20214" xr:uid="{C2CAFCBE-0CAD-422E-AFD1-0B23AC789742}"/>
    <cellStyle name="Comma 5 4 3 3 4" xfId="5038" xr:uid="{502CEFF1-9333-44F3-A022-04E6D0728954}"/>
    <cellStyle name="Comma 5 4 3 3 4 2" xfId="13710" xr:uid="{F4B14ACE-8014-4533-945F-28085882116A}"/>
    <cellStyle name="Comma 5 4 3 3 4 2 2" xfId="31054" xr:uid="{3EA0F593-DA59-4474-A5AD-9143E6AA783A}"/>
    <cellStyle name="Comma 5 4 3 3 4 3" xfId="22382" xr:uid="{F2A1713D-5522-437A-8D39-F815157321C0}"/>
    <cellStyle name="Comma 5 4 3 3 5" xfId="9374" xr:uid="{A1DE4247-5B77-4974-B993-4C238D1063DD}"/>
    <cellStyle name="Comma 5 4 3 3 5 2" xfId="26718" xr:uid="{51C7888A-04A2-44B8-806B-F56CC03BAF3C}"/>
    <cellStyle name="Comma 5 4 3 3 6" xfId="18046" xr:uid="{690388ED-97DC-4C65-B44C-AA434CE9C44D}"/>
    <cellStyle name="Comma 5 4 3 4" xfId="1245" xr:uid="{B728F5E0-CCA1-4610-AA69-E280852C9FB7}"/>
    <cellStyle name="Comma 5 4 3 4 2" xfId="3413" xr:uid="{E083615A-2D72-4F1E-81A0-2254FBE6CE2C}"/>
    <cellStyle name="Comma 5 4 3 4 2 2" xfId="7749" xr:uid="{A6DB51A9-6412-400D-98FC-06FD67A153B1}"/>
    <cellStyle name="Comma 5 4 3 4 2 2 2" xfId="16421" xr:uid="{109C7531-9D25-404A-BE32-E7B39758D870}"/>
    <cellStyle name="Comma 5 4 3 4 2 2 2 2" xfId="33765" xr:uid="{70094208-A596-4926-98D1-A041AB22DB48}"/>
    <cellStyle name="Comma 5 4 3 4 2 2 3" xfId="25093" xr:uid="{40843E19-B3BC-4D93-A325-5F1666B0F0A8}"/>
    <cellStyle name="Comma 5 4 3 4 2 3" xfId="12085" xr:uid="{45629CFD-1013-4124-BC82-C30D67DDC7DC}"/>
    <cellStyle name="Comma 5 4 3 4 2 3 2" xfId="29429" xr:uid="{553AC911-90B7-498D-AE81-E873055BB0AE}"/>
    <cellStyle name="Comma 5 4 3 4 2 4" xfId="20757" xr:uid="{90DEE629-67C3-41B0-80BC-C93E76937790}"/>
    <cellStyle name="Comma 5 4 3 4 3" xfId="5581" xr:uid="{83449D5E-D750-40B7-B1BC-042A105B4E68}"/>
    <cellStyle name="Comma 5 4 3 4 3 2" xfId="14253" xr:uid="{ABA804C9-4378-41A7-9144-DDF75D037AF3}"/>
    <cellStyle name="Comma 5 4 3 4 3 2 2" xfId="31597" xr:uid="{B1432039-7058-47EC-B4E5-301ED9068AD5}"/>
    <cellStyle name="Comma 5 4 3 4 3 3" xfId="22925" xr:uid="{86B1BAB1-7A38-492B-8764-063DE23927D6}"/>
    <cellStyle name="Comma 5 4 3 4 4" xfId="9917" xr:uid="{E7DF4CD8-AA95-45A0-B977-9ECC847A0D4E}"/>
    <cellStyle name="Comma 5 4 3 4 4 2" xfId="27261" xr:uid="{B0F836F9-C62C-4513-B997-B0F045116366}"/>
    <cellStyle name="Comma 5 4 3 4 5" xfId="18589" xr:uid="{C64D036C-1B37-4CC7-8BF2-33CB82A2DD6F}"/>
    <cellStyle name="Comma 5 4 3 5" xfId="2329" xr:uid="{59B44CF3-D7DA-479A-8460-923EE87704A0}"/>
    <cellStyle name="Comma 5 4 3 5 2" xfId="6665" xr:uid="{242C0301-A296-4D1E-93E5-4F4AC1618466}"/>
    <cellStyle name="Comma 5 4 3 5 2 2" xfId="15337" xr:uid="{F1A9D9A4-1CBA-46E6-A068-E38E95D46417}"/>
    <cellStyle name="Comma 5 4 3 5 2 2 2" xfId="32681" xr:uid="{071BF76F-AD0B-4FC0-939A-DC293B64267B}"/>
    <cellStyle name="Comma 5 4 3 5 2 3" xfId="24009" xr:uid="{B12A1EF9-6C5B-49B8-8029-B3E4C92B4FAB}"/>
    <cellStyle name="Comma 5 4 3 5 3" xfId="11001" xr:uid="{2D89557C-A715-4DDB-9F39-816DBE2DB89F}"/>
    <cellStyle name="Comma 5 4 3 5 3 2" xfId="28345" xr:uid="{AE53BC80-49D8-45E8-A9FB-365C1CDB31A1}"/>
    <cellStyle name="Comma 5 4 3 5 4" xfId="19673" xr:uid="{45F8E6AD-42B7-4318-9855-1488E90289F7}"/>
    <cellStyle name="Comma 5 4 3 6" xfId="4497" xr:uid="{6F6AC30F-F223-454E-862C-60186EFE1123}"/>
    <cellStyle name="Comma 5 4 3 6 2" xfId="13169" xr:uid="{506D3375-B11E-4CE6-8BFF-E903ACCC744E}"/>
    <cellStyle name="Comma 5 4 3 6 2 2" xfId="30513" xr:uid="{71490BEE-BF99-4AD0-830F-E00BF103F895}"/>
    <cellStyle name="Comma 5 4 3 6 3" xfId="21841" xr:uid="{889C3E0A-B1BB-47D2-A826-A91E42BBFA97}"/>
    <cellStyle name="Comma 5 4 3 7" xfId="8833" xr:uid="{98FF70FF-1B58-46ED-B8D7-96E5CF4DACA0}"/>
    <cellStyle name="Comma 5 4 3 7 2" xfId="26177" xr:uid="{48208957-EA6A-444E-AAC7-1F0D925D48D8}"/>
    <cellStyle name="Comma 5 4 3 8" xfId="17505" xr:uid="{EF277C5B-993D-4098-AF9B-A38A3CD96880}"/>
    <cellStyle name="Comma 5 4 4" xfId="309" xr:uid="{08176DD0-65AA-49C9-9205-010EB08E10EB}"/>
    <cellStyle name="Comma 5 4 4 2" xfId="850" xr:uid="{E0567CDB-B14F-4C76-978F-755BE34B439E}"/>
    <cellStyle name="Comma 5 4 4 2 2" xfId="1934" xr:uid="{76713759-8C5F-4A0B-91E8-E53BD502149B}"/>
    <cellStyle name="Comma 5 4 4 2 2 2" xfId="4102" xr:uid="{D17EEB45-BC4F-485A-9DC4-C7C6E1007AE8}"/>
    <cellStyle name="Comma 5 4 4 2 2 2 2" xfId="8438" xr:uid="{2A61B9B4-F1EE-42B7-82BE-DF604EF03FCF}"/>
    <cellStyle name="Comma 5 4 4 2 2 2 2 2" xfId="17110" xr:uid="{FE68A468-C5C8-496A-A4EE-35EC8F9655C1}"/>
    <cellStyle name="Comma 5 4 4 2 2 2 2 2 2" xfId="34454" xr:uid="{C2B79266-4D21-4FBD-8EB9-4089048F5DA6}"/>
    <cellStyle name="Comma 5 4 4 2 2 2 2 3" xfId="25782" xr:uid="{98C9BABE-4E51-4033-BB8E-A75CF674F7D0}"/>
    <cellStyle name="Comma 5 4 4 2 2 2 3" xfId="12774" xr:uid="{40FAE4EC-ACDB-41B6-A198-02C4F41B807E}"/>
    <cellStyle name="Comma 5 4 4 2 2 2 3 2" xfId="30118" xr:uid="{ABD3DACA-4B5C-40F7-9085-B1BA459B9365}"/>
    <cellStyle name="Comma 5 4 4 2 2 2 4" xfId="21446" xr:uid="{19147B83-E675-40C4-949C-618BA3E37E07}"/>
    <cellStyle name="Comma 5 4 4 2 2 3" xfId="6270" xr:uid="{5D40D976-7A0A-4CC3-A397-B46B2CD49D0F}"/>
    <cellStyle name="Comma 5 4 4 2 2 3 2" xfId="14942" xr:uid="{F0111C2B-10CE-4E39-AF37-7F8AF51A93E0}"/>
    <cellStyle name="Comma 5 4 4 2 2 3 2 2" xfId="32286" xr:uid="{F3F8A0B4-6E9C-497A-9B41-8508F6B7AAF9}"/>
    <cellStyle name="Comma 5 4 4 2 2 3 3" xfId="23614" xr:uid="{B93BA442-A12F-4A4B-8996-AB85274DF601}"/>
    <cellStyle name="Comma 5 4 4 2 2 4" xfId="10606" xr:uid="{4320E259-A14B-4842-8B28-D15F65E80462}"/>
    <cellStyle name="Comma 5 4 4 2 2 4 2" xfId="27950" xr:uid="{7A17391A-6563-4F20-A264-792D14394137}"/>
    <cellStyle name="Comma 5 4 4 2 2 5" xfId="19278" xr:uid="{B74A6BCD-69F9-4832-84FA-F1A1257AEAB8}"/>
    <cellStyle name="Comma 5 4 4 2 3" xfId="3018" xr:uid="{1F933591-B125-4D8D-8657-7A61E72F5347}"/>
    <cellStyle name="Comma 5 4 4 2 3 2" xfId="7354" xr:uid="{8FA84BB0-1349-4ADF-BF66-39424E89E484}"/>
    <cellStyle name="Comma 5 4 4 2 3 2 2" xfId="16026" xr:uid="{D5372CBA-B777-4D87-9866-78BD697413EA}"/>
    <cellStyle name="Comma 5 4 4 2 3 2 2 2" xfId="33370" xr:uid="{EDD66179-1A21-47A7-83CE-973E90F7811C}"/>
    <cellStyle name="Comma 5 4 4 2 3 2 3" xfId="24698" xr:uid="{2C36B10C-DBE4-4587-A364-21C66F45FBC3}"/>
    <cellStyle name="Comma 5 4 4 2 3 3" xfId="11690" xr:uid="{364C1D71-1A1B-42D0-8650-E1148300EE22}"/>
    <cellStyle name="Comma 5 4 4 2 3 3 2" xfId="29034" xr:uid="{AAB97DC2-65E0-440B-A3B5-66A52176ED65}"/>
    <cellStyle name="Comma 5 4 4 2 3 4" xfId="20362" xr:uid="{6396BE71-CF8F-495D-AFC0-725DA75FBDE7}"/>
    <cellStyle name="Comma 5 4 4 2 4" xfId="5186" xr:uid="{B427BFA1-D705-485D-9BB8-3DCD331961CF}"/>
    <cellStyle name="Comma 5 4 4 2 4 2" xfId="13858" xr:uid="{7301CA52-8990-492E-A0BC-BE184E34A55C}"/>
    <cellStyle name="Comma 5 4 4 2 4 2 2" xfId="31202" xr:uid="{665E96C1-4CAC-4AC3-B1D2-B16264B9464F}"/>
    <cellStyle name="Comma 5 4 4 2 4 3" xfId="22530" xr:uid="{DF103B04-3B29-4BDA-80DA-8F6794FB00ED}"/>
    <cellStyle name="Comma 5 4 4 2 5" xfId="9522" xr:uid="{75F1DCAA-475E-488C-BA29-9E4CFBDC5E24}"/>
    <cellStyle name="Comma 5 4 4 2 5 2" xfId="26866" xr:uid="{65F9DAE5-C956-4B58-813C-9CFA6DF424E0}"/>
    <cellStyle name="Comma 5 4 4 2 6" xfId="18194" xr:uid="{7B43A315-114E-4E34-AD79-8B7F927B83E5}"/>
    <cellStyle name="Comma 5 4 4 3" xfId="1393" xr:uid="{D1441FA6-0EB2-4940-BBB9-DC8A9505BBDF}"/>
    <cellStyle name="Comma 5 4 4 3 2" xfId="3561" xr:uid="{86BA416C-DF4B-4D63-9520-3F927504E77F}"/>
    <cellStyle name="Comma 5 4 4 3 2 2" xfId="7897" xr:uid="{379E2FB6-0691-4AEC-AFA3-FFEACFE3DE58}"/>
    <cellStyle name="Comma 5 4 4 3 2 2 2" xfId="16569" xr:uid="{C2787CFC-8C2F-4760-9AD3-C79A827B3AE5}"/>
    <cellStyle name="Comma 5 4 4 3 2 2 2 2" xfId="33913" xr:uid="{D1EB8434-6CD1-4724-A04B-8878A5D4F7A8}"/>
    <cellStyle name="Comma 5 4 4 3 2 2 3" xfId="25241" xr:uid="{1E839457-E4C5-4AD5-8D6C-C228532B0A21}"/>
    <cellStyle name="Comma 5 4 4 3 2 3" xfId="12233" xr:uid="{1839F494-E173-47D2-BC22-3D672C837098}"/>
    <cellStyle name="Comma 5 4 4 3 2 3 2" xfId="29577" xr:uid="{CEBBF8E3-BF89-4818-89BB-AE01982C7A91}"/>
    <cellStyle name="Comma 5 4 4 3 2 4" xfId="20905" xr:uid="{05647D0E-14E2-4340-98A5-0C9AB7068D03}"/>
    <cellStyle name="Comma 5 4 4 3 3" xfId="5729" xr:uid="{EB4A1DCF-7DCA-4F68-8389-6DD75940F119}"/>
    <cellStyle name="Comma 5 4 4 3 3 2" xfId="14401" xr:uid="{AB27CC09-B8D4-4E84-9E86-FBE08B7E4184}"/>
    <cellStyle name="Comma 5 4 4 3 3 2 2" xfId="31745" xr:uid="{16C59914-EB4D-43E1-BAD7-3CE920BD22FC}"/>
    <cellStyle name="Comma 5 4 4 3 3 3" xfId="23073" xr:uid="{F02029FB-EB09-43B3-9656-2D03DF8D0755}"/>
    <cellStyle name="Comma 5 4 4 3 4" xfId="10065" xr:uid="{70B03A64-40C1-446E-8429-E8D7933BF4CF}"/>
    <cellStyle name="Comma 5 4 4 3 4 2" xfId="27409" xr:uid="{69EAE509-2130-4F9F-B4E0-265431D7BA01}"/>
    <cellStyle name="Comma 5 4 4 3 5" xfId="18737" xr:uid="{564F5D9D-AB3E-4380-9733-0696960F5B3A}"/>
    <cellStyle name="Comma 5 4 4 4" xfId="2477" xr:uid="{DAC36152-E6B3-4CB7-BDBA-454BA63C5713}"/>
    <cellStyle name="Comma 5 4 4 4 2" xfId="6813" xr:uid="{0E35829A-7141-4F2C-BF15-345EB1A53011}"/>
    <cellStyle name="Comma 5 4 4 4 2 2" xfId="15485" xr:uid="{15ED7EA5-F3CA-4E84-9C7F-C6AAA42EEDA5}"/>
    <cellStyle name="Comma 5 4 4 4 2 2 2" xfId="32829" xr:uid="{B615FF18-978A-4BAF-8F7E-97EC640249FB}"/>
    <cellStyle name="Comma 5 4 4 4 2 3" xfId="24157" xr:uid="{EC8770C1-AE21-4198-8107-3BF2EB1F3293}"/>
    <cellStyle name="Comma 5 4 4 4 3" xfId="11149" xr:uid="{2E3FCF9F-0467-4034-862F-87ED629966D6}"/>
    <cellStyle name="Comma 5 4 4 4 3 2" xfId="28493" xr:uid="{6FABFEAE-3CFC-49F8-ADBF-DC86FB80D342}"/>
    <cellStyle name="Comma 5 4 4 4 4" xfId="19821" xr:uid="{138B654A-0E10-4433-91DD-EF60461BB004}"/>
    <cellStyle name="Comma 5 4 4 5" xfId="4645" xr:uid="{DC7C4D6E-B125-4189-92D2-812F7206FCA8}"/>
    <cellStyle name="Comma 5 4 4 5 2" xfId="13317" xr:uid="{7145912E-FF89-4A17-973A-452815168C3B}"/>
    <cellStyle name="Comma 5 4 4 5 2 2" xfId="30661" xr:uid="{29432A45-E705-4836-87D0-637D32E8FD5E}"/>
    <cellStyle name="Comma 5 4 4 5 3" xfId="21989" xr:uid="{87AC2E11-D729-4583-8983-B7790F463924}"/>
    <cellStyle name="Comma 5 4 4 6" xfId="8981" xr:uid="{9F4BC2BF-236B-4547-8441-07F3F226C9A4}"/>
    <cellStyle name="Comma 5 4 4 6 2" xfId="26325" xr:uid="{E3C169EF-8265-4633-B394-D90CAE107CBE}"/>
    <cellStyle name="Comma 5 4 4 7" xfId="17653" xr:uid="{28958768-B31D-4F63-A0B0-D63C0B3A4323}"/>
    <cellStyle name="Comma 5 4 5" xfId="580" xr:uid="{6F56D3C4-4F4C-46FF-81E0-E1BE31F19CA6}"/>
    <cellStyle name="Comma 5 4 5 2" xfId="1664" xr:uid="{D38DAB04-ABC5-4B52-80AB-1E9B8AEF5855}"/>
    <cellStyle name="Comma 5 4 5 2 2" xfId="3832" xr:uid="{9CC63956-F94A-4138-B61C-8FF1AEFE9613}"/>
    <cellStyle name="Comma 5 4 5 2 2 2" xfId="8168" xr:uid="{EED950CC-BC8D-4159-9FBA-AE453907E883}"/>
    <cellStyle name="Comma 5 4 5 2 2 2 2" xfId="16840" xr:uid="{C78A88FE-1A85-4245-8A80-FF6679FD18AD}"/>
    <cellStyle name="Comma 5 4 5 2 2 2 2 2" xfId="34184" xr:uid="{F89A9311-D870-4DE9-B089-6057D6EE7DFB}"/>
    <cellStyle name="Comma 5 4 5 2 2 2 3" xfId="25512" xr:uid="{D39842A4-B289-46C7-9081-8FD6A3A001A2}"/>
    <cellStyle name="Comma 5 4 5 2 2 3" xfId="12504" xr:uid="{6FC5D88D-BEA7-4B48-9101-817F21D855ED}"/>
    <cellStyle name="Comma 5 4 5 2 2 3 2" xfId="29848" xr:uid="{331D1446-566F-43D0-AA53-BE6696D1C43F}"/>
    <cellStyle name="Comma 5 4 5 2 2 4" xfId="21176" xr:uid="{67247A39-6269-4EF7-8C0B-EBA52B6AEF8D}"/>
    <cellStyle name="Comma 5 4 5 2 3" xfId="6000" xr:uid="{2CD0727F-0506-4F98-A083-C693C855B92E}"/>
    <cellStyle name="Comma 5 4 5 2 3 2" xfId="14672" xr:uid="{196A024A-7C8B-476C-B8A4-3C8B7AC9C835}"/>
    <cellStyle name="Comma 5 4 5 2 3 2 2" xfId="32016" xr:uid="{464AF419-B18E-4266-B42A-C3EB6304BD05}"/>
    <cellStyle name="Comma 5 4 5 2 3 3" xfId="23344" xr:uid="{26C1632C-CCBB-4D52-99C2-66D850918A00}"/>
    <cellStyle name="Comma 5 4 5 2 4" xfId="10336" xr:uid="{C5B3BB15-7031-4900-BF4A-8F361AB23080}"/>
    <cellStyle name="Comma 5 4 5 2 4 2" xfId="27680" xr:uid="{29567031-0DC8-4266-9D45-FFFB8CE990EF}"/>
    <cellStyle name="Comma 5 4 5 2 5" xfId="19008" xr:uid="{818C53DB-041A-4309-A731-8087D8FAB63E}"/>
    <cellStyle name="Comma 5 4 5 3" xfId="2748" xr:uid="{16106514-7538-46F3-8480-664365E7E661}"/>
    <cellStyle name="Comma 5 4 5 3 2" xfId="7084" xr:uid="{5E12B8D0-BA6E-4303-B48E-75E7D3BBD760}"/>
    <cellStyle name="Comma 5 4 5 3 2 2" xfId="15756" xr:uid="{89DA48F9-646E-4CC6-9874-CF90EF583EB1}"/>
    <cellStyle name="Comma 5 4 5 3 2 2 2" xfId="33100" xr:uid="{A2C9A58E-4260-47C9-9E18-2DA773346A31}"/>
    <cellStyle name="Comma 5 4 5 3 2 3" xfId="24428" xr:uid="{BDB0AA62-5048-40CC-91BE-D196244D330C}"/>
    <cellStyle name="Comma 5 4 5 3 3" xfId="11420" xr:uid="{F8C6FDC7-15A9-4994-900E-5DF5C973A2D6}"/>
    <cellStyle name="Comma 5 4 5 3 3 2" xfId="28764" xr:uid="{17156520-54DC-401D-A453-043BBB5AF878}"/>
    <cellStyle name="Comma 5 4 5 3 4" xfId="20092" xr:uid="{8536ABDB-B485-4A3E-A528-F4848068A302}"/>
    <cellStyle name="Comma 5 4 5 4" xfId="4916" xr:uid="{6C741B25-EF9D-437E-BF8D-7DB91EE72BE3}"/>
    <cellStyle name="Comma 5 4 5 4 2" xfId="13588" xr:uid="{5BE8D7DF-2955-43AE-8081-E0FAA14D72EE}"/>
    <cellStyle name="Comma 5 4 5 4 2 2" xfId="30932" xr:uid="{18EC4579-F5C5-4D6E-AED2-E7801DC48B8F}"/>
    <cellStyle name="Comma 5 4 5 4 3" xfId="22260" xr:uid="{94852DB7-3D1C-49E8-ACEC-E025819E760B}"/>
    <cellStyle name="Comma 5 4 5 5" xfId="9252" xr:uid="{5CD4B318-70F3-4594-B7AA-2A29D67918FB}"/>
    <cellStyle name="Comma 5 4 5 5 2" xfId="26596" xr:uid="{3C897577-AF58-46AD-9C1A-BD504DAE2E04}"/>
    <cellStyle name="Comma 5 4 5 6" xfId="17924" xr:uid="{A16E4B9F-9D47-4720-9FA6-31A2C8A2F6C7}"/>
    <cellStyle name="Comma 5 4 6" xfId="1123" xr:uid="{2272D79A-26F6-4A2B-9354-C0DCF3C85A75}"/>
    <cellStyle name="Comma 5 4 6 2" xfId="3291" xr:uid="{23EA6FE5-2A7D-4B46-9D26-35EE3107241A}"/>
    <cellStyle name="Comma 5 4 6 2 2" xfId="7627" xr:uid="{9B50FC2F-5AF6-48C7-8307-741C299B1EB3}"/>
    <cellStyle name="Comma 5 4 6 2 2 2" xfId="16299" xr:uid="{E48478C6-CBED-41F0-AC7B-9617708C40F2}"/>
    <cellStyle name="Comma 5 4 6 2 2 2 2" xfId="33643" xr:uid="{E5B34ABD-95CE-42F8-BB31-12EA21662126}"/>
    <cellStyle name="Comma 5 4 6 2 2 3" xfId="24971" xr:uid="{38C89D15-CF61-46AF-899C-ADFB5DC386B2}"/>
    <cellStyle name="Comma 5 4 6 2 3" xfId="11963" xr:uid="{E0CE151E-988C-4B20-ABDD-03100FBBC43B}"/>
    <cellStyle name="Comma 5 4 6 2 3 2" xfId="29307" xr:uid="{22553550-3B05-47DE-AC6E-2DF158A723EA}"/>
    <cellStyle name="Comma 5 4 6 2 4" xfId="20635" xr:uid="{1857E8BB-977B-405C-883F-0F272D0F9492}"/>
    <cellStyle name="Comma 5 4 6 3" xfId="5459" xr:uid="{09DCD638-CFFF-413C-A976-A6612A7BD435}"/>
    <cellStyle name="Comma 5 4 6 3 2" xfId="14131" xr:uid="{FB01BE0C-E8D7-4F1D-BF73-9F877CDD21CD}"/>
    <cellStyle name="Comma 5 4 6 3 2 2" xfId="31475" xr:uid="{237D870D-FA60-421B-A9CB-6B6CBF8B909F}"/>
    <cellStyle name="Comma 5 4 6 3 3" xfId="22803" xr:uid="{FF281B35-9988-48BE-B3A0-FB04242233B3}"/>
    <cellStyle name="Comma 5 4 6 4" xfId="9795" xr:uid="{92E4113E-C3A8-439C-9463-76B26EEB2923}"/>
    <cellStyle name="Comma 5 4 6 4 2" xfId="27139" xr:uid="{D3B0DC0F-0F39-4222-ACF1-40C2D70BD465}"/>
    <cellStyle name="Comma 5 4 6 5" xfId="18467" xr:uid="{C870632C-781D-4121-8FC0-6BEB2EBFE873}"/>
    <cellStyle name="Comma 5 4 7" xfId="2207" xr:uid="{DC2C4B3E-F026-4CC0-9C7E-A3E6729D49E8}"/>
    <cellStyle name="Comma 5 4 7 2" xfId="6543" xr:uid="{7E46D7EE-6C73-45FA-9544-F6C962430F48}"/>
    <cellStyle name="Comma 5 4 7 2 2" xfId="15215" xr:uid="{D4ECADBA-0B01-440C-835E-0AD3D0DA92A8}"/>
    <cellStyle name="Comma 5 4 7 2 2 2" xfId="32559" xr:uid="{3323BF0E-317A-4E0E-9689-65A6C1564151}"/>
    <cellStyle name="Comma 5 4 7 2 3" xfId="23887" xr:uid="{C2F39E17-B771-439B-A5E1-BF5C8E7DE909}"/>
    <cellStyle name="Comma 5 4 7 3" xfId="10879" xr:uid="{7DC1B1C0-B67E-4070-A6E6-29558D23A594}"/>
    <cellStyle name="Comma 5 4 7 3 2" xfId="28223" xr:uid="{42F08D06-A05C-451C-9A7B-35AE13378D13}"/>
    <cellStyle name="Comma 5 4 7 4" xfId="19551" xr:uid="{1CA87ED1-1CBF-44C2-82F0-D802C41623A7}"/>
    <cellStyle name="Comma 5 4 8" xfId="4375" xr:uid="{2060C2A0-9CCE-4BE4-A9FC-0A307B58F45C}"/>
    <cellStyle name="Comma 5 4 8 2" xfId="13047" xr:uid="{288C2A15-563B-412C-9B14-F7A892AB9556}"/>
    <cellStyle name="Comma 5 4 8 2 2" xfId="30391" xr:uid="{2D7D80F9-FC87-40FB-9C0A-775DA86B1E2B}"/>
    <cellStyle name="Comma 5 4 8 3" xfId="21719" xr:uid="{3BAE1D40-61D8-45CC-8784-656F497A9BE5}"/>
    <cellStyle name="Comma 5 4 9" xfId="8711" xr:uid="{2B74A9E0-8064-4993-A696-648E8A8C1DD5}"/>
    <cellStyle name="Comma 5 4 9 2" xfId="26055" xr:uid="{1DDB689F-13F6-4089-9127-FC5DFD44E576}"/>
    <cellStyle name="Comma 5 5" xfId="47" xr:uid="{F6470465-AEAD-4597-B0AB-690F277D4E7C}"/>
    <cellStyle name="Comma 5 5 10" xfId="17391" xr:uid="{7A509DB6-F371-4B70-B50B-436AC2205844}"/>
    <cellStyle name="Comma 5 5 2" xfId="108" xr:uid="{95CB5D1C-7FCC-40CA-BD1B-6ABC44E277E5}"/>
    <cellStyle name="Comma 5 5 2 2" xfId="230" xr:uid="{B3FCEC2E-DD04-4395-AEDC-6C0FEFB4AD08}"/>
    <cellStyle name="Comma 5 5 2 2 2" xfId="500" xr:uid="{755C9096-451C-400D-AEB6-40E0ECCF6557}"/>
    <cellStyle name="Comma 5 5 2 2 2 2" xfId="1041" xr:uid="{5DC9FA60-D0BF-42A4-9BF3-8F6E2FFC02EA}"/>
    <cellStyle name="Comma 5 5 2 2 2 2 2" xfId="2125" xr:uid="{6ADEAC0D-E5D9-4E81-B1F8-355B9AC85B80}"/>
    <cellStyle name="Comma 5 5 2 2 2 2 2 2" xfId="4293" xr:uid="{1642AB9A-D04E-49DC-8315-DF81C1179CA0}"/>
    <cellStyle name="Comma 5 5 2 2 2 2 2 2 2" xfId="8629" xr:uid="{998B20B4-DD1E-409A-99EC-46EB1BCE29D5}"/>
    <cellStyle name="Comma 5 5 2 2 2 2 2 2 2 2" xfId="17301" xr:uid="{0FD1967A-8270-4F19-8D99-3F1E4CB02C5B}"/>
    <cellStyle name="Comma 5 5 2 2 2 2 2 2 2 2 2" xfId="34645" xr:uid="{631EB22B-5704-4B2B-AA36-AEBC47D90284}"/>
    <cellStyle name="Comma 5 5 2 2 2 2 2 2 2 3" xfId="25973" xr:uid="{38270028-D3BE-4592-874E-AB2439193082}"/>
    <cellStyle name="Comma 5 5 2 2 2 2 2 2 3" xfId="12965" xr:uid="{A0C63FE9-5715-4956-A087-AF7688E707B2}"/>
    <cellStyle name="Comma 5 5 2 2 2 2 2 2 3 2" xfId="30309" xr:uid="{49E0BF82-AD9A-4B8F-9DF5-DC055F4CFF2D}"/>
    <cellStyle name="Comma 5 5 2 2 2 2 2 2 4" xfId="21637" xr:uid="{017758B1-A705-4782-BC65-36D96612657B}"/>
    <cellStyle name="Comma 5 5 2 2 2 2 2 3" xfId="6461" xr:uid="{348F09E9-DB97-4155-BA39-A1DA30D8EF7C}"/>
    <cellStyle name="Comma 5 5 2 2 2 2 2 3 2" xfId="15133" xr:uid="{0C7A8C36-35BE-4593-B1D8-CDCA38AF34A6}"/>
    <cellStyle name="Comma 5 5 2 2 2 2 2 3 2 2" xfId="32477" xr:uid="{88736610-8710-4345-89B4-B3EDC8E5BA98}"/>
    <cellStyle name="Comma 5 5 2 2 2 2 2 3 3" xfId="23805" xr:uid="{11F82C14-7B11-4B76-9126-04E22B385BDD}"/>
    <cellStyle name="Comma 5 5 2 2 2 2 2 4" xfId="10797" xr:uid="{6928DB70-4254-45AE-9A84-323997265BED}"/>
    <cellStyle name="Comma 5 5 2 2 2 2 2 4 2" xfId="28141" xr:uid="{EC2FE559-AA8D-4015-857A-47CE2D1015FB}"/>
    <cellStyle name="Comma 5 5 2 2 2 2 2 5" xfId="19469" xr:uid="{F4395E0C-32FA-4B0E-8E34-C86A2BB48617}"/>
    <cellStyle name="Comma 5 5 2 2 2 2 3" xfId="3209" xr:uid="{E004962F-5975-4D66-83A2-B2AC44F75272}"/>
    <cellStyle name="Comma 5 5 2 2 2 2 3 2" xfId="7545" xr:uid="{3AB1399E-69E5-477F-A262-D0796836603F}"/>
    <cellStyle name="Comma 5 5 2 2 2 2 3 2 2" xfId="16217" xr:uid="{E7EBD267-20FA-4E16-8025-82770EC85551}"/>
    <cellStyle name="Comma 5 5 2 2 2 2 3 2 2 2" xfId="33561" xr:uid="{7EE5840C-5EE9-4D90-8D99-219635A55074}"/>
    <cellStyle name="Comma 5 5 2 2 2 2 3 2 3" xfId="24889" xr:uid="{DCA531E3-9270-4CBE-AA65-171D6F0DD4A9}"/>
    <cellStyle name="Comma 5 5 2 2 2 2 3 3" xfId="11881" xr:uid="{702D9FC6-47D5-426E-BB59-56B1CCC49074}"/>
    <cellStyle name="Comma 5 5 2 2 2 2 3 3 2" xfId="29225" xr:uid="{8D0FCD96-CA83-4A6D-A3EC-23182B8FB9B1}"/>
    <cellStyle name="Comma 5 5 2 2 2 2 3 4" xfId="20553" xr:uid="{9F4F5663-C694-44DF-BE49-ECF163D48519}"/>
    <cellStyle name="Comma 5 5 2 2 2 2 4" xfId="5377" xr:uid="{6EA660DC-ACCB-44E4-8634-41F243341860}"/>
    <cellStyle name="Comma 5 5 2 2 2 2 4 2" xfId="14049" xr:uid="{162BB0CA-FB6B-4088-A820-9FFF4540EE62}"/>
    <cellStyle name="Comma 5 5 2 2 2 2 4 2 2" xfId="31393" xr:uid="{5F529E27-C5EA-4538-9694-51213E432BFA}"/>
    <cellStyle name="Comma 5 5 2 2 2 2 4 3" xfId="22721" xr:uid="{548C0E0A-3B72-4871-9766-DBEB7EBE4FF4}"/>
    <cellStyle name="Comma 5 5 2 2 2 2 5" xfId="9713" xr:uid="{924AC0D6-34E4-414C-B91E-79C4019C53F0}"/>
    <cellStyle name="Comma 5 5 2 2 2 2 5 2" xfId="27057" xr:uid="{E956E1C1-562E-46B2-8859-30D0B75FFE6A}"/>
    <cellStyle name="Comma 5 5 2 2 2 2 6" xfId="18385" xr:uid="{5D2AABC7-9A2D-4353-9145-A65BEEC07CE0}"/>
    <cellStyle name="Comma 5 5 2 2 2 3" xfId="1584" xr:uid="{2033A8B9-7508-4347-8571-C93331DEB416}"/>
    <cellStyle name="Comma 5 5 2 2 2 3 2" xfId="3752" xr:uid="{D739D0D7-6EE4-48C7-A5FB-A29E984D46B0}"/>
    <cellStyle name="Comma 5 5 2 2 2 3 2 2" xfId="8088" xr:uid="{1FB48C2E-39EC-40FA-9437-EDB3E33C6075}"/>
    <cellStyle name="Comma 5 5 2 2 2 3 2 2 2" xfId="16760" xr:uid="{E6736591-1C13-4352-A2A1-6BC98CACED7E}"/>
    <cellStyle name="Comma 5 5 2 2 2 3 2 2 2 2" xfId="34104" xr:uid="{8B3CDBC8-FFBE-4CE8-82C0-F263F16AB3A8}"/>
    <cellStyle name="Comma 5 5 2 2 2 3 2 2 3" xfId="25432" xr:uid="{98BDE8B1-AE57-456C-BC3D-D97FE88B357C}"/>
    <cellStyle name="Comma 5 5 2 2 2 3 2 3" xfId="12424" xr:uid="{2066B23E-5180-450D-BF0E-D22FE4AAF5E8}"/>
    <cellStyle name="Comma 5 5 2 2 2 3 2 3 2" xfId="29768" xr:uid="{84CEB27F-D8AE-4200-888E-C6713302ADB1}"/>
    <cellStyle name="Comma 5 5 2 2 2 3 2 4" xfId="21096" xr:uid="{44514906-CF73-4E2C-87F2-EB699325D605}"/>
    <cellStyle name="Comma 5 5 2 2 2 3 3" xfId="5920" xr:uid="{856E4960-E013-4EDA-BE94-F3E0F727B193}"/>
    <cellStyle name="Comma 5 5 2 2 2 3 3 2" xfId="14592" xr:uid="{16EA8E05-4447-4531-BC10-5C593D2537FF}"/>
    <cellStyle name="Comma 5 5 2 2 2 3 3 2 2" xfId="31936" xr:uid="{2FF026E2-C21F-469C-8D48-76EEA90609E8}"/>
    <cellStyle name="Comma 5 5 2 2 2 3 3 3" xfId="23264" xr:uid="{CD726262-7FDD-4C9F-969D-4C752A165280}"/>
    <cellStyle name="Comma 5 5 2 2 2 3 4" xfId="10256" xr:uid="{313FA635-05AF-4555-9A45-6B994A8CFDF3}"/>
    <cellStyle name="Comma 5 5 2 2 2 3 4 2" xfId="27600" xr:uid="{860BB08F-D3F3-47F7-B266-F67A158EE819}"/>
    <cellStyle name="Comma 5 5 2 2 2 3 5" xfId="18928" xr:uid="{D91D8663-57F0-46F0-A886-87F884C09667}"/>
    <cellStyle name="Comma 5 5 2 2 2 4" xfId="2668" xr:uid="{8864CA6F-CB58-4A71-862F-1250E451D2F4}"/>
    <cellStyle name="Comma 5 5 2 2 2 4 2" xfId="7004" xr:uid="{AB411056-D09A-4E84-A9AD-5712252EF8F6}"/>
    <cellStyle name="Comma 5 5 2 2 2 4 2 2" xfId="15676" xr:uid="{E2D9F828-FEFB-4BA8-A310-1F95E1ED71CD}"/>
    <cellStyle name="Comma 5 5 2 2 2 4 2 2 2" xfId="33020" xr:uid="{B611E1C2-6895-4D9E-BF78-361AB2AD96EB}"/>
    <cellStyle name="Comma 5 5 2 2 2 4 2 3" xfId="24348" xr:uid="{1FA33AD5-FA4A-4D80-A619-A0E31EF08DB0}"/>
    <cellStyle name="Comma 5 5 2 2 2 4 3" xfId="11340" xr:uid="{2D34A4F3-386F-4F02-9BF0-E623A60B7CFC}"/>
    <cellStyle name="Comma 5 5 2 2 2 4 3 2" xfId="28684" xr:uid="{5B24D505-B717-4A37-896B-84E94EA485DA}"/>
    <cellStyle name="Comma 5 5 2 2 2 4 4" xfId="20012" xr:uid="{AA7657A0-1CFF-4C35-A5D8-3BB555D91AD1}"/>
    <cellStyle name="Comma 5 5 2 2 2 5" xfId="4836" xr:uid="{09EF8403-C275-46E4-B727-D4DE68D2DE6A}"/>
    <cellStyle name="Comma 5 5 2 2 2 5 2" xfId="13508" xr:uid="{F77BA964-C7B1-4E65-9036-8A71C009E2BC}"/>
    <cellStyle name="Comma 5 5 2 2 2 5 2 2" xfId="30852" xr:uid="{5D35FD50-BCE0-4057-9E74-48FF3C1637E4}"/>
    <cellStyle name="Comma 5 5 2 2 2 5 3" xfId="22180" xr:uid="{3FE55537-1686-4762-9CBC-C55E67A13674}"/>
    <cellStyle name="Comma 5 5 2 2 2 6" xfId="9172" xr:uid="{404C798B-8F1E-425F-ADF2-BAD594762C80}"/>
    <cellStyle name="Comma 5 5 2 2 2 6 2" xfId="26516" xr:uid="{1458474E-11BB-4069-9372-157EA6737158}"/>
    <cellStyle name="Comma 5 5 2 2 2 7" xfId="17844" xr:uid="{54ADDB29-B06C-4F69-B8CB-85D934CDEBEF}"/>
    <cellStyle name="Comma 5 5 2 2 3" xfId="771" xr:uid="{E031CE1B-E956-44F1-8B64-9A4CB0F34DEB}"/>
    <cellStyle name="Comma 5 5 2 2 3 2" xfId="1855" xr:uid="{1977A4DA-E627-4AE7-B47D-7A95E8AD3F69}"/>
    <cellStyle name="Comma 5 5 2 2 3 2 2" xfId="4023" xr:uid="{7304C0A1-EAA7-4176-AFC7-0AD2BC7F2008}"/>
    <cellStyle name="Comma 5 5 2 2 3 2 2 2" xfId="8359" xr:uid="{68987AA9-AF86-41A6-AA99-E36715C6E831}"/>
    <cellStyle name="Comma 5 5 2 2 3 2 2 2 2" xfId="17031" xr:uid="{0C766CB2-9B29-40D6-B377-8C60E9C2947C}"/>
    <cellStyle name="Comma 5 5 2 2 3 2 2 2 2 2" xfId="34375" xr:uid="{E0B6AEED-F7B3-4F6E-8D66-F8B7B1AF20B9}"/>
    <cellStyle name="Comma 5 5 2 2 3 2 2 2 3" xfId="25703" xr:uid="{157BE195-8233-46D5-910B-DB9DCA076C4D}"/>
    <cellStyle name="Comma 5 5 2 2 3 2 2 3" xfId="12695" xr:uid="{547CA4F7-5DD7-4789-A5F8-B73BF9B0D1AE}"/>
    <cellStyle name="Comma 5 5 2 2 3 2 2 3 2" xfId="30039" xr:uid="{D23CC1BB-E51D-4563-963E-D59F8ABCB107}"/>
    <cellStyle name="Comma 5 5 2 2 3 2 2 4" xfId="21367" xr:uid="{84E65561-9B43-46CD-A6E0-1F9EB3A25DDF}"/>
    <cellStyle name="Comma 5 5 2 2 3 2 3" xfId="6191" xr:uid="{60D90DD9-DB9F-4A2E-9783-03C4470D6100}"/>
    <cellStyle name="Comma 5 5 2 2 3 2 3 2" xfId="14863" xr:uid="{178504B6-CEB6-498F-AE76-BC52362299E4}"/>
    <cellStyle name="Comma 5 5 2 2 3 2 3 2 2" xfId="32207" xr:uid="{A1FBC4D9-DF70-4071-8DB7-6799D72BBE57}"/>
    <cellStyle name="Comma 5 5 2 2 3 2 3 3" xfId="23535" xr:uid="{F3EA5509-EED1-4160-8400-F10AC1BE04CB}"/>
    <cellStyle name="Comma 5 5 2 2 3 2 4" xfId="10527" xr:uid="{065220F7-13CE-40A8-B954-E01048A6EC8D}"/>
    <cellStyle name="Comma 5 5 2 2 3 2 4 2" xfId="27871" xr:uid="{8F121B76-6A08-4EEA-B2C4-A3463C51FA8C}"/>
    <cellStyle name="Comma 5 5 2 2 3 2 5" xfId="19199" xr:uid="{4E12E0D2-0154-4C24-A600-55ECE9150345}"/>
    <cellStyle name="Comma 5 5 2 2 3 3" xfId="2939" xr:uid="{35E0DEB1-6BDA-42F5-9424-8777C018A6F7}"/>
    <cellStyle name="Comma 5 5 2 2 3 3 2" xfId="7275" xr:uid="{E62B9E97-98D4-46F5-9BAA-8F09B61FF037}"/>
    <cellStyle name="Comma 5 5 2 2 3 3 2 2" xfId="15947" xr:uid="{044D9DA1-E2A0-4F6E-A341-754B73F04756}"/>
    <cellStyle name="Comma 5 5 2 2 3 3 2 2 2" xfId="33291" xr:uid="{D9CD923D-B6A2-4D6D-BECC-168DC5710933}"/>
    <cellStyle name="Comma 5 5 2 2 3 3 2 3" xfId="24619" xr:uid="{E06D378E-2301-4BA3-BF95-7B5E686B9930}"/>
    <cellStyle name="Comma 5 5 2 2 3 3 3" xfId="11611" xr:uid="{7A4B91BB-F058-40FB-89E3-EB62FEB6FAAA}"/>
    <cellStyle name="Comma 5 5 2 2 3 3 3 2" xfId="28955" xr:uid="{78B07309-91E7-4255-BCFE-EB2252B81B88}"/>
    <cellStyle name="Comma 5 5 2 2 3 3 4" xfId="20283" xr:uid="{604AB446-F600-4964-B567-E87D6715D337}"/>
    <cellStyle name="Comma 5 5 2 2 3 4" xfId="5107" xr:uid="{FA805FC7-2BF4-4977-B6BC-8FFCD6EEECA2}"/>
    <cellStyle name="Comma 5 5 2 2 3 4 2" xfId="13779" xr:uid="{1B419CDE-21E5-4CDA-83BD-680DF6D4B0ED}"/>
    <cellStyle name="Comma 5 5 2 2 3 4 2 2" xfId="31123" xr:uid="{D01FE692-966D-4B37-8BF8-3B8ED843B85B}"/>
    <cellStyle name="Comma 5 5 2 2 3 4 3" xfId="22451" xr:uid="{A2E3A5A0-D91E-42F3-9F27-95DDF1C6A293}"/>
    <cellStyle name="Comma 5 5 2 2 3 5" xfId="9443" xr:uid="{D9980C93-C0E5-4001-8063-63467BD52A20}"/>
    <cellStyle name="Comma 5 5 2 2 3 5 2" xfId="26787" xr:uid="{11D7C662-ADD7-4861-876F-054FF06344E8}"/>
    <cellStyle name="Comma 5 5 2 2 3 6" xfId="18115" xr:uid="{F336F1F9-2327-44A5-A0CA-0A90D310D8E3}"/>
    <cellStyle name="Comma 5 5 2 2 4" xfId="1314" xr:uid="{C5882339-F4D9-4B80-81EB-CCA47FD88447}"/>
    <cellStyle name="Comma 5 5 2 2 4 2" xfId="3482" xr:uid="{C88AE07E-3217-413E-821F-80D7010BEAC6}"/>
    <cellStyle name="Comma 5 5 2 2 4 2 2" xfId="7818" xr:uid="{F6790D6C-B3D6-48FE-A10D-DD0A12DE7E2C}"/>
    <cellStyle name="Comma 5 5 2 2 4 2 2 2" xfId="16490" xr:uid="{A9C4ED6C-4AF1-4B74-B453-60D3BC89EBF0}"/>
    <cellStyle name="Comma 5 5 2 2 4 2 2 2 2" xfId="33834" xr:uid="{27B3AA6E-B696-4338-8357-DA899764295D}"/>
    <cellStyle name="Comma 5 5 2 2 4 2 2 3" xfId="25162" xr:uid="{A6B24958-188B-448B-BAE9-E0068BD676A6}"/>
    <cellStyle name="Comma 5 5 2 2 4 2 3" xfId="12154" xr:uid="{2641D774-1804-4684-88B6-AF6204EFE0EF}"/>
    <cellStyle name="Comma 5 5 2 2 4 2 3 2" xfId="29498" xr:uid="{C2BD16B8-915F-4A33-9B24-46BB22CEAD96}"/>
    <cellStyle name="Comma 5 5 2 2 4 2 4" xfId="20826" xr:uid="{6FCF539B-4CBB-45A2-BE1B-132AF2FB2BD0}"/>
    <cellStyle name="Comma 5 5 2 2 4 3" xfId="5650" xr:uid="{60BA7599-D81A-4217-9B67-CCECA28AF5AA}"/>
    <cellStyle name="Comma 5 5 2 2 4 3 2" xfId="14322" xr:uid="{6662D8E4-2D45-4FB6-8599-A9BE1FEF029A}"/>
    <cellStyle name="Comma 5 5 2 2 4 3 2 2" xfId="31666" xr:uid="{76D0CC80-3CD4-4391-817A-4A825C51C325}"/>
    <cellStyle name="Comma 5 5 2 2 4 3 3" xfId="22994" xr:uid="{A92CB0A5-49B4-44E8-A8C0-8120D45E283B}"/>
    <cellStyle name="Comma 5 5 2 2 4 4" xfId="9986" xr:uid="{DD0FBC51-255D-4A7A-8487-D335392B5714}"/>
    <cellStyle name="Comma 5 5 2 2 4 4 2" xfId="27330" xr:uid="{4F6715BE-5DAD-4400-8822-8B4EC5C90ABE}"/>
    <cellStyle name="Comma 5 5 2 2 4 5" xfId="18658" xr:uid="{55B87A26-A791-4859-87D9-AE1FD99EFC7A}"/>
    <cellStyle name="Comma 5 5 2 2 5" xfId="2398" xr:uid="{85AA3A7B-6E00-4EAB-A82B-C766B69971E5}"/>
    <cellStyle name="Comma 5 5 2 2 5 2" xfId="6734" xr:uid="{7C439157-5619-4C4B-B9C4-239451E3D0B0}"/>
    <cellStyle name="Comma 5 5 2 2 5 2 2" xfId="15406" xr:uid="{AA0EB5C9-E2C6-4313-8665-632A231B251E}"/>
    <cellStyle name="Comma 5 5 2 2 5 2 2 2" xfId="32750" xr:uid="{12EBA1D0-6B29-4B8B-9C8D-656BB29A2E47}"/>
    <cellStyle name="Comma 5 5 2 2 5 2 3" xfId="24078" xr:uid="{4CE81D85-505F-433E-9883-5C2996CC6927}"/>
    <cellStyle name="Comma 5 5 2 2 5 3" xfId="11070" xr:uid="{D603F8CE-9CBE-46FB-8356-4163A0DD5BCD}"/>
    <cellStyle name="Comma 5 5 2 2 5 3 2" xfId="28414" xr:uid="{E35DE012-270E-4BA5-B923-7B1F5BDCAC18}"/>
    <cellStyle name="Comma 5 5 2 2 5 4" xfId="19742" xr:uid="{860170BA-0978-427F-8995-514FDA7EA09E}"/>
    <cellStyle name="Comma 5 5 2 2 6" xfId="4566" xr:uid="{073DBD58-E765-4BD8-8886-D4476D65F3EE}"/>
    <cellStyle name="Comma 5 5 2 2 6 2" xfId="13238" xr:uid="{5756B5C0-0129-460B-AFF3-C5545728EABB}"/>
    <cellStyle name="Comma 5 5 2 2 6 2 2" xfId="30582" xr:uid="{F67E3BBE-96CC-4486-A99C-82CBE3B9388C}"/>
    <cellStyle name="Comma 5 5 2 2 6 3" xfId="21910" xr:uid="{2D4C4449-E925-4FA6-BF12-4A5B8F55AFAC}"/>
    <cellStyle name="Comma 5 5 2 2 7" xfId="8902" xr:uid="{BCAF11B7-1AC4-4CCE-B9D2-5D54C831AADB}"/>
    <cellStyle name="Comma 5 5 2 2 7 2" xfId="26246" xr:uid="{F3279522-3848-43B8-B847-57A9E88A5059}"/>
    <cellStyle name="Comma 5 5 2 2 8" xfId="17574" xr:uid="{9D46AD50-2889-4093-A4E0-AFB9FE89122C}"/>
    <cellStyle name="Comma 5 5 2 3" xfId="378" xr:uid="{E048CC29-53AB-45ED-94B0-F56E95DA4B28}"/>
    <cellStyle name="Comma 5 5 2 3 2" xfId="919" xr:uid="{61519C07-7022-49F9-9002-6724AD65AC68}"/>
    <cellStyle name="Comma 5 5 2 3 2 2" xfId="2003" xr:uid="{AB830FD0-B528-4652-8C76-D1C6E6B645FC}"/>
    <cellStyle name="Comma 5 5 2 3 2 2 2" xfId="4171" xr:uid="{0B6F82AA-1697-4E00-8CA8-AE430CE82251}"/>
    <cellStyle name="Comma 5 5 2 3 2 2 2 2" xfId="8507" xr:uid="{48FFA3F3-7916-48CB-B26E-091D7A5D6622}"/>
    <cellStyle name="Comma 5 5 2 3 2 2 2 2 2" xfId="17179" xr:uid="{42FCA1DE-FF81-4092-9091-4D2C0D449BD4}"/>
    <cellStyle name="Comma 5 5 2 3 2 2 2 2 2 2" xfId="34523" xr:uid="{B35CD188-FAE7-4E92-9111-15991F660C95}"/>
    <cellStyle name="Comma 5 5 2 3 2 2 2 2 3" xfId="25851" xr:uid="{08BB78D0-004A-48F1-860C-5FC10A615D39}"/>
    <cellStyle name="Comma 5 5 2 3 2 2 2 3" xfId="12843" xr:uid="{F8931DD5-3EF0-4165-98BF-9F06BABB0187}"/>
    <cellStyle name="Comma 5 5 2 3 2 2 2 3 2" xfId="30187" xr:uid="{C2C757D1-2F46-4B3D-A170-F76C84EDD19A}"/>
    <cellStyle name="Comma 5 5 2 3 2 2 2 4" xfId="21515" xr:uid="{06B51221-00B7-4D3B-8FA8-54DCBF8EEFA0}"/>
    <cellStyle name="Comma 5 5 2 3 2 2 3" xfId="6339" xr:uid="{5A3A3A4F-6E56-4F9A-85AA-7CAB2084C388}"/>
    <cellStyle name="Comma 5 5 2 3 2 2 3 2" xfId="15011" xr:uid="{5A67F76F-FF91-4A8C-AB53-FB43DCD67AAA}"/>
    <cellStyle name="Comma 5 5 2 3 2 2 3 2 2" xfId="32355" xr:uid="{B4D50A6B-FAE7-4343-BBD7-72AD2A75E1C0}"/>
    <cellStyle name="Comma 5 5 2 3 2 2 3 3" xfId="23683" xr:uid="{8F392F8E-F386-4CAB-8BB3-597E12A8F233}"/>
    <cellStyle name="Comma 5 5 2 3 2 2 4" xfId="10675" xr:uid="{2741289E-AF8F-4E9C-A62A-0C1E9F281073}"/>
    <cellStyle name="Comma 5 5 2 3 2 2 4 2" xfId="28019" xr:uid="{767EC1F3-F41F-40BF-A955-CC428CD42453}"/>
    <cellStyle name="Comma 5 5 2 3 2 2 5" xfId="19347" xr:uid="{215ED7EA-EFB6-4D40-AEE1-800E62FF45F7}"/>
    <cellStyle name="Comma 5 5 2 3 2 3" xfId="3087" xr:uid="{F8D43D6A-EEC5-4833-876B-8A1FFEE56B83}"/>
    <cellStyle name="Comma 5 5 2 3 2 3 2" xfId="7423" xr:uid="{F1550A86-77F0-42AE-BA35-24F7FDC8D9B2}"/>
    <cellStyle name="Comma 5 5 2 3 2 3 2 2" xfId="16095" xr:uid="{C32894AE-C71B-45FD-99C3-5E8FEFD05FF8}"/>
    <cellStyle name="Comma 5 5 2 3 2 3 2 2 2" xfId="33439" xr:uid="{7BB85DAE-694D-406A-9E16-FEC32C44AFE4}"/>
    <cellStyle name="Comma 5 5 2 3 2 3 2 3" xfId="24767" xr:uid="{6CA84ADF-3943-4E6C-8A38-56309C8D0C30}"/>
    <cellStyle name="Comma 5 5 2 3 2 3 3" xfId="11759" xr:uid="{7BC4F85D-632B-4D71-8E79-C33E015EE08E}"/>
    <cellStyle name="Comma 5 5 2 3 2 3 3 2" xfId="29103" xr:uid="{74807D50-AF9D-4027-BAC9-F0385E590648}"/>
    <cellStyle name="Comma 5 5 2 3 2 3 4" xfId="20431" xr:uid="{5C05260A-62DC-4651-922D-19A3E30D71A5}"/>
    <cellStyle name="Comma 5 5 2 3 2 4" xfId="5255" xr:uid="{41B77406-FD4F-4C79-819C-74A0970D2C57}"/>
    <cellStyle name="Comma 5 5 2 3 2 4 2" xfId="13927" xr:uid="{9FB1B1A5-3341-48C0-BC77-39B51BACEC54}"/>
    <cellStyle name="Comma 5 5 2 3 2 4 2 2" xfId="31271" xr:uid="{528AE0C2-25EA-4043-9C16-4C7080345C05}"/>
    <cellStyle name="Comma 5 5 2 3 2 4 3" xfId="22599" xr:uid="{8BC3EC53-5589-4CE3-81EF-F837A1C865D1}"/>
    <cellStyle name="Comma 5 5 2 3 2 5" xfId="9591" xr:uid="{3309ABE5-9D30-42B1-880D-03ED5A02613E}"/>
    <cellStyle name="Comma 5 5 2 3 2 5 2" xfId="26935" xr:uid="{B4D7D474-9A54-4B52-A636-8AC2B67E4625}"/>
    <cellStyle name="Comma 5 5 2 3 2 6" xfId="18263" xr:uid="{C6EC6C02-A4E7-46C4-AD6E-8A46A34DF29F}"/>
    <cellStyle name="Comma 5 5 2 3 3" xfId="1462" xr:uid="{559EC2E1-78BE-4791-ABF4-31A66DE05439}"/>
    <cellStyle name="Comma 5 5 2 3 3 2" xfId="3630" xr:uid="{CB89B8D4-5451-49D3-984B-7EB27FC0C46A}"/>
    <cellStyle name="Comma 5 5 2 3 3 2 2" xfId="7966" xr:uid="{D2FBB6D8-6487-4BA1-A358-C9E430B6909D}"/>
    <cellStyle name="Comma 5 5 2 3 3 2 2 2" xfId="16638" xr:uid="{64BE67A0-78D2-49E0-A06E-9D328789A378}"/>
    <cellStyle name="Comma 5 5 2 3 3 2 2 2 2" xfId="33982" xr:uid="{74736855-BAA5-4773-B7CA-F78C682DBDAB}"/>
    <cellStyle name="Comma 5 5 2 3 3 2 2 3" xfId="25310" xr:uid="{67F10CA3-0BCB-48E7-A00F-C1E42DD3F25D}"/>
    <cellStyle name="Comma 5 5 2 3 3 2 3" xfId="12302" xr:uid="{F35656B0-2DED-4BED-A7E8-374E57FE3F26}"/>
    <cellStyle name="Comma 5 5 2 3 3 2 3 2" xfId="29646" xr:uid="{A4C1A739-D562-40E9-BA3C-B32670FAC4C2}"/>
    <cellStyle name="Comma 5 5 2 3 3 2 4" xfId="20974" xr:uid="{0D6255E2-C1BB-4822-9341-D786CBD39493}"/>
    <cellStyle name="Comma 5 5 2 3 3 3" xfId="5798" xr:uid="{281AD04C-3625-4A82-9838-CB658D6F67F4}"/>
    <cellStyle name="Comma 5 5 2 3 3 3 2" xfId="14470" xr:uid="{E6292D25-DCAF-42B5-8489-62807C443E65}"/>
    <cellStyle name="Comma 5 5 2 3 3 3 2 2" xfId="31814" xr:uid="{831D1C1A-4326-4116-BEAD-A08DB645080A}"/>
    <cellStyle name="Comma 5 5 2 3 3 3 3" xfId="23142" xr:uid="{48580B01-59B0-4695-9EF3-A9193D0046AB}"/>
    <cellStyle name="Comma 5 5 2 3 3 4" xfId="10134" xr:uid="{8EA536F1-06F5-4048-9F14-1E7CFEA4A2C5}"/>
    <cellStyle name="Comma 5 5 2 3 3 4 2" xfId="27478" xr:uid="{7E2394BE-C6B2-48D3-B350-4038A36A7A13}"/>
    <cellStyle name="Comma 5 5 2 3 3 5" xfId="18806" xr:uid="{9AB6DF46-EBB4-407C-BD47-45EE347D1D78}"/>
    <cellStyle name="Comma 5 5 2 3 4" xfId="2546" xr:uid="{0A4031DE-7146-45F2-A429-90450E6F81C2}"/>
    <cellStyle name="Comma 5 5 2 3 4 2" xfId="6882" xr:uid="{60C8BDF8-43DD-46C2-AA10-4D9FE8038D5C}"/>
    <cellStyle name="Comma 5 5 2 3 4 2 2" xfId="15554" xr:uid="{B9657E10-5994-41F2-BC61-3DA5DD23917B}"/>
    <cellStyle name="Comma 5 5 2 3 4 2 2 2" xfId="32898" xr:uid="{2EC5DBCE-B9EC-4704-BDC7-5D6488C8B957}"/>
    <cellStyle name="Comma 5 5 2 3 4 2 3" xfId="24226" xr:uid="{E173249B-C146-4CC0-AFEB-FBE5ACB23F15}"/>
    <cellStyle name="Comma 5 5 2 3 4 3" xfId="11218" xr:uid="{C6E2D02F-C34C-494C-820C-3A38F0F6D0A0}"/>
    <cellStyle name="Comma 5 5 2 3 4 3 2" xfId="28562" xr:uid="{87409722-936E-4759-93E8-295D92F86BFB}"/>
    <cellStyle name="Comma 5 5 2 3 4 4" xfId="19890" xr:uid="{B9AAB9C3-03D7-48E8-91CE-EDDC1859A8C3}"/>
    <cellStyle name="Comma 5 5 2 3 5" xfId="4714" xr:uid="{2E44E38C-A54B-4E5D-852B-D67E66C2CFED}"/>
    <cellStyle name="Comma 5 5 2 3 5 2" xfId="13386" xr:uid="{0D72A12C-A4AF-4D6A-9B65-5E2964B2AEEB}"/>
    <cellStyle name="Comma 5 5 2 3 5 2 2" xfId="30730" xr:uid="{D357309D-4CCB-43FE-9A55-E2132C524C49}"/>
    <cellStyle name="Comma 5 5 2 3 5 3" xfId="22058" xr:uid="{9F2585B0-4D7B-4BAB-8ECF-8746467E59F9}"/>
    <cellStyle name="Comma 5 5 2 3 6" xfId="9050" xr:uid="{49287D44-E9D3-4BAA-B76D-9015FD902127}"/>
    <cellStyle name="Comma 5 5 2 3 6 2" xfId="26394" xr:uid="{AFAEA777-E08E-44C7-A17F-79A1AC96A146}"/>
    <cellStyle name="Comma 5 5 2 3 7" xfId="17722" xr:uid="{72806787-E01D-47EC-9BF7-84F1314C0700}"/>
    <cellStyle name="Comma 5 5 2 4" xfId="649" xr:uid="{CD4D5D3C-8529-4DF1-B531-F39792470B95}"/>
    <cellStyle name="Comma 5 5 2 4 2" xfId="1733" xr:uid="{26DC8E61-A932-4329-B473-2B28E3BA787E}"/>
    <cellStyle name="Comma 5 5 2 4 2 2" xfId="3901" xr:uid="{FE05CC52-1537-4AD1-84DF-B3876BBAA5CC}"/>
    <cellStyle name="Comma 5 5 2 4 2 2 2" xfId="8237" xr:uid="{221C7EF3-94B2-4D8E-8158-269B2FBC73E8}"/>
    <cellStyle name="Comma 5 5 2 4 2 2 2 2" xfId="16909" xr:uid="{4B8A00AC-071C-4052-84FC-380AD46B4E93}"/>
    <cellStyle name="Comma 5 5 2 4 2 2 2 2 2" xfId="34253" xr:uid="{921FAE1D-59FE-42C7-B447-4A40263D319D}"/>
    <cellStyle name="Comma 5 5 2 4 2 2 2 3" xfId="25581" xr:uid="{B1D0EA48-7035-489F-80C8-A644ADD1A0BF}"/>
    <cellStyle name="Comma 5 5 2 4 2 2 3" xfId="12573" xr:uid="{4670C59B-3ED1-45A5-A8B1-AC26A55353D8}"/>
    <cellStyle name="Comma 5 5 2 4 2 2 3 2" xfId="29917" xr:uid="{AF947C4D-8146-4541-8788-DCD70E868C53}"/>
    <cellStyle name="Comma 5 5 2 4 2 2 4" xfId="21245" xr:uid="{D0F0D485-DE0E-4AE4-98A5-1C91EF2E2EA9}"/>
    <cellStyle name="Comma 5 5 2 4 2 3" xfId="6069" xr:uid="{6E09C2DF-E63C-418C-82BD-E4E6CED76A5E}"/>
    <cellStyle name="Comma 5 5 2 4 2 3 2" xfId="14741" xr:uid="{922A1FA4-1261-40B6-A934-C35C6B1FD25A}"/>
    <cellStyle name="Comma 5 5 2 4 2 3 2 2" xfId="32085" xr:uid="{C8007F12-94B6-4ACA-AB52-8E3687E38C31}"/>
    <cellStyle name="Comma 5 5 2 4 2 3 3" xfId="23413" xr:uid="{664EB0E3-4ACB-4365-8216-0EC79AC159F9}"/>
    <cellStyle name="Comma 5 5 2 4 2 4" xfId="10405" xr:uid="{2E5CEF59-608C-419C-B3CF-E16B35881B17}"/>
    <cellStyle name="Comma 5 5 2 4 2 4 2" xfId="27749" xr:uid="{A3E7BB7D-90D8-491B-92D5-0DE5BC61EA92}"/>
    <cellStyle name="Comma 5 5 2 4 2 5" xfId="19077" xr:uid="{1D81DE31-B0FF-40FB-9695-CA2773974B95}"/>
    <cellStyle name="Comma 5 5 2 4 3" xfId="2817" xr:uid="{F749946A-231A-4D05-9B28-9406BCB61AB2}"/>
    <cellStyle name="Comma 5 5 2 4 3 2" xfId="7153" xr:uid="{3DC1AC07-D699-447C-B703-6B4A1A4FCF15}"/>
    <cellStyle name="Comma 5 5 2 4 3 2 2" xfId="15825" xr:uid="{A3B944A6-CFFA-4309-9969-6ABBAD0B5A09}"/>
    <cellStyle name="Comma 5 5 2 4 3 2 2 2" xfId="33169" xr:uid="{5AB021E2-050C-4596-AA67-B4EE7904E905}"/>
    <cellStyle name="Comma 5 5 2 4 3 2 3" xfId="24497" xr:uid="{709F1C94-2FBA-4199-B67A-181EEF5AD207}"/>
    <cellStyle name="Comma 5 5 2 4 3 3" xfId="11489" xr:uid="{5A2A501B-F72D-4C37-A865-0BFA806D285C}"/>
    <cellStyle name="Comma 5 5 2 4 3 3 2" xfId="28833" xr:uid="{EF11D661-F67D-4949-A84A-7368E8C629F1}"/>
    <cellStyle name="Comma 5 5 2 4 3 4" xfId="20161" xr:uid="{6B4FABBA-2BAD-46ED-B896-2F08E7375002}"/>
    <cellStyle name="Comma 5 5 2 4 4" xfId="4985" xr:uid="{E6F5362B-4A6F-48DE-9B6E-68723906BFDD}"/>
    <cellStyle name="Comma 5 5 2 4 4 2" xfId="13657" xr:uid="{AF14392D-128D-4584-A0B5-9EF9F86CCE8B}"/>
    <cellStyle name="Comma 5 5 2 4 4 2 2" xfId="31001" xr:uid="{5D83D33D-A761-4666-8CDD-4959D866FB6F}"/>
    <cellStyle name="Comma 5 5 2 4 4 3" xfId="22329" xr:uid="{A0D95412-34ED-404E-90EA-185579848EC2}"/>
    <cellStyle name="Comma 5 5 2 4 5" xfId="9321" xr:uid="{B0457A7B-87CC-4B68-8E95-F547C326162D}"/>
    <cellStyle name="Comma 5 5 2 4 5 2" xfId="26665" xr:uid="{DAF05087-7F9D-42E2-9F70-00DFC5CAF728}"/>
    <cellStyle name="Comma 5 5 2 4 6" xfId="17993" xr:uid="{62E5B324-ABA3-459F-9106-6A6D3EA21FE9}"/>
    <cellStyle name="Comma 5 5 2 5" xfId="1192" xr:uid="{FA1A23C6-911E-402F-8660-077DC3EA1CB0}"/>
    <cellStyle name="Comma 5 5 2 5 2" xfId="3360" xr:uid="{DD95BB42-60C3-4D56-A931-5D2ECC996159}"/>
    <cellStyle name="Comma 5 5 2 5 2 2" xfId="7696" xr:uid="{CEDC887B-13E0-4C1F-9686-D6CD340426CE}"/>
    <cellStyle name="Comma 5 5 2 5 2 2 2" xfId="16368" xr:uid="{3DD05E91-365E-45F4-BE53-B39FFEC0F11B}"/>
    <cellStyle name="Comma 5 5 2 5 2 2 2 2" xfId="33712" xr:uid="{85E3287F-5669-4D15-9703-D460E17706AD}"/>
    <cellStyle name="Comma 5 5 2 5 2 2 3" xfId="25040" xr:uid="{5E3AB4C1-0420-45A9-B39A-C24D484011A3}"/>
    <cellStyle name="Comma 5 5 2 5 2 3" xfId="12032" xr:uid="{14A2D17D-31AB-4F0F-B646-5EF239051B04}"/>
    <cellStyle name="Comma 5 5 2 5 2 3 2" xfId="29376" xr:uid="{D29BD986-A6AF-4F48-9E36-1D1732758264}"/>
    <cellStyle name="Comma 5 5 2 5 2 4" xfId="20704" xr:uid="{87177A95-DA50-440B-B9AB-0ED84498E62E}"/>
    <cellStyle name="Comma 5 5 2 5 3" xfId="5528" xr:uid="{A5BC2B0E-CE7D-4227-96BA-5DFD366A0E5F}"/>
    <cellStyle name="Comma 5 5 2 5 3 2" xfId="14200" xr:uid="{6613C035-C721-4FF2-AD73-CFDAEEFCA817}"/>
    <cellStyle name="Comma 5 5 2 5 3 2 2" xfId="31544" xr:uid="{9ACF3532-3FF1-4DAC-8EAD-D69D10BC0466}"/>
    <cellStyle name="Comma 5 5 2 5 3 3" xfId="22872" xr:uid="{E732B91B-72E2-4170-AB34-C6E198474628}"/>
    <cellStyle name="Comma 5 5 2 5 4" xfId="9864" xr:uid="{68ACEA0B-4941-4D58-8ED4-CF01537A7BD9}"/>
    <cellStyle name="Comma 5 5 2 5 4 2" xfId="27208" xr:uid="{074CE0DF-ACB1-48AF-B0F5-3C9F980A5768}"/>
    <cellStyle name="Comma 5 5 2 5 5" xfId="18536" xr:uid="{B6DDD389-92B0-412C-AA62-3339115CEB4C}"/>
    <cellStyle name="Comma 5 5 2 6" xfId="2276" xr:uid="{9AB4128B-FA87-414D-8BCA-4ED1FA1A0838}"/>
    <cellStyle name="Comma 5 5 2 6 2" xfId="6612" xr:uid="{56F9D388-F3C2-43E2-8EE6-B50A3F0FF972}"/>
    <cellStyle name="Comma 5 5 2 6 2 2" xfId="15284" xr:uid="{4A232FDF-111B-4C0E-97CA-553290596486}"/>
    <cellStyle name="Comma 5 5 2 6 2 2 2" xfId="32628" xr:uid="{477DD0CF-37A2-4B90-8A8C-80CBA54424C7}"/>
    <cellStyle name="Comma 5 5 2 6 2 3" xfId="23956" xr:uid="{DA43E41D-8FE6-42A3-ACCF-A4583CD5DBB1}"/>
    <cellStyle name="Comma 5 5 2 6 3" xfId="10948" xr:uid="{DB456D69-7EDC-4950-BF31-DACE62185B45}"/>
    <cellStyle name="Comma 5 5 2 6 3 2" xfId="28292" xr:uid="{AE2F39F0-3F1C-4B3F-9080-CB4440DE68EF}"/>
    <cellStyle name="Comma 5 5 2 6 4" xfId="19620" xr:uid="{4A1236D6-1DFD-4CC2-9BFE-E8136AC23FBF}"/>
    <cellStyle name="Comma 5 5 2 7" xfId="4444" xr:uid="{2A958597-4F21-4E51-86F6-EA1D0641E83E}"/>
    <cellStyle name="Comma 5 5 2 7 2" xfId="13116" xr:uid="{C1908FA1-2681-41CB-AD21-24084D128C7D}"/>
    <cellStyle name="Comma 5 5 2 7 2 2" xfId="30460" xr:uid="{BF05281F-9E65-4D10-8112-A2C0FF3703B8}"/>
    <cellStyle name="Comma 5 5 2 7 3" xfId="21788" xr:uid="{98450F5E-754A-4093-87FB-BCF85D7E760B}"/>
    <cellStyle name="Comma 5 5 2 8" xfId="8780" xr:uid="{7EE6E2C7-6C40-4EDA-9325-715FB8AD1B69}"/>
    <cellStyle name="Comma 5 5 2 8 2" xfId="26124" xr:uid="{3C45C70B-063D-4800-BC90-5B3830AEA6AE}"/>
    <cellStyle name="Comma 5 5 2 9" xfId="17452" xr:uid="{11F8877C-2C79-4844-9598-B756FFCA00AE}"/>
    <cellStyle name="Comma 5 5 3" xfId="169" xr:uid="{27231C21-AF2D-4916-9BCD-C326EBD8D6EC}"/>
    <cellStyle name="Comma 5 5 3 2" xfId="439" xr:uid="{6706F795-4C55-459B-8D62-E868B7BAE01C}"/>
    <cellStyle name="Comma 5 5 3 2 2" xfId="980" xr:uid="{10A06F7C-5DF8-4B00-9CF8-50579030F7F8}"/>
    <cellStyle name="Comma 5 5 3 2 2 2" xfId="2064" xr:uid="{C5950CC7-EF0A-48CE-8B33-C4322CD1ACB8}"/>
    <cellStyle name="Comma 5 5 3 2 2 2 2" xfId="4232" xr:uid="{6B560020-ED63-4DA2-91FC-EFBC1F736580}"/>
    <cellStyle name="Comma 5 5 3 2 2 2 2 2" xfId="8568" xr:uid="{243AE2BE-1904-4656-8B79-2DA47045296B}"/>
    <cellStyle name="Comma 5 5 3 2 2 2 2 2 2" xfId="17240" xr:uid="{7E1D4BDE-B659-4177-81FC-B8CC79102CC8}"/>
    <cellStyle name="Comma 5 5 3 2 2 2 2 2 2 2" xfId="34584" xr:uid="{BD77D158-71D4-454D-BF1C-13CA73FF9207}"/>
    <cellStyle name="Comma 5 5 3 2 2 2 2 2 3" xfId="25912" xr:uid="{0A090DD8-3091-43DE-94CB-DC721BF7DD2D}"/>
    <cellStyle name="Comma 5 5 3 2 2 2 2 3" xfId="12904" xr:uid="{DB573846-AF6F-4B2F-958A-BDEBC8AEC3F3}"/>
    <cellStyle name="Comma 5 5 3 2 2 2 2 3 2" xfId="30248" xr:uid="{95A04453-DB7A-47C4-8225-3DF510EF01F8}"/>
    <cellStyle name="Comma 5 5 3 2 2 2 2 4" xfId="21576" xr:uid="{7866164F-819E-4EB4-BCED-F5C16320BF83}"/>
    <cellStyle name="Comma 5 5 3 2 2 2 3" xfId="6400" xr:uid="{B2CCAC1E-9BAC-4448-BB6B-5B08C8AEA6ED}"/>
    <cellStyle name="Comma 5 5 3 2 2 2 3 2" xfId="15072" xr:uid="{8F1434DE-D03A-4D3D-B27C-94EE57CD851F}"/>
    <cellStyle name="Comma 5 5 3 2 2 2 3 2 2" xfId="32416" xr:uid="{B930297A-4840-408E-A124-7749812DC43E}"/>
    <cellStyle name="Comma 5 5 3 2 2 2 3 3" xfId="23744" xr:uid="{EC0BED02-B5B6-4D44-BAEF-7920865975BE}"/>
    <cellStyle name="Comma 5 5 3 2 2 2 4" xfId="10736" xr:uid="{EFF5B057-3159-435F-9F81-EA7578A31C75}"/>
    <cellStyle name="Comma 5 5 3 2 2 2 4 2" xfId="28080" xr:uid="{6A1A0A3D-4A18-4951-A8DE-1A475619BF1D}"/>
    <cellStyle name="Comma 5 5 3 2 2 2 5" xfId="19408" xr:uid="{FBAB3B8A-56AD-413F-9D99-B04C6F2DE9FD}"/>
    <cellStyle name="Comma 5 5 3 2 2 3" xfId="3148" xr:uid="{DDB6D42F-B6B4-4060-981F-50E0DEE3F305}"/>
    <cellStyle name="Comma 5 5 3 2 2 3 2" xfId="7484" xr:uid="{E21BD261-A030-46F5-B3BF-0BC556627DAE}"/>
    <cellStyle name="Comma 5 5 3 2 2 3 2 2" xfId="16156" xr:uid="{862E9132-7892-4562-8BD4-F26860A2707B}"/>
    <cellStyle name="Comma 5 5 3 2 2 3 2 2 2" xfId="33500" xr:uid="{1E6D7670-A988-4CA6-8E23-E084F18633AF}"/>
    <cellStyle name="Comma 5 5 3 2 2 3 2 3" xfId="24828" xr:uid="{18D83961-AE7A-4871-AAEC-ECC69E0502C5}"/>
    <cellStyle name="Comma 5 5 3 2 2 3 3" xfId="11820" xr:uid="{9888326E-B321-40B6-9FCA-5863C69A6DDC}"/>
    <cellStyle name="Comma 5 5 3 2 2 3 3 2" xfId="29164" xr:uid="{081084A7-8EB7-4D47-82B2-4D96724CC613}"/>
    <cellStyle name="Comma 5 5 3 2 2 3 4" xfId="20492" xr:uid="{2160AAF4-8F7C-4176-AE6A-029A872E7907}"/>
    <cellStyle name="Comma 5 5 3 2 2 4" xfId="5316" xr:uid="{0F9AD090-887C-4E4D-892B-9BBBAE5CFED5}"/>
    <cellStyle name="Comma 5 5 3 2 2 4 2" xfId="13988" xr:uid="{CC5D4FE3-87B5-4D55-9FF3-0AB0D5A6241B}"/>
    <cellStyle name="Comma 5 5 3 2 2 4 2 2" xfId="31332" xr:uid="{1516896D-9774-47AD-9DA5-FFECA9D5F4EC}"/>
    <cellStyle name="Comma 5 5 3 2 2 4 3" xfId="22660" xr:uid="{BA0C87F3-8887-4DEE-8C62-AD09C3F7D844}"/>
    <cellStyle name="Comma 5 5 3 2 2 5" xfId="9652" xr:uid="{4B5F3460-5BA4-42B7-92D7-A9AD79EDB2ED}"/>
    <cellStyle name="Comma 5 5 3 2 2 5 2" xfId="26996" xr:uid="{B5C00F53-0502-464A-8ED8-61197D6F36A7}"/>
    <cellStyle name="Comma 5 5 3 2 2 6" xfId="18324" xr:uid="{C79AB6C1-ACBA-4CCA-A2DF-01D60C0BF43A}"/>
    <cellStyle name="Comma 5 5 3 2 3" xfId="1523" xr:uid="{68C60D20-FB8D-4F09-9253-9A889C23F2C4}"/>
    <cellStyle name="Comma 5 5 3 2 3 2" xfId="3691" xr:uid="{94C85E5E-C2F0-4486-B804-3BD69F27B7BC}"/>
    <cellStyle name="Comma 5 5 3 2 3 2 2" xfId="8027" xr:uid="{04EFDB9F-F694-4514-AE9E-EC9A5BEE56BE}"/>
    <cellStyle name="Comma 5 5 3 2 3 2 2 2" xfId="16699" xr:uid="{28CD20F9-A042-4E30-9947-91B5A4B72C40}"/>
    <cellStyle name="Comma 5 5 3 2 3 2 2 2 2" xfId="34043" xr:uid="{DFDEA6D5-7939-42DB-A6A8-77251474296A}"/>
    <cellStyle name="Comma 5 5 3 2 3 2 2 3" xfId="25371" xr:uid="{96CF43B7-5E8E-465E-AD78-1470FF0F2785}"/>
    <cellStyle name="Comma 5 5 3 2 3 2 3" xfId="12363" xr:uid="{E62C4578-9B71-428F-B22E-6A9C6F5471FA}"/>
    <cellStyle name="Comma 5 5 3 2 3 2 3 2" xfId="29707" xr:uid="{8DCF65C8-58BF-4857-949E-91B6A90E9509}"/>
    <cellStyle name="Comma 5 5 3 2 3 2 4" xfId="21035" xr:uid="{3262B9D7-6AC5-4C65-931C-1B0134160A5D}"/>
    <cellStyle name="Comma 5 5 3 2 3 3" xfId="5859" xr:uid="{B5A826AF-69B5-4EE1-9378-90AA6BEB89B0}"/>
    <cellStyle name="Comma 5 5 3 2 3 3 2" xfId="14531" xr:uid="{A8D73A5E-1A2F-41F6-913E-F35BB62D51B1}"/>
    <cellStyle name="Comma 5 5 3 2 3 3 2 2" xfId="31875" xr:uid="{0DDB6956-AF0B-4B69-BE4C-825F20F16B92}"/>
    <cellStyle name="Comma 5 5 3 2 3 3 3" xfId="23203" xr:uid="{789A8D5E-5754-4C89-80FA-6C84E2B0CB92}"/>
    <cellStyle name="Comma 5 5 3 2 3 4" xfId="10195" xr:uid="{066D7DD3-D3DD-470E-9B2E-FE62DAAE0F82}"/>
    <cellStyle name="Comma 5 5 3 2 3 4 2" xfId="27539" xr:uid="{CBC9F705-AC50-4AF5-B86E-1C17A887A277}"/>
    <cellStyle name="Comma 5 5 3 2 3 5" xfId="18867" xr:uid="{62F052F7-B0C8-4BCD-BEDE-D398C4ACD2D8}"/>
    <cellStyle name="Comma 5 5 3 2 4" xfId="2607" xr:uid="{98A775D3-EED3-44B2-92EF-5764D1355919}"/>
    <cellStyle name="Comma 5 5 3 2 4 2" xfId="6943" xr:uid="{BB917446-100A-4EB0-9B33-5D6A68824EA2}"/>
    <cellStyle name="Comma 5 5 3 2 4 2 2" xfId="15615" xr:uid="{8A294152-EB15-4BA6-819D-35B9A42A24C7}"/>
    <cellStyle name="Comma 5 5 3 2 4 2 2 2" xfId="32959" xr:uid="{C8BD6D59-1C4F-4A1A-950A-288F881D91B6}"/>
    <cellStyle name="Comma 5 5 3 2 4 2 3" xfId="24287" xr:uid="{35348A35-3B26-4148-A38D-32FA0D3D6856}"/>
    <cellStyle name="Comma 5 5 3 2 4 3" xfId="11279" xr:uid="{7307BEBF-02CB-451D-88A1-8296F8E17C22}"/>
    <cellStyle name="Comma 5 5 3 2 4 3 2" xfId="28623" xr:uid="{40E4AC57-5158-4BAA-982B-6B47443DA074}"/>
    <cellStyle name="Comma 5 5 3 2 4 4" xfId="19951" xr:uid="{A5D4A183-CC7D-4307-B13D-F9553AC895C0}"/>
    <cellStyle name="Comma 5 5 3 2 5" xfId="4775" xr:uid="{C272B5EF-CFF5-4A57-94AA-7F3DA132D4F7}"/>
    <cellStyle name="Comma 5 5 3 2 5 2" xfId="13447" xr:uid="{D2F4F545-29E0-48C3-9275-07234E75F43F}"/>
    <cellStyle name="Comma 5 5 3 2 5 2 2" xfId="30791" xr:uid="{3C5DF140-02E5-4DD4-9CA9-F051D1A067CB}"/>
    <cellStyle name="Comma 5 5 3 2 5 3" xfId="22119" xr:uid="{2A5CF16E-FA87-4A76-A2B0-6EF8CE143794}"/>
    <cellStyle name="Comma 5 5 3 2 6" xfId="9111" xr:uid="{4AE3D708-29C9-48AA-96AF-0545B60D4003}"/>
    <cellStyle name="Comma 5 5 3 2 6 2" xfId="26455" xr:uid="{1E04CBB6-6FE1-4A2A-8998-314A972D099D}"/>
    <cellStyle name="Comma 5 5 3 2 7" xfId="17783" xr:uid="{FCFD3B98-6850-48D1-947B-0A7382971DC7}"/>
    <cellStyle name="Comma 5 5 3 3" xfId="710" xr:uid="{91C3162D-317E-42F6-A5B8-07C6A2ECAEDB}"/>
    <cellStyle name="Comma 5 5 3 3 2" xfId="1794" xr:uid="{0CAE2509-96BA-40DE-8285-D96C2CE2B834}"/>
    <cellStyle name="Comma 5 5 3 3 2 2" xfId="3962" xr:uid="{E22CA41B-2C4D-4BB0-8181-D1274FD695E0}"/>
    <cellStyle name="Comma 5 5 3 3 2 2 2" xfId="8298" xr:uid="{92B908ED-B8B3-4C0A-BFC2-D663A4D6F873}"/>
    <cellStyle name="Comma 5 5 3 3 2 2 2 2" xfId="16970" xr:uid="{75909F92-53E6-461B-ADDC-920AF2509583}"/>
    <cellStyle name="Comma 5 5 3 3 2 2 2 2 2" xfId="34314" xr:uid="{0262A186-E8E3-468A-8276-C04C0EE0BDC8}"/>
    <cellStyle name="Comma 5 5 3 3 2 2 2 3" xfId="25642" xr:uid="{B866FBEF-F5DD-4413-8721-43FA22128A8B}"/>
    <cellStyle name="Comma 5 5 3 3 2 2 3" xfId="12634" xr:uid="{75E63B75-916A-4510-93C2-4C42BBC24091}"/>
    <cellStyle name="Comma 5 5 3 3 2 2 3 2" xfId="29978" xr:uid="{410CA590-04A9-40B7-9D7A-36D7D35806AD}"/>
    <cellStyle name="Comma 5 5 3 3 2 2 4" xfId="21306" xr:uid="{26EBC2DD-0171-4396-973D-B09E8E9F1652}"/>
    <cellStyle name="Comma 5 5 3 3 2 3" xfId="6130" xr:uid="{1ECDAA38-AAC9-494B-9673-6CC70590651E}"/>
    <cellStyle name="Comma 5 5 3 3 2 3 2" xfId="14802" xr:uid="{C700BA13-9BAB-4907-8961-36BD990A8BD2}"/>
    <cellStyle name="Comma 5 5 3 3 2 3 2 2" xfId="32146" xr:uid="{5EBF0A9D-6FE1-46CB-9634-F4346724C2C2}"/>
    <cellStyle name="Comma 5 5 3 3 2 3 3" xfId="23474" xr:uid="{4EA94FA3-DC50-4175-923A-4812DD386500}"/>
    <cellStyle name="Comma 5 5 3 3 2 4" xfId="10466" xr:uid="{79262C99-1ECF-42E1-B562-33A439E0FC4A}"/>
    <cellStyle name="Comma 5 5 3 3 2 4 2" xfId="27810" xr:uid="{DB227652-8223-4C86-A933-F8B182AD7571}"/>
    <cellStyle name="Comma 5 5 3 3 2 5" xfId="19138" xr:uid="{A0350723-A822-47B7-AFD2-0792E3ED140F}"/>
    <cellStyle name="Comma 5 5 3 3 3" xfId="2878" xr:uid="{C74D7E15-5AB1-4D4E-8AB4-B8900B4375EE}"/>
    <cellStyle name="Comma 5 5 3 3 3 2" xfId="7214" xr:uid="{A5FB220E-8C6B-42E4-9284-E091B5111A31}"/>
    <cellStyle name="Comma 5 5 3 3 3 2 2" xfId="15886" xr:uid="{2256B7B1-D6A3-4404-AE0C-23642CF1DEEF}"/>
    <cellStyle name="Comma 5 5 3 3 3 2 2 2" xfId="33230" xr:uid="{6D85EC1B-A90C-490B-B441-383D0BC27664}"/>
    <cellStyle name="Comma 5 5 3 3 3 2 3" xfId="24558" xr:uid="{88B7AB0E-57C7-47DD-8BC4-F07CC94C30CA}"/>
    <cellStyle name="Comma 5 5 3 3 3 3" xfId="11550" xr:uid="{597B860B-C650-4B44-8CA4-055E46EBDCE4}"/>
    <cellStyle name="Comma 5 5 3 3 3 3 2" xfId="28894" xr:uid="{90C6B73E-0684-4658-84E0-10B965024ABB}"/>
    <cellStyle name="Comma 5 5 3 3 3 4" xfId="20222" xr:uid="{BD5C670F-9579-4D1A-958A-759BCA093775}"/>
    <cellStyle name="Comma 5 5 3 3 4" xfId="5046" xr:uid="{C9C61B98-A4AB-49A3-A3DD-909CEF2CEE4F}"/>
    <cellStyle name="Comma 5 5 3 3 4 2" xfId="13718" xr:uid="{2F470A31-D316-452F-808F-8FDE1BE28FDE}"/>
    <cellStyle name="Comma 5 5 3 3 4 2 2" xfId="31062" xr:uid="{83504976-C717-4AFD-BC7F-1DEA4818B105}"/>
    <cellStyle name="Comma 5 5 3 3 4 3" xfId="22390" xr:uid="{489E35EB-E316-4B8B-BD1C-B6D3E7CB91AE}"/>
    <cellStyle name="Comma 5 5 3 3 5" xfId="9382" xr:uid="{F78AD0A8-3AF5-4BDE-9907-EC4497FF2A44}"/>
    <cellStyle name="Comma 5 5 3 3 5 2" xfId="26726" xr:uid="{8FBF9518-FEA0-45AE-9BC5-03A91E3207C4}"/>
    <cellStyle name="Comma 5 5 3 3 6" xfId="18054" xr:uid="{052B8154-A19D-4929-908C-AC1D2257E544}"/>
    <cellStyle name="Comma 5 5 3 4" xfId="1253" xr:uid="{CC18151A-92CB-4272-A097-29E3AB0F1442}"/>
    <cellStyle name="Comma 5 5 3 4 2" xfId="3421" xr:uid="{F76BF489-D17E-4E42-AA55-92CF824275D2}"/>
    <cellStyle name="Comma 5 5 3 4 2 2" xfId="7757" xr:uid="{C2C8C6C1-8EB0-4478-8993-841B41902A41}"/>
    <cellStyle name="Comma 5 5 3 4 2 2 2" xfId="16429" xr:uid="{31534AC4-D1D5-4ED8-898D-AAB691089590}"/>
    <cellStyle name="Comma 5 5 3 4 2 2 2 2" xfId="33773" xr:uid="{36EB6C89-E03A-40BA-B978-161EB0321D02}"/>
    <cellStyle name="Comma 5 5 3 4 2 2 3" xfId="25101" xr:uid="{FCAB21B3-FE24-4BEA-B90B-ACE579DD7AE6}"/>
    <cellStyle name="Comma 5 5 3 4 2 3" xfId="12093" xr:uid="{B66AFE06-397B-4299-B97A-B05BBB8848B2}"/>
    <cellStyle name="Comma 5 5 3 4 2 3 2" xfId="29437" xr:uid="{1A653443-B4FD-43C1-9B89-9CC7F36F51DB}"/>
    <cellStyle name="Comma 5 5 3 4 2 4" xfId="20765" xr:uid="{46B50E7F-DA80-4DE4-BF37-8414F4927DC0}"/>
    <cellStyle name="Comma 5 5 3 4 3" xfId="5589" xr:uid="{0E204448-0617-4EA3-961A-F20E41C9F1E5}"/>
    <cellStyle name="Comma 5 5 3 4 3 2" xfId="14261" xr:uid="{06FC03CD-D8CB-47A7-9FBA-10E196E7DD8D}"/>
    <cellStyle name="Comma 5 5 3 4 3 2 2" xfId="31605" xr:uid="{722E8EC7-49EF-4210-ABDD-9F8233CB9B41}"/>
    <cellStyle name="Comma 5 5 3 4 3 3" xfId="22933" xr:uid="{88191E1D-5A98-4440-97D1-F433BD06CB2F}"/>
    <cellStyle name="Comma 5 5 3 4 4" xfId="9925" xr:uid="{F15A110A-A637-4898-B4F2-7FB8211CBDF8}"/>
    <cellStyle name="Comma 5 5 3 4 4 2" xfId="27269" xr:uid="{416ED531-ACAB-4D4D-928B-2197D0A1F018}"/>
    <cellStyle name="Comma 5 5 3 4 5" xfId="18597" xr:uid="{C247A68C-0B2D-4601-A4DB-B90C12474F42}"/>
    <cellStyle name="Comma 5 5 3 5" xfId="2337" xr:uid="{8CB291F0-6A86-475A-B598-B4893A101883}"/>
    <cellStyle name="Comma 5 5 3 5 2" xfId="6673" xr:uid="{4B3010A0-A7D2-438B-AD22-B634412266C4}"/>
    <cellStyle name="Comma 5 5 3 5 2 2" xfId="15345" xr:uid="{544A2274-7EE7-4C58-9612-0C8FA58D4EDE}"/>
    <cellStyle name="Comma 5 5 3 5 2 2 2" xfId="32689" xr:uid="{921058B7-B837-4A24-9F25-8D25874D32DF}"/>
    <cellStyle name="Comma 5 5 3 5 2 3" xfId="24017" xr:uid="{426BA852-7157-41C4-8ABA-0E380525EF25}"/>
    <cellStyle name="Comma 5 5 3 5 3" xfId="11009" xr:uid="{7DB8BEA9-8444-4EDF-A9D8-3D814A908980}"/>
    <cellStyle name="Comma 5 5 3 5 3 2" xfId="28353" xr:uid="{8B9BB5C2-0D9F-4B20-8623-F74AF7470000}"/>
    <cellStyle name="Comma 5 5 3 5 4" xfId="19681" xr:uid="{FABF361E-4376-4DA6-A19A-305F547CD82B}"/>
    <cellStyle name="Comma 5 5 3 6" xfId="4505" xr:uid="{5A7DE2F6-5AD5-4268-AB02-7B7031DB18B6}"/>
    <cellStyle name="Comma 5 5 3 6 2" xfId="13177" xr:uid="{E45A8017-CB7E-4BED-A0A7-290107A21B7F}"/>
    <cellStyle name="Comma 5 5 3 6 2 2" xfId="30521" xr:uid="{710B4E3F-A8C7-4D7C-A64D-4AE3D9645330}"/>
    <cellStyle name="Comma 5 5 3 6 3" xfId="21849" xr:uid="{BA8C6FBA-03BE-4AD9-8310-09B3B98D1DF0}"/>
    <cellStyle name="Comma 5 5 3 7" xfId="8841" xr:uid="{0BC16E63-B5FE-46A0-98B1-CCFB9C00B39B}"/>
    <cellStyle name="Comma 5 5 3 7 2" xfId="26185" xr:uid="{FE888C81-A92C-476B-8D14-1174D48DD243}"/>
    <cellStyle name="Comma 5 5 3 8" xfId="17513" xr:uid="{14031945-8D8E-4330-980C-B27D5064ECEF}"/>
    <cellStyle name="Comma 5 5 4" xfId="317" xr:uid="{86DA07E9-C40B-4A84-8BDA-B208170B3A79}"/>
    <cellStyle name="Comma 5 5 4 2" xfId="858" xr:uid="{72F40283-ECDB-4250-B728-3B764811D228}"/>
    <cellStyle name="Comma 5 5 4 2 2" xfId="1942" xr:uid="{7283ECF1-88F8-43EF-94E8-9E91D10E5C0F}"/>
    <cellStyle name="Comma 5 5 4 2 2 2" xfId="4110" xr:uid="{8A74B660-D162-4A37-92C9-5A522663A142}"/>
    <cellStyle name="Comma 5 5 4 2 2 2 2" xfId="8446" xr:uid="{60631389-135F-446C-B709-F13852076D85}"/>
    <cellStyle name="Comma 5 5 4 2 2 2 2 2" xfId="17118" xr:uid="{52A2C5EF-7011-4008-AFC0-0117BBE9FA3F}"/>
    <cellStyle name="Comma 5 5 4 2 2 2 2 2 2" xfId="34462" xr:uid="{CACA68BE-9D05-4FD2-AEE5-05DF3D1770E1}"/>
    <cellStyle name="Comma 5 5 4 2 2 2 2 3" xfId="25790" xr:uid="{A65E5ED0-382D-44A6-AE64-41083442D74C}"/>
    <cellStyle name="Comma 5 5 4 2 2 2 3" xfId="12782" xr:uid="{12950FD8-F241-488B-A67A-96B08383D9CD}"/>
    <cellStyle name="Comma 5 5 4 2 2 2 3 2" xfId="30126" xr:uid="{C0BBA3EC-2AD9-473F-9FB8-47115436CDBA}"/>
    <cellStyle name="Comma 5 5 4 2 2 2 4" xfId="21454" xr:uid="{B0FCDFDA-0991-4F1A-BBEB-870514C73525}"/>
    <cellStyle name="Comma 5 5 4 2 2 3" xfId="6278" xr:uid="{5A3A7AC9-2FB9-4C88-8291-D735D7A03EFB}"/>
    <cellStyle name="Comma 5 5 4 2 2 3 2" xfId="14950" xr:uid="{8F6A25FD-2C56-4FF5-ACF0-F3B4CC655C13}"/>
    <cellStyle name="Comma 5 5 4 2 2 3 2 2" xfId="32294" xr:uid="{5FEB246B-FF05-4648-B0C5-09C72AA1BA95}"/>
    <cellStyle name="Comma 5 5 4 2 2 3 3" xfId="23622" xr:uid="{DD536487-B510-4DB4-B43D-8F8AAAEADF15}"/>
    <cellStyle name="Comma 5 5 4 2 2 4" xfId="10614" xr:uid="{A4679A8E-292D-4B45-B9D3-4355B85D3162}"/>
    <cellStyle name="Comma 5 5 4 2 2 4 2" xfId="27958" xr:uid="{0AAF966A-C992-497A-8CCB-A5BDB37D9FDB}"/>
    <cellStyle name="Comma 5 5 4 2 2 5" xfId="19286" xr:uid="{9E1D2FEB-F53D-4C45-B8C6-A4DB1860EC38}"/>
    <cellStyle name="Comma 5 5 4 2 3" xfId="3026" xr:uid="{3EE6D67E-97DD-4815-83B3-FD7E953CE1D4}"/>
    <cellStyle name="Comma 5 5 4 2 3 2" xfId="7362" xr:uid="{78DD94FE-5ED8-431D-ABCF-85B1108C4249}"/>
    <cellStyle name="Comma 5 5 4 2 3 2 2" xfId="16034" xr:uid="{50505745-6293-4E30-976C-80F4E093BF6F}"/>
    <cellStyle name="Comma 5 5 4 2 3 2 2 2" xfId="33378" xr:uid="{AE6DEB03-299C-40DE-856A-B1B4E6929FAA}"/>
    <cellStyle name="Comma 5 5 4 2 3 2 3" xfId="24706" xr:uid="{E31E07BD-B970-45A1-9487-4BD8B71D58D9}"/>
    <cellStyle name="Comma 5 5 4 2 3 3" xfId="11698" xr:uid="{9763DBB4-D3AA-4858-8D75-BB957CE0529B}"/>
    <cellStyle name="Comma 5 5 4 2 3 3 2" xfId="29042" xr:uid="{4FB1D6FB-DBD9-4FA4-BABF-4DEE55F78037}"/>
    <cellStyle name="Comma 5 5 4 2 3 4" xfId="20370" xr:uid="{9B1D6657-E3A7-4FFF-9DA2-164D5B67642C}"/>
    <cellStyle name="Comma 5 5 4 2 4" xfId="5194" xr:uid="{0D258B24-82F8-4BA4-96D6-022ECFA2977A}"/>
    <cellStyle name="Comma 5 5 4 2 4 2" xfId="13866" xr:uid="{557F5A44-7EAB-4843-B5E5-63DB314DC291}"/>
    <cellStyle name="Comma 5 5 4 2 4 2 2" xfId="31210" xr:uid="{6DEF9362-3EB8-410D-BBE5-FAD84AD56ECF}"/>
    <cellStyle name="Comma 5 5 4 2 4 3" xfId="22538" xr:uid="{D93E134C-69A9-4DEA-AA27-26C5AC949C38}"/>
    <cellStyle name="Comma 5 5 4 2 5" xfId="9530" xr:uid="{791B98A9-1A2F-4DBF-B294-016269F449B5}"/>
    <cellStyle name="Comma 5 5 4 2 5 2" xfId="26874" xr:uid="{6C8FDFA2-BDEB-4D89-98E7-105D0CB19685}"/>
    <cellStyle name="Comma 5 5 4 2 6" xfId="18202" xr:uid="{5A3FB4FC-9176-4443-9C97-FDDE93BB21A5}"/>
    <cellStyle name="Comma 5 5 4 3" xfId="1401" xr:uid="{720EC1B5-9C9D-4388-B724-E62A8878F29E}"/>
    <cellStyle name="Comma 5 5 4 3 2" xfId="3569" xr:uid="{F93AFEF9-C0A8-4029-A94E-860EFC20BD3B}"/>
    <cellStyle name="Comma 5 5 4 3 2 2" xfId="7905" xr:uid="{72A19480-A1FB-4578-9D90-D4AEFF9B93C0}"/>
    <cellStyle name="Comma 5 5 4 3 2 2 2" xfId="16577" xr:uid="{5B2B4BA6-5DE1-4860-86DE-D090F2DB1960}"/>
    <cellStyle name="Comma 5 5 4 3 2 2 2 2" xfId="33921" xr:uid="{104420AE-4B28-46DB-9D43-25F85EC3E7ED}"/>
    <cellStyle name="Comma 5 5 4 3 2 2 3" xfId="25249" xr:uid="{BD8E2C4E-7427-4B04-BC38-3ACCD775C25C}"/>
    <cellStyle name="Comma 5 5 4 3 2 3" xfId="12241" xr:uid="{5F91BC8F-F0B4-44B3-9FB5-0964B9B2A729}"/>
    <cellStyle name="Comma 5 5 4 3 2 3 2" xfId="29585" xr:uid="{54D5D91B-0D00-462D-A3B9-2E67FE4A4915}"/>
    <cellStyle name="Comma 5 5 4 3 2 4" xfId="20913" xr:uid="{0F469582-2ECB-4525-9C39-F97A2EC1BF6E}"/>
    <cellStyle name="Comma 5 5 4 3 3" xfId="5737" xr:uid="{52EF3CBD-F427-44DF-9E36-F51C6454BC3D}"/>
    <cellStyle name="Comma 5 5 4 3 3 2" xfId="14409" xr:uid="{1936476A-DA07-46FF-ACD0-FA4448647EF4}"/>
    <cellStyle name="Comma 5 5 4 3 3 2 2" xfId="31753" xr:uid="{550D322D-5390-4219-B4B8-8D9A575BB36C}"/>
    <cellStyle name="Comma 5 5 4 3 3 3" xfId="23081" xr:uid="{E5531479-C779-4383-BE71-7FAEE0130688}"/>
    <cellStyle name="Comma 5 5 4 3 4" xfId="10073" xr:uid="{7204D493-9A2F-444F-958D-75A1925B0C59}"/>
    <cellStyle name="Comma 5 5 4 3 4 2" xfId="27417" xr:uid="{0E300248-92B3-457F-A9A4-B698C63AFA41}"/>
    <cellStyle name="Comma 5 5 4 3 5" xfId="18745" xr:uid="{68B5B93D-1B96-499E-A6F6-4D2175E07861}"/>
    <cellStyle name="Comma 5 5 4 4" xfId="2485" xr:uid="{02E85D4F-29A7-472A-BCE3-6FC238EAB9E1}"/>
    <cellStyle name="Comma 5 5 4 4 2" xfId="6821" xr:uid="{478CAB05-1B1B-4C25-A31F-85519A961925}"/>
    <cellStyle name="Comma 5 5 4 4 2 2" xfId="15493" xr:uid="{BF70B419-D0FD-4C07-8C90-A8ED61C99397}"/>
    <cellStyle name="Comma 5 5 4 4 2 2 2" xfId="32837" xr:uid="{6189D85D-F0A8-4228-AE39-013EDDCD64C9}"/>
    <cellStyle name="Comma 5 5 4 4 2 3" xfId="24165" xr:uid="{38B5C20F-79B7-4DD2-992F-1541D8417576}"/>
    <cellStyle name="Comma 5 5 4 4 3" xfId="11157" xr:uid="{2B16A231-A16C-4087-B3D7-65EFA9063AB4}"/>
    <cellStyle name="Comma 5 5 4 4 3 2" xfId="28501" xr:uid="{5FEA444B-1D2E-46EE-9092-6B0C2E4C18B7}"/>
    <cellStyle name="Comma 5 5 4 4 4" xfId="19829" xr:uid="{BBF234B7-72D9-44C2-8F8B-5613CB9A6F38}"/>
    <cellStyle name="Comma 5 5 4 5" xfId="4653" xr:uid="{6F8A94CD-F499-4F98-A753-41156379BFDC}"/>
    <cellStyle name="Comma 5 5 4 5 2" xfId="13325" xr:uid="{298018C6-DEBE-4725-825D-F8648CA532F7}"/>
    <cellStyle name="Comma 5 5 4 5 2 2" xfId="30669" xr:uid="{E380097B-321D-45B7-920A-F703C660F375}"/>
    <cellStyle name="Comma 5 5 4 5 3" xfId="21997" xr:uid="{15726AFF-A327-49E6-BD67-E16E066652E9}"/>
    <cellStyle name="Comma 5 5 4 6" xfId="8989" xr:uid="{945256C5-79C1-477F-9E03-3BE3CF0EEE21}"/>
    <cellStyle name="Comma 5 5 4 6 2" xfId="26333" xr:uid="{411A9745-C253-4C8C-8423-5A4E71A82651}"/>
    <cellStyle name="Comma 5 5 4 7" xfId="17661" xr:uid="{C480F1F0-5879-4CFB-A2E6-2A291F88C6EC}"/>
    <cellStyle name="Comma 5 5 5" xfId="588" xr:uid="{F5442A36-DB47-4AB6-9C95-8C063D53A764}"/>
    <cellStyle name="Comma 5 5 5 2" xfId="1672" xr:uid="{AEE73520-B07A-4403-BD56-5CBECB86671E}"/>
    <cellStyle name="Comma 5 5 5 2 2" xfId="3840" xr:uid="{A0EF0847-D133-4FDC-B1A0-71B399261EDF}"/>
    <cellStyle name="Comma 5 5 5 2 2 2" xfId="8176" xr:uid="{5CEF9290-CD91-40F5-9D5F-F6112762D23D}"/>
    <cellStyle name="Comma 5 5 5 2 2 2 2" xfId="16848" xr:uid="{75470502-73B5-4559-8B1B-4BD78D09F947}"/>
    <cellStyle name="Comma 5 5 5 2 2 2 2 2" xfId="34192" xr:uid="{0DF5CE29-1A92-43E1-8D5D-61E6A0CA2CB2}"/>
    <cellStyle name="Comma 5 5 5 2 2 2 3" xfId="25520" xr:uid="{728C6175-EE20-4142-AAE9-F10E8A592F1D}"/>
    <cellStyle name="Comma 5 5 5 2 2 3" xfId="12512" xr:uid="{80CABE16-A6EA-4B7B-9B92-62FC1D00A15B}"/>
    <cellStyle name="Comma 5 5 5 2 2 3 2" xfId="29856" xr:uid="{E56F799A-6B26-4206-AC15-6949DB86233B}"/>
    <cellStyle name="Comma 5 5 5 2 2 4" xfId="21184" xr:uid="{4B282EBF-8A45-43FF-BCC3-C9C039F29299}"/>
    <cellStyle name="Comma 5 5 5 2 3" xfId="6008" xr:uid="{658A0722-FCF4-426F-B7DE-2E0A15B2F212}"/>
    <cellStyle name="Comma 5 5 5 2 3 2" xfId="14680" xr:uid="{E874E144-F43A-4C1C-8546-5E16485E7FDA}"/>
    <cellStyle name="Comma 5 5 5 2 3 2 2" xfId="32024" xr:uid="{F4065B89-988E-42BC-A4E1-567FEF81C809}"/>
    <cellStyle name="Comma 5 5 5 2 3 3" xfId="23352" xr:uid="{3107F610-A31E-4EE6-A462-E279F4C39633}"/>
    <cellStyle name="Comma 5 5 5 2 4" xfId="10344" xr:uid="{B0E0546E-DB7C-426E-9881-5F30BA6BF924}"/>
    <cellStyle name="Comma 5 5 5 2 4 2" xfId="27688" xr:uid="{A2C6712C-3912-461A-ADDE-F2C8F0961857}"/>
    <cellStyle name="Comma 5 5 5 2 5" xfId="19016" xr:uid="{D86698D0-1989-4E3F-9345-8C52BE032A25}"/>
    <cellStyle name="Comma 5 5 5 3" xfId="2756" xr:uid="{4941CF2F-81FD-4B84-91A2-A964BAFE89A0}"/>
    <cellStyle name="Comma 5 5 5 3 2" xfId="7092" xr:uid="{AE1003A0-8840-498C-84AF-FC15381A467B}"/>
    <cellStyle name="Comma 5 5 5 3 2 2" xfId="15764" xr:uid="{9DB33CEA-DC06-4E64-BD55-287B865405C0}"/>
    <cellStyle name="Comma 5 5 5 3 2 2 2" xfId="33108" xr:uid="{0AADF209-6132-41D3-A945-640A01214645}"/>
    <cellStyle name="Comma 5 5 5 3 2 3" xfId="24436" xr:uid="{A39B5CE0-2811-44C3-B3AB-9084BE2F0A18}"/>
    <cellStyle name="Comma 5 5 5 3 3" xfId="11428" xr:uid="{BE3054B6-AECB-44AA-BA5A-6EB76E3CE8AA}"/>
    <cellStyle name="Comma 5 5 5 3 3 2" xfId="28772" xr:uid="{42D1E2A5-C1F7-4F31-9646-0A1A03C9B596}"/>
    <cellStyle name="Comma 5 5 5 3 4" xfId="20100" xr:uid="{C068990E-A8EE-425E-99D1-0A212C3DEA16}"/>
    <cellStyle name="Comma 5 5 5 4" xfId="4924" xr:uid="{C54A54CB-AE6E-4BEF-AD5E-C0217CD833EC}"/>
    <cellStyle name="Comma 5 5 5 4 2" xfId="13596" xr:uid="{36D31438-8BC8-4200-84C1-4A1C451FA2E3}"/>
    <cellStyle name="Comma 5 5 5 4 2 2" xfId="30940" xr:uid="{BC000F45-8D19-4274-88AE-1F4B6E308AAE}"/>
    <cellStyle name="Comma 5 5 5 4 3" xfId="22268" xr:uid="{78613A19-754E-4C38-A493-8D053A5EF4CA}"/>
    <cellStyle name="Comma 5 5 5 5" xfId="9260" xr:uid="{B62BAB80-AD16-482D-8AA1-31DD290A2E78}"/>
    <cellStyle name="Comma 5 5 5 5 2" xfId="26604" xr:uid="{EB406E64-B15D-4168-9F8A-78F193CB9441}"/>
    <cellStyle name="Comma 5 5 5 6" xfId="17932" xr:uid="{8EFF8E7B-2AB1-437E-B811-D0A40BBBDF83}"/>
    <cellStyle name="Comma 5 5 6" xfId="1131" xr:uid="{5655A1E8-884F-4642-A888-2500DA073EDA}"/>
    <cellStyle name="Comma 5 5 6 2" xfId="3299" xr:uid="{E0BB9537-1BB6-4DA2-98C7-638254709467}"/>
    <cellStyle name="Comma 5 5 6 2 2" xfId="7635" xr:uid="{D51E4711-25B9-4968-BD4E-71C6CFF1408A}"/>
    <cellStyle name="Comma 5 5 6 2 2 2" xfId="16307" xr:uid="{B8F3D366-90F8-48AB-BF90-2E1A8C5C8E19}"/>
    <cellStyle name="Comma 5 5 6 2 2 2 2" xfId="33651" xr:uid="{16FA060A-DD8A-4A1D-9CFF-9B208F741C88}"/>
    <cellStyle name="Comma 5 5 6 2 2 3" xfId="24979" xr:uid="{781C2002-4A29-42D8-BECC-598AFE6332FE}"/>
    <cellStyle name="Comma 5 5 6 2 3" xfId="11971" xr:uid="{EE724C9B-8F57-429A-BBE6-E2A67028DA93}"/>
    <cellStyle name="Comma 5 5 6 2 3 2" xfId="29315" xr:uid="{21282780-F81C-4A08-B036-44B447EC9DF1}"/>
    <cellStyle name="Comma 5 5 6 2 4" xfId="20643" xr:uid="{0D9CA431-39E4-46A4-8170-01CFD32106F9}"/>
    <cellStyle name="Comma 5 5 6 3" xfId="5467" xr:uid="{9B8B3041-8228-47EE-8B74-65C0E892CEA9}"/>
    <cellStyle name="Comma 5 5 6 3 2" xfId="14139" xr:uid="{83940741-7417-4E94-8E7D-13833385A508}"/>
    <cellStyle name="Comma 5 5 6 3 2 2" xfId="31483" xr:uid="{9D019340-92D3-4F9C-B697-76B6B47C153D}"/>
    <cellStyle name="Comma 5 5 6 3 3" xfId="22811" xr:uid="{911263F3-98E5-4E82-93C4-9E52B07A9533}"/>
    <cellStyle name="Comma 5 5 6 4" xfId="9803" xr:uid="{D920A5D7-F552-4737-BB29-3C5A98086908}"/>
    <cellStyle name="Comma 5 5 6 4 2" xfId="27147" xr:uid="{DF1A1C68-FA7D-4A68-BCDB-6168BF1729BB}"/>
    <cellStyle name="Comma 5 5 6 5" xfId="18475" xr:uid="{A97127C2-CBF6-40C0-92DF-64A12C485013}"/>
    <cellStyle name="Comma 5 5 7" xfId="2215" xr:uid="{18DCE338-DF0E-4BF1-B9C6-908B8464EA87}"/>
    <cellStyle name="Comma 5 5 7 2" xfId="6551" xr:uid="{F00AB195-DDD5-43B9-9AC3-167EE65BF23D}"/>
    <cellStyle name="Comma 5 5 7 2 2" xfId="15223" xr:uid="{FF1DDC53-0CBE-4A6F-B656-D70D45295E53}"/>
    <cellStyle name="Comma 5 5 7 2 2 2" xfId="32567" xr:uid="{4F472D83-B269-4AD7-B8B9-83575267C7AA}"/>
    <cellStyle name="Comma 5 5 7 2 3" xfId="23895" xr:uid="{D4A046A2-F901-4E42-9384-962ED83142EB}"/>
    <cellStyle name="Comma 5 5 7 3" xfId="10887" xr:uid="{C05B3919-7C92-4625-88D8-F89A5F998217}"/>
    <cellStyle name="Comma 5 5 7 3 2" xfId="28231" xr:uid="{371A6605-4EFA-49B3-81E0-5B067C205014}"/>
    <cellStyle name="Comma 5 5 7 4" xfId="19559" xr:uid="{3A6D6197-9202-44ED-BBA4-C73E2DE0C7F9}"/>
    <cellStyle name="Comma 5 5 8" xfId="4383" xr:uid="{E536228C-1EBB-4FF9-B81A-D47785D1D80D}"/>
    <cellStyle name="Comma 5 5 8 2" xfId="13055" xr:uid="{B03D2898-2563-4BF8-B1AE-F3A84600E60B}"/>
    <cellStyle name="Comma 5 5 8 2 2" xfId="30399" xr:uid="{03FAF5E9-8AE1-4806-87AA-2302C5417652}"/>
    <cellStyle name="Comma 5 5 8 3" xfId="21727" xr:uid="{518B878B-E864-472B-BDC8-2D14A9C0E96C}"/>
    <cellStyle name="Comma 5 5 9" xfId="8719" xr:uid="{8ED4AF3F-0504-4A2F-934A-5730890FE008}"/>
    <cellStyle name="Comma 5 5 9 2" xfId="26063" xr:uid="{DBA0B38D-AC30-4820-BBAD-6AC84A330D43}"/>
    <cellStyle name="Comma 5 6" xfId="54" xr:uid="{8CBB9D32-A0A2-4F6E-BCD9-6F15283654DE}"/>
    <cellStyle name="Comma 5 6 10" xfId="17398" xr:uid="{8876E830-E583-4F4B-9437-A0CC283BA050}"/>
    <cellStyle name="Comma 5 6 2" xfId="115" xr:uid="{FE7DB44D-DB65-4D84-9360-A75EBB4DC7F9}"/>
    <cellStyle name="Comma 5 6 2 2" xfId="237" xr:uid="{71B53795-0F0A-4F75-9A24-801138D7B7A7}"/>
    <cellStyle name="Comma 5 6 2 2 2" xfId="507" xr:uid="{E7670887-DE3F-4C74-8261-C068CC9F99B7}"/>
    <cellStyle name="Comma 5 6 2 2 2 2" xfId="1048" xr:uid="{9CB06D4A-00A0-413B-BD56-B3B3AF7D2206}"/>
    <cellStyle name="Comma 5 6 2 2 2 2 2" xfId="2132" xr:uid="{911E8A30-8362-4E4B-BF75-AFE577A16846}"/>
    <cellStyle name="Comma 5 6 2 2 2 2 2 2" xfId="4300" xr:uid="{015A45F2-F025-46D6-8A84-99C72E002D5D}"/>
    <cellStyle name="Comma 5 6 2 2 2 2 2 2 2" xfId="8636" xr:uid="{CE8F2888-067C-4B18-AA53-5E0E0A180166}"/>
    <cellStyle name="Comma 5 6 2 2 2 2 2 2 2 2" xfId="17308" xr:uid="{09C07963-E00B-4C0C-A092-1F804B8C3BCF}"/>
    <cellStyle name="Comma 5 6 2 2 2 2 2 2 2 2 2" xfId="34652" xr:uid="{D1948CAC-FFB0-48F9-B7A8-A39980893DA8}"/>
    <cellStyle name="Comma 5 6 2 2 2 2 2 2 2 3" xfId="25980" xr:uid="{6D7622F0-1784-4FC9-ACC6-71B012456D2D}"/>
    <cellStyle name="Comma 5 6 2 2 2 2 2 2 3" xfId="12972" xr:uid="{53027A44-03FB-4139-9B10-9C2E21AEE198}"/>
    <cellStyle name="Comma 5 6 2 2 2 2 2 2 3 2" xfId="30316" xr:uid="{3186AC2D-D403-47E2-AB05-34C9AFAEC87F}"/>
    <cellStyle name="Comma 5 6 2 2 2 2 2 2 4" xfId="21644" xr:uid="{45B843B1-507B-4D31-B785-B30FC36DF494}"/>
    <cellStyle name="Comma 5 6 2 2 2 2 2 3" xfId="6468" xr:uid="{0BCD91A7-4DCD-41D4-B51A-6F0F7BC1B50E}"/>
    <cellStyle name="Comma 5 6 2 2 2 2 2 3 2" xfId="15140" xr:uid="{16C912FD-82F3-47C9-B845-4072C87A97CA}"/>
    <cellStyle name="Comma 5 6 2 2 2 2 2 3 2 2" xfId="32484" xr:uid="{8CB1FA41-362B-4D1F-8F7F-9764730AF887}"/>
    <cellStyle name="Comma 5 6 2 2 2 2 2 3 3" xfId="23812" xr:uid="{620C2B28-0CAA-41A4-9B42-C942FFC10ABC}"/>
    <cellStyle name="Comma 5 6 2 2 2 2 2 4" xfId="10804" xr:uid="{0B14AE74-BC69-4FC1-A71C-C6C4AE72681A}"/>
    <cellStyle name="Comma 5 6 2 2 2 2 2 4 2" xfId="28148" xr:uid="{26D47853-8026-4275-B3C3-CCA22C6E8C2B}"/>
    <cellStyle name="Comma 5 6 2 2 2 2 2 5" xfId="19476" xr:uid="{24F118AA-5AAF-4207-A5BD-480D0E5EFD71}"/>
    <cellStyle name="Comma 5 6 2 2 2 2 3" xfId="3216" xr:uid="{ABCBCFD1-8FAE-4CB7-B789-D9D63120737A}"/>
    <cellStyle name="Comma 5 6 2 2 2 2 3 2" xfId="7552" xr:uid="{D0BFAF1E-6413-4F8D-A328-34C355367FD0}"/>
    <cellStyle name="Comma 5 6 2 2 2 2 3 2 2" xfId="16224" xr:uid="{97B14FC8-2AC2-456E-AD92-4D1E06ABBD72}"/>
    <cellStyle name="Comma 5 6 2 2 2 2 3 2 2 2" xfId="33568" xr:uid="{16F00FD1-4C05-4C57-B479-1AA7EB9808FF}"/>
    <cellStyle name="Comma 5 6 2 2 2 2 3 2 3" xfId="24896" xr:uid="{161101C1-1963-4411-B2B5-356A411E27A1}"/>
    <cellStyle name="Comma 5 6 2 2 2 2 3 3" xfId="11888" xr:uid="{FD359FEB-B881-4FEA-90A7-803B0EEC102A}"/>
    <cellStyle name="Comma 5 6 2 2 2 2 3 3 2" xfId="29232" xr:uid="{2AC4837F-93F2-4C7F-A3A2-856D8867FB66}"/>
    <cellStyle name="Comma 5 6 2 2 2 2 3 4" xfId="20560" xr:uid="{D8E7BEF3-61BC-4E4C-96CA-B9ECC8CA31AD}"/>
    <cellStyle name="Comma 5 6 2 2 2 2 4" xfId="5384" xr:uid="{18596113-EE40-4804-9AF3-4A5145581C18}"/>
    <cellStyle name="Comma 5 6 2 2 2 2 4 2" xfId="14056" xr:uid="{E38E2799-A703-472B-8A5F-489F06F85BBC}"/>
    <cellStyle name="Comma 5 6 2 2 2 2 4 2 2" xfId="31400" xr:uid="{85775086-3FDC-4669-A19A-3EEEAFF4011E}"/>
    <cellStyle name="Comma 5 6 2 2 2 2 4 3" xfId="22728" xr:uid="{73279ADA-668C-4847-B3DD-A2B6B302B8D9}"/>
    <cellStyle name="Comma 5 6 2 2 2 2 5" xfId="9720" xr:uid="{B17B746E-7E10-4776-83EE-85CB6BEB9357}"/>
    <cellStyle name="Comma 5 6 2 2 2 2 5 2" xfId="27064" xr:uid="{DD2788C0-F8A2-4A54-A04D-FF143C319F2F}"/>
    <cellStyle name="Comma 5 6 2 2 2 2 6" xfId="18392" xr:uid="{F69FC856-8919-4E04-88F9-562865AC31A5}"/>
    <cellStyle name="Comma 5 6 2 2 2 3" xfId="1591" xr:uid="{12364129-EB60-45F4-B1BE-B3CFAEC7729D}"/>
    <cellStyle name="Comma 5 6 2 2 2 3 2" xfId="3759" xr:uid="{42F46B37-9691-4F2D-92FA-DDD756C60896}"/>
    <cellStyle name="Comma 5 6 2 2 2 3 2 2" xfId="8095" xr:uid="{6538C0DB-5403-4602-9751-C85F8541A4B8}"/>
    <cellStyle name="Comma 5 6 2 2 2 3 2 2 2" xfId="16767" xr:uid="{89D773AA-A9D8-4EF0-B8AA-933288EAB130}"/>
    <cellStyle name="Comma 5 6 2 2 2 3 2 2 2 2" xfId="34111" xr:uid="{4FF3B33C-252E-48D0-BA8B-87750B6D83C0}"/>
    <cellStyle name="Comma 5 6 2 2 2 3 2 2 3" xfId="25439" xr:uid="{67531525-BEE9-411E-A416-2C994E7BFDD7}"/>
    <cellStyle name="Comma 5 6 2 2 2 3 2 3" xfId="12431" xr:uid="{9825B4D1-B835-475B-ADD1-67FA4AB97F64}"/>
    <cellStyle name="Comma 5 6 2 2 2 3 2 3 2" xfId="29775" xr:uid="{94491F3F-94F5-42AD-87B8-A2E4FBF7219D}"/>
    <cellStyle name="Comma 5 6 2 2 2 3 2 4" xfId="21103" xr:uid="{6FC1DCB5-3256-4861-8F16-4C30F2A89145}"/>
    <cellStyle name="Comma 5 6 2 2 2 3 3" xfId="5927" xr:uid="{E67FF957-0C05-4F0B-AB62-53529DD51860}"/>
    <cellStyle name="Comma 5 6 2 2 2 3 3 2" xfId="14599" xr:uid="{CD1D383C-0A41-4A88-8FA8-6DCCA1B9CF91}"/>
    <cellStyle name="Comma 5 6 2 2 2 3 3 2 2" xfId="31943" xr:uid="{D6302AB0-2896-474A-8FC0-840C09C2060A}"/>
    <cellStyle name="Comma 5 6 2 2 2 3 3 3" xfId="23271" xr:uid="{882EBA42-A8D0-4BF2-A05B-CC7EA9FBB14F}"/>
    <cellStyle name="Comma 5 6 2 2 2 3 4" xfId="10263" xr:uid="{1D067BB6-8BA2-4AD8-8FF5-77D5640A6726}"/>
    <cellStyle name="Comma 5 6 2 2 2 3 4 2" xfId="27607" xr:uid="{4D0E584B-E3D7-4F5E-AE30-281381747C81}"/>
    <cellStyle name="Comma 5 6 2 2 2 3 5" xfId="18935" xr:uid="{9F93F782-1033-4023-9922-73771BD5B7CD}"/>
    <cellStyle name="Comma 5 6 2 2 2 4" xfId="2675" xr:uid="{7D08C220-761E-4EA3-B040-E66AD5D728A4}"/>
    <cellStyle name="Comma 5 6 2 2 2 4 2" xfId="7011" xr:uid="{B763FA42-E1B9-4D48-8B29-FCBA68BE3C1A}"/>
    <cellStyle name="Comma 5 6 2 2 2 4 2 2" xfId="15683" xr:uid="{67584F93-6104-4FF1-8508-0FE573C165F2}"/>
    <cellStyle name="Comma 5 6 2 2 2 4 2 2 2" xfId="33027" xr:uid="{FB7285CE-EFE7-4A37-A738-233D9C5E02B0}"/>
    <cellStyle name="Comma 5 6 2 2 2 4 2 3" xfId="24355" xr:uid="{31819A1F-2244-40F1-84D4-AC08E480475A}"/>
    <cellStyle name="Comma 5 6 2 2 2 4 3" xfId="11347" xr:uid="{0A428B27-43CB-42AC-905A-46D30DA40467}"/>
    <cellStyle name="Comma 5 6 2 2 2 4 3 2" xfId="28691" xr:uid="{A8F2865D-65DB-4389-9B47-02BD0B51D0B7}"/>
    <cellStyle name="Comma 5 6 2 2 2 4 4" xfId="20019" xr:uid="{9E3A97D3-E0F2-4752-811B-A1EC359DD658}"/>
    <cellStyle name="Comma 5 6 2 2 2 5" xfId="4843" xr:uid="{702B8335-BE8F-470C-9B6C-5EB8472D15A9}"/>
    <cellStyle name="Comma 5 6 2 2 2 5 2" xfId="13515" xr:uid="{F9DA3125-E5E4-4348-9D21-9B248FC68391}"/>
    <cellStyle name="Comma 5 6 2 2 2 5 2 2" xfId="30859" xr:uid="{74C9F4F6-FF25-42C6-9A70-5F5F3DB0529D}"/>
    <cellStyle name="Comma 5 6 2 2 2 5 3" xfId="22187" xr:uid="{8917E344-7A15-4783-AF29-92DBB5E3B9EF}"/>
    <cellStyle name="Comma 5 6 2 2 2 6" xfId="9179" xr:uid="{1E0D3DF4-8943-44A2-9DB9-2D3523E548C0}"/>
    <cellStyle name="Comma 5 6 2 2 2 6 2" xfId="26523" xr:uid="{DAE1662B-61B0-45D7-811D-4481378F81EC}"/>
    <cellStyle name="Comma 5 6 2 2 2 7" xfId="17851" xr:uid="{CAC85F4D-3B43-4CF6-BB65-FDF17037BAD6}"/>
    <cellStyle name="Comma 5 6 2 2 3" xfId="778" xr:uid="{01C859FD-487E-4E1F-8A87-7040C61CAA0A}"/>
    <cellStyle name="Comma 5 6 2 2 3 2" xfId="1862" xr:uid="{52994C7B-87C8-4F75-A51B-1A93C71C2213}"/>
    <cellStyle name="Comma 5 6 2 2 3 2 2" xfId="4030" xr:uid="{5B5AFD83-3AB7-47F6-91F7-D881814E6EB6}"/>
    <cellStyle name="Comma 5 6 2 2 3 2 2 2" xfId="8366" xr:uid="{23B79271-7666-44FA-A0F4-C6D592590AA3}"/>
    <cellStyle name="Comma 5 6 2 2 3 2 2 2 2" xfId="17038" xr:uid="{E5E432F2-3EEC-4654-941D-81C54B139179}"/>
    <cellStyle name="Comma 5 6 2 2 3 2 2 2 2 2" xfId="34382" xr:uid="{6C0E9383-E9AF-4BD6-BFE9-4D500C5EEC11}"/>
    <cellStyle name="Comma 5 6 2 2 3 2 2 2 3" xfId="25710" xr:uid="{AA37023E-2755-4120-B436-50C12187ABAA}"/>
    <cellStyle name="Comma 5 6 2 2 3 2 2 3" xfId="12702" xr:uid="{B8577661-956B-4855-99DA-D7DC84043177}"/>
    <cellStyle name="Comma 5 6 2 2 3 2 2 3 2" xfId="30046" xr:uid="{1C99115A-FFFB-4F70-81D2-F4A950272B0B}"/>
    <cellStyle name="Comma 5 6 2 2 3 2 2 4" xfId="21374" xr:uid="{6898C807-8248-4C52-B8BF-594124C50B4F}"/>
    <cellStyle name="Comma 5 6 2 2 3 2 3" xfId="6198" xr:uid="{340987CB-AE17-40CB-B139-7CA47E454882}"/>
    <cellStyle name="Comma 5 6 2 2 3 2 3 2" xfId="14870" xr:uid="{CC35700A-0A5F-40C7-B5DF-0067FE1E35D7}"/>
    <cellStyle name="Comma 5 6 2 2 3 2 3 2 2" xfId="32214" xr:uid="{7649E79E-6E5B-40ED-92F8-5D6ACCA04244}"/>
    <cellStyle name="Comma 5 6 2 2 3 2 3 3" xfId="23542" xr:uid="{62B49ADD-6335-49BE-85E8-1851BC8B007E}"/>
    <cellStyle name="Comma 5 6 2 2 3 2 4" xfId="10534" xr:uid="{2749649E-AAC8-4454-8084-7BFD8C5EFB23}"/>
    <cellStyle name="Comma 5 6 2 2 3 2 4 2" xfId="27878" xr:uid="{E4200DC4-8EC2-463B-8DD5-72E24A2844AA}"/>
    <cellStyle name="Comma 5 6 2 2 3 2 5" xfId="19206" xr:uid="{BBB5AAA6-A259-45BC-B1CC-90140F5E34A7}"/>
    <cellStyle name="Comma 5 6 2 2 3 3" xfId="2946" xr:uid="{67455AFE-454F-4A93-81AA-6FE6831D51CC}"/>
    <cellStyle name="Comma 5 6 2 2 3 3 2" xfId="7282" xr:uid="{5AE610B4-770A-4FB9-9A33-17FA65633357}"/>
    <cellStyle name="Comma 5 6 2 2 3 3 2 2" xfId="15954" xr:uid="{7B072E33-1A04-4BB8-9ECF-E0EFCD32A22F}"/>
    <cellStyle name="Comma 5 6 2 2 3 3 2 2 2" xfId="33298" xr:uid="{648D20E8-D21E-4C59-88AC-C609BE7DDF85}"/>
    <cellStyle name="Comma 5 6 2 2 3 3 2 3" xfId="24626" xr:uid="{09058E70-FA62-466F-B83A-697D9E63DDDC}"/>
    <cellStyle name="Comma 5 6 2 2 3 3 3" xfId="11618" xr:uid="{DE577533-30DA-44CB-9129-1CCA3B9F8528}"/>
    <cellStyle name="Comma 5 6 2 2 3 3 3 2" xfId="28962" xr:uid="{C55A14B6-ABDE-4450-B307-AA5974821038}"/>
    <cellStyle name="Comma 5 6 2 2 3 3 4" xfId="20290" xr:uid="{BC25DEE5-803B-4C6B-9E8C-DDC9EA32A876}"/>
    <cellStyle name="Comma 5 6 2 2 3 4" xfId="5114" xr:uid="{60C2ABB2-D427-4571-8EA9-9276C8B54804}"/>
    <cellStyle name="Comma 5 6 2 2 3 4 2" xfId="13786" xr:uid="{8869EAF6-8EF1-4B5D-A95D-ABBCDA3EC837}"/>
    <cellStyle name="Comma 5 6 2 2 3 4 2 2" xfId="31130" xr:uid="{F7C94B09-6F22-4CB7-9F27-0478C3D0BA0E}"/>
    <cellStyle name="Comma 5 6 2 2 3 4 3" xfId="22458" xr:uid="{E362D08C-DD29-4FAC-A37C-109595E6EAC1}"/>
    <cellStyle name="Comma 5 6 2 2 3 5" xfId="9450" xr:uid="{FDB20BE3-CA39-4440-BB33-58394998F46C}"/>
    <cellStyle name="Comma 5 6 2 2 3 5 2" xfId="26794" xr:uid="{30434F03-6527-452F-B0D8-4D273A5CF10C}"/>
    <cellStyle name="Comma 5 6 2 2 3 6" xfId="18122" xr:uid="{775A6733-B96E-4B3F-872A-E8677D084FF2}"/>
    <cellStyle name="Comma 5 6 2 2 4" xfId="1321" xr:uid="{584000E6-0C7A-485C-BCC5-4134222BB873}"/>
    <cellStyle name="Comma 5 6 2 2 4 2" xfId="3489" xr:uid="{8F961F7B-43AC-49FF-BBFD-0D06E8BFFFC8}"/>
    <cellStyle name="Comma 5 6 2 2 4 2 2" xfId="7825" xr:uid="{235158ED-9C5A-46AE-8744-90AC15DEEA94}"/>
    <cellStyle name="Comma 5 6 2 2 4 2 2 2" xfId="16497" xr:uid="{4F3EBF21-9EDA-4147-9541-E95584006920}"/>
    <cellStyle name="Comma 5 6 2 2 4 2 2 2 2" xfId="33841" xr:uid="{E90B3DE3-7459-4104-9701-7A1F39BC9EF9}"/>
    <cellStyle name="Comma 5 6 2 2 4 2 2 3" xfId="25169" xr:uid="{63105B41-D4AC-48EF-95C3-2909342C8DED}"/>
    <cellStyle name="Comma 5 6 2 2 4 2 3" xfId="12161" xr:uid="{B6D53CB3-D654-42CC-87E5-9375E6E65101}"/>
    <cellStyle name="Comma 5 6 2 2 4 2 3 2" xfId="29505" xr:uid="{227B8907-4412-4770-B2F3-BE65D8EDE89D}"/>
    <cellStyle name="Comma 5 6 2 2 4 2 4" xfId="20833" xr:uid="{F1619384-F6D3-4E7D-8EC7-3A788F57FF26}"/>
    <cellStyle name="Comma 5 6 2 2 4 3" xfId="5657" xr:uid="{EA1E39A6-10B7-4FE7-AB48-6FE01DD81FD2}"/>
    <cellStyle name="Comma 5 6 2 2 4 3 2" xfId="14329" xr:uid="{F1095491-8B05-4898-AE79-27F19437258C}"/>
    <cellStyle name="Comma 5 6 2 2 4 3 2 2" xfId="31673" xr:uid="{717D0EA7-B9D5-4205-BE9D-E918B6C0C72D}"/>
    <cellStyle name="Comma 5 6 2 2 4 3 3" xfId="23001" xr:uid="{36C79BBB-7704-40BD-8E6F-A3D676D1329A}"/>
    <cellStyle name="Comma 5 6 2 2 4 4" xfId="9993" xr:uid="{B954F202-D961-4D7E-B3AE-613F47074DCD}"/>
    <cellStyle name="Comma 5 6 2 2 4 4 2" xfId="27337" xr:uid="{C92F6D3C-53E9-471D-A3ED-5F2242403CAC}"/>
    <cellStyle name="Comma 5 6 2 2 4 5" xfId="18665" xr:uid="{BB3F104D-4DC7-43C9-A401-7ED50FE0E7E9}"/>
    <cellStyle name="Comma 5 6 2 2 5" xfId="2405" xr:uid="{983764B8-7B6C-4F7C-A57A-717BD37A6792}"/>
    <cellStyle name="Comma 5 6 2 2 5 2" xfId="6741" xr:uid="{797109C5-9D6F-49AC-9488-B5DBA59D9DAF}"/>
    <cellStyle name="Comma 5 6 2 2 5 2 2" xfId="15413" xr:uid="{E81AF565-1D94-4905-A839-B85C0BE9FAC9}"/>
    <cellStyle name="Comma 5 6 2 2 5 2 2 2" xfId="32757" xr:uid="{3A69C892-451A-40FD-9D88-F1F5AEC3B0EA}"/>
    <cellStyle name="Comma 5 6 2 2 5 2 3" xfId="24085" xr:uid="{7791052F-C882-4527-AD49-65F9BD1DBF84}"/>
    <cellStyle name="Comma 5 6 2 2 5 3" xfId="11077" xr:uid="{2D2D8001-A503-4BF9-A0EE-3B87AF975E6F}"/>
    <cellStyle name="Comma 5 6 2 2 5 3 2" xfId="28421" xr:uid="{7F4BB6DA-E3AD-4FA2-BE0D-4816F45184A2}"/>
    <cellStyle name="Comma 5 6 2 2 5 4" xfId="19749" xr:uid="{AF876CF1-C500-45D2-902D-A07A74DE1BAD}"/>
    <cellStyle name="Comma 5 6 2 2 6" xfId="4573" xr:uid="{3BAB6FCA-8BA3-4713-9CF5-5B18AF009528}"/>
    <cellStyle name="Comma 5 6 2 2 6 2" xfId="13245" xr:uid="{4CD3B3F7-12FD-4919-8647-F50C43C635EA}"/>
    <cellStyle name="Comma 5 6 2 2 6 2 2" xfId="30589" xr:uid="{DA92F7B8-B6E3-43DE-AA70-DA649806EA85}"/>
    <cellStyle name="Comma 5 6 2 2 6 3" xfId="21917" xr:uid="{4471D3F5-61E9-4185-B7B9-CD80001BEFD9}"/>
    <cellStyle name="Comma 5 6 2 2 7" xfId="8909" xr:uid="{98B0B9E1-E456-467C-AE98-2354B1C4DB25}"/>
    <cellStyle name="Comma 5 6 2 2 7 2" xfId="26253" xr:uid="{051316A5-A102-45FF-8681-CC9826D2B300}"/>
    <cellStyle name="Comma 5 6 2 2 8" xfId="17581" xr:uid="{BE1DE1B4-F667-4D32-BF9A-6276E860F7AD}"/>
    <cellStyle name="Comma 5 6 2 3" xfId="385" xr:uid="{9ED1EB6E-A5F6-42A5-ACB8-F795D30BC90F}"/>
    <cellStyle name="Comma 5 6 2 3 2" xfId="926" xr:uid="{3B0493CB-63BB-4D5D-BDF8-DF9CAD4E0EB6}"/>
    <cellStyle name="Comma 5 6 2 3 2 2" xfId="2010" xr:uid="{D1723ED8-0592-4224-BA26-96C08ECE5AF3}"/>
    <cellStyle name="Comma 5 6 2 3 2 2 2" xfId="4178" xr:uid="{677058FF-6ADC-4081-8AD3-C0109143D68A}"/>
    <cellStyle name="Comma 5 6 2 3 2 2 2 2" xfId="8514" xr:uid="{81870C0B-D208-4B56-9684-64E070E2B13B}"/>
    <cellStyle name="Comma 5 6 2 3 2 2 2 2 2" xfId="17186" xr:uid="{FF8C328F-9E17-46AE-8F50-6BA5EE334107}"/>
    <cellStyle name="Comma 5 6 2 3 2 2 2 2 2 2" xfId="34530" xr:uid="{19B27EEC-95FB-4AD1-8A90-1993494E082B}"/>
    <cellStyle name="Comma 5 6 2 3 2 2 2 2 3" xfId="25858" xr:uid="{756EC2F1-246C-40EC-8F0D-D26F56479325}"/>
    <cellStyle name="Comma 5 6 2 3 2 2 2 3" xfId="12850" xr:uid="{42920730-A1EC-42DD-AEE1-EEE9B8B71EA7}"/>
    <cellStyle name="Comma 5 6 2 3 2 2 2 3 2" xfId="30194" xr:uid="{009AF726-50D4-4EC4-A2D1-7A596F1DBD2B}"/>
    <cellStyle name="Comma 5 6 2 3 2 2 2 4" xfId="21522" xr:uid="{30763F10-3CB1-4FCE-82EF-346D9B04EE91}"/>
    <cellStyle name="Comma 5 6 2 3 2 2 3" xfId="6346" xr:uid="{1D4F05B8-1C24-45F8-ADC2-B0F7490C2D8C}"/>
    <cellStyle name="Comma 5 6 2 3 2 2 3 2" xfId="15018" xr:uid="{2767E9E1-7733-4271-9B87-9F1CC2DBAFBB}"/>
    <cellStyle name="Comma 5 6 2 3 2 2 3 2 2" xfId="32362" xr:uid="{EFA7B296-234A-42B4-9903-569A4A2893F0}"/>
    <cellStyle name="Comma 5 6 2 3 2 2 3 3" xfId="23690" xr:uid="{E71F9D3B-3687-4A22-BA17-1A3BAD44DC23}"/>
    <cellStyle name="Comma 5 6 2 3 2 2 4" xfId="10682" xr:uid="{0F623DBC-6142-437F-83B7-D345DD03401F}"/>
    <cellStyle name="Comma 5 6 2 3 2 2 4 2" xfId="28026" xr:uid="{3CBC055C-346B-4FBE-9009-9DA7ECDB4528}"/>
    <cellStyle name="Comma 5 6 2 3 2 2 5" xfId="19354" xr:uid="{3AB13329-BBD9-4EF7-92F4-FB99DD2B9811}"/>
    <cellStyle name="Comma 5 6 2 3 2 3" xfId="3094" xr:uid="{CA3DF8D1-3640-45EB-9D21-5F9A703A6B08}"/>
    <cellStyle name="Comma 5 6 2 3 2 3 2" xfId="7430" xr:uid="{E0E2520E-09DB-47DF-A626-2F1EB233B060}"/>
    <cellStyle name="Comma 5 6 2 3 2 3 2 2" xfId="16102" xr:uid="{21F829EF-1174-4F08-AFAD-4A06A88FB711}"/>
    <cellStyle name="Comma 5 6 2 3 2 3 2 2 2" xfId="33446" xr:uid="{8D3986C3-EC88-470F-89CA-CE38BD857EC3}"/>
    <cellStyle name="Comma 5 6 2 3 2 3 2 3" xfId="24774" xr:uid="{10DEE4BC-412C-43A8-A04B-DB8C6E260246}"/>
    <cellStyle name="Comma 5 6 2 3 2 3 3" xfId="11766" xr:uid="{10A29E58-E4BF-49C2-962E-DA043BA858B1}"/>
    <cellStyle name="Comma 5 6 2 3 2 3 3 2" xfId="29110" xr:uid="{D47EAD1E-BF8D-4B8E-8EDC-22A64E0A9BB6}"/>
    <cellStyle name="Comma 5 6 2 3 2 3 4" xfId="20438" xr:uid="{D3DF4B10-8A3C-49B0-A11D-DEB8A04C11E0}"/>
    <cellStyle name="Comma 5 6 2 3 2 4" xfId="5262" xr:uid="{3A9AC60B-69F4-464D-8A72-B95B5D4E4379}"/>
    <cellStyle name="Comma 5 6 2 3 2 4 2" xfId="13934" xr:uid="{2FDC453E-2FA0-48BD-9ADF-3A13C2D82AD8}"/>
    <cellStyle name="Comma 5 6 2 3 2 4 2 2" xfId="31278" xr:uid="{C03CAD0A-C632-45C3-ACDD-20D693C1ABB9}"/>
    <cellStyle name="Comma 5 6 2 3 2 4 3" xfId="22606" xr:uid="{190ABE63-C02E-461C-9182-94B8CDF00881}"/>
    <cellStyle name="Comma 5 6 2 3 2 5" xfId="9598" xr:uid="{E859DF84-DC43-4368-A1D0-997747A12228}"/>
    <cellStyle name="Comma 5 6 2 3 2 5 2" xfId="26942" xr:uid="{A92D5BD3-050B-4252-B535-ED7EF7B76238}"/>
    <cellStyle name="Comma 5 6 2 3 2 6" xfId="18270" xr:uid="{A24D6A21-BDA3-4C72-83CA-367DB5548BA5}"/>
    <cellStyle name="Comma 5 6 2 3 3" xfId="1469" xr:uid="{79870C49-B282-411F-A2F2-33B9E2C82310}"/>
    <cellStyle name="Comma 5 6 2 3 3 2" xfId="3637" xr:uid="{6F47E61A-85CD-4A0C-B75A-863AE53B960E}"/>
    <cellStyle name="Comma 5 6 2 3 3 2 2" xfId="7973" xr:uid="{C85C6FA4-8D68-4B06-8D49-F40C5ED5E4B5}"/>
    <cellStyle name="Comma 5 6 2 3 3 2 2 2" xfId="16645" xr:uid="{82978687-EE7A-424A-8DEA-06EBE26A28AD}"/>
    <cellStyle name="Comma 5 6 2 3 3 2 2 2 2" xfId="33989" xr:uid="{DF5392B9-D805-4E32-AD20-9E80C23E69F3}"/>
    <cellStyle name="Comma 5 6 2 3 3 2 2 3" xfId="25317" xr:uid="{F3C20694-5038-43AB-8DBE-DFC34302663E}"/>
    <cellStyle name="Comma 5 6 2 3 3 2 3" xfId="12309" xr:uid="{6B7BB20A-316E-4E57-A1E9-B09AE3823744}"/>
    <cellStyle name="Comma 5 6 2 3 3 2 3 2" xfId="29653" xr:uid="{AD745FDE-9BF7-4DEF-9CA3-299C95D7C80B}"/>
    <cellStyle name="Comma 5 6 2 3 3 2 4" xfId="20981" xr:uid="{4611B2F5-B79A-4EEE-B4DF-2EFE1CCA328B}"/>
    <cellStyle name="Comma 5 6 2 3 3 3" xfId="5805" xr:uid="{0A238124-96B0-4664-904E-8C3FD8E59F07}"/>
    <cellStyle name="Comma 5 6 2 3 3 3 2" xfId="14477" xr:uid="{9803951D-39EC-4099-A250-BCD10F00CECA}"/>
    <cellStyle name="Comma 5 6 2 3 3 3 2 2" xfId="31821" xr:uid="{5B4DBD39-7D6D-4B36-8BBC-74736467674B}"/>
    <cellStyle name="Comma 5 6 2 3 3 3 3" xfId="23149" xr:uid="{79893121-AA64-40F9-A040-066639E49D72}"/>
    <cellStyle name="Comma 5 6 2 3 3 4" xfId="10141" xr:uid="{0BFC2677-D645-4502-B3C2-8C1380A9F058}"/>
    <cellStyle name="Comma 5 6 2 3 3 4 2" xfId="27485" xr:uid="{C1E56963-CA71-48B2-A867-964A2DC94F73}"/>
    <cellStyle name="Comma 5 6 2 3 3 5" xfId="18813" xr:uid="{464797A2-DFBE-4D6B-A57B-EC3F1548DD1B}"/>
    <cellStyle name="Comma 5 6 2 3 4" xfId="2553" xr:uid="{EC49FCB7-C6E0-451E-8708-A5EEB5FEBC37}"/>
    <cellStyle name="Comma 5 6 2 3 4 2" xfId="6889" xr:uid="{4BF7670F-F62A-42CF-8482-E60DBFC1CB87}"/>
    <cellStyle name="Comma 5 6 2 3 4 2 2" xfId="15561" xr:uid="{F71E0018-402F-428B-BA75-CFD5F4296DB8}"/>
    <cellStyle name="Comma 5 6 2 3 4 2 2 2" xfId="32905" xr:uid="{9BBF24E4-8E12-47E9-A7BD-44DD1F6E99D0}"/>
    <cellStyle name="Comma 5 6 2 3 4 2 3" xfId="24233" xr:uid="{8C6B16D4-7D8B-413B-9BF6-BD9F0C676B46}"/>
    <cellStyle name="Comma 5 6 2 3 4 3" xfId="11225" xr:uid="{EE531703-7C78-4866-956D-C28414159EC5}"/>
    <cellStyle name="Comma 5 6 2 3 4 3 2" xfId="28569" xr:uid="{6F3EDD68-EA30-42B8-8DF2-75D33AC13C31}"/>
    <cellStyle name="Comma 5 6 2 3 4 4" xfId="19897" xr:uid="{BDE2BC98-9D8C-48B1-AE41-660A440E4312}"/>
    <cellStyle name="Comma 5 6 2 3 5" xfId="4721" xr:uid="{E039A133-07B4-4E04-9089-9FD2285C170B}"/>
    <cellStyle name="Comma 5 6 2 3 5 2" xfId="13393" xr:uid="{0B483797-B92E-4C2C-90B6-DE68CD469E0E}"/>
    <cellStyle name="Comma 5 6 2 3 5 2 2" xfId="30737" xr:uid="{46E0FCF1-B591-4D12-8947-0F3E35104BC1}"/>
    <cellStyle name="Comma 5 6 2 3 5 3" xfId="22065" xr:uid="{11DC1EAE-BFDA-4A39-BAB0-BD1D312BF088}"/>
    <cellStyle name="Comma 5 6 2 3 6" xfId="9057" xr:uid="{E9B02109-C9B3-42C0-9EFC-CFCEBF869FC3}"/>
    <cellStyle name="Comma 5 6 2 3 6 2" xfId="26401" xr:uid="{F0ADFED9-D917-42FB-BBC6-28D6EBF09260}"/>
    <cellStyle name="Comma 5 6 2 3 7" xfId="17729" xr:uid="{9EC09B00-491D-4ED8-AB5C-6CF84BAABABA}"/>
    <cellStyle name="Comma 5 6 2 4" xfId="656" xr:uid="{0FDA0FD3-B0B3-4824-B166-7466B1223E4E}"/>
    <cellStyle name="Comma 5 6 2 4 2" xfId="1740" xr:uid="{37695AA9-8611-4E73-939A-DBA26852AB31}"/>
    <cellStyle name="Comma 5 6 2 4 2 2" xfId="3908" xr:uid="{E23963C3-524C-45A0-973B-F74001CA39D8}"/>
    <cellStyle name="Comma 5 6 2 4 2 2 2" xfId="8244" xr:uid="{315A7739-D50F-45D8-BA39-2D3268639529}"/>
    <cellStyle name="Comma 5 6 2 4 2 2 2 2" xfId="16916" xr:uid="{2BC02D94-9B88-4A9D-89A2-8E61F290C0B1}"/>
    <cellStyle name="Comma 5 6 2 4 2 2 2 2 2" xfId="34260" xr:uid="{68A784D2-F43E-4BEA-9D1E-CFAF4A636106}"/>
    <cellStyle name="Comma 5 6 2 4 2 2 2 3" xfId="25588" xr:uid="{B23287E5-4561-400F-8C41-50BFC785FB7C}"/>
    <cellStyle name="Comma 5 6 2 4 2 2 3" xfId="12580" xr:uid="{E0EEB3B6-EE42-4B8A-A47F-9FF6AB1E08D5}"/>
    <cellStyle name="Comma 5 6 2 4 2 2 3 2" xfId="29924" xr:uid="{0AE63172-6148-40B3-9F83-CC54BD4D10FA}"/>
    <cellStyle name="Comma 5 6 2 4 2 2 4" xfId="21252" xr:uid="{4AFA8C1E-3C84-47DA-B3A2-F5E2C3BEA3ED}"/>
    <cellStyle name="Comma 5 6 2 4 2 3" xfId="6076" xr:uid="{F109926D-192E-4928-93B7-6C3F29484ABD}"/>
    <cellStyle name="Comma 5 6 2 4 2 3 2" xfId="14748" xr:uid="{7BBCD8E9-A9D7-41A7-B2F1-0B50EC5A419D}"/>
    <cellStyle name="Comma 5 6 2 4 2 3 2 2" xfId="32092" xr:uid="{6B15A2B8-E3C1-4D6C-AA62-FDD1761D9852}"/>
    <cellStyle name="Comma 5 6 2 4 2 3 3" xfId="23420" xr:uid="{3827EBE8-520A-49BB-95BF-0746E2B20D64}"/>
    <cellStyle name="Comma 5 6 2 4 2 4" xfId="10412" xr:uid="{F83257D1-D8C5-445A-9678-8DA0995C8059}"/>
    <cellStyle name="Comma 5 6 2 4 2 4 2" xfId="27756" xr:uid="{C8795324-D0BA-44C8-AC08-E978E09530C6}"/>
    <cellStyle name="Comma 5 6 2 4 2 5" xfId="19084" xr:uid="{F6C6A282-2925-4F38-90D7-03DBDA7155BB}"/>
    <cellStyle name="Comma 5 6 2 4 3" xfId="2824" xr:uid="{0B64AE77-E0E4-4BE6-BFDA-331C39C22388}"/>
    <cellStyle name="Comma 5 6 2 4 3 2" xfId="7160" xr:uid="{021F855E-1902-438A-A9AF-EFF77214AFE6}"/>
    <cellStyle name="Comma 5 6 2 4 3 2 2" xfId="15832" xr:uid="{CC601CFE-798F-4E8B-A945-8BA8E23FE06F}"/>
    <cellStyle name="Comma 5 6 2 4 3 2 2 2" xfId="33176" xr:uid="{3201F1C3-3079-4027-A886-71F6BA03588E}"/>
    <cellStyle name="Comma 5 6 2 4 3 2 3" xfId="24504" xr:uid="{86AAED63-1D02-4E73-AA09-D29ED03CD461}"/>
    <cellStyle name="Comma 5 6 2 4 3 3" xfId="11496" xr:uid="{D947ED56-BD53-4780-856C-A5872C191F20}"/>
    <cellStyle name="Comma 5 6 2 4 3 3 2" xfId="28840" xr:uid="{C2533EA4-E295-42C1-B118-1911AFA7D872}"/>
    <cellStyle name="Comma 5 6 2 4 3 4" xfId="20168" xr:uid="{6A169BD6-64F1-4B41-B437-D124DAD3DF22}"/>
    <cellStyle name="Comma 5 6 2 4 4" xfId="4992" xr:uid="{DB33CA83-CEC0-4E4F-9607-0F17F72A928C}"/>
    <cellStyle name="Comma 5 6 2 4 4 2" xfId="13664" xr:uid="{F24FA933-0E46-40F2-AA50-1B425463D6ED}"/>
    <cellStyle name="Comma 5 6 2 4 4 2 2" xfId="31008" xr:uid="{DA3DAC74-8723-4E3A-9BCE-FB7AA6B8301A}"/>
    <cellStyle name="Comma 5 6 2 4 4 3" xfId="22336" xr:uid="{AD4D1780-5B6C-467F-8AF0-D20DD7E74FA9}"/>
    <cellStyle name="Comma 5 6 2 4 5" xfId="9328" xr:uid="{FA1191C5-A008-4DFD-B8FB-492614D4599F}"/>
    <cellStyle name="Comma 5 6 2 4 5 2" xfId="26672" xr:uid="{857879EB-0019-4D35-9FB3-42026ACAF05D}"/>
    <cellStyle name="Comma 5 6 2 4 6" xfId="18000" xr:uid="{0A2F9073-C7FA-4E74-A24A-B55D14896026}"/>
    <cellStyle name="Comma 5 6 2 5" xfId="1199" xr:uid="{18417D8F-10D2-410B-B386-7102FC3ED1A4}"/>
    <cellStyle name="Comma 5 6 2 5 2" xfId="3367" xr:uid="{C2CE7C06-76C4-48AB-98DE-930BE38F8026}"/>
    <cellStyle name="Comma 5 6 2 5 2 2" xfId="7703" xr:uid="{BB8B8E53-32D4-43EB-80C7-1EB8651FF521}"/>
    <cellStyle name="Comma 5 6 2 5 2 2 2" xfId="16375" xr:uid="{322C1E7F-540A-4A52-B2C9-A0DB9B43C64F}"/>
    <cellStyle name="Comma 5 6 2 5 2 2 2 2" xfId="33719" xr:uid="{8D0D88C6-9394-4B52-BCEF-187CC1CD2717}"/>
    <cellStyle name="Comma 5 6 2 5 2 2 3" xfId="25047" xr:uid="{CAE96780-3162-4901-993B-93EFDB26F034}"/>
    <cellStyle name="Comma 5 6 2 5 2 3" xfId="12039" xr:uid="{8AD8CB33-B34A-4075-A446-FFACC47D233C}"/>
    <cellStyle name="Comma 5 6 2 5 2 3 2" xfId="29383" xr:uid="{34210A7F-10CF-4736-A30F-E766C4985C9F}"/>
    <cellStyle name="Comma 5 6 2 5 2 4" xfId="20711" xr:uid="{2630520D-C5DB-4CC8-BFD8-2A3A78CA8691}"/>
    <cellStyle name="Comma 5 6 2 5 3" xfId="5535" xr:uid="{8A30F935-8F5E-4951-9FA0-39E2BB32E264}"/>
    <cellStyle name="Comma 5 6 2 5 3 2" xfId="14207" xr:uid="{74215371-F69D-4CBF-B68F-F9BF4F1BA930}"/>
    <cellStyle name="Comma 5 6 2 5 3 2 2" xfId="31551" xr:uid="{CB65AF16-3B32-4250-9709-696C2E8CAA8F}"/>
    <cellStyle name="Comma 5 6 2 5 3 3" xfId="22879" xr:uid="{F81B8D54-F7FF-46B4-A911-5F9EB53EC2BE}"/>
    <cellStyle name="Comma 5 6 2 5 4" xfId="9871" xr:uid="{69973563-9A0E-46E0-8AF7-F34D50B42890}"/>
    <cellStyle name="Comma 5 6 2 5 4 2" xfId="27215" xr:uid="{7974A05C-FB21-4E07-B212-8BF46BB749D9}"/>
    <cellStyle name="Comma 5 6 2 5 5" xfId="18543" xr:uid="{96EC922A-9B24-4FA3-8BD6-80F6C1895D5F}"/>
    <cellStyle name="Comma 5 6 2 6" xfId="2283" xr:uid="{21D31376-8E4D-41CA-B49B-E5B44DDB66D2}"/>
    <cellStyle name="Comma 5 6 2 6 2" xfId="6619" xr:uid="{2626A4C1-A106-4A53-A120-DEACC8A95F7C}"/>
    <cellStyle name="Comma 5 6 2 6 2 2" xfId="15291" xr:uid="{B1521857-18D4-4F01-9FE4-276C0ADA880F}"/>
    <cellStyle name="Comma 5 6 2 6 2 2 2" xfId="32635" xr:uid="{8AE9BDC0-18FA-4FDA-BDFA-0E95C65B9313}"/>
    <cellStyle name="Comma 5 6 2 6 2 3" xfId="23963" xr:uid="{F6876A74-C871-4967-BF76-851631C2F445}"/>
    <cellStyle name="Comma 5 6 2 6 3" xfId="10955" xr:uid="{5B45ACF4-4B5C-4FF2-860B-3075138895D4}"/>
    <cellStyle name="Comma 5 6 2 6 3 2" xfId="28299" xr:uid="{9547DBF1-3099-4755-A836-5FE3785F6D72}"/>
    <cellStyle name="Comma 5 6 2 6 4" xfId="19627" xr:uid="{476D44E3-F227-474D-B619-121342CABCBB}"/>
    <cellStyle name="Comma 5 6 2 7" xfId="4451" xr:uid="{7D0386E4-CA12-4FF4-9AD2-D195424A358B}"/>
    <cellStyle name="Comma 5 6 2 7 2" xfId="13123" xr:uid="{C3A3692F-F717-4F35-9566-A2E2E5A29617}"/>
    <cellStyle name="Comma 5 6 2 7 2 2" xfId="30467" xr:uid="{70B2DB8B-9FBD-4276-AB2B-051E925CB81C}"/>
    <cellStyle name="Comma 5 6 2 7 3" xfId="21795" xr:uid="{E85DEEE7-0C73-418E-B6BE-CEFC5F1F9FE9}"/>
    <cellStyle name="Comma 5 6 2 8" xfId="8787" xr:uid="{EFF7F130-A0BB-4D8D-A447-E0069680BE2E}"/>
    <cellStyle name="Comma 5 6 2 8 2" xfId="26131" xr:uid="{B976C847-FA92-4E24-A59A-E6A0F14EA9D3}"/>
    <cellStyle name="Comma 5 6 2 9" xfId="17459" xr:uid="{59A17B84-43E8-4151-944E-7CE9B5281EB6}"/>
    <cellStyle name="Comma 5 6 3" xfId="176" xr:uid="{20FFD44F-C256-4287-B2D8-17A1B24BB4D7}"/>
    <cellStyle name="Comma 5 6 3 2" xfId="446" xr:uid="{8D705BCC-6ABF-4D82-9E80-C9329525BF61}"/>
    <cellStyle name="Comma 5 6 3 2 2" xfId="987" xr:uid="{9852D2C7-42F7-4D32-93A3-AAF5359F9809}"/>
    <cellStyle name="Comma 5 6 3 2 2 2" xfId="2071" xr:uid="{9B92335C-CD5B-4E69-B538-1D8C276A0865}"/>
    <cellStyle name="Comma 5 6 3 2 2 2 2" xfId="4239" xr:uid="{9B55B70C-B6E1-42D2-8CE0-83EA4223D729}"/>
    <cellStyle name="Comma 5 6 3 2 2 2 2 2" xfId="8575" xr:uid="{7017C446-7BE8-4807-BFF6-623D275BDDCA}"/>
    <cellStyle name="Comma 5 6 3 2 2 2 2 2 2" xfId="17247" xr:uid="{0E97B390-960C-46FD-B9F4-82D062BF8B0D}"/>
    <cellStyle name="Comma 5 6 3 2 2 2 2 2 2 2" xfId="34591" xr:uid="{1F8D9F59-9C58-409B-B175-5049A45307D6}"/>
    <cellStyle name="Comma 5 6 3 2 2 2 2 2 3" xfId="25919" xr:uid="{FEF5E7CC-266E-4AF1-813A-DD934C9FAF64}"/>
    <cellStyle name="Comma 5 6 3 2 2 2 2 3" xfId="12911" xr:uid="{20CCA1C0-389F-458C-87D3-AD358669B00E}"/>
    <cellStyle name="Comma 5 6 3 2 2 2 2 3 2" xfId="30255" xr:uid="{CD7438D5-2733-487A-80AB-F8B489C0ECE9}"/>
    <cellStyle name="Comma 5 6 3 2 2 2 2 4" xfId="21583" xr:uid="{6FA1E67C-5BDC-415B-ADD8-2BE73F4474E8}"/>
    <cellStyle name="Comma 5 6 3 2 2 2 3" xfId="6407" xr:uid="{4BFD478E-5F6A-4012-86A4-D2E6CC69D768}"/>
    <cellStyle name="Comma 5 6 3 2 2 2 3 2" xfId="15079" xr:uid="{5264CC53-5924-49EF-BDAC-A1AD49A00455}"/>
    <cellStyle name="Comma 5 6 3 2 2 2 3 2 2" xfId="32423" xr:uid="{913E05E6-3A0F-4B0B-B1FF-646E3DAE679F}"/>
    <cellStyle name="Comma 5 6 3 2 2 2 3 3" xfId="23751" xr:uid="{F7192F56-7867-4CB3-A43A-F1C76BCE5891}"/>
    <cellStyle name="Comma 5 6 3 2 2 2 4" xfId="10743" xr:uid="{2F72129A-1D0C-4024-BB3A-E7484E53BC71}"/>
    <cellStyle name="Comma 5 6 3 2 2 2 4 2" xfId="28087" xr:uid="{3ECDA01D-AA59-4689-AF85-643AA9F28344}"/>
    <cellStyle name="Comma 5 6 3 2 2 2 5" xfId="19415" xr:uid="{209197B4-902F-4046-ACF1-CD041D1658DE}"/>
    <cellStyle name="Comma 5 6 3 2 2 3" xfId="3155" xr:uid="{4FFC1C82-21EB-4201-A0B5-DD1C231051F8}"/>
    <cellStyle name="Comma 5 6 3 2 2 3 2" xfId="7491" xr:uid="{00D8F241-E537-4B15-9DDC-DB7C677B9F63}"/>
    <cellStyle name="Comma 5 6 3 2 2 3 2 2" xfId="16163" xr:uid="{38FC3329-A8E9-4513-B9AC-FB688918D5F9}"/>
    <cellStyle name="Comma 5 6 3 2 2 3 2 2 2" xfId="33507" xr:uid="{99F40F64-8738-4CD4-BBE8-854F2BACBEC7}"/>
    <cellStyle name="Comma 5 6 3 2 2 3 2 3" xfId="24835" xr:uid="{29B4ADF4-6009-41E1-979B-BEA2A9008D32}"/>
    <cellStyle name="Comma 5 6 3 2 2 3 3" xfId="11827" xr:uid="{B5A81250-97B0-4793-991C-37B08B50F975}"/>
    <cellStyle name="Comma 5 6 3 2 2 3 3 2" xfId="29171" xr:uid="{13DA7184-7597-455F-A9C2-1ADAE21A698E}"/>
    <cellStyle name="Comma 5 6 3 2 2 3 4" xfId="20499" xr:uid="{DC6488D2-EB99-494C-83CE-11805D255C38}"/>
    <cellStyle name="Comma 5 6 3 2 2 4" xfId="5323" xr:uid="{8E3F62D8-0E22-4F6F-8AC3-62E69B2F6EED}"/>
    <cellStyle name="Comma 5 6 3 2 2 4 2" xfId="13995" xr:uid="{1470FD13-A896-465B-9C12-A9191E0C1C39}"/>
    <cellStyle name="Comma 5 6 3 2 2 4 2 2" xfId="31339" xr:uid="{80BABB3F-27CD-4AA5-BF85-A087BFEE856B}"/>
    <cellStyle name="Comma 5 6 3 2 2 4 3" xfId="22667" xr:uid="{97D0425D-B562-41BE-8CE1-899E3C9C6AC3}"/>
    <cellStyle name="Comma 5 6 3 2 2 5" xfId="9659" xr:uid="{D5F213E5-AFEB-45B0-BD31-09A16A42125A}"/>
    <cellStyle name="Comma 5 6 3 2 2 5 2" xfId="27003" xr:uid="{669C72E1-8EE3-4D4A-9C8D-9A5068D256EF}"/>
    <cellStyle name="Comma 5 6 3 2 2 6" xfId="18331" xr:uid="{AFDC2FC5-BCFA-4CC8-95DD-0A18D83754DD}"/>
    <cellStyle name="Comma 5 6 3 2 3" xfId="1530" xr:uid="{7A3A9834-B8F2-4880-A83E-BE7583DC5983}"/>
    <cellStyle name="Comma 5 6 3 2 3 2" xfId="3698" xr:uid="{9A2C86D3-A99F-44B0-A95B-950B3FE96AFA}"/>
    <cellStyle name="Comma 5 6 3 2 3 2 2" xfId="8034" xr:uid="{7CA49355-90F5-4682-A0FA-60DE4432C58D}"/>
    <cellStyle name="Comma 5 6 3 2 3 2 2 2" xfId="16706" xr:uid="{C6DB27C4-36C9-4BE8-A30D-921C0A5557CD}"/>
    <cellStyle name="Comma 5 6 3 2 3 2 2 2 2" xfId="34050" xr:uid="{ED372333-E71C-44C7-ACF6-ABD05B714756}"/>
    <cellStyle name="Comma 5 6 3 2 3 2 2 3" xfId="25378" xr:uid="{26BE4440-2EA4-4BDF-90B5-6666540C51E7}"/>
    <cellStyle name="Comma 5 6 3 2 3 2 3" xfId="12370" xr:uid="{5C04C657-2BB7-422D-B4A5-BCF00AF11468}"/>
    <cellStyle name="Comma 5 6 3 2 3 2 3 2" xfId="29714" xr:uid="{9CDC65A7-995C-4BF1-913D-73F2791F5829}"/>
    <cellStyle name="Comma 5 6 3 2 3 2 4" xfId="21042" xr:uid="{7440140E-4D00-4A82-BA76-A5F596CC9C4B}"/>
    <cellStyle name="Comma 5 6 3 2 3 3" xfId="5866" xr:uid="{9DB143F9-31FE-4DDB-A4BE-E431BB3AEBAC}"/>
    <cellStyle name="Comma 5 6 3 2 3 3 2" xfId="14538" xr:uid="{A4C799FB-5645-4FBA-B65B-347B4C3E18CF}"/>
    <cellStyle name="Comma 5 6 3 2 3 3 2 2" xfId="31882" xr:uid="{972F8831-2EE7-4312-83FB-AA5CE0F8B9B2}"/>
    <cellStyle name="Comma 5 6 3 2 3 3 3" xfId="23210" xr:uid="{37CD0146-339B-4E33-8C55-AF38317B9515}"/>
    <cellStyle name="Comma 5 6 3 2 3 4" xfId="10202" xr:uid="{0CC805CF-2D13-48E4-BA1E-A3DE0B6084CE}"/>
    <cellStyle name="Comma 5 6 3 2 3 4 2" xfId="27546" xr:uid="{153481BF-C0FD-4A60-AAA2-091BEB17C16A}"/>
    <cellStyle name="Comma 5 6 3 2 3 5" xfId="18874" xr:uid="{085C1B5B-DF43-4A9F-9DDC-1082FF93F208}"/>
    <cellStyle name="Comma 5 6 3 2 4" xfId="2614" xr:uid="{C7B28568-0344-4B62-94CB-783109D2E127}"/>
    <cellStyle name="Comma 5 6 3 2 4 2" xfId="6950" xr:uid="{DBFE821B-83B8-40EA-BF6D-8782E1457DFB}"/>
    <cellStyle name="Comma 5 6 3 2 4 2 2" xfId="15622" xr:uid="{E4F4D703-E0E5-4352-A967-8750113947B9}"/>
    <cellStyle name="Comma 5 6 3 2 4 2 2 2" xfId="32966" xr:uid="{80802575-68F1-49BE-86B0-53F7A781BDC4}"/>
    <cellStyle name="Comma 5 6 3 2 4 2 3" xfId="24294" xr:uid="{2743B464-8ABF-4D6A-9222-54ABF341B887}"/>
    <cellStyle name="Comma 5 6 3 2 4 3" xfId="11286" xr:uid="{AEE1E30E-F3B3-458B-91DB-D42818D5C0FA}"/>
    <cellStyle name="Comma 5 6 3 2 4 3 2" xfId="28630" xr:uid="{2A70D0D5-70E8-40FB-B9D5-9084F1DA4D9E}"/>
    <cellStyle name="Comma 5 6 3 2 4 4" xfId="19958" xr:uid="{B9AA4AF7-A34C-4C73-9F71-936D8C626447}"/>
    <cellStyle name="Comma 5 6 3 2 5" xfId="4782" xr:uid="{36132251-A613-4A25-9BF5-9311AC9F1111}"/>
    <cellStyle name="Comma 5 6 3 2 5 2" xfId="13454" xr:uid="{B81E2979-4C30-42C6-8E84-66274BA42DAC}"/>
    <cellStyle name="Comma 5 6 3 2 5 2 2" xfId="30798" xr:uid="{EBCC71BF-428C-490D-B3E2-E89D9D6520EF}"/>
    <cellStyle name="Comma 5 6 3 2 5 3" xfId="22126" xr:uid="{8818A4D9-7A8E-4380-B6AC-AD95BDB6B5C1}"/>
    <cellStyle name="Comma 5 6 3 2 6" xfId="9118" xr:uid="{AFAF3996-3B68-4A1F-855B-8A3264C87DFB}"/>
    <cellStyle name="Comma 5 6 3 2 6 2" xfId="26462" xr:uid="{4C69014E-4E29-4C6D-8810-B575439B851D}"/>
    <cellStyle name="Comma 5 6 3 2 7" xfId="17790" xr:uid="{C1FBFD1F-4880-47C7-B156-4915444AB9B7}"/>
    <cellStyle name="Comma 5 6 3 3" xfId="717" xr:uid="{82ACD7D4-7D53-4BDD-942B-1AB559BC0E61}"/>
    <cellStyle name="Comma 5 6 3 3 2" xfId="1801" xr:uid="{A5273F3A-06F3-40E6-8377-5FE945062107}"/>
    <cellStyle name="Comma 5 6 3 3 2 2" xfId="3969" xr:uid="{D739F519-B70C-4236-A910-C2195A238F6E}"/>
    <cellStyle name="Comma 5 6 3 3 2 2 2" xfId="8305" xr:uid="{2079F053-D21E-47DF-921D-977A204D9D65}"/>
    <cellStyle name="Comma 5 6 3 3 2 2 2 2" xfId="16977" xr:uid="{B3013F2C-3FD2-4E91-BFFF-011107176258}"/>
    <cellStyle name="Comma 5 6 3 3 2 2 2 2 2" xfId="34321" xr:uid="{6A729ED3-C748-465D-A7D0-B42309843B12}"/>
    <cellStyle name="Comma 5 6 3 3 2 2 2 3" xfId="25649" xr:uid="{A18E671D-0267-4F49-A3F8-06ED51148165}"/>
    <cellStyle name="Comma 5 6 3 3 2 2 3" xfId="12641" xr:uid="{2C3E72DF-90CB-48CB-B1BF-322DE17CBAB2}"/>
    <cellStyle name="Comma 5 6 3 3 2 2 3 2" xfId="29985" xr:uid="{20B31BF7-B302-498B-9447-2D66A44870BB}"/>
    <cellStyle name="Comma 5 6 3 3 2 2 4" xfId="21313" xr:uid="{997478D3-9772-4FE6-A443-855A5917E729}"/>
    <cellStyle name="Comma 5 6 3 3 2 3" xfId="6137" xr:uid="{4821C200-BDE6-485B-AC2E-1ED3561D23B5}"/>
    <cellStyle name="Comma 5 6 3 3 2 3 2" xfId="14809" xr:uid="{C75D38EA-1ADE-433A-9A52-CECC9906D66A}"/>
    <cellStyle name="Comma 5 6 3 3 2 3 2 2" xfId="32153" xr:uid="{BB310898-EB1C-4F59-8F72-F13F9B07614F}"/>
    <cellStyle name="Comma 5 6 3 3 2 3 3" xfId="23481" xr:uid="{DF270631-D7D8-4A57-8DAC-B7091353DF5B}"/>
    <cellStyle name="Comma 5 6 3 3 2 4" xfId="10473" xr:uid="{DA8850A7-3E01-453F-AA0E-6F386B7841FA}"/>
    <cellStyle name="Comma 5 6 3 3 2 4 2" xfId="27817" xr:uid="{F3671132-6E1D-4731-97D2-5C61AC3D020A}"/>
    <cellStyle name="Comma 5 6 3 3 2 5" xfId="19145" xr:uid="{E2FC35FE-39BB-40B0-ABC4-0D1E44BFD49F}"/>
    <cellStyle name="Comma 5 6 3 3 3" xfId="2885" xr:uid="{B6FE29D6-98A9-44F1-AB62-1EC10D6EFBEA}"/>
    <cellStyle name="Comma 5 6 3 3 3 2" xfId="7221" xr:uid="{45E6DF60-E0CB-4604-85B4-6EB3954E0B19}"/>
    <cellStyle name="Comma 5 6 3 3 3 2 2" xfId="15893" xr:uid="{8A7A4BC9-9AE6-43A9-9BDB-2B7F604BCCF9}"/>
    <cellStyle name="Comma 5 6 3 3 3 2 2 2" xfId="33237" xr:uid="{70BD7BA4-A0FE-46FF-B9D8-6C991C4FA809}"/>
    <cellStyle name="Comma 5 6 3 3 3 2 3" xfId="24565" xr:uid="{28E74B58-47D4-4BD1-8708-B84CDFE03641}"/>
    <cellStyle name="Comma 5 6 3 3 3 3" xfId="11557" xr:uid="{14D70CD7-A426-4FA2-8517-BCA4E5F47EBD}"/>
    <cellStyle name="Comma 5 6 3 3 3 3 2" xfId="28901" xr:uid="{D6B44E45-F320-4EC9-B12F-286269FEEFA7}"/>
    <cellStyle name="Comma 5 6 3 3 3 4" xfId="20229" xr:uid="{6C136419-8384-4866-AA27-33EDA7B8163C}"/>
    <cellStyle name="Comma 5 6 3 3 4" xfId="5053" xr:uid="{49B84843-5AC2-44B1-ACAD-CCC7D347A38F}"/>
    <cellStyle name="Comma 5 6 3 3 4 2" xfId="13725" xr:uid="{8C849FAA-A44E-4C1A-91CD-187C2A9DB6B2}"/>
    <cellStyle name="Comma 5 6 3 3 4 2 2" xfId="31069" xr:uid="{8662AC75-6580-4370-A7E2-A8E4300DAF0E}"/>
    <cellStyle name="Comma 5 6 3 3 4 3" xfId="22397" xr:uid="{6E503241-D046-4E6B-866C-CB8929F5C256}"/>
    <cellStyle name="Comma 5 6 3 3 5" xfId="9389" xr:uid="{9C3E1CD0-3B5D-4A32-9B97-49C619F9B79B}"/>
    <cellStyle name="Comma 5 6 3 3 5 2" xfId="26733" xr:uid="{7B9EABC6-8F0A-4B96-B4EB-010EDCA2BACF}"/>
    <cellStyle name="Comma 5 6 3 3 6" xfId="18061" xr:uid="{6A69DC8E-C2CD-4FA2-B12D-9490D62E8DBC}"/>
    <cellStyle name="Comma 5 6 3 4" xfId="1260" xr:uid="{07FE3C65-979C-4138-B949-0CE0680D16DB}"/>
    <cellStyle name="Comma 5 6 3 4 2" xfId="3428" xr:uid="{9FC7300C-DC0F-4C3B-A78C-EDB393D7DD2C}"/>
    <cellStyle name="Comma 5 6 3 4 2 2" xfId="7764" xr:uid="{57B34C56-7EC5-4A0F-81C8-51CCB174C13D}"/>
    <cellStyle name="Comma 5 6 3 4 2 2 2" xfId="16436" xr:uid="{C193B8C6-7288-474E-9EB8-F6DEA50C2D26}"/>
    <cellStyle name="Comma 5 6 3 4 2 2 2 2" xfId="33780" xr:uid="{60650707-7C5E-48E1-A644-6E3D0198A0D6}"/>
    <cellStyle name="Comma 5 6 3 4 2 2 3" xfId="25108" xr:uid="{AF42A35C-3EBA-41F2-ACD4-692D6389C532}"/>
    <cellStyle name="Comma 5 6 3 4 2 3" xfId="12100" xr:uid="{2204261D-28C6-4E3B-88A5-1E7763455206}"/>
    <cellStyle name="Comma 5 6 3 4 2 3 2" xfId="29444" xr:uid="{5E7377D0-7034-4949-B8C3-33409ED7168B}"/>
    <cellStyle name="Comma 5 6 3 4 2 4" xfId="20772" xr:uid="{7BB90E9D-4888-4D66-A33A-6016C10C0A9A}"/>
    <cellStyle name="Comma 5 6 3 4 3" xfId="5596" xr:uid="{E3A229F7-F025-40B2-AF7A-1B7134998C66}"/>
    <cellStyle name="Comma 5 6 3 4 3 2" xfId="14268" xr:uid="{B78E357E-A81F-442D-9240-DDC8B60AED51}"/>
    <cellStyle name="Comma 5 6 3 4 3 2 2" xfId="31612" xr:uid="{9BF8A275-491B-4C2C-81AA-B2CEE5C37620}"/>
    <cellStyle name="Comma 5 6 3 4 3 3" xfId="22940" xr:uid="{FF53D8A4-920B-40F0-8104-3D7EF8742587}"/>
    <cellStyle name="Comma 5 6 3 4 4" xfId="9932" xr:uid="{ACDF0529-CF93-48D8-95D3-6C858D83AF0F}"/>
    <cellStyle name="Comma 5 6 3 4 4 2" xfId="27276" xr:uid="{7AC4AF36-AEFA-4F11-96B4-CA53D9965E54}"/>
    <cellStyle name="Comma 5 6 3 4 5" xfId="18604" xr:uid="{D357EEDB-E29D-43EA-8A2F-1C4A76D5C067}"/>
    <cellStyle name="Comma 5 6 3 5" xfId="2344" xr:uid="{0BB3534A-A489-4CBE-923B-DB92EBEA2E95}"/>
    <cellStyle name="Comma 5 6 3 5 2" xfId="6680" xr:uid="{6DA9CC47-65EB-40BD-933A-8075D3A5314C}"/>
    <cellStyle name="Comma 5 6 3 5 2 2" xfId="15352" xr:uid="{5B8F5CE4-799B-412E-B8B3-4CB6A40E3649}"/>
    <cellStyle name="Comma 5 6 3 5 2 2 2" xfId="32696" xr:uid="{E83B3D94-6E8B-44F8-98F3-274D416E0FB2}"/>
    <cellStyle name="Comma 5 6 3 5 2 3" xfId="24024" xr:uid="{5BF6B04D-8327-43A5-9FE9-6D271525FA64}"/>
    <cellStyle name="Comma 5 6 3 5 3" xfId="11016" xr:uid="{69C34D98-34D7-412B-A2D2-54692FCD6196}"/>
    <cellStyle name="Comma 5 6 3 5 3 2" xfId="28360" xr:uid="{E1BD5E00-3380-4A40-8C75-546F47740E9C}"/>
    <cellStyle name="Comma 5 6 3 5 4" xfId="19688" xr:uid="{53FE19ED-B533-4F8C-8367-0410C07F400C}"/>
    <cellStyle name="Comma 5 6 3 6" xfId="4512" xr:uid="{65141439-E0C7-4643-8648-F9B65B9CCF70}"/>
    <cellStyle name="Comma 5 6 3 6 2" xfId="13184" xr:uid="{2E2AA499-F724-4377-9738-387C5BA45AE8}"/>
    <cellStyle name="Comma 5 6 3 6 2 2" xfId="30528" xr:uid="{6861A605-0F8D-48EB-B8FE-9DAF8A31FB67}"/>
    <cellStyle name="Comma 5 6 3 6 3" xfId="21856" xr:uid="{08AA0CE0-8706-412D-B785-D7D76C31C354}"/>
    <cellStyle name="Comma 5 6 3 7" xfId="8848" xr:uid="{F5C1BEC3-F92C-4739-A102-64F77E06FF41}"/>
    <cellStyle name="Comma 5 6 3 7 2" xfId="26192" xr:uid="{0C39F738-E107-4864-9B9D-1BDB0775BA9A}"/>
    <cellStyle name="Comma 5 6 3 8" xfId="17520" xr:uid="{234D2B7F-3822-43D5-9752-509D6EC3199E}"/>
    <cellStyle name="Comma 5 6 4" xfId="324" xr:uid="{C798B296-6090-4D9E-831C-C90017382999}"/>
    <cellStyle name="Comma 5 6 4 2" xfId="865" xr:uid="{58A9F46E-CD6B-4376-9418-263208A1BCEC}"/>
    <cellStyle name="Comma 5 6 4 2 2" xfId="1949" xr:uid="{4D66C969-3FB4-46C6-AEFB-B66BCFBC2105}"/>
    <cellStyle name="Comma 5 6 4 2 2 2" xfId="4117" xr:uid="{9D8DAE17-D12B-4071-A0CA-77B38769CD3D}"/>
    <cellStyle name="Comma 5 6 4 2 2 2 2" xfId="8453" xr:uid="{9E676D52-0691-4A75-99FC-5DCB947E72CD}"/>
    <cellStyle name="Comma 5 6 4 2 2 2 2 2" xfId="17125" xr:uid="{DEF5CE63-902F-4A62-A17A-C4282480EA81}"/>
    <cellStyle name="Comma 5 6 4 2 2 2 2 2 2" xfId="34469" xr:uid="{CE5C585B-379E-4574-8284-65CA84EBA758}"/>
    <cellStyle name="Comma 5 6 4 2 2 2 2 3" xfId="25797" xr:uid="{747C92C6-2F0D-4CD7-9760-D8CDCB805856}"/>
    <cellStyle name="Comma 5 6 4 2 2 2 3" xfId="12789" xr:uid="{486E51F6-B2A1-4E0D-910A-5AF15286F4D0}"/>
    <cellStyle name="Comma 5 6 4 2 2 2 3 2" xfId="30133" xr:uid="{5BB05A9B-4D39-4AE3-97BA-F00D0F7CFCC6}"/>
    <cellStyle name="Comma 5 6 4 2 2 2 4" xfId="21461" xr:uid="{C6D0FA62-F533-4B8C-966C-D8C761809200}"/>
    <cellStyle name="Comma 5 6 4 2 2 3" xfId="6285" xr:uid="{772B93C1-AAAB-4305-817F-9253A6797681}"/>
    <cellStyle name="Comma 5 6 4 2 2 3 2" xfId="14957" xr:uid="{9B9EDEE7-EC7E-486F-8EEE-317A40688149}"/>
    <cellStyle name="Comma 5 6 4 2 2 3 2 2" xfId="32301" xr:uid="{1BCC842C-558F-4AB4-95A8-4F8CE28B7440}"/>
    <cellStyle name="Comma 5 6 4 2 2 3 3" xfId="23629" xr:uid="{FCB88930-DAC8-41C9-9C17-265B9A765BE3}"/>
    <cellStyle name="Comma 5 6 4 2 2 4" xfId="10621" xr:uid="{A46C8AD3-D161-4F55-9870-9302045F79F8}"/>
    <cellStyle name="Comma 5 6 4 2 2 4 2" xfId="27965" xr:uid="{185AA181-5BC1-463B-B335-CC75E6207444}"/>
    <cellStyle name="Comma 5 6 4 2 2 5" xfId="19293" xr:uid="{F28291F6-0D24-4B85-8A36-2AC8DE84DF4B}"/>
    <cellStyle name="Comma 5 6 4 2 3" xfId="3033" xr:uid="{A7CB6A8F-45F5-4A0C-AC8C-4323CA080841}"/>
    <cellStyle name="Comma 5 6 4 2 3 2" xfId="7369" xr:uid="{ACEE21C7-26C9-4CB1-A61F-28905287E075}"/>
    <cellStyle name="Comma 5 6 4 2 3 2 2" xfId="16041" xr:uid="{8958FC9C-C3B8-40AF-BB40-DF4D54E0BDE8}"/>
    <cellStyle name="Comma 5 6 4 2 3 2 2 2" xfId="33385" xr:uid="{2F3FCF05-FC38-41D1-A8C1-6AC011327658}"/>
    <cellStyle name="Comma 5 6 4 2 3 2 3" xfId="24713" xr:uid="{B9F157D5-1972-47C6-ADFE-F7C69A323BC1}"/>
    <cellStyle name="Comma 5 6 4 2 3 3" xfId="11705" xr:uid="{E2E1F013-F73A-408A-8071-D63A42580B46}"/>
    <cellStyle name="Comma 5 6 4 2 3 3 2" xfId="29049" xr:uid="{56C4162B-74F1-4867-B8BE-47ED6D4BE128}"/>
    <cellStyle name="Comma 5 6 4 2 3 4" xfId="20377" xr:uid="{DA6F29C8-09F9-4B8D-A9E6-F51D570F0266}"/>
    <cellStyle name="Comma 5 6 4 2 4" xfId="5201" xr:uid="{1BDDD7DE-F27C-4C3D-ABD0-62CC7603FB5B}"/>
    <cellStyle name="Comma 5 6 4 2 4 2" xfId="13873" xr:uid="{FE97CBA1-ADF1-4E70-B3D2-0A613FBBFE8E}"/>
    <cellStyle name="Comma 5 6 4 2 4 2 2" xfId="31217" xr:uid="{D544C125-BB66-4928-A402-01B4AFEB78F7}"/>
    <cellStyle name="Comma 5 6 4 2 4 3" xfId="22545" xr:uid="{230E183B-A9D6-4A7E-931B-4B10E8A4118C}"/>
    <cellStyle name="Comma 5 6 4 2 5" xfId="9537" xr:uid="{92B0865A-41C6-4FB6-ACC7-F3E1632B2F52}"/>
    <cellStyle name="Comma 5 6 4 2 5 2" xfId="26881" xr:uid="{AE84DA44-4174-4FEC-A2DF-3A0BB2AD4F32}"/>
    <cellStyle name="Comma 5 6 4 2 6" xfId="18209" xr:uid="{707E1A61-0881-4A1E-B5A3-D5477C4DC64B}"/>
    <cellStyle name="Comma 5 6 4 3" xfId="1408" xr:uid="{EFC8EB3F-EE84-49C3-8678-EBB51BB15A78}"/>
    <cellStyle name="Comma 5 6 4 3 2" xfId="3576" xr:uid="{35C35340-5EB2-4079-BD1C-583B8714BB61}"/>
    <cellStyle name="Comma 5 6 4 3 2 2" xfId="7912" xr:uid="{605A41CF-34B9-4BD0-9FB2-4D7CAAC56972}"/>
    <cellStyle name="Comma 5 6 4 3 2 2 2" xfId="16584" xr:uid="{0EC98CC1-C78C-4FD8-B614-A9C6F37C6C1B}"/>
    <cellStyle name="Comma 5 6 4 3 2 2 2 2" xfId="33928" xr:uid="{A8179692-88C3-4545-BBF5-96A903640479}"/>
    <cellStyle name="Comma 5 6 4 3 2 2 3" xfId="25256" xr:uid="{A9E14AB3-37A8-4982-870E-8B9801375B92}"/>
    <cellStyle name="Comma 5 6 4 3 2 3" xfId="12248" xr:uid="{B4454CEE-07E6-49E9-823B-B3F4131607E9}"/>
    <cellStyle name="Comma 5 6 4 3 2 3 2" xfId="29592" xr:uid="{FCC06491-0C78-4F26-9CA4-ADE890CEF450}"/>
    <cellStyle name="Comma 5 6 4 3 2 4" xfId="20920" xr:uid="{1FE1BBF4-0618-43C1-9589-6D495F012509}"/>
    <cellStyle name="Comma 5 6 4 3 3" xfId="5744" xr:uid="{304D23C7-6D9E-4CEB-ABF9-A2A92E7364C4}"/>
    <cellStyle name="Comma 5 6 4 3 3 2" xfId="14416" xr:uid="{1154413F-A889-49B0-B0AB-A7E309306924}"/>
    <cellStyle name="Comma 5 6 4 3 3 2 2" xfId="31760" xr:uid="{2A972251-EB9C-42B2-A15B-077A8DE9E748}"/>
    <cellStyle name="Comma 5 6 4 3 3 3" xfId="23088" xr:uid="{CF10F38B-106F-4A47-95A2-FF09123B8B32}"/>
    <cellStyle name="Comma 5 6 4 3 4" xfId="10080" xr:uid="{744FEE74-4243-4158-B701-3E8EB565F67B}"/>
    <cellStyle name="Comma 5 6 4 3 4 2" xfId="27424" xr:uid="{2A29FA0C-13FC-4684-9EB0-E80B89DDACCD}"/>
    <cellStyle name="Comma 5 6 4 3 5" xfId="18752" xr:uid="{F821744E-AD6D-48D3-83C8-3D3E6C1E4A4F}"/>
    <cellStyle name="Comma 5 6 4 4" xfId="2492" xr:uid="{F171B4AA-F8C1-4628-855C-60412502A901}"/>
    <cellStyle name="Comma 5 6 4 4 2" xfId="6828" xr:uid="{2910E6C8-60B7-4782-AE63-1690D6A8F1DB}"/>
    <cellStyle name="Comma 5 6 4 4 2 2" xfId="15500" xr:uid="{6A80C4DC-2C82-4A7F-BDC3-A6723CE06271}"/>
    <cellStyle name="Comma 5 6 4 4 2 2 2" xfId="32844" xr:uid="{39D027E6-0ADD-48DF-8D7F-9A673F6275D1}"/>
    <cellStyle name="Comma 5 6 4 4 2 3" xfId="24172" xr:uid="{5A6C4F70-F47F-4AC3-92F4-8FC2E8E01D34}"/>
    <cellStyle name="Comma 5 6 4 4 3" xfId="11164" xr:uid="{7F8C8DB7-8FDE-430A-96AB-D1EE4071B88D}"/>
    <cellStyle name="Comma 5 6 4 4 3 2" xfId="28508" xr:uid="{06C2CEEB-8C49-4BAD-BB6B-2F9DBB984BD6}"/>
    <cellStyle name="Comma 5 6 4 4 4" xfId="19836" xr:uid="{C04D2EF8-7029-429D-B14D-B855B20DD849}"/>
    <cellStyle name="Comma 5 6 4 5" xfId="4660" xr:uid="{FFD9949D-C216-42CB-ABEB-A00A4E2F69AC}"/>
    <cellStyle name="Comma 5 6 4 5 2" xfId="13332" xr:uid="{E7A0F3D8-F146-4E8F-96A8-D20A017F81E2}"/>
    <cellStyle name="Comma 5 6 4 5 2 2" xfId="30676" xr:uid="{CB4E10D3-EAB7-4B8C-9A02-7BA39567C00C}"/>
    <cellStyle name="Comma 5 6 4 5 3" xfId="22004" xr:uid="{3E648C20-9837-48E2-9338-CE8F2C75280A}"/>
    <cellStyle name="Comma 5 6 4 6" xfId="8996" xr:uid="{95CACBCD-AE6F-4028-9054-56CF76602E49}"/>
    <cellStyle name="Comma 5 6 4 6 2" xfId="26340" xr:uid="{62F0AE28-17D3-4427-9A76-705A954D0467}"/>
    <cellStyle name="Comma 5 6 4 7" xfId="17668" xr:uid="{3A2666EC-B214-4B24-82AC-96D164B5A4F6}"/>
    <cellStyle name="Comma 5 6 5" xfId="595" xr:uid="{08B28286-9CB4-4821-8ED2-CDC107034120}"/>
    <cellStyle name="Comma 5 6 5 2" xfId="1679" xr:uid="{57DED536-EE82-49F6-81DF-B60728094F80}"/>
    <cellStyle name="Comma 5 6 5 2 2" xfId="3847" xr:uid="{90C9EE7B-6E0C-470E-B062-3009E2DB8B5F}"/>
    <cellStyle name="Comma 5 6 5 2 2 2" xfId="8183" xr:uid="{52766D13-2775-48DA-B9B4-04A72EFB81BB}"/>
    <cellStyle name="Comma 5 6 5 2 2 2 2" xfId="16855" xr:uid="{374FB6A2-E1CB-43FA-BBA3-23B74DF141C8}"/>
    <cellStyle name="Comma 5 6 5 2 2 2 2 2" xfId="34199" xr:uid="{D1864F22-42EF-45D2-BCEA-B1C88068AF28}"/>
    <cellStyle name="Comma 5 6 5 2 2 2 3" xfId="25527" xr:uid="{F714E165-892E-4057-955A-850C24C37B3B}"/>
    <cellStyle name="Comma 5 6 5 2 2 3" xfId="12519" xr:uid="{092E0056-49B6-4F73-B391-B9DCFEB5B38F}"/>
    <cellStyle name="Comma 5 6 5 2 2 3 2" xfId="29863" xr:uid="{E9563292-E508-443F-9FCA-5BDE40B4D202}"/>
    <cellStyle name="Comma 5 6 5 2 2 4" xfId="21191" xr:uid="{D067B6EC-4526-48BB-9D85-9D0990A752A3}"/>
    <cellStyle name="Comma 5 6 5 2 3" xfId="6015" xr:uid="{8C32CECE-0546-4D0D-B2D1-957F3B7D3B86}"/>
    <cellStyle name="Comma 5 6 5 2 3 2" xfId="14687" xr:uid="{DBC162C9-305B-4245-A505-23173506F937}"/>
    <cellStyle name="Comma 5 6 5 2 3 2 2" xfId="32031" xr:uid="{3933AF6D-8CD9-43BA-9ED5-8A56A59F858F}"/>
    <cellStyle name="Comma 5 6 5 2 3 3" xfId="23359" xr:uid="{27E1534D-87DF-4731-A42E-472C7DAD8F81}"/>
    <cellStyle name="Comma 5 6 5 2 4" xfId="10351" xr:uid="{3885040F-B96B-43A5-9AAB-833631FCA5F5}"/>
    <cellStyle name="Comma 5 6 5 2 4 2" xfId="27695" xr:uid="{D4FCAA74-D592-45C6-9F03-9D24D5B48109}"/>
    <cellStyle name="Comma 5 6 5 2 5" xfId="19023" xr:uid="{7332CFE1-2F04-4BFB-A488-FA2B949CC029}"/>
    <cellStyle name="Comma 5 6 5 3" xfId="2763" xr:uid="{B34BE447-4273-48B3-ACC5-9CA05C200729}"/>
    <cellStyle name="Comma 5 6 5 3 2" xfId="7099" xr:uid="{3BDEA8C3-8D83-4A38-A3F1-8B88327ABAD7}"/>
    <cellStyle name="Comma 5 6 5 3 2 2" xfId="15771" xr:uid="{2596CA74-5F00-408A-AB74-16952692C14C}"/>
    <cellStyle name="Comma 5 6 5 3 2 2 2" xfId="33115" xr:uid="{C4EC2502-063C-4FF3-A727-A7CFA08C9FB0}"/>
    <cellStyle name="Comma 5 6 5 3 2 3" xfId="24443" xr:uid="{9ED7345E-9454-491B-926E-B7D7F2CA4CB7}"/>
    <cellStyle name="Comma 5 6 5 3 3" xfId="11435" xr:uid="{7910BABC-3F04-43E7-B12E-440AD1CBAC34}"/>
    <cellStyle name="Comma 5 6 5 3 3 2" xfId="28779" xr:uid="{EAB510CB-7F4B-4C30-BA6B-C7F6DA85F9EE}"/>
    <cellStyle name="Comma 5 6 5 3 4" xfId="20107" xr:uid="{72D8A8C2-BF08-4164-BB32-6EF0510C7D9E}"/>
    <cellStyle name="Comma 5 6 5 4" xfId="4931" xr:uid="{43DD8390-9AD0-470D-BCB4-1340EAE55B5B}"/>
    <cellStyle name="Comma 5 6 5 4 2" xfId="13603" xr:uid="{0D0DCA16-B5F5-4DC1-9A39-0465EB64E6A0}"/>
    <cellStyle name="Comma 5 6 5 4 2 2" xfId="30947" xr:uid="{E25891AF-3ABC-47AA-8C69-930DA274B54A}"/>
    <cellStyle name="Comma 5 6 5 4 3" xfId="22275" xr:uid="{2A956790-5A30-4351-8D2E-5CAAB060E1CE}"/>
    <cellStyle name="Comma 5 6 5 5" xfId="9267" xr:uid="{01D53D87-1D02-486F-A3B3-C79031EA1D0B}"/>
    <cellStyle name="Comma 5 6 5 5 2" xfId="26611" xr:uid="{21CFC46E-8580-4D00-BD5D-57E4CAEDC43B}"/>
    <cellStyle name="Comma 5 6 5 6" xfId="17939" xr:uid="{9E7CF739-E323-4C27-AFAB-099159CAD5DD}"/>
    <cellStyle name="Comma 5 6 6" xfId="1138" xr:uid="{6BDDAECF-4F6A-4B3B-B951-7F6DD63D562A}"/>
    <cellStyle name="Comma 5 6 6 2" xfId="3306" xr:uid="{745D4438-0A4C-41D3-9D1D-53B04F87555F}"/>
    <cellStyle name="Comma 5 6 6 2 2" xfId="7642" xr:uid="{5DFEA28D-6DB7-4C96-B6EC-58713D9F3760}"/>
    <cellStyle name="Comma 5 6 6 2 2 2" xfId="16314" xr:uid="{E88770D5-9601-4427-B8D6-16F62A947CB3}"/>
    <cellStyle name="Comma 5 6 6 2 2 2 2" xfId="33658" xr:uid="{FA890733-3532-40CE-9BC4-27E05CEE8360}"/>
    <cellStyle name="Comma 5 6 6 2 2 3" xfId="24986" xr:uid="{C0EE972E-CEF3-4BD2-960A-D466BBAA8CE8}"/>
    <cellStyle name="Comma 5 6 6 2 3" xfId="11978" xr:uid="{C31C3FC7-70DA-4BB3-8CEE-C2EDF05137FF}"/>
    <cellStyle name="Comma 5 6 6 2 3 2" xfId="29322" xr:uid="{2A73F939-1878-48FE-AD15-EB7F250DDB2C}"/>
    <cellStyle name="Comma 5 6 6 2 4" xfId="20650" xr:uid="{C8F482C1-6DBF-498D-8E18-A31146CED7FD}"/>
    <cellStyle name="Comma 5 6 6 3" xfId="5474" xr:uid="{A36C3DB5-33A5-4A71-916A-1821678B97A3}"/>
    <cellStyle name="Comma 5 6 6 3 2" xfId="14146" xr:uid="{440A71AE-1D60-4EFB-BBB5-7EB75E028851}"/>
    <cellStyle name="Comma 5 6 6 3 2 2" xfId="31490" xr:uid="{BE072DCF-CB33-4CEA-A128-A4D67BCE0E38}"/>
    <cellStyle name="Comma 5 6 6 3 3" xfId="22818" xr:uid="{34F073CB-D5E5-447D-9EA2-CC5B7EEA7816}"/>
    <cellStyle name="Comma 5 6 6 4" xfId="9810" xr:uid="{EB02BB45-A7EC-47EA-874B-D42B561C6A59}"/>
    <cellStyle name="Comma 5 6 6 4 2" xfId="27154" xr:uid="{38C7E4F4-5797-4431-8DEB-61620CAEC898}"/>
    <cellStyle name="Comma 5 6 6 5" xfId="18482" xr:uid="{9F6DD432-1D7A-4A1A-B67A-C193F68072AE}"/>
    <cellStyle name="Comma 5 6 7" xfId="2222" xr:uid="{BA04E94A-64B3-4E88-96FA-981EDEF8F900}"/>
    <cellStyle name="Comma 5 6 7 2" xfId="6558" xr:uid="{22669B5A-37FE-49E4-ADB3-7A31E10A4FC4}"/>
    <cellStyle name="Comma 5 6 7 2 2" xfId="15230" xr:uid="{CE8EC094-A1D6-49CE-9820-64B4E6F28414}"/>
    <cellStyle name="Comma 5 6 7 2 2 2" xfId="32574" xr:uid="{2C86CD1C-F6B6-4A7C-B21C-14D7BDE68C24}"/>
    <cellStyle name="Comma 5 6 7 2 3" xfId="23902" xr:uid="{493E559B-5CD4-4826-85C3-6C5BF2E173B9}"/>
    <cellStyle name="Comma 5 6 7 3" xfId="10894" xr:uid="{D6CE524B-1E44-4E73-8540-B52E5A64B480}"/>
    <cellStyle name="Comma 5 6 7 3 2" xfId="28238" xr:uid="{FF99D518-8FF6-4A8D-BD87-41327AA99CF4}"/>
    <cellStyle name="Comma 5 6 7 4" xfId="19566" xr:uid="{F4DE1D8C-9917-42D6-8F7C-3721F71AFE04}"/>
    <cellStyle name="Comma 5 6 8" xfId="4390" xr:uid="{E08B41EA-CF78-4F38-A659-14C7A4AF09E7}"/>
    <cellStyle name="Comma 5 6 8 2" xfId="13062" xr:uid="{3904C8DE-AEE6-462A-BB53-14403AC5563F}"/>
    <cellStyle name="Comma 5 6 8 2 2" xfId="30406" xr:uid="{A4EA1003-210A-4B6D-BD9B-5BA11E0D80F5}"/>
    <cellStyle name="Comma 5 6 8 3" xfId="21734" xr:uid="{ECFF0E38-EEB6-4D93-9261-91269C828843}"/>
    <cellStyle name="Comma 5 6 9" xfId="8726" xr:uid="{4FD9DBE1-656A-4050-BF6E-E4598BB6A640}"/>
    <cellStyle name="Comma 5 6 9 2" xfId="26070" xr:uid="{5269AD97-CA2E-4C6F-86F2-95E21C6AC23C}"/>
    <cellStyle name="Comma 5 7" xfId="67" xr:uid="{D6D7F888-A978-4279-A953-60C85EFF31D0}"/>
    <cellStyle name="Comma 5 7 2" xfId="189" xr:uid="{B27D085D-AF07-46E8-A671-542B42BEF2B3}"/>
    <cellStyle name="Comma 5 7 2 2" xfId="459" xr:uid="{AAF74037-617C-4FAE-B95C-BAA60D5B926F}"/>
    <cellStyle name="Comma 5 7 2 2 2" xfId="1000" xr:uid="{B2B7FC66-D484-4C5F-9A04-2729FFC616A8}"/>
    <cellStyle name="Comma 5 7 2 2 2 2" xfId="2084" xr:uid="{CE339A77-A306-459C-B067-32DD5EE4DF00}"/>
    <cellStyle name="Comma 5 7 2 2 2 2 2" xfId="4252" xr:uid="{F01D49A3-22C0-4CBC-A87C-CED8E922F6AE}"/>
    <cellStyle name="Comma 5 7 2 2 2 2 2 2" xfId="8588" xr:uid="{5951E44D-A630-44BE-86CF-81940934E286}"/>
    <cellStyle name="Comma 5 7 2 2 2 2 2 2 2" xfId="17260" xr:uid="{1333C269-2BBE-4844-B554-9EEAEFACAC48}"/>
    <cellStyle name="Comma 5 7 2 2 2 2 2 2 2 2" xfId="34604" xr:uid="{F0DD9A1A-292C-4B4A-BE21-E887E97E796C}"/>
    <cellStyle name="Comma 5 7 2 2 2 2 2 2 3" xfId="25932" xr:uid="{08536BCF-5DD6-44C5-A6AE-B7C92F314D9D}"/>
    <cellStyle name="Comma 5 7 2 2 2 2 2 3" xfId="12924" xr:uid="{A4B12A1D-9FE0-4CE0-8325-4188F5522EF2}"/>
    <cellStyle name="Comma 5 7 2 2 2 2 2 3 2" xfId="30268" xr:uid="{51F44AA1-D218-40BE-83C1-9D6B0DAB66AA}"/>
    <cellStyle name="Comma 5 7 2 2 2 2 2 4" xfId="21596" xr:uid="{6511DA55-86A9-4B92-B2AD-87E36343B3D2}"/>
    <cellStyle name="Comma 5 7 2 2 2 2 3" xfId="6420" xr:uid="{219494ED-291F-4704-8332-4DAFDCA7E9C3}"/>
    <cellStyle name="Comma 5 7 2 2 2 2 3 2" xfId="15092" xr:uid="{C963266E-1ADD-46B8-B95E-1E33BF4EA0B9}"/>
    <cellStyle name="Comma 5 7 2 2 2 2 3 2 2" xfId="32436" xr:uid="{BA48139E-8D7E-434A-866D-518CEADA7E9E}"/>
    <cellStyle name="Comma 5 7 2 2 2 2 3 3" xfId="23764" xr:uid="{E1B4A88B-4167-41FE-8813-A9C3570DA4C7}"/>
    <cellStyle name="Comma 5 7 2 2 2 2 4" xfId="10756" xr:uid="{2A05EAC5-DFC1-4BA9-823C-9579AB913966}"/>
    <cellStyle name="Comma 5 7 2 2 2 2 4 2" xfId="28100" xr:uid="{FB4DF5BE-12F3-49BA-A10A-8354338B293A}"/>
    <cellStyle name="Comma 5 7 2 2 2 2 5" xfId="19428" xr:uid="{81DFA90A-68A0-4943-B5C2-DA13AD91D13F}"/>
    <cellStyle name="Comma 5 7 2 2 2 3" xfId="3168" xr:uid="{B63C5AB5-3EAB-4FED-B053-60C0947E5B52}"/>
    <cellStyle name="Comma 5 7 2 2 2 3 2" xfId="7504" xr:uid="{94F5A0A8-F4E3-4A0E-A96D-06E7D453FBD3}"/>
    <cellStyle name="Comma 5 7 2 2 2 3 2 2" xfId="16176" xr:uid="{C01EBEC0-584D-4256-85D9-A36BC595411B}"/>
    <cellStyle name="Comma 5 7 2 2 2 3 2 2 2" xfId="33520" xr:uid="{B7A56486-4981-46FA-BA21-4F0DC84F99D3}"/>
    <cellStyle name="Comma 5 7 2 2 2 3 2 3" xfId="24848" xr:uid="{D39F3C5B-AE84-44B0-AAA7-2EEA3B985E4B}"/>
    <cellStyle name="Comma 5 7 2 2 2 3 3" xfId="11840" xr:uid="{424E8569-6D6F-4A65-BB6C-242BDD96D3E6}"/>
    <cellStyle name="Comma 5 7 2 2 2 3 3 2" xfId="29184" xr:uid="{E2D84264-9581-4941-A47A-1A62052F9F80}"/>
    <cellStyle name="Comma 5 7 2 2 2 3 4" xfId="20512" xr:uid="{63D92729-4436-4181-9447-60A6889F6A40}"/>
    <cellStyle name="Comma 5 7 2 2 2 4" xfId="5336" xr:uid="{619FA0CB-601B-4C8E-80DF-A0747FE7E42B}"/>
    <cellStyle name="Comma 5 7 2 2 2 4 2" xfId="14008" xr:uid="{A364B69B-9A37-4AAA-B329-3D56954F79EC}"/>
    <cellStyle name="Comma 5 7 2 2 2 4 2 2" xfId="31352" xr:uid="{A4D1FB15-5D1E-432A-B1B1-1F27ED222975}"/>
    <cellStyle name="Comma 5 7 2 2 2 4 3" xfId="22680" xr:uid="{C8A69D6F-587C-4FE4-A355-B05BACA8FA2A}"/>
    <cellStyle name="Comma 5 7 2 2 2 5" xfId="9672" xr:uid="{5ACEBD82-15DA-42D1-A755-193110088102}"/>
    <cellStyle name="Comma 5 7 2 2 2 5 2" xfId="27016" xr:uid="{1747D49A-AEBD-4139-B0D1-FF740A2846F4}"/>
    <cellStyle name="Comma 5 7 2 2 2 6" xfId="18344" xr:uid="{7EFBED99-A71B-4558-B50F-DFC707828EC0}"/>
    <cellStyle name="Comma 5 7 2 2 3" xfId="1543" xr:uid="{BE0E7DDF-2D46-40A7-853E-F5B864F439F9}"/>
    <cellStyle name="Comma 5 7 2 2 3 2" xfId="3711" xr:uid="{2F5BB01E-A39E-43A5-AE09-276A47ED1657}"/>
    <cellStyle name="Comma 5 7 2 2 3 2 2" xfId="8047" xr:uid="{E22A1C8F-D6AF-40E9-82C2-BF26DECE76FE}"/>
    <cellStyle name="Comma 5 7 2 2 3 2 2 2" xfId="16719" xr:uid="{A4308E00-6A69-4700-8084-7F16235A7546}"/>
    <cellStyle name="Comma 5 7 2 2 3 2 2 2 2" xfId="34063" xr:uid="{F209EE7E-ABA2-45FB-8196-5537803BFBC1}"/>
    <cellStyle name="Comma 5 7 2 2 3 2 2 3" xfId="25391" xr:uid="{1BF3B3EF-7B81-4B35-8BE4-EFB555D15F66}"/>
    <cellStyle name="Comma 5 7 2 2 3 2 3" xfId="12383" xr:uid="{2A7A98F8-53D5-410F-80D2-BC176352F5D9}"/>
    <cellStyle name="Comma 5 7 2 2 3 2 3 2" xfId="29727" xr:uid="{488859B2-DD5A-4674-A332-D87403D318FC}"/>
    <cellStyle name="Comma 5 7 2 2 3 2 4" xfId="21055" xr:uid="{48C9C52E-B748-4394-B48B-47C66DFC7D71}"/>
    <cellStyle name="Comma 5 7 2 2 3 3" xfId="5879" xr:uid="{60E76238-3DF1-4BEE-B9F2-FC2E8D29B8D6}"/>
    <cellStyle name="Comma 5 7 2 2 3 3 2" xfId="14551" xr:uid="{08CC79C5-04ED-4334-B06C-AFD74F6BB253}"/>
    <cellStyle name="Comma 5 7 2 2 3 3 2 2" xfId="31895" xr:uid="{126B86E4-6471-4592-83A8-A6AF4C881F61}"/>
    <cellStyle name="Comma 5 7 2 2 3 3 3" xfId="23223" xr:uid="{79257710-5499-4984-A48F-2028DF36F504}"/>
    <cellStyle name="Comma 5 7 2 2 3 4" xfId="10215" xr:uid="{70988D2F-3A24-460D-98A4-DC5EF901BC1F}"/>
    <cellStyle name="Comma 5 7 2 2 3 4 2" xfId="27559" xr:uid="{41214BF8-3434-42C8-A6EA-373D482A5B29}"/>
    <cellStyle name="Comma 5 7 2 2 3 5" xfId="18887" xr:uid="{109B1DB3-4864-470C-9254-C502DB8D624E}"/>
    <cellStyle name="Comma 5 7 2 2 4" xfId="2627" xr:uid="{A3560227-31F2-40CB-A987-2FA38C188F52}"/>
    <cellStyle name="Comma 5 7 2 2 4 2" xfId="6963" xr:uid="{E40EF14D-2CEA-4598-A940-6FA563AC4C6E}"/>
    <cellStyle name="Comma 5 7 2 2 4 2 2" xfId="15635" xr:uid="{7C122A79-6971-4011-8F34-87AFE289D35C}"/>
    <cellStyle name="Comma 5 7 2 2 4 2 2 2" xfId="32979" xr:uid="{8C683AC7-908F-4A48-83CF-5CFB520FEC5F}"/>
    <cellStyle name="Comma 5 7 2 2 4 2 3" xfId="24307" xr:uid="{DC0F3C52-D45F-45C2-A2C0-E4FC780D6BA3}"/>
    <cellStyle name="Comma 5 7 2 2 4 3" xfId="11299" xr:uid="{85ED0F51-A138-47F4-A91F-88C78FA897A6}"/>
    <cellStyle name="Comma 5 7 2 2 4 3 2" xfId="28643" xr:uid="{67849BAF-4C84-4E7F-9808-D36CD083FE9C}"/>
    <cellStyle name="Comma 5 7 2 2 4 4" xfId="19971" xr:uid="{55759C78-5CB9-4838-B8EF-7098C29CB7F1}"/>
    <cellStyle name="Comma 5 7 2 2 5" xfId="4795" xr:uid="{DEBDA16A-3586-4553-9217-BEE17E31D752}"/>
    <cellStyle name="Comma 5 7 2 2 5 2" xfId="13467" xr:uid="{9E5BFF40-F4FD-417E-B818-FB27FFF34AA3}"/>
    <cellStyle name="Comma 5 7 2 2 5 2 2" xfId="30811" xr:uid="{8F9EF6B1-29F9-40D7-B1CE-CBB23352C9AA}"/>
    <cellStyle name="Comma 5 7 2 2 5 3" xfId="22139" xr:uid="{DBEB2723-FDD2-4450-B233-41FCE31A9F2C}"/>
    <cellStyle name="Comma 5 7 2 2 6" xfId="9131" xr:uid="{285BD969-3086-41D7-84D8-562AFE00C5BC}"/>
    <cellStyle name="Comma 5 7 2 2 6 2" xfId="26475" xr:uid="{D56D3B5E-B396-4599-B249-D44B76942AE5}"/>
    <cellStyle name="Comma 5 7 2 2 7" xfId="17803" xr:uid="{6CA2435E-577E-4237-A901-712BFBA3F899}"/>
    <cellStyle name="Comma 5 7 2 3" xfId="730" xr:uid="{C5792006-30D9-4D28-AB45-1B77A0A5340C}"/>
    <cellStyle name="Comma 5 7 2 3 2" xfId="1814" xr:uid="{0A7BF6D4-7827-4FA3-B46A-1A6FAAC35B7A}"/>
    <cellStyle name="Comma 5 7 2 3 2 2" xfId="3982" xr:uid="{8D59042D-A69A-4A4F-8018-EB96106863F5}"/>
    <cellStyle name="Comma 5 7 2 3 2 2 2" xfId="8318" xr:uid="{4FBC2AEE-A7FB-4527-AE72-9E06D6E54286}"/>
    <cellStyle name="Comma 5 7 2 3 2 2 2 2" xfId="16990" xr:uid="{C2C2D1BF-0507-4805-B286-6F1B3144AE5C}"/>
    <cellStyle name="Comma 5 7 2 3 2 2 2 2 2" xfId="34334" xr:uid="{A40CA9C3-AE1F-4622-9C02-27A1C3967387}"/>
    <cellStyle name="Comma 5 7 2 3 2 2 2 3" xfId="25662" xr:uid="{17FD90B7-AB16-410C-B10C-7B8C60729FB4}"/>
    <cellStyle name="Comma 5 7 2 3 2 2 3" xfId="12654" xr:uid="{26AE89BA-7EC0-49BB-A0F9-5189B23F14E0}"/>
    <cellStyle name="Comma 5 7 2 3 2 2 3 2" xfId="29998" xr:uid="{A07C4E13-D09D-4CB2-9A8C-604F2F9E7BCA}"/>
    <cellStyle name="Comma 5 7 2 3 2 2 4" xfId="21326" xr:uid="{63AFD76D-7232-471E-9CD2-1E8CC59B170D}"/>
    <cellStyle name="Comma 5 7 2 3 2 3" xfId="6150" xr:uid="{FB8873B8-D2D3-4D43-B079-89D48B02C627}"/>
    <cellStyle name="Comma 5 7 2 3 2 3 2" xfId="14822" xr:uid="{702E2EF6-35ED-41B1-A7B1-B73C7594612E}"/>
    <cellStyle name="Comma 5 7 2 3 2 3 2 2" xfId="32166" xr:uid="{5FB681DA-FFED-4387-8F8D-B3D966C8A2BF}"/>
    <cellStyle name="Comma 5 7 2 3 2 3 3" xfId="23494" xr:uid="{4B93AFA1-D281-47C2-B8EA-1A0BDEE95F04}"/>
    <cellStyle name="Comma 5 7 2 3 2 4" xfId="10486" xr:uid="{1098345A-F82D-416D-A0D3-4FFBABF8B856}"/>
    <cellStyle name="Comma 5 7 2 3 2 4 2" xfId="27830" xr:uid="{FD0990A7-ED56-4D9E-B7D4-C611BBF70543}"/>
    <cellStyle name="Comma 5 7 2 3 2 5" xfId="19158" xr:uid="{8C7786AE-6190-419D-AE3A-8D93225B9E12}"/>
    <cellStyle name="Comma 5 7 2 3 3" xfId="2898" xr:uid="{C0CCB210-2CCF-4317-8587-5F6CF223150B}"/>
    <cellStyle name="Comma 5 7 2 3 3 2" xfId="7234" xr:uid="{E0E9E542-2076-4E68-AAEC-7ED6418F41CA}"/>
    <cellStyle name="Comma 5 7 2 3 3 2 2" xfId="15906" xr:uid="{5FBF8002-EC61-4526-806C-8B2C49402B8B}"/>
    <cellStyle name="Comma 5 7 2 3 3 2 2 2" xfId="33250" xr:uid="{66893DDB-0DFE-4557-9EB7-FA2CC108E4F4}"/>
    <cellStyle name="Comma 5 7 2 3 3 2 3" xfId="24578" xr:uid="{6E3A76B6-EB7E-4CC6-BAD8-001EFD99EAFC}"/>
    <cellStyle name="Comma 5 7 2 3 3 3" xfId="11570" xr:uid="{23ACCB47-05A5-4B76-A576-35A0E8B13505}"/>
    <cellStyle name="Comma 5 7 2 3 3 3 2" xfId="28914" xr:uid="{32014D58-62BC-45B0-A777-D292AA5A9357}"/>
    <cellStyle name="Comma 5 7 2 3 3 4" xfId="20242" xr:uid="{A2AA6723-FC6B-4895-9DE4-77DB65D782A9}"/>
    <cellStyle name="Comma 5 7 2 3 4" xfId="5066" xr:uid="{D6A8F8B4-CEE3-4DAA-9422-0B79E9203C1C}"/>
    <cellStyle name="Comma 5 7 2 3 4 2" xfId="13738" xr:uid="{30C1152B-4467-427C-B5EA-EDA48A970307}"/>
    <cellStyle name="Comma 5 7 2 3 4 2 2" xfId="31082" xr:uid="{71041008-D8B7-4A84-A8D3-2701E9565791}"/>
    <cellStyle name="Comma 5 7 2 3 4 3" xfId="22410" xr:uid="{1336C2B8-E3FF-4D80-B35B-10FB56B18479}"/>
    <cellStyle name="Comma 5 7 2 3 5" xfId="9402" xr:uid="{503E991B-D67A-4EAE-8C83-EEB4F3326EE7}"/>
    <cellStyle name="Comma 5 7 2 3 5 2" xfId="26746" xr:uid="{0E326B78-6FA3-47BF-B837-09B83BB912E3}"/>
    <cellStyle name="Comma 5 7 2 3 6" xfId="18074" xr:uid="{B8F7EFA1-1096-4E7B-86F1-1D91D8EA75BE}"/>
    <cellStyle name="Comma 5 7 2 4" xfId="1273" xr:uid="{8EF30D68-E505-422C-BFB2-EF8CD2C5E51D}"/>
    <cellStyle name="Comma 5 7 2 4 2" xfId="3441" xr:uid="{19946631-08A2-4C98-8332-4F6298752323}"/>
    <cellStyle name="Comma 5 7 2 4 2 2" xfId="7777" xr:uid="{4066CAF7-C3B4-4D15-8466-A27CC658E06B}"/>
    <cellStyle name="Comma 5 7 2 4 2 2 2" xfId="16449" xr:uid="{85A08171-9AA9-48FF-9DEF-0633E6447D6C}"/>
    <cellStyle name="Comma 5 7 2 4 2 2 2 2" xfId="33793" xr:uid="{CF3E763B-69B9-4388-B572-F230C3171544}"/>
    <cellStyle name="Comma 5 7 2 4 2 2 3" xfId="25121" xr:uid="{5E0360DD-953A-4331-817B-AB5ACAFE4E93}"/>
    <cellStyle name="Comma 5 7 2 4 2 3" xfId="12113" xr:uid="{E2661F11-1DDA-4A28-ADC8-26E7FF89E6A9}"/>
    <cellStyle name="Comma 5 7 2 4 2 3 2" xfId="29457" xr:uid="{44E52595-9D20-4A06-8A7E-EF0363093A3A}"/>
    <cellStyle name="Comma 5 7 2 4 2 4" xfId="20785" xr:uid="{C7BA1850-824C-466A-A542-2ED96DEE0636}"/>
    <cellStyle name="Comma 5 7 2 4 3" xfId="5609" xr:uid="{45AC55D6-B369-4575-8AD2-056F2F25A27B}"/>
    <cellStyle name="Comma 5 7 2 4 3 2" xfId="14281" xr:uid="{84CB2DDE-E966-43A2-9447-BB5CF917E29D}"/>
    <cellStyle name="Comma 5 7 2 4 3 2 2" xfId="31625" xr:uid="{57F5CD7E-A377-465D-A12E-029792280190}"/>
    <cellStyle name="Comma 5 7 2 4 3 3" xfId="22953" xr:uid="{1F6D96B7-AECA-47B6-BB5D-D973EC9C686E}"/>
    <cellStyle name="Comma 5 7 2 4 4" xfId="9945" xr:uid="{E0F3FB9F-09EF-47FA-B5A7-F92B89965737}"/>
    <cellStyle name="Comma 5 7 2 4 4 2" xfId="27289" xr:uid="{DE803517-155F-4150-9AEE-AEB5583B3B75}"/>
    <cellStyle name="Comma 5 7 2 4 5" xfId="18617" xr:uid="{7A2C9C58-F6C2-47D1-B243-FFAA61DB9FDC}"/>
    <cellStyle name="Comma 5 7 2 5" xfId="2357" xr:uid="{18BCEE44-B625-45A2-B049-B412BD9D8150}"/>
    <cellStyle name="Comma 5 7 2 5 2" xfId="6693" xr:uid="{67510727-69EA-4D0A-AEA0-FFC2DBC97005}"/>
    <cellStyle name="Comma 5 7 2 5 2 2" xfId="15365" xr:uid="{89A6C127-C373-4E26-83FE-CEF10AB77212}"/>
    <cellStyle name="Comma 5 7 2 5 2 2 2" xfId="32709" xr:uid="{397B5D22-8D59-45CE-9826-5708C4387827}"/>
    <cellStyle name="Comma 5 7 2 5 2 3" xfId="24037" xr:uid="{A408DFA6-1B0E-4244-AD51-A4E91AE62E94}"/>
    <cellStyle name="Comma 5 7 2 5 3" xfId="11029" xr:uid="{0435540A-166E-49FA-BA37-5A34FA7C292F}"/>
    <cellStyle name="Comma 5 7 2 5 3 2" xfId="28373" xr:uid="{C1FDD72F-B815-4457-A095-0C17007C0C8F}"/>
    <cellStyle name="Comma 5 7 2 5 4" xfId="19701" xr:uid="{6CC38682-E9DF-4974-A6E0-4AD794BDFA6B}"/>
    <cellStyle name="Comma 5 7 2 6" xfId="4525" xr:uid="{4BCF5B34-2BAB-4160-8EC4-F7DE34501991}"/>
    <cellStyle name="Comma 5 7 2 6 2" xfId="13197" xr:uid="{E15179D4-A68D-4256-8525-E0EE6B116CB2}"/>
    <cellStyle name="Comma 5 7 2 6 2 2" xfId="30541" xr:uid="{35910E4A-EA58-4D0E-8F6D-A7A0BF1ECAF3}"/>
    <cellStyle name="Comma 5 7 2 6 3" xfId="21869" xr:uid="{B5C86ADE-DF38-49AC-8884-EAE375453BF8}"/>
    <cellStyle name="Comma 5 7 2 7" xfId="8861" xr:uid="{C7276DAA-6EC5-4AD1-8B28-5F70E1A19E6F}"/>
    <cellStyle name="Comma 5 7 2 7 2" xfId="26205" xr:uid="{2DA51FCA-A910-4436-8E63-DA2A339B9BEC}"/>
    <cellStyle name="Comma 5 7 2 8" xfId="17533" xr:uid="{945F32C9-CE13-40F9-8124-9694593754FD}"/>
    <cellStyle name="Comma 5 7 3" xfId="337" xr:uid="{932402F3-7C95-493F-8746-D56F420F9B18}"/>
    <cellStyle name="Comma 5 7 3 2" xfId="878" xr:uid="{75FE5FB7-FD1D-4895-9ABF-7877BA964E89}"/>
    <cellStyle name="Comma 5 7 3 2 2" xfId="1962" xr:uid="{AE6826BB-7F1D-476E-B0AD-2413635BD847}"/>
    <cellStyle name="Comma 5 7 3 2 2 2" xfId="4130" xr:uid="{7D74F407-08CB-4259-852A-707DD093A511}"/>
    <cellStyle name="Comma 5 7 3 2 2 2 2" xfId="8466" xr:uid="{7488A942-D412-44CA-92C1-3F6322D939C3}"/>
    <cellStyle name="Comma 5 7 3 2 2 2 2 2" xfId="17138" xr:uid="{E4349668-FB1A-476E-84C9-6C619C58A757}"/>
    <cellStyle name="Comma 5 7 3 2 2 2 2 2 2" xfId="34482" xr:uid="{3DAD95F8-96E4-48E0-8988-4CAB442D3CF0}"/>
    <cellStyle name="Comma 5 7 3 2 2 2 2 3" xfId="25810" xr:uid="{2104B87C-44A6-4270-8F00-22CA0958EA33}"/>
    <cellStyle name="Comma 5 7 3 2 2 2 3" xfId="12802" xr:uid="{FD79628E-3D9C-4541-876A-261DE4D1B059}"/>
    <cellStyle name="Comma 5 7 3 2 2 2 3 2" xfId="30146" xr:uid="{4EB0EDB4-9016-42E8-B511-2CECB1E2E030}"/>
    <cellStyle name="Comma 5 7 3 2 2 2 4" xfId="21474" xr:uid="{FEC14EDF-E652-4E9F-9088-39A1C017A554}"/>
    <cellStyle name="Comma 5 7 3 2 2 3" xfId="6298" xr:uid="{343A87FF-C615-4E80-9ED3-F478917497D6}"/>
    <cellStyle name="Comma 5 7 3 2 2 3 2" xfId="14970" xr:uid="{4B1FCF7B-9A86-46A6-926B-4F8B348137EC}"/>
    <cellStyle name="Comma 5 7 3 2 2 3 2 2" xfId="32314" xr:uid="{0C89FC27-B4AA-4C7D-8B7C-0E54686D23BE}"/>
    <cellStyle name="Comma 5 7 3 2 2 3 3" xfId="23642" xr:uid="{336D7646-E3BD-4BDC-8051-2E95D856FF0F}"/>
    <cellStyle name="Comma 5 7 3 2 2 4" xfId="10634" xr:uid="{9827E835-BEB9-47B5-9CAB-6011F940F3B1}"/>
    <cellStyle name="Comma 5 7 3 2 2 4 2" xfId="27978" xr:uid="{5258C1D0-E05C-4872-B465-8E286DF55350}"/>
    <cellStyle name="Comma 5 7 3 2 2 5" xfId="19306" xr:uid="{20B9CBAC-3A58-4324-9E76-FD75AED99F79}"/>
    <cellStyle name="Comma 5 7 3 2 3" xfId="3046" xr:uid="{3B0FF75E-4799-497D-8DD6-7279FFFF019C}"/>
    <cellStyle name="Comma 5 7 3 2 3 2" xfId="7382" xr:uid="{3B453CCE-9F86-4704-89CE-64B3F873C208}"/>
    <cellStyle name="Comma 5 7 3 2 3 2 2" xfId="16054" xr:uid="{59597505-0DB9-4C49-8972-F58E83BA972E}"/>
    <cellStyle name="Comma 5 7 3 2 3 2 2 2" xfId="33398" xr:uid="{4ACFFE9C-C84E-4337-92CC-180E46674ABE}"/>
    <cellStyle name="Comma 5 7 3 2 3 2 3" xfId="24726" xr:uid="{B8D8976F-E05F-44B7-A59C-39995B1142B2}"/>
    <cellStyle name="Comma 5 7 3 2 3 3" xfId="11718" xr:uid="{197A5B97-3ECA-4655-80EE-9D75B9DE3D72}"/>
    <cellStyle name="Comma 5 7 3 2 3 3 2" xfId="29062" xr:uid="{031CD317-3635-4F41-8977-CA540F1E07FD}"/>
    <cellStyle name="Comma 5 7 3 2 3 4" xfId="20390" xr:uid="{20FFE3EC-BAE5-4A3E-B6F7-0161CF01F602}"/>
    <cellStyle name="Comma 5 7 3 2 4" xfId="5214" xr:uid="{B2656AC4-8C2B-4AF4-A9B5-40F3D7B6AF24}"/>
    <cellStyle name="Comma 5 7 3 2 4 2" xfId="13886" xr:uid="{37803953-AEE7-429D-8FAF-9089BB75E702}"/>
    <cellStyle name="Comma 5 7 3 2 4 2 2" xfId="31230" xr:uid="{86165CA7-CB28-448E-B37C-87C933344E7D}"/>
    <cellStyle name="Comma 5 7 3 2 4 3" xfId="22558" xr:uid="{EA79FDC9-46FD-4738-AF3A-AEA5300FD8B9}"/>
    <cellStyle name="Comma 5 7 3 2 5" xfId="9550" xr:uid="{7F5F5100-68A7-40F6-9BAB-BC3D38186B9D}"/>
    <cellStyle name="Comma 5 7 3 2 5 2" xfId="26894" xr:uid="{F062B73F-18A1-44AB-8125-A71F7DA57241}"/>
    <cellStyle name="Comma 5 7 3 2 6" xfId="18222" xr:uid="{7F50B750-CA3A-45A1-AAE3-D2C4B83028EB}"/>
    <cellStyle name="Comma 5 7 3 3" xfId="1421" xr:uid="{4652410A-78B8-4D2C-AE7C-BB4429D324AC}"/>
    <cellStyle name="Comma 5 7 3 3 2" xfId="3589" xr:uid="{A9496242-4107-4BDA-8EBD-A0752D65CCEF}"/>
    <cellStyle name="Comma 5 7 3 3 2 2" xfId="7925" xr:uid="{058318BA-5A5E-4659-922D-70BE93F22856}"/>
    <cellStyle name="Comma 5 7 3 3 2 2 2" xfId="16597" xr:uid="{06291717-10DC-43D1-A93B-56E169EB40A1}"/>
    <cellStyle name="Comma 5 7 3 3 2 2 2 2" xfId="33941" xr:uid="{17C7C248-7052-407D-9633-208C1811791D}"/>
    <cellStyle name="Comma 5 7 3 3 2 2 3" xfId="25269" xr:uid="{9DEA0CA0-291D-48F8-9408-EC0610238A78}"/>
    <cellStyle name="Comma 5 7 3 3 2 3" xfId="12261" xr:uid="{84095F9E-1496-49AE-818C-1F2A1159151F}"/>
    <cellStyle name="Comma 5 7 3 3 2 3 2" xfId="29605" xr:uid="{D0C2EC66-0344-4F66-8830-74406A7258E6}"/>
    <cellStyle name="Comma 5 7 3 3 2 4" xfId="20933" xr:uid="{B03FAD75-E1DD-46B5-8E7F-ACFB2AE845E8}"/>
    <cellStyle name="Comma 5 7 3 3 3" xfId="5757" xr:uid="{C3691DCA-2E3F-4485-881A-5D65496C7C27}"/>
    <cellStyle name="Comma 5 7 3 3 3 2" xfId="14429" xr:uid="{201BC15D-CCCD-4D66-BBC0-CD5451E2BCFE}"/>
    <cellStyle name="Comma 5 7 3 3 3 2 2" xfId="31773" xr:uid="{40D6C97D-6378-4FED-885D-D8FE89E1BC46}"/>
    <cellStyle name="Comma 5 7 3 3 3 3" xfId="23101" xr:uid="{3ACDECBB-0DE3-4646-9FE5-A4C38ADF8E73}"/>
    <cellStyle name="Comma 5 7 3 3 4" xfId="10093" xr:uid="{7A3128AE-39D0-4A3B-8B87-83E2F3AFF666}"/>
    <cellStyle name="Comma 5 7 3 3 4 2" xfId="27437" xr:uid="{9419CCB1-94A5-402F-9001-936C5FBD94D5}"/>
    <cellStyle name="Comma 5 7 3 3 5" xfId="18765" xr:uid="{0EFAB49A-3A49-4FE6-9737-F4EB2F7D350F}"/>
    <cellStyle name="Comma 5 7 3 4" xfId="2505" xr:uid="{FD3D9E45-2656-4685-9D90-36979AE0AD54}"/>
    <cellStyle name="Comma 5 7 3 4 2" xfId="6841" xr:uid="{674B9C4C-300A-4944-8891-6D09DD4299B3}"/>
    <cellStyle name="Comma 5 7 3 4 2 2" xfId="15513" xr:uid="{58F2B2AD-B70E-4C8D-9B08-2C5537AFB17C}"/>
    <cellStyle name="Comma 5 7 3 4 2 2 2" xfId="32857" xr:uid="{9C35D5F0-B6B0-43A8-9716-6549BA60B21B}"/>
    <cellStyle name="Comma 5 7 3 4 2 3" xfId="24185" xr:uid="{1AB29757-CE4E-4A0E-B011-2F5C39D8772B}"/>
    <cellStyle name="Comma 5 7 3 4 3" xfId="11177" xr:uid="{FEC95C15-47CE-46B6-9C3C-5618790EF805}"/>
    <cellStyle name="Comma 5 7 3 4 3 2" xfId="28521" xr:uid="{D02294BA-FB07-4EA3-9561-484CA62B40C3}"/>
    <cellStyle name="Comma 5 7 3 4 4" xfId="19849" xr:uid="{B703BC13-159D-45BE-8D00-8F8B9947E106}"/>
    <cellStyle name="Comma 5 7 3 5" xfId="4673" xr:uid="{9A039D64-173E-4234-BDA8-100285AF9EFA}"/>
    <cellStyle name="Comma 5 7 3 5 2" xfId="13345" xr:uid="{33A9B746-B6AB-49F6-9A86-5A3CCB705DDF}"/>
    <cellStyle name="Comma 5 7 3 5 2 2" xfId="30689" xr:uid="{6F594640-5599-4E8C-8D40-2964ECDD7E72}"/>
    <cellStyle name="Comma 5 7 3 5 3" xfId="22017" xr:uid="{29977596-C732-4C62-AD23-13DB95402A39}"/>
    <cellStyle name="Comma 5 7 3 6" xfId="9009" xr:uid="{23A110BC-A060-4FA5-945B-03DA09E90931}"/>
    <cellStyle name="Comma 5 7 3 6 2" xfId="26353" xr:uid="{3C5A99FC-3B06-4B85-910F-4166A4C0D0C0}"/>
    <cellStyle name="Comma 5 7 3 7" xfId="17681" xr:uid="{47DD6FC5-7E57-449A-A89A-2727A7AB332A}"/>
    <cellStyle name="Comma 5 7 4" xfId="608" xr:uid="{415F7E26-6FD1-445D-88C2-15664E9C3AA2}"/>
    <cellStyle name="Comma 5 7 4 2" xfId="1692" xr:uid="{736771B6-625E-4F21-A4E0-C753F0C7C3F0}"/>
    <cellStyle name="Comma 5 7 4 2 2" xfId="3860" xr:uid="{FF03A395-5CC1-4D4E-BE42-95197623B322}"/>
    <cellStyle name="Comma 5 7 4 2 2 2" xfId="8196" xr:uid="{4C6984A6-8861-4E06-A750-BBE02840B28B}"/>
    <cellStyle name="Comma 5 7 4 2 2 2 2" xfId="16868" xr:uid="{92A269ED-F51D-4491-9EEA-FD2FC342F5DC}"/>
    <cellStyle name="Comma 5 7 4 2 2 2 2 2" xfId="34212" xr:uid="{DDBE1DA2-AEDC-4311-96BD-CDC4D060B3A7}"/>
    <cellStyle name="Comma 5 7 4 2 2 2 3" xfId="25540" xr:uid="{A76AFA4B-0786-4354-8208-A98B56E4C17D}"/>
    <cellStyle name="Comma 5 7 4 2 2 3" xfId="12532" xr:uid="{CE0B137F-BED1-413F-A8D0-28E027C1F5F1}"/>
    <cellStyle name="Comma 5 7 4 2 2 3 2" xfId="29876" xr:uid="{44640FBB-6020-4C1D-A7FC-D4EC63858EC5}"/>
    <cellStyle name="Comma 5 7 4 2 2 4" xfId="21204" xr:uid="{E6F23D0F-E5CC-42A2-B1F0-1DD59FCF7F49}"/>
    <cellStyle name="Comma 5 7 4 2 3" xfId="6028" xr:uid="{51492D42-7B15-4B36-BDD2-A6AE633C4A23}"/>
    <cellStyle name="Comma 5 7 4 2 3 2" xfId="14700" xr:uid="{17A7E3E7-B51F-4D8A-BE94-86A55F4FA8C7}"/>
    <cellStyle name="Comma 5 7 4 2 3 2 2" xfId="32044" xr:uid="{9050C928-1FCC-48FF-A5B2-6980DBB49628}"/>
    <cellStyle name="Comma 5 7 4 2 3 3" xfId="23372" xr:uid="{E26AB6B4-D332-4219-8270-B9B9F24FDCD9}"/>
    <cellStyle name="Comma 5 7 4 2 4" xfId="10364" xr:uid="{ACA03188-1EBD-4AD6-9D32-B409B773CEA3}"/>
    <cellStyle name="Comma 5 7 4 2 4 2" xfId="27708" xr:uid="{A3E9E832-1824-493E-BDBE-693EB394D8F7}"/>
    <cellStyle name="Comma 5 7 4 2 5" xfId="19036" xr:uid="{2F8A08ED-756C-4C87-942D-6B6596F9C709}"/>
    <cellStyle name="Comma 5 7 4 3" xfId="2776" xr:uid="{161375F7-EB6A-4CC8-BB6A-D886F9C7AD6A}"/>
    <cellStyle name="Comma 5 7 4 3 2" xfId="7112" xr:uid="{5DA2E6FA-48C8-47C1-A667-D5D99DDBD356}"/>
    <cellStyle name="Comma 5 7 4 3 2 2" xfId="15784" xr:uid="{748D56FF-CC9F-47EA-9B19-D8E71E6BD675}"/>
    <cellStyle name="Comma 5 7 4 3 2 2 2" xfId="33128" xr:uid="{531E3FC7-F97E-40B0-AB1A-E2AB3D027A61}"/>
    <cellStyle name="Comma 5 7 4 3 2 3" xfId="24456" xr:uid="{FA5CA261-61B0-4786-917B-C4AB5746A6DB}"/>
    <cellStyle name="Comma 5 7 4 3 3" xfId="11448" xr:uid="{F31F4F3A-B66B-4415-92B5-18FEF6F18865}"/>
    <cellStyle name="Comma 5 7 4 3 3 2" xfId="28792" xr:uid="{C5C0F59B-4F0A-45FC-BB93-3DC7756A9F53}"/>
    <cellStyle name="Comma 5 7 4 3 4" xfId="20120" xr:uid="{32DE4A1A-E1CD-4B33-9C60-57FFE504C19F}"/>
    <cellStyle name="Comma 5 7 4 4" xfId="4944" xr:uid="{C87D7855-82B8-492D-9CF1-B8728C3F002E}"/>
    <cellStyle name="Comma 5 7 4 4 2" xfId="13616" xr:uid="{65F5B96D-17FF-41F7-B033-08E3CF857AA6}"/>
    <cellStyle name="Comma 5 7 4 4 2 2" xfId="30960" xr:uid="{9ABCAD18-2AE5-4DF4-89C2-4553C22CF87B}"/>
    <cellStyle name="Comma 5 7 4 4 3" xfId="22288" xr:uid="{AB18C5B3-041A-49C9-9BA2-F0FE1A52F15D}"/>
    <cellStyle name="Comma 5 7 4 5" xfId="9280" xr:uid="{B3DD8A24-CB28-48E9-8375-29E650C606F5}"/>
    <cellStyle name="Comma 5 7 4 5 2" xfId="26624" xr:uid="{679E5866-F213-4F4D-B62A-2707DBB3951D}"/>
    <cellStyle name="Comma 5 7 4 6" xfId="17952" xr:uid="{BADD44DB-653B-46D3-89B8-6B61E76E07BB}"/>
    <cellStyle name="Comma 5 7 5" xfId="1151" xr:uid="{BF699096-0C93-405F-8CE2-936885BD7E48}"/>
    <cellStyle name="Comma 5 7 5 2" xfId="3319" xr:uid="{88DF9712-79D9-4069-AFD8-E0326B863310}"/>
    <cellStyle name="Comma 5 7 5 2 2" xfId="7655" xr:uid="{BFBC8CF2-F45C-495C-8998-BCA530437EE7}"/>
    <cellStyle name="Comma 5 7 5 2 2 2" xfId="16327" xr:uid="{CD4ED1FC-1504-45E7-98CD-4FC3BBD08A6D}"/>
    <cellStyle name="Comma 5 7 5 2 2 2 2" xfId="33671" xr:uid="{807962B0-470D-4BA5-A34B-677641D9E6E4}"/>
    <cellStyle name="Comma 5 7 5 2 2 3" xfId="24999" xr:uid="{428D5832-0B73-411A-93C5-B2C2E13BB02B}"/>
    <cellStyle name="Comma 5 7 5 2 3" xfId="11991" xr:uid="{56ED47D8-4403-4E2C-BA8D-8E87AAD95B87}"/>
    <cellStyle name="Comma 5 7 5 2 3 2" xfId="29335" xr:uid="{6C6EEC68-A50A-44C4-B581-87A915274066}"/>
    <cellStyle name="Comma 5 7 5 2 4" xfId="20663" xr:uid="{6C076AC4-45A5-4A22-B680-CBC823AD581F}"/>
    <cellStyle name="Comma 5 7 5 3" xfId="5487" xr:uid="{0223D118-C059-469F-9CEA-0BDAF660D10E}"/>
    <cellStyle name="Comma 5 7 5 3 2" xfId="14159" xr:uid="{5C3B771E-DFEC-4AF7-BFC0-EFD9A46F596A}"/>
    <cellStyle name="Comma 5 7 5 3 2 2" xfId="31503" xr:uid="{4FAF6CE2-F4CF-42E3-B905-E1B09AFC8DC6}"/>
    <cellStyle name="Comma 5 7 5 3 3" xfId="22831" xr:uid="{8AE3A5F0-12DD-4806-8CE5-AD9079590590}"/>
    <cellStyle name="Comma 5 7 5 4" xfId="9823" xr:uid="{718C5F42-0BFD-4A65-9D38-46FEC6DAADF1}"/>
    <cellStyle name="Comma 5 7 5 4 2" xfId="27167" xr:uid="{34F6039A-3CE3-45E6-AF87-31D6C3C55DDC}"/>
    <cellStyle name="Comma 5 7 5 5" xfId="18495" xr:uid="{79FF7C36-E3C5-4CF2-8748-3E536A3222CC}"/>
    <cellStyle name="Comma 5 7 6" xfId="2235" xr:uid="{9EBC3972-B745-436E-BEC0-944BBC6CBB93}"/>
    <cellStyle name="Comma 5 7 6 2" xfId="6571" xr:uid="{ADE72ACC-6D6D-4B41-B467-94905C4C1F97}"/>
    <cellStyle name="Comma 5 7 6 2 2" xfId="15243" xr:uid="{5C5ACD5E-5F4D-4A27-A803-4E03AF3762BB}"/>
    <cellStyle name="Comma 5 7 6 2 2 2" xfId="32587" xr:uid="{0889C8C3-97F3-475F-A283-54FD8809904E}"/>
    <cellStyle name="Comma 5 7 6 2 3" xfId="23915" xr:uid="{23170A7E-D640-4873-87F6-A549D96CE15D}"/>
    <cellStyle name="Comma 5 7 6 3" xfId="10907" xr:uid="{6C2A5B5C-1C92-4D56-B1C3-679316B784C9}"/>
    <cellStyle name="Comma 5 7 6 3 2" xfId="28251" xr:uid="{2287EF10-C101-455D-BD6F-8D431026FFB2}"/>
    <cellStyle name="Comma 5 7 6 4" xfId="19579" xr:uid="{C3CEDB19-1194-40C5-9085-8EBB440B79A8}"/>
    <cellStyle name="Comma 5 7 7" xfId="4403" xr:uid="{F516E965-A6EA-4AC4-AB60-A8091BC04C36}"/>
    <cellStyle name="Comma 5 7 7 2" xfId="13075" xr:uid="{01F7E722-3485-450E-A096-C67773D9D764}"/>
    <cellStyle name="Comma 5 7 7 2 2" xfId="30419" xr:uid="{33E824FA-9C49-4403-AF9E-011BA41686B8}"/>
    <cellStyle name="Comma 5 7 7 3" xfId="21747" xr:uid="{DF2062AE-30C8-4332-A358-F3466C7D4847}"/>
    <cellStyle name="Comma 5 7 8" xfId="8739" xr:uid="{154C17DE-AA36-49C6-902B-D03523F37037}"/>
    <cellStyle name="Comma 5 7 8 2" xfId="26083" xr:uid="{8BE413CC-459B-470D-B95B-ABA0F59B503B}"/>
    <cellStyle name="Comma 5 7 9" xfId="17411" xr:uid="{9A4593D7-8420-4A48-B6F4-CB87DBBDF094}"/>
    <cellStyle name="Comma 5 8" xfId="128" xr:uid="{DFEEA014-A6EE-4096-AC53-136E2F690441}"/>
    <cellStyle name="Comma 5 8 2" xfId="398" xr:uid="{9463C8C3-024E-4FE2-BA4B-28A4C5196A7F}"/>
    <cellStyle name="Comma 5 8 2 2" xfId="939" xr:uid="{23697895-81E9-40F5-B5C9-3E37BE59EF85}"/>
    <cellStyle name="Comma 5 8 2 2 2" xfId="2023" xr:uid="{07C4C2BA-3138-481C-9EE0-C27FA066FC51}"/>
    <cellStyle name="Comma 5 8 2 2 2 2" xfId="4191" xr:uid="{9A81A5FD-6B5B-487F-808C-082F17F9742A}"/>
    <cellStyle name="Comma 5 8 2 2 2 2 2" xfId="8527" xr:uid="{5AC3C651-AA64-4BFD-BCD1-3D196FC61917}"/>
    <cellStyle name="Comma 5 8 2 2 2 2 2 2" xfId="17199" xr:uid="{8DA090DB-BBE6-42CA-84E4-FF700BC9A21B}"/>
    <cellStyle name="Comma 5 8 2 2 2 2 2 2 2" xfId="34543" xr:uid="{E40F9C2C-BEA5-4BC7-8F8F-A9D219B8DAFA}"/>
    <cellStyle name="Comma 5 8 2 2 2 2 2 3" xfId="25871" xr:uid="{118F572A-7BCB-4885-8FB7-8EEDE222788B}"/>
    <cellStyle name="Comma 5 8 2 2 2 2 3" xfId="12863" xr:uid="{A4E81AD0-929A-405A-BA44-FFE731A6E582}"/>
    <cellStyle name="Comma 5 8 2 2 2 2 3 2" xfId="30207" xr:uid="{2443C76E-9A37-4CA7-BAF5-0706B9AA44C4}"/>
    <cellStyle name="Comma 5 8 2 2 2 2 4" xfId="21535" xr:uid="{70EFB280-0724-4D6C-BEA0-30EC5A5E48CD}"/>
    <cellStyle name="Comma 5 8 2 2 2 3" xfId="6359" xr:uid="{2FDE6865-8DA2-43A7-923F-0F7D6D2CE46B}"/>
    <cellStyle name="Comma 5 8 2 2 2 3 2" xfId="15031" xr:uid="{916FDA49-F94C-421F-9A04-6E23DB87DE5B}"/>
    <cellStyle name="Comma 5 8 2 2 2 3 2 2" xfId="32375" xr:uid="{BE7E62CD-E758-4F58-828B-109425A7D0E6}"/>
    <cellStyle name="Comma 5 8 2 2 2 3 3" xfId="23703" xr:uid="{4DB8EFC4-4720-415F-9E58-C498B6155776}"/>
    <cellStyle name="Comma 5 8 2 2 2 4" xfId="10695" xr:uid="{A954B260-6993-4205-B1B3-C4008FDF4634}"/>
    <cellStyle name="Comma 5 8 2 2 2 4 2" xfId="28039" xr:uid="{59A78FCC-6097-4526-853E-9CEF95039D80}"/>
    <cellStyle name="Comma 5 8 2 2 2 5" xfId="19367" xr:uid="{F1191C13-A818-419C-9C88-4E619E1182ED}"/>
    <cellStyle name="Comma 5 8 2 2 3" xfId="3107" xr:uid="{2CF170CE-01C6-4F04-9D9C-337699DFBBAE}"/>
    <cellStyle name="Comma 5 8 2 2 3 2" xfId="7443" xr:uid="{596DEE18-9F79-4EA5-9F1E-888AF9E51790}"/>
    <cellStyle name="Comma 5 8 2 2 3 2 2" xfId="16115" xr:uid="{86B043A8-A487-4F3B-B33A-2DF39E79CBE4}"/>
    <cellStyle name="Comma 5 8 2 2 3 2 2 2" xfId="33459" xr:uid="{684F8298-F26F-4EA6-86D2-2BA71AB52B3F}"/>
    <cellStyle name="Comma 5 8 2 2 3 2 3" xfId="24787" xr:uid="{64CDBC18-3C1A-47E7-896D-0C748222E6F2}"/>
    <cellStyle name="Comma 5 8 2 2 3 3" xfId="11779" xr:uid="{F08AF33C-B2DB-45D1-98BF-05179D50AB51}"/>
    <cellStyle name="Comma 5 8 2 2 3 3 2" xfId="29123" xr:uid="{5CD673BF-BEA7-4DC4-98BD-0AD25293E7C1}"/>
    <cellStyle name="Comma 5 8 2 2 3 4" xfId="20451" xr:uid="{455BFD62-DACC-4A53-BC7D-50690E3E727B}"/>
    <cellStyle name="Comma 5 8 2 2 4" xfId="5275" xr:uid="{FBFB1BA4-BD03-42D7-B9B3-411462F124A4}"/>
    <cellStyle name="Comma 5 8 2 2 4 2" xfId="13947" xr:uid="{1267B0B3-F859-4093-B069-56E21F852AD7}"/>
    <cellStyle name="Comma 5 8 2 2 4 2 2" xfId="31291" xr:uid="{73938569-B229-4061-870C-F9A976ECE59D}"/>
    <cellStyle name="Comma 5 8 2 2 4 3" xfId="22619" xr:uid="{ABC77E6F-BDE9-48CE-B963-5C6A26406811}"/>
    <cellStyle name="Comma 5 8 2 2 5" xfId="9611" xr:uid="{EDE00D1C-7AF5-47B0-843C-1F9CF2A85E6F}"/>
    <cellStyle name="Comma 5 8 2 2 5 2" xfId="26955" xr:uid="{7801BD00-E73F-4626-A8C3-0EFF9648B167}"/>
    <cellStyle name="Comma 5 8 2 2 6" xfId="18283" xr:uid="{65D0E2D9-DDB9-48F0-8B62-A591FBC4EF4C}"/>
    <cellStyle name="Comma 5 8 2 3" xfId="1482" xr:uid="{913641B8-36AF-4757-8591-4A489947659F}"/>
    <cellStyle name="Comma 5 8 2 3 2" xfId="3650" xr:uid="{19705F58-9B1A-48FB-9E78-C7C11EB24A2E}"/>
    <cellStyle name="Comma 5 8 2 3 2 2" xfId="7986" xr:uid="{1445E512-E35E-426B-BB90-5752401F41D3}"/>
    <cellStyle name="Comma 5 8 2 3 2 2 2" xfId="16658" xr:uid="{BDDEB90C-DD13-44DD-B441-4CB8C85DA1E8}"/>
    <cellStyle name="Comma 5 8 2 3 2 2 2 2" xfId="34002" xr:uid="{C2111DC5-C7B7-4ECC-98D8-266A0708040E}"/>
    <cellStyle name="Comma 5 8 2 3 2 2 3" xfId="25330" xr:uid="{65BC593F-1941-44B6-91B4-794CA393C986}"/>
    <cellStyle name="Comma 5 8 2 3 2 3" xfId="12322" xr:uid="{06B3FD98-F439-4BCD-B3BF-21F13F595305}"/>
    <cellStyle name="Comma 5 8 2 3 2 3 2" xfId="29666" xr:uid="{9332E7B2-7569-4C60-BAD2-DEBB8DE2C1C5}"/>
    <cellStyle name="Comma 5 8 2 3 2 4" xfId="20994" xr:uid="{DD2C63A7-2F50-465E-A13F-3812759C2A77}"/>
    <cellStyle name="Comma 5 8 2 3 3" xfId="5818" xr:uid="{9B4AE614-5FE9-4B92-9963-F4164A57BCC4}"/>
    <cellStyle name="Comma 5 8 2 3 3 2" xfId="14490" xr:uid="{CB24B2B1-8F51-47E8-88F6-36CC346036C1}"/>
    <cellStyle name="Comma 5 8 2 3 3 2 2" xfId="31834" xr:uid="{12BC0B24-6322-4A24-AB8B-75077C2515E4}"/>
    <cellStyle name="Comma 5 8 2 3 3 3" xfId="23162" xr:uid="{7CD418D6-B27B-4B41-95BC-ACFAE467392C}"/>
    <cellStyle name="Comma 5 8 2 3 4" xfId="10154" xr:uid="{07D823C0-4511-4006-9F56-A82F1BAC1005}"/>
    <cellStyle name="Comma 5 8 2 3 4 2" xfId="27498" xr:uid="{CA0FCBBC-7D30-4ACC-A33E-49EBE2FFBEB8}"/>
    <cellStyle name="Comma 5 8 2 3 5" xfId="18826" xr:uid="{685A695B-BC05-4BFD-8344-DCC03CA857AE}"/>
    <cellStyle name="Comma 5 8 2 4" xfId="2566" xr:uid="{BF5561B1-EBE5-4F09-AB4E-15D4F28A1EFA}"/>
    <cellStyle name="Comma 5 8 2 4 2" xfId="6902" xr:uid="{1B792E12-B00E-4005-B7EE-9246E861CAD0}"/>
    <cellStyle name="Comma 5 8 2 4 2 2" xfId="15574" xr:uid="{394830B8-166D-456A-B9B8-BBAC23E006FA}"/>
    <cellStyle name="Comma 5 8 2 4 2 2 2" xfId="32918" xr:uid="{B18DF635-F070-4609-86A3-BC419B654985}"/>
    <cellStyle name="Comma 5 8 2 4 2 3" xfId="24246" xr:uid="{F80C7FD5-C383-42F1-B462-BEF0CF29AE40}"/>
    <cellStyle name="Comma 5 8 2 4 3" xfId="11238" xr:uid="{2602CA98-2D5C-4B93-852F-976B78FAD952}"/>
    <cellStyle name="Comma 5 8 2 4 3 2" xfId="28582" xr:uid="{B91A8F98-F148-4B53-B683-EBBB964CD2B2}"/>
    <cellStyle name="Comma 5 8 2 4 4" xfId="19910" xr:uid="{A625290B-9D46-484A-8053-52AC04D65E3A}"/>
    <cellStyle name="Comma 5 8 2 5" xfId="4734" xr:uid="{B381F1A4-3772-4415-B07B-061276D98A69}"/>
    <cellStyle name="Comma 5 8 2 5 2" xfId="13406" xr:uid="{73FF0743-11F0-48A1-A2BB-11E0D9AD4B5C}"/>
    <cellStyle name="Comma 5 8 2 5 2 2" xfId="30750" xr:uid="{3F37A79D-A22E-47D7-A72E-93BBFF5FD0A1}"/>
    <cellStyle name="Comma 5 8 2 5 3" xfId="22078" xr:uid="{02B6DEB3-0A71-4AB2-AC4B-808CAE2702F8}"/>
    <cellStyle name="Comma 5 8 2 6" xfId="9070" xr:uid="{995DC536-56DA-4264-9B60-FDF2C05C5100}"/>
    <cellStyle name="Comma 5 8 2 6 2" xfId="26414" xr:uid="{02CAA599-1728-42C0-9952-0C7BD04794B2}"/>
    <cellStyle name="Comma 5 8 2 7" xfId="17742" xr:uid="{B2F0F924-1555-410E-92D2-F32A418256C6}"/>
    <cellStyle name="Comma 5 8 3" xfId="669" xr:uid="{201036CF-0C51-402B-A09C-B2FB0CF635B9}"/>
    <cellStyle name="Comma 5 8 3 2" xfId="1753" xr:uid="{EC42B630-3DE0-4976-B27B-B4B53F747056}"/>
    <cellStyle name="Comma 5 8 3 2 2" xfId="3921" xr:uid="{41EABFF5-6113-4A4C-BC15-3AB5FB85FD82}"/>
    <cellStyle name="Comma 5 8 3 2 2 2" xfId="8257" xr:uid="{2F4D6AF9-99C4-4232-A712-7B11AED52357}"/>
    <cellStyle name="Comma 5 8 3 2 2 2 2" xfId="16929" xr:uid="{A12F5360-93EB-43A1-BDD5-DDF34BA0BEF0}"/>
    <cellStyle name="Comma 5 8 3 2 2 2 2 2" xfId="34273" xr:uid="{6A0A42E6-BBCD-479A-8BD3-47949DD07E30}"/>
    <cellStyle name="Comma 5 8 3 2 2 2 3" xfId="25601" xr:uid="{7E74C96D-A345-4AC4-9335-6D5437E497DF}"/>
    <cellStyle name="Comma 5 8 3 2 2 3" xfId="12593" xr:uid="{C4189D2A-F94C-4C23-B6A3-F9F8F4B416BD}"/>
    <cellStyle name="Comma 5 8 3 2 2 3 2" xfId="29937" xr:uid="{1FFB6BC6-3475-425D-A978-8F0F1CD46A55}"/>
    <cellStyle name="Comma 5 8 3 2 2 4" xfId="21265" xr:uid="{D2BDCCBA-869F-41AA-B319-3BBF8E8F93E1}"/>
    <cellStyle name="Comma 5 8 3 2 3" xfId="6089" xr:uid="{E7CDC42F-FDFD-459B-B31E-E6E48594B5EA}"/>
    <cellStyle name="Comma 5 8 3 2 3 2" xfId="14761" xr:uid="{D4D72550-A12D-4900-87BE-B774C1592EC2}"/>
    <cellStyle name="Comma 5 8 3 2 3 2 2" xfId="32105" xr:uid="{5D893056-0355-4693-99E3-2A1F04442C59}"/>
    <cellStyle name="Comma 5 8 3 2 3 3" xfId="23433" xr:uid="{AC71F7E2-557B-46E2-8BD1-16FD7B6F19FF}"/>
    <cellStyle name="Comma 5 8 3 2 4" xfId="10425" xr:uid="{D5613979-04C1-4085-9D35-7AC1E71490A3}"/>
    <cellStyle name="Comma 5 8 3 2 4 2" xfId="27769" xr:uid="{B4A75391-4A67-4D5E-8DB8-FF6121BE7163}"/>
    <cellStyle name="Comma 5 8 3 2 5" xfId="19097" xr:uid="{686D9C16-75CB-4EC9-B13A-35E668B75F3D}"/>
    <cellStyle name="Comma 5 8 3 3" xfId="2837" xr:uid="{2FEB1F6B-A860-4CC5-BAF0-A2A4C67F268F}"/>
    <cellStyle name="Comma 5 8 3 3 2" xfId="7173" xr:uid="{BBE50DBD-1C7A-410C-9459-42546E09B9D6}"/>
    <cellStyle name="Comma 5 8 3 3 2 2" xfId="15845" xr:uid="{B9F8D967-FF11-470D-8A96-1F9B0D42D3D9}"/>
    <cellStyle name="Comma 5 8 3 3 2 2 2" xfId="33189" xr:uid="{F842746C-EC44-43BF-AEA7-4D29C031AF84}"/>
    <cellStyle name="Comma 5 8 3 3 2 3" xfId="24517" xr:uid="{8B5588CA-B1DD-41ED-AADF-0B41FFB450F2}"/>
    <cellStyle name="Comma 5 8 3 3 3" xfId="11509" xr:uid="{B1A80E0E-4C78-4F14-ABF5-05671B015723}"/>
    <cellStyle name="Comma 5 8 3 3 3 2" xfId="28853" xr:uid="{1DD83D4F-4298-4D1D-880A-E3A63D43CD06}"/>
    <cellStyle name="Comma 5 8 3 3 4" xfId="20181" xr:uid="{8D4B9478-822A-4213-B9F8-8D597A3CF602}"/>
    <cellStyle name="Comma 5 8 3 4" xfId="5005" xr:uid="{F07316EA-25AD-4ADD-9E51-B00A8B5AA30F}"/>
    <cellStyle name="Comma 5 8 3 4 2" xfId="13677" xr:uid="{62DB316E-C2BE-4C97-8616-F912F6C799B8}"/>
    <cellStyle name="Comma 5 8 3 4 2 2" xfId="31021" xr:uid="{2FE731EE-BA63-416B-855F-F7A097D9BF3E}"/>
    <cellStyle name="Comma 5 8 3 4 3" xfId="22349" xr:uid="{0CD585E7-A2B1-45D7-8323-7A4B86620C77}"/>
    <cellStyle name="Comma 5 8 3 5" xfId="9341" xr:uid="{680C803A-0DCC-4794-8E77-2D320336B0B3}"/>
    <cellStyle name="Comma 5 8 3 5 2" xfId="26685" xr:uid="{23FFBFB2-0413-4F67-A502-BFFA1E7F328B}"/>
    <cellStyle name="Comma 5 8 3 6" xfId="18013" xr:uid="{21C9FABF-3216-4DB9-BE23-B63774AF8380}"/>
    <cellStyle name="Comma 5 8 4" xfId="1212" xr:uid="{57FFC6FD-A189-4BB0-B5F5-9604AD846A13}"/>
    <cellStyle name="Comma 5 8 4 2" xfId="3380" xr:uid="{9378C89E-579C-43AE-8D3E-5CE738797CE6}"/>
    <cellStyle name="Comma 5 8 4 2 2" xfId="7716" xr:uid="{20827740-C017-4C8E-B6BE-530F4D1316D7}"/>
    <cellStyle name="Comma 5 8 4 2 2 2" xfId="16388" xr:uid="{1131F741-DFC4-4B79-9065-6CF21D183A74}"/>
    <cellStyle name="Comma 5 8 4 2 2 2 2" xfId="33732" xr:uid="{81F2EDD2-B0F1-4D45-8BA1-F5441E47FD72}"/>
    <cellStyle name="Comma 5 8 4 2 2 3" xfId="25060" xr:uid="{47B58F54-A222-46F5-98B7-DAA7B1208A2A}"/>
    <cellStyle name="Comma 5 8 4 2 3" xfId="12052" xr:uid="{FA9905CF-8496-4243-B95A-6E35815B9B3C}"/>
    <cellStyle name="Comma 5 8 4 2 3 2" xfId="29396" xr:uid="{C878E14C-0EB9-443D-8E79-756C6D2641AA}"/>
    <cellStyle name="Comma 5 8 4 2 4" xfId="20724" xr:uid="{AC084238-3AA6-4B00-9FB7-7D55C393D6E2}"/>
    <cellStyle name="Comma 5 8 4 3" xfId="5548" xr:uid="{3E69CEB5-49E5-403B-983C-1600D6EDB1EC}"/>
    <cellStyle name="Comma 5 8 4 3 2" xfId="14220" xr:uid="{76A5E227-E0F5-43B9-A590-F2C5EBB7BFED}"/>
    <cellStyle name="Comma 5 8 4 3 2 2" xfId="31564" xr:uid="{10211DBE-227B-4F6F-A438-A6DFF4CF25F9}"/>
    <cellStyle name="Comma 5 8 4 3 3" xfId="22892" xr:uid="{9B20511C-BE1E-4AEF-864A-20209A75008A}"/>
    <cellStyle name="Comma 5 8 4 4" xfId="9884" xr:uid="{03780777-3322-49B3-94BD-C01153B6FB90}"/>
    <cellStyle name="Comma 5 8 4 4 2" xfId="27228" xr:uid="{58637B01-4C3E-4158-BA62-A9C01294EE03}"/>
    <cellStyle name="Comma 5 8 4 5" xfId="18556" xr:uid="{EEC9059B-5102-429C-A722-47519B0AFB27}"/>
    <cellStyle name="Comma 5 8 5" xfId="2296" xr:uid="{F817D850-F46A-46BD-8E48-46EF005F5229}"/>
    <cellStyle name="Comma 5 8 5 2" xfId="6632" xr:uid="{0C274105-4E81-40CC-935A-85CA87400D5E}"/>
    <cellStyle name="Comma 5 8 5 2 2" xfId="15304" xr:uid="{1734438F-25E8-4F22-A263-583E46F20CD5}"/>
    <cellStyle name="Comma 5 8 5 2 2 2" xfId="32648" xr:uid="{38FF1F1A-BA9F-4D27-B603-D027344F06EE}"/>
    <cellStyle name="Comma 5 8 5 2 3" xfId="23976" xr:uid="{55EB80EA-AD8B-45AE-9171-D5CF9C63FFEF}"/>
    <cellStyle name="Comma 5 8 5 3" xfId="10968" xr:uid="{A4F04080-8B7A-4A8A-A8C1-72A275E0B9F0}"/>
    <cellStyle name="Comma 5 8 5 3 2" xfId="28312" xr:uid="{32BC49A2-822B-41CC-863D-84EB4E368C09}"/>
    <cellStyle name="Comma 5 8 5 4" xfId="19640" xr:uid="{E3E43C00-B59B-43A6-8103-207A60CDA21C}"/>
    <cellStyle name="Comma 5 8 6" xfId="4464" xr:uid="{001744C9-E7F5-46A4-B4AA-228AAD8D0022}"/>
    <cellStyle name="Comma 5 8 6 2" xfId="13136" xr:uid="{F20B02A4-182C-4B42-B937-24BBDEA51800}"/>
    <cellStyle name="Comma 5 8 6 2 2" xfId="30480" xr:uid="{40FB2226-0F4D-42CB-AB78-A3A217A374B1}"/>
    <cellStyle name="Comma 5 8 6 3" xfId="21808" xr:uid="{23BB2D56-F772-4DBB-B4F4-F5F04BAB25C8}"/>
    <cellStyle name="Comma 5 8 7" xfId="8800" xr:uid="{0DC5FB43-B78D-4FFF-ACF8-ECEA4EB080CE}"/>
    <cellStyle name="Comma 5 8 7 2" xfId="26144" xr:uid="{6C03D593-B1D5-49F2-9817-3C321D9FFD31}"/>
    <cellStyle name="Comma 5 8 8" xfId="17472" xr:uid="{8DC6AFF5-49D2-4CA3-A55E-5349F42508F8}"/>
    <cellStyle name="Comma 5 9" xfId="253" xr:uid="{3206B119-B79F-42C9-9983-FDD766F257F1}"/>
    <cellStyle name="Comma 5 9 2" xfId="523" xr:uid="{94346B15-BFA4-40A1-823E-445C2675A459}"/>
    <cellStyle name="Comma 5 9 2 2" xfId="1064" xr:uid="{CE0832CE-A844-464C-A9A4-93916A7EE55E}"/>
    <cellStyle name="Comma 5 9 2 2 2" xfId="2148" xr:uid="{ECB5D547-E131-4B88-ADAC-A67C05B291A8}"/>
    <cellStyle name="Comma 5 9 2 2 2 2" xfId="4316" xr:uid="{9FC77FDA-8DEE-40D7-8AAD-51087C507762}"/>
    <cellStyle name="Comma 5 9 2 2 2 2 2" xfId="8652" xr:uid="{84374DE3-F34F-4380-B37D-87DED71E6A75}"/>
    <cellStyle name="Comma 5 9 2 2 2 2 2 2" xfId="17324" xr:uid="{7B209DEF-1F02-4CF9-BD9B-F6ECFD175A54}"/>
    <cellStyle name="Comma 5 9 2 2 2 2 2 2 2" xfId="34668" xr:uid="{BCD81994-EEAD-49CC-B59E-B1E48206BC3D}"/>
    <cellStyle name="Comma 5 9 2 2 2 2 2 3" xfId="25996" xr:uid="{31B516F9-0CE2-4CEE-9D6A-6EB2BFECAF43}"/>
    <cellStyle name="Comma 5 9 2 2 2 2 3" xfId="12988" xr:uid="{F43EBBB3-31A3-4E45-9FAB-8946782166F2}"/>
    <cellStyle name="Comma 5 9 2 2 2 2 3 2" xfId="30332" xr:uid="{213E7264-F214-4DD4-811C-BFE366C94E37}"/>
    <cellStyle name="Comma 5 9 2 2 2 2 4" xfId="21660" xr:uid="{323C499F-BDC5-41FB-9F99-93F287DA21EF}"/>
    <cellStyle name="Comma 5 9 2 2 2 3" xfId="6484" xr:uid="{48FBA2AC-E4C1-4682-AE85-87E94F4F9ACB}"/>
    <cellStyle name="Comma 5 9 2 2 2 3 2" xfId="15156" xr:uid="{9AD4E5ED-F88A-4AA9-A39A-ED5073FC0EFA}"/>
    <cellStyle name="Comma 5 9 2 2 2 3 2 2" xfId="32500" xr:uid="{8A5C0A81-88D6-4619-AA82-53C5A289D21F}"/>
    <cellStyle name="Comma 5 9 2 2 2 3 3" xfId="23828" xr:uid="{09B990BF-938A-4FD8-A261-048BBE01E7A5}"/>
    <cellStyle name="Comma 5 9 2 2 2 4" xfId="10820" xr:uid="{BCEB5F6C-145E-4EE9-A7D4-00838E995DEC}"/>
    <cellStyle name="Comma 5 9 2 2 2 4 2" xfId="28164" xr:uid="{D0401825-D65D-4746-AA5B-BDA96AEEB19C}"/>
    <cellStyle name="Comma 5 9 2 2 2 5" xfId="19492" xr:uid="{17D7C074-73CE-43C6-A0EC-E6C77BF132B0}"/>
    <cellStyle name="Comma 5 9 2 2 3" xfId="3232" xr:uid="{572809E5-9025-4E06-BB33-8310BB353925}"/>
    <cellStyle name="Comma 5 9 2 2 3 2" xfId="7568" xr:uid="{FE46DFC4-051F-4611-A625-E77754ED9EEF}"/>
    <cellStyle name="Comma 5 9 2 2 3 2 2" xfId="16240" xr:uid="{F49943F5-5644-4F37-9960-F5E83E893F75}"/>
    <cellStyle name="Comma 5 9 2 2 3 2 2 2" xfId="33584" xr:uid="{9EFA6296-D682-4744-BEFE-C2E8789159E4}"/>
    <cellStyle name="Comma 5 9 2 2 3 2 3" xfId="24912" xr:uid="{6897A367-26AA-4B3E-B7A6-383B57770B28}"/>
    <cellStyle name="Comma 5 9 2 2 3 3" xfId="11904" xr:uid="{6342075A-6487-497B-985F-F75C7702FF2C}"/>
    <cellStyle name="Comma 5 9 2 2 3 3 2" xfId="29248" xr:uid="{159B2F7D-B72B-488F-933D-79D8618C617D}"/>
    <cellStyle name="Comma 5 9 2 2 3 4" xfId="20576" xr:uid="{768CB714-6593-4903-93B0-6C22EBB9D6D7}"/>
    <cellStyle name="Comma 5 9 2 2 4" xfId="5400" xr:uid="{314DACC6-53BD-4E96-9193-9283645414FD}"/>
    <cellStyle name="Comma 5 9 2 2 4 2" xfId="14072" xr:uid="{AD11C961-3065-4A1E-92EA-C731BFEA6C8A}"/>
    <cellStyle name="Comma 5 9 2 2 4 2 2" xfId="31416" xr:uid="{69889DD5-8ED9-455B-A392-4314475213AC}"/>
    <cellStyle name="Comma 5 9 2 2 4 3" xfId="22744" xr:uid="{A655F1B6-07F3-4D6E-A2CF-2D4473E62F53}"/>
    <cellStyle name="Comma 5 9 2 2 5" xfId="9736" xr:uid="{95B62B93-9E75-40F6-A069-1A1C8BCA00D6}"/>
    <cellStyle name="Comma 5 9 2 2 5 2" xfId="27080" xr:uid="{2BF10F55-0CCF-4B43-93A0-CE4FF4000E7F}"/>
    <cellStyle name="Comma 5 9 2 2 6" xfId="18408" xr:uid="{AA951A8F-505C-4BC7-B7CD-09F4272D32C0}"/>
    <cellStyle name="Comma 5 9 2 3" xfId="1607" xr:uid="{D16ED6C0-64FA-43BA-9F33-B2BFE4102D81}"/>
    <cellStyle name="Comma 5 9 2 3 2" xfId="3775" xr:uid="{3E12DB91-2504-4E92-A6D2-4C5366527958}"/>
    <cellStyle name="Comma 5 9 2 3 2 2" xfId="8111" xr:uid="{D4D21DB0-AAE8-4D85-AFAE-064732D38755}"/>
    <cellStyle name="Comma 5 9 2 3 2 2 2" xfId="16783" xr:uid="{6369FED9-3D43-455A-85F8-0B3F97852C6C}"/>
    <cellStyle name="Comma 5 9 2 3 2 2 2 2" xfId="34127" xr:uid="{EDF4726C-0C5E-4913-95EC-1FF20B03D089}"/>
    <cellStyle name="Comma 5 9 2 3 2 2 3" xfId="25455" xr:uid="{3089B92C-C746-4591-9CCB-3DA62B295DA2}"/>
    <cellStyle name="Comma 5 9 2 3 2 3" xfId="12447" xr:uid="{E25FEB01-0BC0-4291-B203-6E8CC137A8D2}"/>
    <cellStyle name="Comma 5 9 2 3 2 3 2" xfId="29791" xr:uid="{2DDBA4C4-1595-4126-A58F-BCC06D2C8E4E}"/>
    <cellStyle name="Comma 5 9 2 3 2 4" xfId="21119" xr:uid="{A8BE2F92-555C-40C9-BA9C-B32EDC1923E5}"/>
    <cellStyle name="Comma 5 9 2 3 3" xfId="5943" xr:uid="{8449A84B-165F-4EA0-BD3D-A8CB9F7CCD56}"/>
    <cellStyle name="Comma 5 9 2 3 3 2" xfId="14615" xr:uid="{DFC38688-25C8-4471-99D5-0999EB220599}"/>
    <cellStyle name="Comma 5 9 2 3 3 2 2" xfId="31959" xr:uid="{E00EFAED-3844-4E3E-83CE-E6B3BCA3D725}"/>
    <cellStyle name="Comma 5 9 2 3 3 3" xfId="23287" xr:uid="{D64EDD5D-7527-4EE5-A282-BFF8C2364921}"/>
    <cellStyle name="Comma 5 9 2 3 4" xfId="10279" xr:uid="{93B22853-F5CB-4946-9383-9AEB9D5E84AE}"/>
    <cellStyle name="Comma 5 9 2 3 4 2" xfId="27623" xr:uid="{99436688-89DE-406D-B54F-CAB931930EE8}"/>
    <cellStyle name="Comma 5 9 2 3 5" xfId="18951" xr:uid="{23ABAAA5-4B8F-4584-A9CB-F4C426975D10}"/>
    <cellStyle name="Comma 5 9 2 4" xfId="2691" xr:uid="{31AD112B-78C3-4C6E-8FA6-842B61465818}"/>
    <cellStyle name="Comma 5 9 2 4 2" xfId="7027" xr:uid="{7FF3A8CD-4E2C-4B6D-BC3D-86B47343B1C8}"/>
    <cellStyle name="Comma 5 9 2 4 2 2" xfId="15699" xr:uid="{CFE976C6-8BD7-454D-9998-21B8F6A9DE1F}"/>
    <cellStyle name="Comma 5 9 2 4 2 2 2" xfId="33043" xr:uid="{28847ABC-2B9B-44DB-90A8-994577393A83}"/>
    <cellStyle name="Comma 5 9 2 4 2 3" xfId="24371" xr:uid="{D05E5639-E82F-4587-AF7A-22D1CED7E3CA}"/>
    <cellStyle name="Comma 5 9 2 4 3" xfId="11363" xr:uid="{422F4430-57D8-4B76-97F9-5E958D48B624}"/>
    <cellStyle name="Comma 5 9 2 4 3 2" xfId="28707" xr:uid="{11987D15-8667-4B17-A4D5-B530A7062CD6}"/>
    <cellStyle name="Comma 5 9 2 4 4" xfId="20035" xr:uid="{BDB0DBE5-767F-4619-82BC-29C7038605F0}"/>
    <cellStyle name="Comma 5 9 2 5" xfId="4859" xr:uid="{98A8BAA0-2986-49A7-8DED-E0CFAE235E94}"/>
    <cellStyle name="Comma 5 9 2 5 2" xfId="13531" xr:uid="{B0679CE5-BFB8-423C-A3C3-00B83645041F}"/>
    <cellStyle name="Comma 5 9 2 5 2 2" xfId="30875" xr:uid="{D6BD3073-A1BF-46E7-878A-F90106C4DA7E}"/>
    <cellStyle name="Comma 5 9 2 5 3" xfId="22203" xr:uid="{BD9CD6FD-B873-4228-BAB0-69C8794E2384}"/>
    <cellStyle name="Comma 5 9 2 6" xfId="9195" xr:uid="{F76DF82F-7E2C-4C17-8E83-C73B850B8B00}"/>
    <cellStyle name="Comma 5 9 2 6 2" xfId="26539" xr:uid="{E79F614B-C085-4942-BA6D-3849F6CA3503}"/>
    <cellStyle name="Comma 5 9 2 7" xfId="17867" xr:uid="{AECCEF05-9FA0-4B9F-85C3-ED8DE968A3EF}"/>
    <cellStyle name="Comma 5 9 3" xfId="794" xr:uid="{18807641-2DF6-4AD2-9067-EB8580AEEE90}"/>
    <cellStyle name="Comma 5 9 3 2" xfId="1878" xr:uid="{C656883D-2710-4CCF-8A0F-2890196BAA07}"/>
    <cellStyle name="Comma 5 9 3 2 2" xfId="4046" xr:uid="{AFE0F38E-D8A5-4D61-B982-914773B05D42}"/>
    <cellStyle name="Comma 5 9 3 2 2 2" xfId="8382" xr:uid="{BFD812DC-F088-42EF-8A50-F42396CD16EC}"/>
    <cellStyle name="Comma 5 9 3 2 2 2 2" xfId="17054" xr:uid="{3811DBA5-A282-4C17-9C6F-3CFE323A0850}"/>
    <cellStyle name="Comma 5 9 3 2 2 2 2 2" xfId="34398" xr:uid="{216FA7D5-E02C-4324-A810-DA480FDEAA87}"/>
    <cellStyle name="Comma 5 9 3 2 2 2 3" xfId="25726" xr:uid="{C3F77DD6-BBA2-40C5-AB9D-A2AE658F2881}"/>
    <cellStyle name="Comma 5 9 3 2 2 3" xfId="12718" xr:uid="{79976CB1-B8B2-41B5-899C-6455FE003B5B}"/>
    <cellStyle name="Comma 5 9 3 2 2 3 2" xfId="30062" xr:uid="{F553BB63-E4C1-4634-A357-8B0ACE1185C9}"/>
    <cellStyle name="Comma 5 9 3 2 2 4" xfId="21390" xr:uid="{9BAF7DBC-969A-4424-B49B-04232D62C832}"/>
    <cellStyle name="Comma 5 9 3 2 3" xfId="6214" xr:uid="{800E430E-54B4-4C01-A8B9-7C048A145322}"/>
    <cellStyle name="Comma 5 9 3 2 3 2" xfId="14886" xr:uid="{31A50EB4-FFA9-4BBF-9B9F-CC9AE14DCB34}"/>
    <cellStyle name="Comma 5 9 3 2 3 2 2" xfId="32230" xr:uid="{5DC246C4-85AF-46E0-9767-FF18B2B1DE8D}"/>
    <cellStyle name="Comma 5 9 3 2 3 3" xfId="23558" xr:uid="{2C0E132D-35D4-4C35-9E58-08CED18C03D9}"/>
    <cellStyle name="Comma 5 9 3 2 4" xfId="10550" xr:uid="{796E8A21-8D91-4A9F-8DFC-2E705B28BFC7}"/>
    <cellStyle name="Comma 5 9 3 2 4 2" xfId="27894" xr:uid="{7EDD9438-8EE0-4796-9EC7-4B13DE3B4118}"/>
    <cellStyle name="Comma 5 9 3 2 5" xfId="19222" xr:uid="{F9E1587A-C7DB-4C68-A9E7-52F159224D75}"/>
    <cellStyle name="Comma 5 9 3 3" xfId="2962" xr:uid="{965E70DB-FE32-48B8-98F9-62EFA688BA2D}"/>
    <cellStyle name="Comma 5 9 3 3 2" xfId="7298" xr:uid="{8AD1E42D-C39E-4072-A169-DA422A6597F9}"/>
    <cellStyle name="Comma 5 9 3 3 2 2" xfId="15970" xr:uid="{40900D38-3F7F-4296-BB99-0AF73FEDC67A}"/>
    <cellStyle name="Comma 5 9 3 3 2 2 2" xfId="33314" xr:uid="{E499D4E3-F032-44A6-982E-DD7072964AEF}"/>
    <cellStyle name="Comma 5 9 3 3 2 3" xfId="24642" xr:uid="{ADDE557E-DC51-4795-B2C6-EB0959C5280A}"/>
    <cellStyle name="Comma 5 9 3 3 3" xfId="11634" xr:uid="{96863BF6-134A-47B1-8EFE-7F91EAC73889}"/>
    <cellStyle name="Comma 5 9 3 3 3 2" xfId="28978" xr:uid="{08C22CAF-BBCF-464A-BCCE-61EBF74B11E9}"/>
    <cellStyle name="Comma 5 9 3 3 4" xfId="20306" xr:uid="{48EC480E-9C02-4BE5-9CF1-442F26D8CC71}"/>
    <cellStyle name="Comma 5 9 3 4" xfId="5130" xr:uid="{21D98770-8AE5-47B0-A081-0F44BC711BA3}"/>
    <cellStyle name="Comma 5 9 3 4 2" xfId="13802" xr:uid="{2A0D3FA8-743B-4BFA-A69C-AE811F0F88A9}"/>
    <cellStyle name="Comma 5 9 3 4 2 2" xfId="31146" xr:uid="{2BFD1203-6925-4E43-AC5D-7DE44C62E4B3}"/>
    <cellStyle name="Comma 5 9 3 4 3" xfId="22474" xr:uid="{C2F78F25-59CC-4C4D-B756-46B8D3B82AD3}"/>
    <cellStyle name="Comma 5 9 3 5" xfId="9466" xr:uid="{992EE801-C807-49F5-AEFB-EA07924C6EEE}"/>
    <cellStyle name="Comma 5 9 3 5 2" xfId="26810" xr:uid="{0156D62C-C558-4F0F-A000-4EE9E6FC0C2B}"/>
    <cellStyle name="Comma 5 9 3 6" xfId="18138" xr:uid="{CAE7009B-9E9A-4B0F-A9F5-13559A74B724}"/>
    <cellStyle name="Comma 5 9 4" xfId="1337" xr:uid="{7786F577-3E30-44DE-8442-7DB5B0BD3C98}"/>
    <cellStyle name="Comma 5 9 4 2" xfId="3505" xr:uid="{38D1A215-7ED6-444E-B531-3AAE9EFEA13E}"/>
    <cellStyle name="Comma 5 9 4 2 2" xfId="7841" xr:uid="{90A73FCB-6CB5-4D5C-AD34-F2FD4F30AD1B}"/>
    <cellStyle name="Comma 5 9 4 2 2 2" xfId="16513" xr:uid="{3B302832-3678-4592-A2B3-11C7D9F2D2A3}"/>
    <cellStyle name="Comma 5 9 4 2 2 2 2" xfId="33857" xr:uid="{BFBA1F87-ED19-4A6F-9828-7C8D7F28B572}"/>
    <cellStyle name="Comma 5 9 4 2 2 3" xfId="25185" xr:uid="{38D19E22-131C-4D2E-A1D4-02DB351E2D9F}"/>
    <cellStyle name="Comma 5 9 4 2 3" xfId="12177" xr:uid="{BB9E0058-0154-42AA-A1B1-4CD26E1A1D10}"/>
    <cellStyle name="Comma 5 9 4 2 3 2" xfId="29521" xr:uid="{CC0B71E1-DAC2-48B5-9D87-46945A60282C}"/>
    <cellStyle name="Comma 5 9 4 2 4" xfId="20849" xr:uid="{76D520BD-311C-4BD5-BFD9-76EEAE40AAA0}"/>
    <cellStyle name="Comma 5 9 4 3" xfId="5673" xr:uid="{00615C08-4986-44A1-8D06-8D043D7D8558}"/>
    <cellStyle name="Comma 5 9 4 3 2" xfId="14345" xr:uid="{5D18BDCD-3EBE-4562-B9C0-0C424249842E}"/>
    <cellStyle name="Comma 5 9 4 3 2 2" xfId="31689" xr:uid="{3026AC66-9AE8-4CEE-AAD7-670C2BF32FC1}"/>
    <cellStyle name="Comma 5 9 4 3 3" xfId="23017" xr:uid="{C0656012-B1F7-430C-B5D0-814F24A6077E}"/>
    <cellStyle name="Comma 5 9 4 4" xfId="10009" xr:uid="{79DAA8C5-B715-43F9-B23D-24BC9FDC04A6}"/>
    <cellStyle name="Comma 5 9 4 4 2" xfId="27353" xr:uid="{56C6C2A2-7C63-4BEF-901F-B2D05E2DDF57}"/>
    <cellStyle name="Comma 5 9 4 5" xfId="18681" xr:uid="{C721DB4C-73AC-4DEB-BE31-AB0D49D03268}"/>
    <cellStyle name="Comma 5 9 5" xfId="2421" xr:uid="{C011D205-E238-46CB-B107-0692EDD18818}"/>
    <cellStyle name="Comma 5 9 5 2" xfId="6757" xr:uid="{E3A27ACD-10C7-48B2-9E4C-FDE093BE9107}"/>
    <cellStyle name="Comma 5 9 5 2 2" xfId="15429" xr:uid="{88962CFC-D901-4ADB-A6C4-B776007E9C88}"/>
    <cellStyle name="Comma 5 9 5 2 2 2" xfId="32773" xr:uid="{26ADB653-8CFA-4D9E-9D4C-016F650EECA7}"/>
    <cellStyle name="Comma 5 9 5 2 3" xfId="24101" xr:uid="{66C8A959-6EAC-42C1-948B-AADABB3848A4}"/>
    <cellStyle name="Comma 5 9 5 3" xfId="11093" xr:uid="{BFF22851-E7C2-49F2-BF24-08B8C28D7B0D}"/>
    <cellStyle name="Comma 5 9 5 3 2" xfId="28437" xr:uid="{DA533587-2544-42E6-86C5-AAEBA4351073}"/>
    <cellStyle name="Comma 5 9 5 4" xfId="19765" xr:uid="{0F45C350-053A-49E7-A1D6-0E9C502DC58D}"/>
    <cellStyle name="Comma 5 9 6" xfId="4589" xr:uid="{8FD36F19-433C-42E4-B0AB-3E1F5A0B05D5}"/>
    <cellStyle name="Comma 5 9 6 2" xfId="13261" xr:uid="{E19CB1BA-40F6-4C60-ADAE-E5E907DA447A}"/>
    <cellStyle name="Comma 5 9 6 2 2" xfId="30605" xr:uid="{3530EECB-18DB-4B79-8AAD-917D3B98196F}"/>
    <cellStyle name="Comma 5 9 6 3" xfId="21933" xr:uid="{26DF98F2-0B79-479B-8864-0C983A391D12}"/>
    <cellStyle name="Comma 5 9 7" xfId="8925" xr:uid="{6A9C4CAA-0275-45A6-8E75-0235221149C7}"/>
    <cellStyle name="Comma 5 9 7 2" xfId="26269" xr:uid="{0DB908B8-B06C-4BFA-9F97-E07C8156A446}"/>
    <cellStyle name="Comma 5 9 8" xfId="17597" xr:uid="{80DCC071-DAD0-4DD7-839F-5129AE9306C6}"/>
    <cellStyle name="Comma 6" xfId="8" xr:uid="{C713FD6D-079F-4FAC-BCDB-00CD05DC00AB}"/>
    <cellStyle name="Comma 6 10" xfId="549" xr:uid="{5994A8CB-0B11-4745-A6DA-222B051A96C9}"/>
    <cellStyle name="Comma 6 10 2" xfId="1633" xr:uid="{A3C7A0D7-6D0B-4EC9-B2F4-C5CAA0B247A2}"/>
    <cellStyle name="Comma 6 10 2 2" xfId="3801" xr:uid="{373B0149-7065-45FD-A426-6319C83419BE}"/>
    <cellStyle name="Comma 6 10 2 2 2" xfId="8137" xr:uid="{AF08AF36-8BFC-4A32-9A17-668EDE8D3FCF}"/>
    <cellStyle name="Comma 6 10 2 2 2 2" xfId="16809" xr:uid="{8EA2B0D8-9045-406C-BDD6-34CC8A440544}"/>
    <cellStyle name="Comma 6 10 2 2 2 2 2" xfId="34153" xr:uid="{690684C9-6F7F-40BE-8C4C-2E555B981413}"/>
    <cellStyle name="Comma 6 10 2 2 2 3" xfId="25481" xr:uid="{7C711087-653F-420C-B157-9CB432590826}"/>
    <cellStyle name="Comma 6 10 2 2 3" xfId="12473" xr:uid="{7A9C976A-2E9A-4F22-8C57-200A62AD7D91}"/>
    <cellStyle name="Comma 6 10 2 2 3 2" xfId="29817" xr:uid="{9B5673B4-3668-4E38-99AA-4D773AACCE1B}"/>
    <cellStyle name="Comma 6 10 2 2 4" xfId="21145" xr:uid="{AE8C237A-4EF7-4F08-A1F9-FD3EB9BEFAE3}"/>
    <cellStyle name="Comma 6 10 2 3" xfId="5969" xr:uid="{05E66652-6943-4C36-BF6E-A07399BB67B7}"/>
    <cellStyle name="Comma 6 10 2 3 2" xfId="14641" xr:uid="{B57EFD33-1DE6-4C93-91AE-5379C1288046}"/>
    <cellStyle name="Comma 6 10 2 3 2 2" xfId="31985" xr:uid="{8442AC10-EE4B-4E8B-A385-CA1802A8C643}"/>
    <cellStyle name="Comma 6 10 2 3 3" xfId="23313" xr:uid="{DDC36B0D-CAD4-44CC-BB16-454F73CB0DF2}"/>
    <cellStyle name="Comma 6 10 2 4" xfId="10305" xr:uid="{63332EF1-7519-45C7-856F-808C67C5E8D5}"/>
    <cellStyle name="Comma 6 10 2 4 2" xfId="27649" xr:uid="{5D764185-8E34-438C-86A2-24CA027B6575}"/>
    <cellStyle name="Comma 6 10 2 5" xfId="18977" xr:uid="{FBDF0E36-3E04-4DBB-B970-637B2610E0ED}"/>
    <cellStyle name="Comma 6 10 3" xfId="2717" xr:uid="{8F32795F-F67A-48BE-9A1E-A4E5A297D93C}"/>
    <cellStyle name="Comma 6 10 3 2" xfId="7053" xr:uid="{AEAEF837-8AC0-4806-B183-349978D18FC7}"/>
    <cellStyle name="Comma 6 10 3 2 2" xfId="15725" xr:uid="{68ABD3ED-2A2A-4356-920D-EDC869841C00}"/>
    <cellStyle name="Comma 6 10 3 2 2 2" xfId="33069" xr:uid="{D2E23081-20C7-4392-8EB6-180B4D0C64A0}"/>
    <cellStyle name="Comma 6 10 3 2 3" xfId="24397" xr:uid="{F292351D-C5AC-4E27-94BF-58F12B2FD648}"/>
    <cellStyle name="Comma 6 10 3 3" xfId="11389" xr:uid="{0725EB9E-7674-4A38-ABA7-DCC481636AA9}"/>
    <cellStyle name="Comma 6 10 3 3 2" xfId="28733" xr:uid="{F1F7771B-CD59-4DB0-8A66-68548A2A6C8C}"/>
    <cellStyle name="Comma 6 10 3 4" xfId="20061" xr:uid="{17A964E0-A165-4CEE-8761-9AFE56DB679A}"/>
    <cellStyle name="Comma 6 10 4" xfId="4885" xr:uid="{53EBA65E-E818-444F-A7E4-566E4F6D18CF}"/>
    <cellStyle name="Comma 6 10 4 2" xfId="13557" xr:uid="{78019CB3-7323-42E3-971C-533A6F88BD9A}"/>
    <cellStyle name="Comma 6 10 4 2 2" xfId="30901" xr:uid="{67EA5E89-B880-4811-B839-41E4AA067859}"/>
    <cellStyle name="Comma 6 10 4 3" xfId="22229" xr:uid="{D99B9FAC-9C82-4B3D-86FA-EE71BDA1B591}"/>
    <cellStyle name="Comma 6 10 5" xfId="9221" xr:uid="{D8F541A7-0F7C-4C4B-AE39-60FE3A7C479E}"/>
    <cellStyle name="Comma 6 10 5 2" xfId="26565" xr:uid="{1259610B-88FB-45E1-A85D-A799FD9078D1}"/>
    <cellStyle name="Comma 6 10 6" xfId="17893" xr:uid="{271E5C08-C41C-419E-B990-136234B44908}"/>
    <cellStyle name="Comma 6 11" xfId="1092" xr:uid="{79E3608D-676C-44DE-89FA-CF4CE4AE9DDA}"/>
    <cellStyle name="Comma 6 11 2" xfId="3260" xr:uid="{9577A4C8-58E0-44D6-8AA8-BEC9BA2DD36A}"/>
    <cellStyle name="Comma 6 11 2 2" xfId="7596" xr:uid="{A81FC0A6-D683-4DC9-A00B-4F12421E0DA4}"/>
    <cellStyle name="Comma 6 11 2 2 2" xfId="16268" xr:uid="{6604DB95-A04D-4740-87A2-3BD2A438BD91}"/>
    <cellStyle name="Comma 6 11 2 2 2 2" xfId="33612" xr:uid="{93B69106-7565-4195-821E-B35EBB68E48C}"/>
    <cellStyle name="Comma 6 11 2 2 3" xfId="24940" xr:uid="{4117264E-86CB-4880-A982-FA9F3ED0BFEC}"/>
    <cellStyle name="Comma 6 11 2 3" xfId="11932" xr:uid="{4089EA25-ABE2-4E57-AA90-C9D270F62F29}"/>
    <cellStyle name="Comma 6 11 2 3 2" xfId="29276" xr:uid="{23A47DC9-3DC4-4F18-A426-892712CA4F0E}"/>
    <cellStyle name="Comma 6 11 2 4" xfId="20604" xr:uid="{94097D1D-67BF-4804-B802-6BEE6A945AF1}"/>
    <cellStyle name="Comma 6 11 3" xfId="5428" xr:uid="{D5501CE8-EA74-4494-9757-164905B9F5F0}"/>
    <cellStyle name="Comma 6 11 3 2" xfId="14100" xr:uid="{BB0023A4-5CFD-493E-B03F-6A5BD866A54B}"/>
    <cellStyle name="Comma 6 11 3 2 2" xfId="31444" xr:uid="{BFC53177-C4D5-4D25-81D3-CF8AED69528A}"/>
    <cellStyle name="Comma 6 11 3 3" xfId="22772" xr:uid="{FF3B538D-E632-4E31-BB5C-3C105D31994F}"/>
    <cellStyle name="Comma 6 11 4" xfId="9764" xr:uid="{86839A1A-74FE-4C4A-926B-E203F20A8EE0}"/>
    <cellStyle name="Comma 6 11 4 2" xfId="27108" xr:uid="{233AD340-A745-419B-9618-C9ECDD2F25F8}"/>
    <cellStyle name="Comma 6 11 5" xfId="18436" xr:uid="{FEF4A1AA-468B-4685-B513-F98B278E7B9C}"/>
    <cellStyle name="Comma 6 12" xfId="2176" xr:uid="{49D7FBD6-3849-4872-8B46-163BD20AB671}"/>
    <cellStyle name="Comma 6 12 2" xfId="6512" xr:uid="{ACFF6445-4236-4594-A7BB-052D03C10455}"/>
    <cellStyle name="Comma 6 12 2 2" xfId="15184" xr:uid="{A4B9DB5D-B703-4B0D-B562-6137577AF5CC}"/>
    <cellStyle name="Comma 6 12 2 2 2" xfId="32528" xr:uid="{372A4ADB-4935-4783-AC1B-FBA03F0E0795}"/>
    <cellStyle name="Comma 6 12 2 3" xfId="23856" xr:uid="{C79CDFF1-66F6-4035-B8C2-783615D2B22C}"/>
    <cellStyle name="Comma 6 12 3" xfId="10848" xr:uid="{9AFA32EC-1786-48F2-9C4D-2332D8D86208}"/>
    <cellStyle name="Comma 6 12 3 2" xfId="28192" xr:uid="{B2DC38F3-E0F6-46D4-B3B2-0551CD034375}"/>
    <cellStyle name="Comma 6 12 4" xfId="19520" xr:uid="{71C0CE3F-B721-4CD9-A1F6-61CA0D0E70EB}"/>
    <cellStyle name="Comma 6 13" xfId="4344" xr:uid="{955E491E-BA82-4811-9CEE-C254E00F09B2}"/>
    <cellStyle name="Comma 6 13 2" xfId="13016" xr:uid="{0960F072-822D-4977-9DC0-34055B6C7AA0}"/>
    <cellStyle name="Comma 6 13 2 2" xfId="30360" xr:uid="{F18CC6DD-0A03-4F11-B2A5-99C4EF317250}"/>
    <cellStyle name="Comma 6 13 3" xfId="21688" xr:uid="{9A517B3D-45C2-40CE-B179-6CAF64E00173}"/>
    <cellStyle name="Comma 6 14" xfId="8680" xr:uid="{CAA1F6AF-7D3F-40E8-828A-16E14A083B10}"/>
    <cellStyle name="Comma 6 14 2" xfId="26024" xr:uid="{7B24546D-139B-4634-81C1-75BDB571F73E}"/>
    <cellStyle name="Comma 6 15" xfId="17352" xr:uid="{32C0A913-A442-4B90-B0CC-6CF1E8329F63}"/>
    <cellStyle name="Comma 6 2" xfId="24" xr:uid="{28F71443-2DB5-49A7-9403-4B725B4B5631}"/>
    <cellStyle name="Comma 6 2 10" xfId="8696" xr:uid="{A7684A34-F06E-4B6B-9812-36B178B01584}"/>
    <cellStyle name="Comma 6 2 10 2" xfId="26040" xr:uid="{5D3B43F4-B910-4B7B-956D-9D3C7C73578D}"/>
    <cellStyle name="Comma 6 2 11" xfId="17368" xr:uid="{687E5C38-78FD-45E2-AE05-3EB912C14ECD}"/>
    <cellStyle name="Comma 6 2 2" xfId="85" xr:uid="{6A43A167-99FE-4AD0-B503-4A8C35D5113C}"/>
    <cellStyle name="Comma 6 2 2 2" xfId="207" xr:uid="{70854C87-9FB8-4172-BB3C-E3236F6C6C02}"/>
    <cellStyle name="Comma 6 2 2 2 2" xfId="477" xr:uid="{707A66A3-738E-4DCB-B728-C395F5D091DB}"/>
    <cellStyle name="Comma 6 2 2 2 2 2" xfId="1018" xr:uid="{1286CD83-F423-429A-A7B4-C655352C3CE8}"/>
    <cellStyle name="Comma 6 2 2 2 2 2 2" xfId="2102" xr:uid="{F64CE24A-3751-4FAB-B6B6-91AC6198D9BA}"/>
    <cellStyle name="Comma 6 2 2 2 2 2 2 2" xfId="4270" xr:uid="{59049AA9-5BB3-4485-99BA-8232C6EAC329}"/>
    <cellStyle name="Comma 6 2 2 2 2 2 2 2 2" xfId="8606" xr:uid="{9BB634EF-0F89-401A-8CF7-688D603CDD00}"/>
    <cellStyle name="Comma 6 2 2 2 2 2 2 2 2 2" xfId="17278" xr:uid="{41812C4C-F0C3-4F49-B003-23232680B450}"/>
    <cellStyle name="Comma 6 2 2 2 2 2 2 2 2 2 2" xfId="34622" xr:uid="{7397F8E4-3C0E-4181-A130-AC76E1E5DA49}"/>
    <cellStyle name="Comma 6 2 2 2 2 2 2 2 2 3" xfId="25950" xr:uid="{328563F8-DEEF-4B01-A4FF-466768B37247}"/>
    <cellStyle name="Comma 6 2 2 2 2 2 2 2 3" xfId="12942" xr:uid="{E7694D66-5734-4687-B03C-04984BCD6190}"/>
    <cellStyle name="Comma 6 2 2 2 2 2 2 2 3 2" xfId="30286" xr:uid="{8B113E98-2CE4-48BA-893E-D0BDE7064BF0}"/>
    <cellStyle name="Comma 6 2 2 2 2 2 2 2 4" xfId="21614" xr:uid="{9D7E3989-80AC-457E-94FF-3C05044B983B}"/>
    <cellStyle name="Comma 6 2 2 2 2 2 2 3" xfId="6438" xr:uid="{E8155D0E-B1E1-4B4C-939D-2E604CB040C0}"/>
    <cellStyle name="Comma 6 2 2 2 2 2 2 3 2" xfId="15110" xr:uid="{4DF83FFE-4883-4951-826F-0F784E6CB6D6}"/>
    <cellStyle name="Comma 6 2 2 2 2 2 2 3 2 2" xfId="32454" xr:uid="{3BF47F68-BA26-45DC-AAED-80918E693E88}"/>
    <cellStyle name="Comma 6 2 2 2 2 2 2 3 3" xfId="23782" xr:uid="{BAD2DC1D-5051-48F4-8D74-4BE39B5E8487}"/>
    <cellStyle name="Comma 6 2 2 2 2 2 2 4" xfId="10774" xr:uid="{240C223C-1E76-461E-A2E4-B4F7C23F65DB}"/>
    <cellStyle name="Comma 6 2 2 2 2 2 2 4 2" xfId="28118" xr:uid="{11259552-C2B9-40C3-A240-095B9A9A11FC}"/>
    <cellStyle name="Comma 6 2 2 2 2 2 2 5" xfId="19446" xr:uid="{63793F0B-7E09-46E5-9D9B-6C3AA17768E0}"/>
    <cellStyle name="Comma 6 2 2 2 2 2 3" xfId="3186" xr:uid="{8FD80536-4508-4C89-9A6A-7D2CB2822290}"/>
    <cellStyle name="Comma 6 2 2 2 2 2 3 2" xfId="7522" xr:uid="{6FD44998-87EF-4499-822D-CC9DEFF3E2E0}"/>
    <cellStyle name="Comma 6 2 2 2 2 2 3 2 2" xfId="16194" xr:uid="{B3308338-191A-46EC-B0DF-76F360BC4880}"/>
    <cellStyle name="Comma 6 2 2 2 2 2 3 2 2 2" xfId="33538" xr:uid="{86D77437-E174-42A4-BC94-800F6D15AB64}"/>
    <cellStyle name="Comma 6 2 2 2 2 2 3 2 3" xfId="24866" xr:uid="{99198635-4D53-4893-840D-F120458F2EBF}"/>
    <cellStyle name="Comma 6 2 2 2 2 2 3 3" xfId="11858" xr:uid="{D8D116CE-B673-4461-90AD-5EE8AE3F5FC7}"/>
    <cellStyle name="Comma 6 2 2 2 2 2 3 3 2" xfId="29202" xr:uid="{95520EF0-9CD0-42AB-A38F-1516B31FD43B}"/>
    <cellStyle name="Comma 6 2 2 2 2 2 3 4" xfId="20530" xr:uid="{E6A2EB25-FC7C-40FD-A9DA-D4A7C72DA6CB}"/>
    <cellStyle name="Comma 6 2 2 2 2 2 4" xfId="5354" xr:uid="{4BD75E5C-4198-4AA8-A7D9-12E081C7C846}"/>
    <cellStyle name="Comma 6 2 2 2 2 2 4 2" xfId="14026" xr:uid="{70CBBE60-7B74-4919-A3B6-FFC837AD9D72}"/>
    <cellStyle name="Comma 6 2 2 2 2 2 4 2 2" xfId="31370" xr:uid="{670A8CD3-EB52-4FEB-8ACD-38F38B2ECC56}"/>
    <cellStyle name="Comma 6 2 2 2 2 2 4 3" xfId="22698" xr:uid="{BD43B2D5-B021-4254-A981-6201DCBBE9A4}"/>
    <cellStyle name="Comma 6 2 2 2 2 2 5" xfId="9690" xr:uid="{2E08AB6C-ADE0-45F4-8A65-2A58C586F04E}"/>
    <cellStyle name="Comma 6 2 2 2 2 2 5 2" xfId="27034" xr:uid="{9CCF3F5A-86CC-461C-98DF-72A663296479}"/>
    <cellStyle name="Comma 6 2 2 2 2 2 6" xfId="18362" xr:uid="{65EE1594-2AEB-400A-A612-0293A0E71A7E}"/>
    <cellStyle name="Comma 6 2 2 2 2 3" xfId="1561" xr:uid="{3B717AEE-A22D-452F-A9BE-17AA6869E47C}"/>
    <cellStyle name="Comma 6 2 2 2 2 3 2" xfId="3729" xr:uid="{E5335B02-9008-4975-B4A2-37C785BA9F90}"/>
    <cellStyle name="Comma 6 2 2 2 2 3 2 2" xfId="8065" xr:uid="{2689008F-B546-43F7-BE22-65AE2D6D6FC2}"/>
    <cellStyle name="Comma 6 2 2 2 2 3 2 2 2" xfId="16737" xr:uid="{4AB5585B-FC9C-42B1-B8E2-224C58FD3368}"/>
    <cellStyle name="Comma 6 2 2 2 2 3 2 2 2 2" xfId="34081" xr:uid="{423D65E7-B13A-4173-B5EE-7A6C75C8E370}"/>
    <cellStyle name="Comma 6 2 2 2 2 3 2 2 3" xfId="25409" xr:uid="{3561624D-BECD-489A-9DC3-2AF91B9402BB}"/>
    <cellStyle name="Comma 6 2 2 2 2 3 2 3" xfId="12401" xr:uid="{242CB46B-F5F0-4615-A72C-9F061E447293}"/>
    <cellStyle name="Comma 6 2 2 2 2 3 2 3 2" xfId="29745" xr:uid="{FC5C09DE-2C56-423C-9477-B4459F61D76E}"/>
    <cellStyle name="Comma 6 2 2 2 2 3 2 4" xfId="21073" xr:uid="{A2F0C98A-C90C-4FFE-B203-E0166CCE8C47}"/>
    <cellStyle name="Comma 6 2 2 2 2 3 3" xfId="5897" xr:uid="{C72DC442-5B78-445C-9FC1-7B2B5A09B8D4}"/>
    <cellStyle name="Comma 6 2 2 2 2 3 3 2" xfId="14569" xr:uid="{57E91D92-385F-49DE-BC82-DC1B6A2A71B8}"/>
    <cellStyle name="Comma 6 2 2 2 2 3 3 2 2" xfId="31913" xr:uid="{3EC542B3-0232-4E3F-B3FC-B853C957EA15}"/>
    <cellStyle name="Comma 6 2 2 2 2 3 3 3" xfId="23241" xr:uid="{74E799D7-5DF8-455A-9982-99E2033F361D}"/>
    <cellStyle name="Comma 6 2 2 2 2 3 4" xfId="10233" xr:uid="{D7F3ABDB-00CD-43B9-BFBE-E57883878D6A}"/>
    <cellStyle name="Comma 6 2 2 2 2 3 4 2" xfId="27577" xr:uid="{23A2FEB2-EFA3-430C-A922-CF6E147A0E8E}"/>
    <cellStyle name="Comma 6 2 2 2 2 3 5" xfId="18905" xr:uid="{C2D871CB-8F5A-42F4-A248-57D8111C5007}"/>
    <cellStyle name="Comma 6 2 2 2 2 4" xfId="2645" xr:uid="{EDF44DC6-D189-4593-A650-7D35EB6FB34B}"/>
    <cellStyle name="Comma 6 2 2 2 2 4 2" xfId="6981" xr:uid="{9B5BBBB7-97B9-4C25-B476-FB5327296E9D}"/>
    <cellStyle name="Comma 6 2 2 2 2 4 2 2" xfId="15653" xr:uid="{A57E68C0-516C-41E8-923B-ACC1F11099C4}"/>
    <cellStyle name="Comma 6 2 2 2 2 4 2 2 2" xfId="32997" xr:uid="{B5EF494A-9DF8-439C-B49C-8795377CC676}"/>
    <cellStyle name="Comma 6 2 2 2 2 4 2 3" xfId="24325" xr:uid="{CB4AB701-71A9-443C-B6D1-01AC74916EF3}"/>
    <cellStyle name="Comma 6 2 2 2 2 4 3" xfId="11317" xr:uid="{A5254DFC-419E-4A40-937A-8B60B6A97D5A}"/>
    <cellStyle name="Comma 6 2 2 2 2 4 3 2" xfId="28661" xr:uid="{104E0D88-D156-4B0F-8DFD-2ABCAEC29883}"/>
    <cellStyle name="Comma 6 2 2 2 2 4 4" xfId="19989" xr:uid="{4BB0DE4C-3911-42DF-8A10-5C2C7C36B3AB}"/>
    <cellStyle name="Comma 6 2 2 2 2 5" xfId="4813" xr:uid="{58817EB3-96C8-474A-89C0-4B9D708E8DF4}"/>
    <cellStyle name="Comma 6 2 2 2 2 5 2" xfId="13485" xr:uid="{BDAF8836-5C6D-4AD4-86B5-D9CF6433095A}"/>
    <cellStyle name="Comma 6 2 2 2 2 5 2 2" xfId="30829" xr:uid="{0C68AE48-2411-47B0-BECA-FF6655839D48}"/>
    <cellStyle name="Comma 6 2 2 2 2 5 3" xfId="22157" xr:uid="{3B0E4D45-A076-4467-BB93-030C026D8CFE}"/>
    <cellStyle name="Comma 6 2 2 2 2 6" xfId="9149" xr:uid="{BA782F3F-9E8B-44DA-9F68-EC8EB32AB293}"/>
    <cellStyle name="Comma 6 2 2 2 2 6 2" xfId="26493" xr:uid="{B72F1EA4-5441-4B68-9599-9A1A48CD398F}"/>
    <cellStyle name="Comma 6 2 2 2 2 7" xfId="17821" xr:uid="{5B8808DD-6908-45DE-8017-603BDAA28F02}"/>
    <cellStyle name="Comma 6 2 2 2 3" xfId="748" xr:uid="{3A864EB3-21C2-4DCB-BFD8-94A199A19F68}"/>
    <cellStyle name="Comma 6 2 2 2 3 2" xfId="1832" xr:uid="{2715E205-4E55-4EA4-AA92-3E4532B845CD}"/>
    <cellStyle name="Comma 6 2 2 2 3 2 2" xfId="4000" xr:uid="{23FD8A6D-F75B-41CC-94AC-E22FF9DEECF5}"/>
    <cellStyle name="Comma 6 2 2 2 3 2 2 2" xfId="8336" xr:uid="{521C3894-DEA4-462F-94CD-821091CD6997}"/>
    <cellStyle name="Comma 6 2 2 2 3 2 2 2 2" xfId="17008" xr:uid="{BFB23753-3FE1-4B6A-888B-1B0B987F6819}"/>
    <cellStyle name="Comma 6 2 2 2 3 2 2 2 2 2" xfId="34352" xr:uid="{AA7BCFFD-CF1F-472B-BEFA-D33146428793}"/>
    <cellStyle name="Comma 6 2 2 2 3 2 2 2 3" xfId="25680" xr:uid="{BFE9E55E-8638-43EB-993D-C3EFB8B2F048}"/>
    <cellStyle name="Comma 6 2 2 2 3 2 2 3" xfId="12672" xr:uid="{7A0099D6-43CF-436E-BC54-829C3A174A4A}"/>
    <cellStyle name="Comma 6 2 2 2 3 2 2 3 2" xfId="30016" xr:uid="{9D8D8BEE-85A6-4353-B50E-C53D534E14B8}"/>
    <cellStyle name="Comma 6 2 2 2 3 2 2 4" xfId="21344" xr:uid="{26A45A30-4B74-4611-A719-C0E7CBA0DC80}"/>
    <cellStyle name="Comma 6 2 2 2 3 2 3" xfId="6168" xr:uid="{2020B74D-1A76-4237-92D6-030AFCC5420F}"/>
    <cellStyle name="Comma 6 2 2 2 3 2 3 2" xfId="14840" xr:uid="{C4892ED2-A446-45C9-94F1-DF58A707DAF7}"/>
    <cellStyle name="Comma 6 2 2 2 3 2 3 2 2" xfId="32184" xr:uid="{2463D7E1-4D00-4322-A632-4A26A45B2195}"/>
    <cellStyle name="Comma 6 2 2 2 3 2 3 3" xfId="23512" xr:uid="{EBD94995-52DE-4AB8-ABBB-D0F1D68A7DD2}"/>
    <cellStyle name="Comma 6 2 2 2 3 2 4" xfId="10504" xr:uid="{A2ECAE20-6CAC-4648-A6FE-19D725FCDA60}"/>
    <cellStyle name="Comma 6 2 2 2 3 2 4 2" xfId="27848" xr:uid="{9573351D-B612-4EB0-9BA0-2DE6E302A336}"/>
    <cellStyle name="Comma 6 2 2 2 3 2 5" xfId="19176" xr:uid="{39AB69FB-5D08-4262-942B-D545AA8D9FF5}"/>
    <cellStyle name="Comma 6 2 2 2 3 3" xfId="2916" xr:uid="{2C1A3186-38B4-437B-96EF-58B605449A2B}"/>
    <cellStyle name="Comma 6 2 2 2 3 3 2" xfId="7252" xr:uid="{ED607CF8-0D3C-4CE3-B261-937615806797}"/>
    <cellStyle name="Comma 6 2 2 2 3 3 2 2" xfId="15924" xr:uid="{EC22D450-B4CB-413C-A635-F68A2B358D40}"/>
    <cellStyle name="Comma 6 2 2 2 3 3 2 2 2" xfId="33268" xr:uid="{33A04B7B-A1B2-426C-A57E-4635C46589E8}"/>
    <cellStyle name="Comma 6 2 2 2 3 3 2 3" xfId="24596" xr:uid="{05D2F8FC-C55B-4762-AF7C-A830BCACA472}"/>
    <cellStyle name="Comma 6 2 2 2 3 3 3" xfId="11588" xr:uid="{292626E0-073F-4428-BEF9-70133D21D25E}"/>
    <cellStyle name="Comma 6 2 2 2 3 3 3 2" xfId="28932" xr:uid="{9FDDC081-3B5E-442A-B583-4414BC9E2440}"/>
    <cellStyle name="Comma 6 2 2 2 3 3 4" xfId="20260" xr:uid="{B1CEABA7-1CFA-4E3A-BB7E-102D4645FAC8}"/>
    <cellStyle name="Comma 6 2 2 2 3 4" xfId="5084" xr:uid="{645AC63C-8A2B-447D-9B5C-00F49B6816C4}"/>
    <cellStyle name="Comma 6 2 2 2 3 4 2" xfId="13756" xr:uid="{04DE329E-438B-4B11-B7FE-AC4C3A19DA3C}"/>
    <cellStyle name="Comma 6 2 2 2 3 4 2 2" xfId="31100" xr:uid="{7688C45C-C937-4190-88D2-EF44B2356450}"/>
    <cellStyle name="Comma 6 2 2 2 3 4 3" xfId="22428" xr:uid="{0B3C25EF-97C3-4E00-B909-D994E9192F8E}"/>
    <cellStyle name="Comma 6 2 2 2 3 5" xfId="9420" xr:uid="{1AEF9C2E-8313-4F99-852B-59C385429FB8}"/>
    <cellStyle name="Comma 6 2 2 2 3 5 2" xfId="26764" xr:uid="{C835E6FC-5684-410B-A228-C571C7737B06}"/>
    <cellStyle name="Comma 6 2 2 2 3 6" xfId="18092" xr:uid="{6A3D75A0-157D-4548-84CC-8FA6B50EFE03}"/>
    <cellStyle name="Comma 6 2 2 2 4" xfId="1291" xr:uid="{6384F740-FCD7-43DC-A149-3447E5CD9835}"/>
    <cellStyle name="Comma 6 2 2 2 4 2" xfId="3459" xr:uid="{6CB01377-8220-4121-90DF-FFFB64103EFA}"/>
    <cellStyle name="Comma 6 2 2 2 4 2 2" xfId="7795" xr:uid="{45E63A03-7FD2-4C5D-B403-F62EEE190998}"/>
    <cellStyle name="Comma 6 2 2 2 4 2 2 2" xfId="16467" xr:uid="{C3B4B235-3BC6-4595-9DC6-76C4AD6CB451}"/>
    <cellStyle name="Comma 6 2 2 2 4 2 2 2 2" xfId="33811" xr:uid="{D3CAEB35-1244-4C85-A19B-77376FDC2CA4}"/>
    <cellStyle name="Comma 6 2 2 2 4 2 2 3" xfId="25139" xr:uid="{2F312E58-798D-4D48-8E12-9C4462968CD7}"/>
    <cellStyle name="Comma 6 2 2 2 4 2 3" xfId="12131" xr:uid="{1A52F937-E3B1-4680-B986-E5F3208D0C7C}"/>
    <cellStyle name="Comma 6 2 2 2 4 2 3 2" xfId="29475" xr:uid="{0D7C88BD-6E0E-4B8B-B1C8-083593D6E248}"/>
    <cellStyle name="Comma 6 2 2 2 4 2 4" xfId="20803" xr:uid="{7397FB77-567A-469B-8FAA-661941A7E5D7}"/>
    <cellStyle name="Comma 6 2 2 2 4 3" xfId="5627" xr:uid="{034EEE4D-CAFB-43B7-971C-2C30EC7275EC}"/>
    <cellStyle name="Comma 6 2 2 2 4 3 2" xfId="14299" xr:uid="{56A4AB1A-07BC-4229-ACD8-C9B0D1672B4E}"/>
    <cellStyle name="Comma 6 2 2 2 4 3 2 2" xfId="31643" xr:uid="{035CF5EC-2EEB-4BC2-8A23-2A35C153A427}"/>
    <cellStyle name="Comma 6 2 2 2 4 3 3" xfId="22971" xr:uid="{69454BD2-3021-4C25-ABBE-ED3774E07A5A}"/>
    <cellStyle name="Comma 6 2 2 2 4 4" xfId="9963" xr:uid="{59D6E8AD-C3C7-4D81-B1FB-12ADE7AFB96A}"/>
    <cellStyle name="Comma 6 2 2 2 4 4 2" xfId="27307" xr:uid="{0A4B070A-772B-45CB-9227-E70345E5255F}"/>
    <cellStyle name="Comma 6 2 2 2 4 5" xfId="18635" xr:uid="{2D1DB8C1-171E-4055-A73E-50D17535818C}"/>
    <cellStyle name="Comma 6 2 2 2 5" xfId="2375" xr:uid="{5EDD62F0-2826-4FB8-BDB1-7DE67D000C3A}"/>
    <cellStyle name="Comma 6 2 2 2 5 2" xfId="6711" xr:uid="{F0329720-1C15-4C9A-A236-0119A93DC600}"/>
    <cellStyle name="Comma 6 2 2 2 5 2 2" xfId="15383" xr:uid="{7CEDBC2C-7A91-4B26-8E7D-3FA6FD4E80B5}"/>
    <cellStyle name="Comma 6 2 2 2 5 2 2 2" xfId="32727" xr:uid="{FC8A0556-F317-487C-B392-A7F7A5FA0F9D}"/>
    <cellStyle name="Comma 6 2 2 2 5 2 3" xfId="24055" xr:uid="{57394647-1EDD-48FD-9415-892B0E002617}"/>
    <cellStyle name="Comma 6 2 2 2 5 3" xfId="11047" xr:uid="{33C0A5F6-26EE-4ED2-9C94-7FE9A3523343}"/>
    <cellStyle name="Comma 6 2 2 2 5 3 2" xfId="28391" xr:uid="{5C3C7116-6523-4709-B8C0-2D8E0EA2C085}"/>
    <cellStyle name="Comma 6 2 2 2 5 4" xfId="19719" xr:uid="{2096FD80-41A6-4634-8D9E-467EED2ACAB0}"/>
    <cellStyle name="Comma 6 2 2 2 6" xfId="4543" xr:uid="{6B5F4224-5BE9-4868-B2DE-06C3C285F287}"/>
    <cellStyle name="Comma 6 2 2 2 6 2" xfId="13215" xr:uid="{4DD74544-330C-4ED2-B863-AA770248ED22}"/>
    <cellStyle name="Comma 6 2 2 2 6 2 2" xfId="30559" xr:uid="{DE82D173-221F-46FB-A0F7-83F5E8F59D19}"/>
    <cellStyle name="Comma 6 2 2 2 6 3" xfId="21887" xr:uid="{A7B5C487-14AB-49D1-9801-AA8316FB0464}"/>
    <cellStyle name="Comma 6 2 2 2 7" xfId="8879" xr:uid="{BA8BF3AC-8AB3-42B6-ABE8-3BE4A2D7A811}"/>
    <cellStyle name="Comma 6 2 2 2 7 2" xfId="26223" xr:uid="{96FC2D6E-8D0B-442A-ADD5-3957B588A8F8}"/>
    <cellStyle name="Comma 6 2 2 2 8" xfId="17551" xr:uid="{FE173D15-2713-4EBA-850F-F377C85B484D}"/>
    <cellStyle name="Comma 6 2 2 3" xfId="355" xr:uid="{F8C82242-1A6E-473A-9FA7-EB621CCCC4E2}"/>
    <cellStyle name="Comma 6 2 2 3 2" xfId="896" xr:uid="{25020548-2A57-4212-9E12-A216C08B2864}"/>
    <cellStyle name="Comma 6 2 2 3 2 2" xfId="1980" xr:uid="{706A45E0-A6AD-428A-961D-AC566A0A2541}"/>
    <cellStyle name="Comma 6 2 2 3 2 2 2" xfId="4148" xr:uid="{29BFA4D0-A174-4BE5-A7BA-0AD1BAE0004C}"/>
    <cellStyle name="Comma 6 2 2 3 2 2 2 2" xfId="8484" xr:uid="{768854AC-42A7-4CD5-A565-9206B9A17616}"/>
    <cellStyle name="Comma 6 2 2 3 2 2 2 2 2" xfId="17156" xr:uid="{5C585EC1-055B-4B1D-8EEC-C81A074AA58E}"/>
    <cellStyle name="Comma 6 2 2 3 2 2 2 2 2 2" xfId="34500" xr:uid="{D46C8923-9B9C-4BE9-A57F-5A59ED189313}"/>
    <cellStyle name="Comma 6 2 2 3 2 2 2 2 3" xfId="25828" xr:uid="{0E3E91D4-87EF-467B-9214-180E429AD651}"/>
    <cellStyle name="Comma 6 2 2 3 2 2 2 3" xfId="12820" xr:uid="{00EAB3AA-DC8B-4F23-B785-75A5B159FE7F}"/>
    <cellStyle name="Comma 6 2 2 3 2 2 2 3 2" xfId="30164" xr:uid="{01FE8028-BC6B-4CFD-A4A2-4622B1DB6CC6}"/>
    <cellStyle name="Comma 6 2 2 3 2 2 2 4" xfId="21492" xr:uid="{B0918E06-53E9-48B6-970E-DC4423D52889}"/>
    <cellStyle name="Comma 6 2 2 3 2 2 3" xfId="6316" xr:uid="{4D520150-505D-43B9-9BB2-CA4FF155C79D}"/>
    <cellStyle name="Comma 6 2 2 3 2 2 3 2" xfId="14988" xr:uid="{4E218DC2-F833-429C-A07C-A81C3E1C83CB}"/>
    <cellStyle name="Comma 6 2 2 3 2 2 3 2 2" xfId="32332" xr:uid="{B25D7823-E13E-40CF-BEA7-0A6872E703B3}"/>
    <cellStyle name="Comma 6 2 2 3 2 2 3 3" xfId="23660" xr:uid="{D429EFD5-E85B-4158-AE70-919C69C1B18D}"/>
    <cellStyle name="Comma 6 2 2 3 2 2 4" xfId="10652" xr:uid="{67701413-F749-4E60-A19F-F6A2D68C8223}"/>
    <cellStyle name="Comma 6 2 2 3 2 2 4 2" xfId="27996" xr:uid="{69B9E70C-6253-4D9E-A5B7-5EEE22765273}"/>
    <cellStyle name="Comma 6 2 2 3 2 2 5" xfId="19324" xr:uid="{BEB03D69-428D-4F6D-B9A2-780F9558E66B}"/>
    <cellStyle name="Comma 6 2 2 3 2 3" xfId="3064" xr:uid="{3C56F139-DAF7-4D2B-94E1-A96659BCD470}"/>
    <cellStyle name="Comma 6 2 2 3 2 3 2" xfId="7400" xr:uid="{D27E57CA-E173-43D5-93A7-1208F8885C64}"/>
    <cellStyle name="Comma 6 2 2 3 2 3 2 2" xfId="16072" xr:uid="{B7BB071E-1A0F-4109-B0DF-5A488DF68652}"/>
    <cellStyle name="Comma 6 2 2 3 2 3 2 2 2" xfId="33416" xr:uid="{89547C0C-E554-4ECA-A5C2-94553CB8C262}"/>
    <cellStyle name="Comma 6 2 2 3 2 3 2 3" xfId="24744" xr:uid="{CFE7C94D-568A-4FCE-8451-8ACF7495E241}"/>
    <cellStyle name="Comma 6 2 2 3 2 3 3" xfId="11736" xr:uid="{1692DFD7-A40F-4A42-B1AF-6750A96F3651}"/>
    <cellStyle name="Comma 6 2 2 3 2 3 3 2" xfId="29080" xr:uid="{1108ED7A-670E-4CB9-80A6-5F690AFC09BA}"/>
    <cellStyle name="Comma 6 2 2 3 2 3 4" xfId="20408" xr:uid="{C1E9916D-DA63-412D-B4C8-85C01B288D97}"/>
    <cellStyle name="Comma 6 2 2 3 2 4" xfId="5232" xr:uid="{7A09E747-A8ED-4867-9371-058FA56C2502}"/>
    <cellStyle name="Comma 6 2 2 3 2 4 2" xfId="13904" xr:uid="{21AF429B-5C2E-4161-971A-7C81E1513C04}"/>
    <cellStyle name="Comma 6 2 2 3 2 4 2 2" xfId="31248" xr:uid="{1E9E5623-8744-4550-A6DA-A9540C3AD86C}"/>
    <cellStyle name="Comma 6 2 2 3 2 4 3" xfId="22576" xr:uid="{66D26253-90B6-48BC-BF05-EEB4F395DF4E}"/>
    <cellStyle name="Comma 6 2 2 3 2 5" xfId="9568" xr:uid="{44F1FAE0-B9B6-4636-9413-65DE41345C27}"/>
    <cellStyle name="Comma 6 2 2 3 2 5 2" xfId="26912" xr:uid="{AF9FDD80-910C-4611-AB7B-BDF35E272F4E}"/>
    <cellStyle name="Comma 6 2 2 3 2 6" xfId="18240" xr:uid="{7CE7A500-C979-43A5-AB1F-19565C925DA1}"/>
    <cellStyle name="Comma 6 2 2 3 3" xfId="1439" xr:uid="{4CD5EB8D-4C57-4B07-AFF2-1D48F1663D65}"/>
    <cellStyle name="Comma 6 2 2 3 3 2" xfId="3607" xr:uid="{1098A475-DF06-4A5A-A01F-AD4DBDC96166}"/>
    <cellStyle name="Comma 6 2 2 3 3 2 2" xfId="7943" xr:uid="{D515F01F-BD37-4AA3-993F-5166DCD92B42}"/>
    <cellStyle name="Comma 6 2 2 3 3 2 2 2" xfId="16615" xr:uid="{832DD66E-9D22-4F11-9F83-C88A2383D00F}"/>
    <cellStyle name="Comma 6 2 2 3 3 2 2 2 2" xfId="33959" xr:uid="{00FAC471-5F89-4314-8622-0A37B1883346}"/>
    <cellStyle name="Comma 6 2 2 3 3 2 2 3" xfId="25287" xr:uid="{FE40CC06-CA83-4542-BF00-62445A12E1C3}"/>
    <cellStyle name="Comma 6 2 2 3 3 2 3" xfId="12279" xr:uid="{93BA9B86-2BEB-4A18-880C-D8F03EC7F9E5}"/>
    <cellStyle name="Comma 6 2 2 3 3 2 3 2" xfId="29623" xr:uid="{3C647675-8912-467B-80A0-73C5C2ADF857}"/>
    <cellStyle name="Comma 6 2 2 3 3 2 4" xfId="20951" xr:uid="{D324454F-CFEF-485C-9E53-5B8A5D9376C5}"/>
    <cellStyle name="Comma 6 2 2 3 3 3" xfId="5775" xr:uid="{6D787458-96BB-42FB-AD8E-50DE278B5EF8}"/>
    <cellStyle name="Comma 6 2 2 3 3 3 2" xfId="14447" xr:uid="{6AFAD596-FF01-40DB-ACA0-860BB6F9404E}"/>
    <cellStyle name="Comma 6 2 2 3 3 3 2 2" xfId="31791" xr:uid="{D8472936-EEB4-4EFE-AD4F-BD293CED13C0}"/>
    <cellStyle name="Comma 6 2 2 3 3 3 3" xfId="23119" xr:uid="{F2B15A27-8CB0-4E98-9FC3-4222083517B5}"/>
    <cellStyle name="Comma 6 2 2 3 3 4" xfId="10111" xr:uid="{E285F836-6804-4D6B-B237-FA76EF6ACB3A}"/>
    <cellStyle name="Comma 6 2 2 3 3 4 2" xfId="27455" xr:uid="{E57F8755-056D-4B64-AF46-0B3EBF39FE59}"/>
    <cellStyle name="Comma 6 2 2 3 3 5" xfId="18783" xr:uid="{BC05614F-1BF4-45BA-9AD2-51A066150951}"/>
    <cellStyle name="Comma 6 2 2 3 4" xfId="2523" xr:uid="{E6493CD2-CA03-4425-9709-657E6411187D}"/>
    <cellStyle name="Comma 6 2 2 3 4 2" xfId="6859" xr:uid="{A49DA35F-5395-4311-BFCB-C4FC032F36F3}"/>
    <cellStyle name="Comma 6 2 2 3 4 2 2" xfId="15531" xr:uid="{CC69DABA-E382-4699-9F68-18933012AD43}"/>
    <cellStyle name="Comma 6 2 2 3 4 2 2 2" xfId="32875" xr:uid="{F92A7A4D-C418-4CDC-82A5-D31385B43B13}"/>
    <cellStyle name="Comma 6 2 2 3 4 2 3" xfId="24203" xr:uid="{96D21BB7-C682-4805-8872-B0AB3E2D26F1}"/>
    <cellStyle name="Comma 6 2 2 3 4 3" xfId="11195" xr:uid="{357A9E14-5371-4943-BEB7-0369FDB67825}"/>
    <cellStyle name="Comma 6 2 2 3 4 3 2" xfId="28539" xr:uid="{66D9744A-5850-4461-AF0E-79AFDE91481F}"/>
    <cellStyle name="Comma 6 2 2 3 4 4" xfId="19867" xr:uid="{A640704E-8947-41DD-B24F-7E3D57498402}"/>
    <cellStyle name="Comma 6 2 2 3 5" xfId="4691" xr:uid="{4982BCF9-072C-473F-9D58-1AA55F17F0AF}"/>
    <cellStyle name="Comma 6 2 2 3 5 2" xfId="13363" xr:uid="{E627FF20-C248-4230-A51A-A0DD9D930F03}"/>
    <cellStyle name="Comma 6 2 2 3 5 2 2" xfId="30707" xr:uid="{7F4A60A0-E37B-468F-885E-9403C5D54BC9}"/>
    <cellStyle name="Comma 6 2 2 3 5 3" xfId="22035" xr:uid="{737ADDBD-770D-40D7-9A5F-4767076A1FFB}"/>
    <cellStyle name="Comma 6 2 2 3 6" xfId="9027" xr:uid="{0B674DAF-3785-4926-A5D4-D6B32BA9DBB9}"/>
    <cellStyle name="Comma 6 2 2 3 6 2" xfId="26371" xr:uid="{C75BE2B2-6FB1-46F3-8563-020B31227DA9}"/>
    <cellStyle name="Comma 6 2 2 3 7" xfId="17699" xr:uid="{B6AB6266-F0B8-4203-99DB-713B7CC17A3B}"/>
    <cellStyle name="Comma 6 2 2 4" xfId="626" xr:uid="{A8C89881-9A9C-4DFE-860A-3F8F3B0BF9A5}"/>
    <cellStyle name="Comma 6 2 2 4 2" xfId="1710" xr:uid="{924A0A64-1231-47F2-BA86-5985DC240A63}"/>
    <cellStyle name="Comma 6 2 2 4 2 2" xfId="3878" xr:uid="{4341C3AC-21ED-43C8-AAF1-F63D8694E4A8}"/>
    <cellStyle name="Comma 6 2 2 4 2 2 2" xfId="8214" xr:uid="{58193ADA-BF30-40F7-B650-0D1245A16E95}"/>
    <cellStyle name="Comma 6 2 2 4 2 2 2 2" xfId="16886" xr:uid="{E732B8A6-6E75-48C9-B111-78B7D2F47C0A}"/>
    <cellStyle name="Comma 6 2 2 4 2 2 2 2 2" xfId="34230" xr:uid="{FB731915-C9F6-4B4A-8FE9-66FEA2017EFD}"/>
    <cellStyle name="Comma 6 2 2 4 2 2 2 3" xfId="25558" xr:uid="{F5E616E6-8F1F-4A97-951A-C8D492866D88}"/>
    <cellStyle name="Comma 6 2 2 4 2 2 3" xfId="12550" xr:uid="{7B21C047-EE23-4B67-AA84-D7407A9C9463}"/>
    <cellStyle name="Comma 6 2 2 4 2 2 3 2" xfId="29894" xr:uid="{C1E6110C-45AE-4F0D-8547-1481D4D6F88C}"/>
    <cellStyle name="Comma 6 2 2 4 2 2 4" xfId="21222" xr:uid="{BE936CDC-1D98-410B-A199-F40B1B0C774A}"/>
    <cellStyle name="Comma 6 2 2 4 2 3" xfId="6046" xr:uid="{0C6457C6-F005-4BC8-B866-574458132210}"/>
    <cellStyle name="Comma 6 2 2 4 2 3 2" xfId="14718" xr:uid="{5DB5FC94-A463-4FA9-9267-5240F17B015C}"/>
    <cellStyle name="Comma 6 2 2 4 2 3 2 2" xfId="32062" xr:uid="{2325507A-D6E5-4D0C-8040-3C78D69C1C9B}"/>
    <cellStyle name="Comma 6 2 2 4 2 3 3" xfId="23390" xr:uid="{7893FF27-793C-4D43-A281-354BA3E97443}"/>
    <cellStyle name="Comma 6 2 2 4 2 4" xfId="10382" xr:uid="{6BBDC0F8-B205-46AB-BDEA-DCF0FE0F8A68}"/>
    <cellStyle name="Comma 6 2 2 4 2 4 2" xfId="27726" xr:uid="{387AC142-C76B-4A35-BCDC-65AFAFB9A677}"/>
    <cellStyle name="Comma 6 2 2 4 2 5" xfId="19054" xr:uid="{688F273D-BCBE-4E60-BB48-696B7DC22CDB}"/>
    <cellStyle name="Comma 6 2 2 4 3" xfId="2794" xr:uid="{563BB48F-94DB-476C-B4BC-639041201CB1}"/>
    <cellStyle name="Comma 6 2 2 4 3 2" xfId="7130" xr:uid="{EDDA7BFE-D3DC-46C2-8D3B-8B592207FCEC}"/>
    <cellStyle name="Comma 6 2 2 4 3 2 2" xfId="15802" xr:uid="{D97555E4-A03B-44FC-9BDC-9B27F1A6A1E7}"/>
    <cellStyle name="Comma 6 2 2 4 3 2 2 2" xfId="33146" xr:uid="{5A21F763-8ECB-4ADC-A986-88AF6BDCA0A1}"/>
    <cellStyle name="Comma 6 2 2 4 3 2 3" xfId="24474" xr:uid="{FEB36BE0-590E-413B-8C6B-ECB5A51859E5}"/>
    <cellStyle name="Comma 6 2 2 4 3 3" xfId="11466" xr:uid="{04379850-BDF6-4BDF-A0DD-C38A67A60988}"/>
    <cellStyle name="Comma 6 2 2 4 3 3 2" xfId="28810" xr:uid="{77A5AF49-DB2A-4CF9-8EE3-567848A27229}"/>
    <cellStyle name="Comma 6 2 2 4 3 4" xfId="20138" xr:uid="{41041BF5-2E09-4F83-8418-A97119F460D8}"/>
    <cellStyle name="Comma 6 2 2 4 4" xfId="4962" xr:uid="{043134E0-5AEB-41D2-ADF2-A438BF5B4280}"/>
    <cellStyle name="Comma 6 2 2 4 4 2" xfId="13634" xr:uid="{C0AC2713-6162-4F6B-868A-93A1256B155E}"/>
    <cellStyle name="Comma 6 2 2 4 4 2 2" xfId="30978" xr:uid="{F3C5D03C-99B4-4D4A-BFC0-41AF62463B4D}"/>
    <cellStyle name="Comma 6 2 2 4 4 3" xfId="22306" xr:uid="{8F69E335-8F59-4434-BF9F-AB7DD5B466E2}"/>
    <cellStyle name="Comma 6 2 2 4 5" xfId="9298" xr:uid="{0E76A3F3-7C1B-4A9D-8913-CBBBD06E5D20}"/>
    <cellStyle name="Comma 6 2 2 4 5 2" xfId="26642" xr:uid="{A78753A3-0109-4596-93CF-CEE62673B549}"/>
    <cellStyle name="Comma 6 2 2 4 6" xfId="17970" xr:uid="{D76E18E5-CE39-4CBD-B49A-3DC35F456525}"/>
    <cellStyle name="Comma 6 2 2 5" xfId="1169" xr:uid="{FED4D4DA-30F1-4473-9C80-8650332F25CD}"/>
    <cellStyle name="Comma 6 2 2 5 2" xfId="3337" xr:uid="{DE761102-0005-4D24-B60E-A8D1016364D1}"/>
    <cellStyle name="Comma 6 2 2 5 2 2" xfId="7673" xr:uid="{A5CA0801-183D-4A8F-AD30-7E3775D86C23}"/>
    <cellStyle name="Comma 6 2 2 5 2 2 2" xfId="16345" xr:uid="{C3432FB0-1476-4694-B6BB-3265B7F28E61}"/>
    <cellStyle name="Comma 6 2 2 5 2 2 2 2" xfId="33689" xr:uid="{6742D391-1849-45A3-AD52-58FE4A316416}"/>
    <cellStyle name="Comma 6 2 2 5 2 2 3" xfId="25017" xr:uid="{FF1AAB93-96A5-41A0-8B88-B3DC5E9D9CB7}"/>
    <cellStyle name="Comma 6 2 2 5 2 3" xfId="12009" xr:uid="{BE026FFA-7D6B-4553-B5F1-7D5A94B0B37A}"/>
    <cellStyle name="Comma 6 2 2 5 2 3 2" xfId="29353" xr:uid="{3018CF30-7D47-4F17-A95E-B02318E190DE}"/>
    <cellStyle name="Comma 6 2 2 5 2 4" xfId="20681" xr:uid="{EF575ACB-43B7-46BA-844E-7BBE3BE22B2A}"/>
    <cellStyle name="Comma 6 2 2 5 3" xfId="5505" xr:uid="{1925D2B1-B480-4B64-BCE9-0949BEA3FD3A}"/>
    <cellStyle name="Comma 6 2 2 5 3 2" xfId="14177" xr:uid="{F5C6055B-8F55-42DE-BAB8-5664BEB396D4}"/>
    <cellStyle name="Comma 6 2 2 5 3 2 2" xfId="31521" xr:uid="{B7CA5650-4D67-45E3-8493-C682F4DFEDCE}"/>
    <cellStyle name="Comma 6 2 2 5 3 3" xfId="22849" xr:uid="{373C61B3-F6E4-42F8-8AC1-160E584661F7}"/>
    <cellStyle name="Comma 6 2 2 5 4" xfId="9841" xr:uid="{03340F63-5C1E-4972-9249-059CCC1832DF}"/>
    <cellStyle name="Comma 6 2 2 5 4 2" xfId="27185" xr:uid="{AD3818CE-E3C0-43FA-A6E4-CF9E8BD2E3D3}"/>
    <cellStyle name="Comma 6 2 2 5 5" xfId="18513" xr:uid="{A7907F27-65C5-4174-A257-CBD645EB5C9F}"/>
    <cellStyle name="Comma 6 2 2 6" xfId="2253" xr:uid="{68179F82-F6D4-44F1-8611-2D9A7E285F7D}"/>
    <cellStyle name="Comma 6 2 2 6 2" xfId="6589" xr:uid="{D3F4CABE-AD33-407F-86CC-69A497E888DB}"/>
    <cellStyle name="Comma 6 2 2 6 2 2" xfId="15261" xr:uid="{B492FDA9-B30A-4231-90F2-DC8E97E4B3BC}"/>
    <cellStyle name="Comma 6 2 2 6 2 2 2" xfId="32605" xr:uid="{0CA1A614-88E0-409B-84D1-B4897EBC161A}"/>
    <cellStyle name="Comma 6 2 2 6 2 3" xfId="23933" xr:uid="{D721D4BE-669D-4B5B-A571-87289656F24A}"/>
    <cellStyle name="Comma 6 2 2 6 3" xfId="10925" xr:uid="{13863529-7973-4CCB-99DC-2956646CB82E}"/>
    <cellStyle name="Comma 6 2 2 6 3 2" xfId="28269" xr:uid="{96104153-9FFE-4549-B10A-E1BBCCE36517}"/>
    <cellStyle name="Comma 6 2 2 6 4" xfId="19597" xr:uid="{F3B9AAF5-46F7-450A-8789-84A6449A14B5}"/>
    <cellStyle name="Comma 6 2 2 7" xfId="4421" xr:uid="{9A47330A-1759-405E-A849-036311B5FFF7}"/>
    <cellStyle name="Comma 6 2 2 7 2" xfId="13093" xr:uid="{DB0B9A3E-002E-4B35-8B71-767D5D34CF59}"/>
    <cellStyle name="Comma 6 2 2 7 2 2" xfId="30437" xr:uid="{D571D6FE-FB07-448A-AA40-514426E2C183}"/>
    <cellStyle name="Comma 6 2 2 7 3" xfId="21765" xr:uid="{11837FF2-4C69-42B5-B8D1-6BB7DD7D2622}"/>
    <cellStyle name="Comma 6 2 2 8" xfId="8757" xr:uid="{0C1A55DE-08D5-4389-82A8-CF882F2219AE}"/>
    <cellStyle name="Comma 6 2 2 8 2" xfId="26101" xr:uid="{10FBFD4D-89DC-4B16-9602-C0FD5AEEDCBD}"/>
    <cellStyle name="Comma 6 2 2 9" xfId="17429" xr:uid="{3FEE1377-0274-4827-A2DD-83769D527DBB}"/>
    <cellStyle name="Comma 6 2 3" xfId="146" xr:uid="{13EEFACB-5845-4049-92EB-6FC66FEA0310}"/>
    <cellStyle name="Comma 6 2 3 2" xfId="416" xr:uid="{08D22C5F-576C-4D8F-8E05-C804586F9C54}"/>
    <cellStyle name="Comma 6 2 3 2 2" xfId="957" xr:uid="{ECC7EAF2-4757-43E0-A6BE-216D41DAB704}"/>
    <cellStyle name="Comma 6 2 3 2 2 2" xfId="2041" xr:uid="{5F87DBCC-6366-450B-BDA4-A5218BA0C80A}"/>
    <cellStyle name="Comma 6 2 3 2 2 2 2" xfId="4209" xr:uid="{92FEF0D2-5184-44D2-BA8C-C0F9C934A0E2}"/>
    <cellStyle name="Comma 6 2 3 2 2 2 2 2" xfId="8545" xr:uid="{0295C95B-54A2-469B-BB01-4A43EF8CAD18}"/>
    <cellStyle name="Comma 6 2 3 2 2 2 2 2 2" xfId="17217" xr:uid="{D7700157-2E6C-4C7B-9657-331C3CA39DED}"/>
    <cellStyle name="Comma 6 2 3 2 2 2 2 2 2 2" xfId="34561" xr:uid="{BF249D3D-6410-424F-9F8B-9648853ABED8}"/>
    <cellStyle name="Comma 6 2 3 2 2 2 2 2 3" xfId="25889" xr:uid="{733B8A69-6C18-4B0B-B4B9-B7D3E28CE05B}"/>
    <cellStyle name="Comma 6 2 3 2 2 2 2 3" xfId="12881" xr:uid="{7B72D974-D59D-4D9B-9A26-B1EB195D777A}"/>
    <cellStyle name="Comma 6 2 3 2 2 2 2 3 2" xfId="30225" xr:uid="{C32F2C16-58CD-482B-AA55-03C2123F0D29}"/>
    <cellStyle name="Comma 6 2 3 2 2 2 2 4" xfId="21553" xr:uid="{FD2BF337-B8C4-4CFD-8100-AA829FCDF4BD}"/>
    <cellStyle name="Comma 6 2 3 2 2 2 3" xfId="6377" xr:uid="{5A37781A-9979-48D9-A8D0-D07A5190FD3E}"/>
    <cellStyle name="Comma 6 2 3 2 2 2 3 2" xfId="15049" xr:uid="{D755D95D-D4A2-441A-BA40-28A2FFFCF3FA}"/>
    <cellStyle name="Comma 6 2 3 2 2 2 3 2 2" xfId="32393" xr:uid="{6DC71413-2704-4F60-BCD0-40BFA91030C7}"/>
    <cellStyle name="Comma 6 2 3 2 2 2 3 3" xfId="23721" xr:uid="{B37AAE36-6676-4265-AD77-070AFCD19BD4}"/>
    <cellStyle name="Comma 6 2 3 2 2 2 4" xfId="10713" xr:uid="{8910A36A-E913-468A-97D0-C1623B0DD839}"/>
    <cellStyle name="Comma 6 2 3 2 2 2 4 2" xfId="28057" xr:uid="{BFE97F99-1E67-4BF0-953A-60731F7720AE}"/>
    <cellStyle name="Comma 6 2 3 2 2 2 5" xfId="19385" xr:uid="{40486BEA-581D-476C-B478-5BB0D7A52693}"/>
    <cellStyle name="Comma 6 2 3 2 2 3" xfId="3125" xr:uid="{F7FE046A-F756-4E17-AAE8-A75E7C2B26AE}"/>
    <cellStyle name="Comma 6 2 3 2 2 3 2" xfId="7461" xr:uid="{C28FE514-E551-490A-8DD5-2A643AB3EE13}"/>
    <cellStyle name="Comma 6 2 3 2 2 3 2 2" xfId="16133" xr:uid="{CE34238E-06B0-4897-8261-28A66161A799}"/>
    <cellStyle name="Comma 6 2 3 2 2 3 2 2 2" xfId="33477" xr:uid="{19922427-BF3E-4942-B039-B7D6E4C2A242}"/>
    <cellStyle name="Comma 6 2 3 2 2 3 2 3" xfId="24805" xr:uid="{9C556C9B-6447-40F1-95A0-555190862EE5}"/>
    <cellStyle name="Comma 6 2 3 2 2 3 3" xfId="11797" xr:uid="{230C0696-403B-4485-911A-2BF5FE1DCB5B}"/>
    <cellStyle name="Comma 6 2 3 2 2 3 3 2" xfId="29141" xr:uid="{73BC6486-860F-4D6C-80CF-21DF09475377}"/>
    <cellStyle name="Comma 6 2 3 2 2 3 4" xfId="20469" xr:uid="{FCA4B93D-F05F-41AF-AFF2-E014EA789C8D}"/>
    <cellStyle name="Comma 6 2 3 2 2 4" xfId="5293" xr:uid="{D3EBBD42-248B-48B7-8677-57F16F6F8A7D}"/>
    <cellStyle name="Comma 6 2 3 2 2 4 2" xfId="13965" xr:uid="{EB3AB650-FC41-4379-8617-482B926FE1C3}"/>
    <cellStyle name="Comma 6 2 3 2 2 4 2 2" xfId="31309" xr:uid="{A4639FF0-4890-4486-8D9C-EE16BD8491FC}"/>
    <cellStyle name="Comma 6 2 3 2 2 4 3" xfId="22637" xr:uid="{0E621989-9622-4AA3-BE53-4CE15D738B3D}"/>
    <cellStyle name="Comma 6 2 3 2 2 5" xfId="9629" xr:uid="{063A4001-6579-419E-8082-E6BB54EA121F}"/>
    <cellStyle name="Comma 6 2 3 2 2 5 2" xfId="26973" xr:uid="{9682520E-B586-4602-8950-768B74A92400}"/>
    <cellStyle name="Comma 6 2 3 2 2 6" xfId="18301" xr:uid="{B123FFBE-C6A2-4609-AAE8-820E6C5397A0}"/>
    <cellStyle name="Comma 6 2 3 2 3" xfId="1500" xr:uid="{98BC625B-694A-4398-8E5E-8FFF2473D23F}"/>
    <cellStyle name="Comma 6 2 3 2 3 2" xfId="3668" xr:uid="{E98D03F8-3F47-4D84-8105-D5D809D99CD1}"/>
    <cellStyle name="Comma 6 2 3 2 3 2 2" xfId="8004" xr:uid="{FB582B5F-F8E7-419D-8071-F9AC467A1340}"/>
    <cellStyle name="Comma 6 2 3 2 3 2 2 2" xfId="16676" xr:uid="{D6A2633E-0DAF-4180-9F03-F652DF3892BB}"/>
    <cellStyle name="Comma 6 2 3 2 3 2 2 2 2" xfId="34020" xr:uid="{8AE307CA-5750-4F52-8830-FCC0A8B4EAFC}"/>
    <cellStyle name="Comma 6 2 3 2 3 2 2 3" xfId="25348" xr:uid="{DDBC8698-B910-4583-9737-F94869B758DE}"/>
    <cellStyle name="Comma 6 2 3 2 3 2 3" xfId="12340" xr:uid="{3DB7A909-15C6-4C09-B93C-0255885B4265}"/>
    <cellStyle name="Comma 6 2 3 2 3 2 3 2" xfId="29684" xr:uid="{F557986A-20A9-434A-AA73-799C5701A5C5}"/>
    <cellStyle name="Comma 6 2 3 2 3 2 4" xfId="21012" xr:uid="{BC35B945-DF6E-4883-97AC-8F1789EB4031}"/>
    <cellStyle name="Comma 6 2 3 2 3 3" xfId="5836" xr:uid="{787E7725-3C8A-4D25-B9F3-94D8C60BA925}"/>
    <cellStyle name="Comma 6 2 3 2 3 3 2" xfId="14508" xr:uid="{0A1F8A1F-A1FF-465D-A2BA-78FB428ECC35}"/>
    <cellStyle name="Comma 6 2 3 2 3 3 2 2" xfId="31852" xr:uid="{2D4E0BF1-D5AE-4D61-950A-8210EC0BAD65}"/>
    <cellStyle name="Comma 6 2 3 2 3 3 3" xfId="23180" xr:uid="{A6C988F1-B0E4-4ACE-8FDF-6DB296BFC103}"/>
    <cellStyle name="Comma 6 2 3 2 3 4" xfId="10172" xr:uid="{70D598A0-B250-4B8B-88AC-962931AD68AD}"/>
    <cellStyle name="Comma 6 2 3 2 3 4 2" xfId="27516" xr:uid="{2662D996-4E81-45E7-821C-FEF9CF1EC8F7}"/>
    <cellStyle name="Comma 6 2 3 2 3 5" xfId="18844" xr:uid="{B91891C4-BB5D-4E7F-B6A1-C4677637FA02}"/>
    <cellStyle name="Comma 6 2 3 2 4" xfId="2584" xr:uid="{E1394861-0684-4A5D-B0B9-1E2277DC3D86}"/>
    <cellStyle name="Comma 6 2 3 2 4 2" xfId="6920" xr:uid="{1FB5C271-A012-4ADD-B4CA-C1D7A7254994}"/>
    <cellStyle name="Comma 6 2 3 2 4 2 2" xfId="15592" xr:uid="{B6FF0381-BC98-44E6-9F88-55CD6EE03E9F}"/>
    <cellStyle name="Comma 6 2 3 2 4 2 2 2" xfId="32936" xr:uid="{C8FC2077-EDDF-4450-8A51-7E5F4B6A8176}"/>
    <cellStyle name="Comma 6 2 3 2 4 2 3" xfId="24264" xr:uid="{56017C2D-C2E9-4B75-84CC-732DED8EF617}"/>
    <cellStyle name="Comma 6 2 3 2 4 3" xfId="11256" xr:uid="{E4D50898-4627-4B76-A319-5862EF75C76E}"/>
    <cellStyle name="Comma 6 2 3 2 4 3 2" xfId="28600" xr:uid="{D86486D2-5F6E-4523-A3C4-E8E7A42CDBC3}"/>
    <cellStyle name="Comma 6 2 3 2 4 4" xfId="19928" xr:uid="{B43468DB-4904-4371-ADDD-D3220F4BAE63}"/>
    <cellStyle name="Comma 6 2 3 2 5" xfId="4752" xr:uid="{6DD8DFB7-0F58-4B96-AEEB-A1D9F68ED3AF}"/>
    <cellStyle name="Comma 6 2 3 2 5 2" xfId="13424" xr:uid="{AEE5F54C-736E-4CC1-9EBB-6D4799510DFB}"/>
    <cellStyle name="Comma 6 2 3 2 5 2 2" xfId="30768" xr:uid="{89754ADF-9A69-4271-8046-1557171936C1}"/>
    <cellStyle name="Comma 6 2 3 2 5 3" xfId="22096" xr:uid="{8123AFC6-F5E8-40F9-9832-ECEC3D82F23E}"/>
    <cellStyle name="Comma 6 2 3 2 6" xfId="9088" xr:uid="{43736485-C70C-480A-A255-43853B6CD072}"/>
    <cellStyle name="Comma 6 2 3 2 6 2" xfId="26432" xr:uid="{DF5CAA48-687B-4ACE-9AE4-1CE8D5511AFB}"/>
    <cellStyle name="Comma 6 2 3 2 7" xfId="17760" xr:uid="{2278430F-C446-4E4D-B013-CFCB9D0376A0}"/>
    <cellStyle name="Comma 6 2 3 3" xfId="687" xr:uid="{08D96784-00D4-4670-BAC3-348AEC746066}"/>
    <cellStyle name="Comma 6 2 3 3 2" xfId="1771" xr:uid="{89547A2E-B7FC-4754-B0B5-8D8CC6CA9992}"/>
    <cellStyle name="Comma 6 2 3 3 2 2" xfId="3939" xr:uid="{B37453E8-97A5-4437-B3CE-FB4B1C6158B4}"/>
    <cellStyle name="Comma 6 2 3 3 2 2 2" xfId="8275" xr:uid="{6F423919-57C2-4C73-BC74-A5F306E530E9}"/>
    <cellStyle name="Comma 6 2 3 3 2 2 2 2" xfId="16947" xr:uid="{F83AA597-CC7C-4D34-946E-93EA50861FC8}"/>
    <cellStyle name="Comma 6 2 3 3 2 2 2 2 2" xfId="34291" xr:uid="{4B72733F-EDEC-412D-93FB-CF4FE45F9661}"/>
    <cellStyle name="Comma 6 2 3 3 2 2 2 3" xfId="25619" xr:uid="{BE378077-43AB-4697-9F69-AE7B942615D7}"/>
    <cellStyle name="Comma 6 2 3 3 2 2 3" xfId="12611" xr:uid="{DAA97103-D8F5-43D9-B00D-2A688B9B85E1}"/>
    <cellStyle name="Comma 6 2 3 3 2 2 3 2" xfId="29955" xr:uid="{417F3EBA-4EA9-4244-90CD-16D30D37ACF1}"/>
    <cellStyle name="Comma 6 2 3 3 2 2 4" xfId="21283" xr:uid="{2B63591C-E780-4C51-BFBE-DB0244CD419B}"/>
    <cellStyle name="Comma 6 2 3 3 2 3" xfId="6107" xr:uid="{870716F8-9AD4-47FA-AF3A-20C1377633E0}"/>
    <cellStyle name="Comma 6 2 3 3 2 3 2" xfId="14779" xr:uid="{1C6493E4-8D11-4FEC-AF50-484D7E300517}"/>
    <cellStyle name="Comma 6 2 3 3 2 3 2 2" xfId="32123" xr:uid="{49E01385-A90F-4BFC-89BA-0332E0EF0F66}"/>
    <cellStyle name="Comma 6 2 3 3 2 3 3" xfId="23451" xr:uid="{3331D03F-3685-4EF2-8283-094752E69729}"/>
    <cellStyle name="Comma 6 2 3 3 2 4" xfId="10443" xr:uid="{90EDC52D-CF59-4E37-A64F-2159D2944C08}"/>
    <cellStyle name="Comma 6 2 3 3 2 4 2" xfId="27787" xr:uid="{1ECCD4ED-0832-4E3F-8954-185CCF8C817A}"/>
    <cellStyle name="Comma 6 2 3 3 2 5" xfId="19115" xr:uid="{1D277AF2-BF05-4A60-AB5F-0547638DC387}"/>
    <cellStyle name="Comma 6 2 3 3 3" xfId="2855" xr:uid="{3BDE068F-B538-47A5-82C1-99EF16E4419D}"/>
    <cellStyle name="Comma 6 2 3 3 3 2" xfId="7191" xr:uid="{1E50D77C-33FE-42D1-9001-A488F294B188}"/>
    <cellStyle name="Comma 6 2 3 3 3 2 2" xfId="15863" xr:uid="{91E9EAAB-DB7F-4446-8C09-F30E463EC268}"/>
    <cellStyle name="Comma 6 2 3 3 3 2 2 2" xfId="33207" xr:uid="{9065AB3A-5E24-4905-91CE-D01EFF16DCCC}"/>
    <cellStyle name="Comma 6 2 3 3 3 2 3" xfId="24535" xr:uid="{BB2E0A2C-4B9C-4448-BD68-69E4ED942106}"/>
    <cellStyle name="Comma 6 2 3 3 3 3" xfId="11527" xr:uid="{8FC179D4-31F5-48E5-8122-727872401BA2}"/>
    <cellStyle name="Comma 6 2 3 3 3 3 2" xfId="28871" xr:uid="{9D4C894E-6102-4D4A-9D5F-A6EED4CCAD5E}"/>
    <cellStyle name="Comma 6 2 3 3 3 4" xfId="20199" xr:uid="{3180FA71-8274-4FAF-A67C-2E4D422E3C4B}"/>
    <cellStyle name="Comma 6 2 3 3 4" xfId="5023" xr:uid="{E4949A39-E86A-4A61-9D52-042F0F67864A}"/>
    <cellStyle name="Comma 6 2 3 3 4 2" xfId="13695" xr:uid="{4D22BE52-E943-4001-8314-EE97C7A495F2}"/>
    <cellStyle name="Comma 6 2 3 3 4 2 2" xfId="31039" xr:uid="{8D5A026D-077F-429B-B400-730D86F7B0D6}"/>
    <cellStyle name="Comma 6 2 3 3 4 3" xfId="22367" xr:uid="{B7BADD4C-1CC4-442D-A05E-FCE194AFE808}"/>
    <cellStyle name="Comma 6 2 3 3 5" xfId="9359" xr:uid="{38ABD669-9B22-475D-881C-DF235F649BFE}"/>
    <cellStyle name="Comma 6 2 3 3 5 2" xfId="26703" xr:uid="{1A6342AD-F443-40FB-9D09-B888B46F84A0}"/>
    <cellStyle name="Comma 6 2 3 3 6" xfId="18031" xr:uid="{34216D45-6290-4DAD-AC1C-E033766DC171}"/>
    <cellStyle name="Comma 6 2 3 4" xfId="1230" xr:uid="{E3D16CB9-9C1A-43E9-B5C6-43336187199D}"/>
    <cellStyle name="Comma 6 2 3 4 2" xfId="3398" xr:uid="{D679F816-2068-4E73-8727-9E9F24E351FF}"/>
    <cellStyle name="Comma 6 2 3 4 2 2" xfId="7734" xr:uid="{88E3BF6B-B34F-452E-83BC-745E1C44C189}"/>
    <cellStyle name="Comma 6 2 3 4 2 2 2" xfId="16406" xr:uid="{265DD596-3BCB-42A6-92F0-01AF55CC1505}"/>
    <cellStyle name="Comma 6 2 3 4 2 2 2 2" xfId="33750" xr:uid="{8C8860C6-63F9-48F4-AF2F-D7DFED088372}"/>
    <cellStyle name="Comma 6 2 3 4 2 2 3" xfId="25078" xr:uid="{C29C3BCD-6970-44DF-9304-66E8DB0171D5}"/>
    <cellStyle name="Comma 6 2 3 4 2 3" xfId="12070" xr:uid="{F74BC832-4CA6-4F90-A3DF-DB1B21FF48AC}"/>
    <cellStyle name="Comma 6 2 3 4 2 3 2" xfId="29414" xr:uid="{0A663587-960E-46CA-AAE6-638B0767D668}"/>
    <cellStyle name="Comma 6 2 3 4 2 4" xfId="20742" xr:uid="{95DE96BD-8528-4D1C-82E6-C30CDC32C92E}"/>
    <cellStyle name="Comma 6 2 3 4 3" xfId="5566" xr:uid="{69A95B0C-0AB6-4496-BDAB-C21BC3C34FC1}"/>
    <cellStyle name="Comma 6 2 3 4 3 2" xfId="14238" xr:uid="{131CC637-A9F5-4748-94F0-0F48F0D26DFE}"/>
    <cellStyle name="Comma 6 2 3 4 3 2 2" xfId="31582" xr:uid="{446A0D8C-EAF1-4A71-83CF-357CCBF9BB43}"/>
    <cellStyle name="Comma 6 2 3 4 3 3" xfId="22910" xr:uid="{3837012E-8BAE-4122-8DCD-1A7EF6810DB1}"/>
    <cellStyle name="Comma 6 2 3 4 4" xfId="9902" xr:uid="{1616D1D6-3C04-4726-90B3-526AEBAB076E}"/>
    <cellStyle name="Comma 6 2 3 4 4 2" xfId="27246" xr:uid="{89EC10FE-609A-47F1-9470-C9DBE8839A27}"/>
    <cellStyle name="Comma 6 2 3 4 5" xfId="18574" xr:uid="{C880DDB7-147B-453E-8A19-FD0099FCF767}"/>
    <cellStyle name="Comma 6 2 3 5" xfId="2314" xr:uid="{295C8226-1197-4AFF-96FB-7381399C4A62}"/>
    <cellStyle name="Comma 6 2 3 5 2" xfId="6650" xr:uid="{0739116A-73BE-4BF8-B25A-BBB8D125CD94}"/>
    <cellStyle name="Comma 6 2 3 5 2 2" xfId="15322" xr:uid="{417A5E09-993B-4FC1-AA49-9C1CDF01A17C}"/>
    <cellStyle name="Comma 6 2 3 5 2 2 2" xfId="32666" xr:uid="{7C8D95F1-5D7D-44A0-811C-8EE710526E5B}"/>
    <cellStyle name="Comma 6 2 3 5 2 3" xfId="23994" xr:uid="{153A8F40-D212-4126-B3ED-9020F294EFF1}"/>
    <cellStyle name="Comma 6 2 3 5 3" xfId="10986" xr:uid="{1E517CC8-BD7A-455D-B7A5-4C8E27BAD1F5}"/>
    <cellStyle name="Comma 6 2 3 5 3 2" xfId="28330" xr:uid="{3DFCAA14-0064-45AC-8598-1BAC2E515AF0}"/>
    <cellStyle name="Comma 6 2 3 5 4" xfId="19658" xr:uid="{A8B3B0C7-97E5-43C7-8549-7EC5B79A1F31}"/>
    <cellStyle name="Comma 6 2 3 6" xfId="4482" xr:uid="{CC003C37-40F9-427E-81F0-F09E08CA1670}"/>
    <cellStyle name="Comma 6 2 3 6 2" xfId="13154" xr:uid="{B0BC2525-E2C7-4111-99C0-C058862D1FE1}"/>
    <cellStyle name="Comma 6 2 3 6 2 2" xfId="30498" xr:uid="{837B5675-FB20-45CB-9AE0-56308672F55B}"/>
    <cellStyle name="Comma 6 2 3 6 3" xfId="21826" xr:uid="{28101063-0A3D-4EA7-88B4-B8673AB5904B}"/>
    <cellStyle name="Comma 6 2 3 7" xfId="8818" xr:uid="{69B1797F-E2C2-4032-9075-6F3CB770E399}"/>
    <cellStyle name="Comma 6 2 3 7 2" xfId="26162" xr:uid="{89793075-DC34-476A-861E-81BF4F198B82}"/>
    <cellStyle name="Comma 6 2 3 8" xfId="17490" xr:uid="{1A2C21B4-5951-49D3-9BB1-097F455A86A8}"/>
    <cellStyle name="Comma 6 2 4" xfId="256" xr:uid="{124096D1-067B-46C2-9505-667D0BFFB2F6}"/>
    <cellStyle name="Comma 6 2 4 2" xfId="526" xr:uid="{814023A2-0720-48C5-9EB3-EC79F580C311}"/>
    <cellStyle name="Comma 6 2 4 2 2" xfId="1067" xr:uid="{29142612-18A0-4BE4-8A9B-F33484054039}"/>
    <cellStyle name="Comma 6 2 4 2 2 2" xfId="2151" xr:uid="{CD5B7897-5EC3-440A-8912-CF29F2E55702}"/>
    <cellStyle name="Comma 6 2 4 2 2 2 2" xfId="4319" xr:uid="{59C28E41-D71B-4D5B-A12E-152D4503C64C}"/>
    <cellStyle name="Comma 6 2 4 2 2 2 2 2" xfId="8655" xr:uid="{C5627D84-03CF-4E1A-8116-DE8A8C305A58}"/>
    <cellStyle name="Comma 6 2 4 2 2 2 2 2 2" xfId="17327" xr:uid="{FB4B5EC7-E9D2-4472-8858-83179B04ED86}"/>
    <cellStyle name="Comma 6 2 4 2 2 2 2 2 2 2" xfId="34671" xr:uid="{31352C06-8372-4CC7-936E-75265CD28A12}"/>
    <cellStyle name="Comma 6 2 4 2 2 2 2 2 3" xfId="25999" xr:uid="{280779CF-210A-4901-9F86-B4E2423EC63F}"/>
    <cellStyle name="Comma 6 2 4 2 2 2 2 3" xfId="12991" xr:uid="{417B2164-3C8C-456D-A619-2E4FD29B00FA}"/>
    <cellStyle name="Comma 6 2 4 2 2 2 2 3 2" xfId="30335" xr:uid="{6103988D-5698-423A-A96F-251E6CC63150}"/>
    <cellStyle name="Comma 6 2 4 2 2 2 2 4" xfId="21663" xr:uid="{096F79C9-7BB9-46F7-B31C-0B23988573DF}"/>
    <cellStyle name="Comma 6 2 4 2 2 2 3" xfId="6487" xr:uid="{74A48FE0-422F-49E6-8E91-93C8D740C304}"/>
    <cellStyle name="Comma 6 2 4 2 2 2 3 2" xfId="15159" xr:uid="{5C4F9B2B-11D0-494C-83D2-2FA69F5DCAEB}"/>
    <cellStyle name="Comma 6 2 4 2 2 2 3 2 2" xfId="32503" xr:uid="{D2DF2E8F-4ABA-47F2-BE72-6A04B4F1ED1C}"/>
    <cellStyle name="Comma 6 2 4 2 2 2 3 3" xfId="23831" xr:uid="{3ECCC474-E33A-417E-8BBA-11E431B42658}"/>
    <cellStyle name="Comma 6 2 4 2 2 2 4" xfId="10823" xr:uid="{4DFCC927-7A87-4208-B030-8B5262283578}"/>
    <cellStyle name="Comma 6 2 4 2 2 2 4 2" xfId="28167" xr:uid="{B585F838-1108-40D4-9E59-6C55801E4C8D}"/>
    <cellStyle name="Comma 6 2 4 2 2 2 5" xfId="19495" xr:uid="{A21173CF-5BD3-4CA0-AC0F-F882726E9DF9}"/>
    <cellStyle name="Comma 6 2 4 2 2 3" xfId="3235" xr:uid="{17ACA8EC-0751-448C-9060-B8C25893472B}"/>
    <cellStyle name="Comma 6 2 4 2 2 3 2" xfId="7571" xr:uid="{0B4A226F-4838-4D20-B89E-553A5F45734C}"/>
    <cellStyle name="Comma 6 2 4 2 2 3 2 2" xfId="16243" xr:uid="{CDF06773-673A-415C-A347-AF4350210F6F}"/>
    <cellStyle name="Comma 6 2 4 2 2 3 2 2 2" xfId="33587" xr:uid="{E8819352-55DA-424A-A17B-47C582D4568D}"/>
    <cellStyle name="Comma 6 2 4 2 2 3 2 3" xfId="24915" xr:uid="{80B5A65E-2EA1-4B9A-8952-D06D41317108}"/>
    <cellStyle name="Comma 6 2 4 2 2 3 3" xfId="11907" xr:uid="{F983C384-D945-4AE4-880C-00D471E45AF8}"/>
    <cellStyle name="Comma 6 2 4 2 2 3 3 2" xfId="29251" xr:uid="{AA823D3F-307A-4342-B8AA-DAAE4FEB7889}"/>
    <cellStyle name="Comma 6 2 4 2 2 3 4" xfId="20579" xr:uid="{8BEA7CAA-424E-4BF7-859B-96E6D158BA6E}"/>
    <cellStyle name="Comma 6 2 4 2 2 4" xfId="5403" xr:uid="{1E6E4C5F-051F-4E86-9E52-AC469B35058A}"/>
    <cellStyle name="Comma 6 2 4 2 2 4 2" xfId="14075" xr:uid="{5564A8B4-C10D-40D7-BFF9-FCE466C37FFC}"/>
    <cellStyle name="Comma 6 2 4 2 2 4 2 2" xfId="31419" xr:uid="{18A7A986-4550-40AF-9CDF-96FB8D878675}"/>
    <cellStyle name="Comma 6 2 4 2 2 4 3" xfId="22747" xr:uid="{35F38CD1-E2BF-4897-823B-BAEF21753FA3}"/>
    <cellStyle name="Comma 6 2 4 2 2 5" xfId="9739" xr:uid="{697F7721-9DC8-4DB1-B225-1E9E96561E89}"/>
    <cellStyle name="Comma 6 2 4 2 2 5 2" xfId="27083" xr:uid="{522D2F97-369A-499C-A43D-AB1625679488}"/>
    <cellStyle name="Comma 6 2 4 2 2 6" xfId="18411" xr:uid="{C35DC36A-23B2-4568-AFF0-23833D65D774}"/>
    <cellStyle name="Comma 6 2 4 2 3" xfId="1610" xr:uid="{3E209D82-8DC5-4F75-A339-6659BCC5958A}"/>
    <cellStyle name="Comma 6 2 4 2 3 2" xfId="3778" xr:uid="{1C608817-9B83-47E3-B9EF-9F578D22E216}"/>
    <cellStyle name="Comma 6 2 4 2 3 2 2" xfId="8114" xr:uid="{68B7698D-05E9-4D35-AF6C-2555B88E8F5F}"/>
    <cellStyle name="Comma 6 2 4 2 3 2 2 2" xfId="16786" xr:uid="{BC22A41C-E96F-415F-92A9-7FF1F3869F84}"/>
    <cellStyle name="Comma 6 2 4 2 3 2 2 2 2" xfId="34130" xr:uid="{680DBCB5-5CFA-461F-AB2D-382976BCC660}"/>
    <cellStyle name="Comma 6 2 4 2 3 2 2 3" xfId="25458" xr:uid="{F27C0859-C192-4262-ABDC-1FFF984DE682}"/>
    <cellStyle name="Comma 6 2 4 2 3 2 3" xfId="12450" xr:uid="{E87CD6E4-B604-44B4-931C-09F78AEE40FD}"/>
    <cellStyle name="Comma 6 2 4 2 3 2 3 2" xfId="29794" xr:uid="{AD1981FF-7476-431C-8FAB-A42A3DB9B597}"/>
    <cellStyle name="Comma 6 2 4 2 3 2 4" xfId="21122" xr:uid="{6DB963D1-3049-4D08-96D0-78179F5B2968}"/>
    <cellStyle name="Comma 6 2 4 2 3 3" xfId="5946" xr:uid="{E15458D5-CBED-484A-8D67-73E7219B09E4}"/>
    <cellStyle name="Comma 6 2 4 2 3 3 2" xfId="14618" xr:uid="{C08C96A0-6344-4549-BF31-EB8AAA8B991B}"/>
    <cellStyle name="Comma 6 2 4 2 3 3 2 2" xfId="31962" xr:uid="{BA5916F3-4F62-4EA4-92A7-3C67C06CA175}"/>
    <cellStyle name="Comma 6 2 4 2 3 3 3" xfId="23290" xr:uid="{A0A56C45-EE27-4A38-84AC-CF503B6478F8}"/>
    <cellStyle name="Comma 6 2 4 2 3 4" xfId="10282" xr:uid="{817C2B58-5B48-4CDC-8DEC-B91A63361B50}"/>
    <cellStyle name="Comma 6 2 4 2 3 4 2" xfId="27626" xr:uid="{5B052264-4D8E-463B-82D9-D7F4EEA1CDCE}"/>
    <cellStyle name="Comma 6 2 4 2 3 5" xfId="18954" xr:uid="{33E92A9E-C1FD-46B8-B211-90263A9C5B57}"/>
    <cellStyle name="Comma 6 2 4 2 4" xfId="2694" xr:uid="{A6DD83B9-7FB7-40C7-800B-2F86E98D3141}"/>
    <cellStyle name="Comma 6 2 4 2 4 2" xfId="7030" xr:uid="{A6747F05-454D-42C2-AC94-573FEC25403E}"/>
    <cellStyle name="Comma 6 2 4 2 4 2 2" xfId="15702" xr:uid="{BC3E5672-BC7B-4A49-8B07-3ECB8D18A0CA}"/>
    <cellStyle name="Comma 6 2 4 2 4 2 2 2" xfId="33046" xr:uid="{647F6CE5-FB38-432F-8A26-376FEFFEAADF}"/>
    <cellStyle name="Comma 6 2 4 2 4 2 3" xfId="24374" xr:uid="{D290544B-30A3-40D7-911C-6A1785F551D3}"/>
    <cellStyle name="Comma 6 2 4 2 4 3" xfId="11366" xr:uid="{9078FF9B-1E3D-4F4F-B0FB-544B68A59B34}"/>
    <cellStyle name="Comma 6 2 4 2 4 3 2" xfId="28710" xr:uid="{344D5FB0-1159-4DDB-A483-AAA5276E4735}"/>
    <cellStyle name="Comma 6 2 4 2 4 4" xfId="20038" xr:uid="{F129BAF2-1EB5-4E42-ABAE-ED003B394BBC}"/>
    <cellStyle name="Comma 6 2 4 2 5" xfId="4862" xr:uid="{A198AAC7-6C27-469F-9793-97F5164E5777}"/>
    <cellStyle name="Comma 6 2 4 2 5 2" xfId="13534" xr:uid="{517331DE-5462-4B0D-9483-2C25177B026E}"/>
    <cellStyle name="Comma 6 2 4 2 5 2 2" xfId="30878" xr:uid="{28D9E8D1-42CE-45A1-85EB-98472FAAFB2A}"/>
    <cellStyle name="Comma 6 2 4 2 5 3" xfId="22206" xr:uid="{7DD7B8C8-C437-434D-BA95-62097238B94D}"/>
    <cellStyle name="Comma 6 2 4 2 6" xfId="9198" xr:uid="{C8913814-D5A7-488A-83A8-6F77F4A3DED8}"/>
    <cellStyle name="Comma 6 2 4 2 6 2" xfId="26542" xr:uid="{780997AB-1F69-4EA0-AA04-5220F977BA23}"/>
    <cellStyle name="Comma 6 2 4 2 7" xfId="17870" xr:uid="{02E2B642-EDB9-4BFB-9FAD-6B00611D115C}"/>
    <cellStyle name="Comma 6 2 4 3" xfId="797" xr:uid="{8FC35E57-850E-482A-9AB3-DC58C4585542}"/>
    <cellStyle name="Comma 6 2 4 3 2" xfId="1881" xr:uid="{A6A1273F-4E8B-4AF2-B24A-4E86E6D1E908}"/>
    <cellStyle name="Comma 6 2 4 3 2 2" xfId="4049" xr:uid="{136041CE-CF88-460E-8F85-106FB1AFAA43}"/>
    <cellStyle name="Comma 6 2 4 3 2 2 2" xfId="8385" xr:uid="{C70CB8A9-DC7A-4BA2-B88D-EBD5149BC13C}"/>
    <cellStyle name="Comma 6 2 4 3 2 2 2 2" xfId="17057" xr:uid="{E19E8B8D-3EC5-4D84-A854-106489E66745}"/>
    <cellStyle name="Comma 6 2 4 3 2 2 2 2 2" xfId="34401" xr:uid="{78CE4FC3-1649-4409-8843-B55893594F76}"/>
    <cellStyle name="Comma 6 2 4 3 2 2 2 3" xfId="25729" xr:uid="{D4FDCDB3-5FF6-477C-A918-B6A8D014AF1B}"/>
    <cellStyle name="Comma 6 2 4 3 2 2 3" xfId="12721" xr:uid="{BBD9DFEB-4791-4448-AD2A-2FF89672AC7B}"/>
    <cellStyle name="Comma 6 2 4 3 2 2 3 2" xfId="30065" xr:uid="{CE47D38A-807F-4DE8-B273-2C7FFFD80831}"/>
    <cellStyle name="Comma 6 2 4 3 2 2 4" xfId="21393" xr:uid="{DA6CD8FB-9431-490D-9FB4-8B89E1AB68CD}"/>
    <cellStyle name="Comma 6 2 4 3 2 3" xfId="6217" xr:uid="{509A6800-2839-4314-95D1-25CFB1B00080}"/>
    <cellStyle name="Comma 6 2 4 3 2 3 2" xfId="14889" xr:uid="{BBB21723-48F4-4B54-BEAD-0F9E5FD36419}"/>
    <cellStyle name="Comma 6 2 4 3 2 3 2 2" xfId="32233" xr:uid="{319C5C0A-2F20-430A-A5B4-5F12720FE0BB}"/>
    <cellStyle name="Comma 6 2 4 3 2 3 3" xfId="23561" xr:uid="{955E1E66-7B30-4D5B-B863-66BB19DC6875}"/>
    <cellStyle name="Comma 6 2 4 3 2 4" xfId="10553" xr:uid="{63F5866E-6F7B-490D-B53E-0FD9FE46A3F8}"/>
    <cellStyle name="Comma 6 2 4 3 2 4 2" xfId="27897" xr:uid="{7CC82342-58A9-4888-9CCB-32A7BDB0C574}"/>
    <cellStyle name="Comma 6 2 4 3 2 5" xfId="19225" xr:uid="{575E6BB7-CA4B-4046-9891-3581F2717DAA}"/>
    <cellStyle name="Comma 6 2 4 3 3" xfId="2965" xr:uid="{AA16CC7B-E38A-45CD-918E-35B4854ED1B3}"/>
    <cellStyle name="Comma 6 2 4 3 3 2" xfId="7301" xr:uid="{984FC6BC-A6F5-4521-975E-0EF1B29A14CC}"/>
    <cellStyle name="Comma 6 2 4 3 3 2 2" xfId="15973" xr:uid="{14AB28FC-0308-4311-8CE9-810D1B4E62C5}"/>
    <cellStyle name="Comma 6 2 4 3 3 2 2 2" xfId="33317" xr:uid="{AB56C0F5-0382-4C27-9792-072BDFDE3E1E}"/>
    <cellStyle name="Comma 6 2 4 3 3 2 3" xfId="24645" xr:uid="{D2E74EAB-EA4E-4389-90F4-A413FDE1B415}"/>
    <cellStyle name="Comma 6 2 4 3 3 3" xfId="11637" xr:uid="{FF593836-A5E1-4BCA-9606-1AD4EA241115}"/>
    <cellStyle name="Comma 6 2 4 3 3 3 2" xfId="28981" xr:uid="{569C7EC7-B4B9-41A5-BF5A-504169608B7A}"/>
    <cellStyle name="Comma 6 2 4 3 3 4" xfId="20309" xr:uid="{4E45276D-E636-42B5-9D85-BB57E82E299B}"/>
    <cellStyle name="Comma 6 2 4 3 4" xfId="5133" xr:uid="{0092885D-0C75-44F8-835D-586B758F3BAA}"/>
    <cellStyle name="Comma 6 2 4 3 4 2" xfId="13805" xr:uid="{36C09553-3D0E-49DC-BB1F-F07FF635930C}"/>
    <cellStyle name="Comma 6 2 4 3 4 2 2" xfId="31149" xr:uid="{D801E79D-4E1C-480B-B74D-01A4D307862F}"/>
    <cellStyle name="Comma 6 2 4 3 4 3" xfId="22477" xr:uid="{97D71E5E-0EB0-4358-9C9D-D10D2E5D1E29}"/>
    <cellStyle name="Comma 6 2 4 3 5" xfId="9469" xr:uid="{AE8626E8-0966-4900-A82D-0E9738EC3672}"/>
    <cellStyle name="Comma 6 2 4 3 5 2" xfId="26813" xr:uid="{1AF8DBEB-7CFD-4B62-A847-778E0C53D05E}"/>
    <cellStyle name="Comma 6 2 4 3 6" xfId="18141" xr:uid="{93C6AB01-3CC1-443C-A338-FB7638E6D5AA}"/>
    <cellStyle name="Comma 6 2 4 4" xfId="1340" xr:uid="{A08895F1-80AF-4B03-BD99-40B08D04D42B}"/>
    <cellStyle name="Comma 6 2 4 4 2" xfId="3508" xr:uid="{3763D75D-D413-4B4E-8E2B-4B7BC5E164E7}"/>
    <cellStyle name="Comma 6 2 4 4 2 2" xfId="7844" xr:uid="{24BC46F8-24D2-4EA6-9016-6742D14F7A02}"/>
    <cellStyle name="Comma 6 2 4 4 2 2 2" xfId="16516" xr:uid="{BBDEB498-89A0-47DE-A909-6EF9BD78FDDA}"/>
    <cellStyle name="Comma 6 2 4 4 2 2 2 2" xfId="33860" xr:uid="{9F20B179-52E4-4E75-9E0A-E65C032CC4F3}"/>
    <cellStyle name="Comma 6 2 4 4 2 2 3" xfId="25188" xr:uid="{AB64E938-F7D3-4801-954E-CD1C3BC222FD}"/>
    <cellStyle name="Comma 6 2 4 4 2 3" xfId="12180" xr:uid="{6281B46B-FCAC-4F37-B121-A3B32E8F98C7}"/>
    <cellStyle name="Comma 6 2 4 4 2 3 2" xfId="29524" xr:uid="{D1417668-322D-4E16-9885-77CD8381F9AA}"/>
    <cellStyle name="Comma 6 2 4 4 2 4" xfId="20852" xr:uid="{F25BF330-6988-4F1E-A480-52182E75CB51}"/>
    <cellStyle name="Comma 6 2 4 4 3" xfId="5676" xr:uid="{3DC59589-8738-450D-A9BC-5BFF12275E46}"/>
    <cellStyle name="Comma 6 2 4 4 3 2" xfId="14348" xr:uid="{274885AB-1546-4E5C-8544-035A1497EF7A}"/>
    <cellStyle name="Comma 6 2 4 4 3 2 2" xfId="31692" xr:uid="{6B98BDDA-8BD8-43B0-817E-3D8020077CB3}"/>
    <cellStyle name="Comma 6 2 4 4 3 3" xfId="23020" xr:uid="{847B2C66-429E-4419-A331-F6B36CE6C396}"/>
    <cellStyle name="Comma 6 2 4 4 4" xfId="10012" xr:uid="{E01A52EC-5665-451B-9AB2-C8999BDD31A1}"/>
    <cellStyle name="Comma 6 2 4 4 4 2" xfId="27356" xr:uid="{98D741CB-ACE0-4A4E-894D-C3912BEEBED6}"/>
    <cellStyle name="Comma 6 2 4 4 5" xfId="18684" xr:uid="{408E38D2-87D7-4189-8322-AC223E46B39B}"/>
    <cellStyle name="Comma 6 2 4 5" xfId="2424" xr:uid="{D835E79B-A296-4E42-A1E5-EF2136461592}"/>
    <cellStyle name="Comma 6 2 4 5 2" xfId="6760" xr:uid="{008419D9-03A0-4AC5-AC85-E72E4235B38D}"/>
    <cellStyle name="Comma 6 2 4 5 2 2" xfId="15432" xr:uid="{B4B3D0C6-47FE-4AE0-986A-809AF2FC480C}"/>
    <cellStyle name="Comma 6 2 4 5 2 2 2" xfId="32776" xr:uid="{E6A60097-BACB-43D9-8BE5-766446BCBCE8}"/>
    <cellStyle name="Comma 6 2 4 5 2 3" xfId="24104" xr:uid="{6A39A49F-E1F6-48D6-B6E7-176C5BD0CCFD}"/>
    <cellStyle name="Comma 6 2 4 5 3" xfId="11096" xr:uid="{B830E595-A825-41F1-89D3-859DFE4347F2}"/>
    <cellStyle name="Comma 6 2 4 5 3 2" xfId="28440" xr:uid="{2286082E-B1A7-4183-9B0C-7333352D57FF}"/>
    <cellStyle name="Comma 6 2 4 5 4" xfId="19768" xr:uid="{D9F357A2-DA91-4BAF-BC60-3323EA5D31F8}"/>
    <cellStyle name="Comma 6 2 4 6" xfId="4592" xr:uid="{980CE18F-E880-4C9F-9FAC-7433143E5A1A}"/>
    <cellStyle name="Comma 6 2 4 6 2" xfId="13264" xr:uid="{3D5A8D65-5D74-47E9-91C0-F90FF0202AE6}"/>
    <cellStyle name="Comma 6 2 4 6 2 2" xfId="30608" xr:uid="{4AA9DA1C-F994-40A6-8B0D-D7EE950D6A15}"/>
    <cellStyle name="Comma 6 2 4 6 3" xfId="21936" xr:uid="{6C14CB80-BD14-4349-891A-2CCF3BC7AB54}"/>
    <cellStyle name="Comma 6 2 4 7" xfId="8928" xr:uid="{341C2A67-6B05-4081-A4E3-ED693A0B43B2}"/>
    <cellStyle name="Comma 6 2 4 7 2" xfId="26272" xr:uid="{D8CADF28-F344-4475-9D2E-EF450E9B848D}"/>
    <cellStyle name="Comma 6 2 4 8" xfId="17600" xr:uid="{292FC831-961D-41D8-AEF7-AA3364B4ADB5}"/>
    <cellStyle name="Comma 6 2 5" xfId="294" xr:uid="{6FB4F3B5-1E83-48E5-8376-984D6AC11C66}"/>
    <cellStyle name="Comma 6 2 5 2" xfId="835" xr:uid="{0EFF156B-EBA8-439A-975F-76BCEA3D2C5F}"/>
    <cellStyle name="Comma 6 2 5 2 2" xfId="1919" xr:uid="{90801F88-6DBE-4529-A63E-1EE035A11477}"/>
    <cellStyle name="Comma 6 2 5 2 2 2" xfId="4087" xr:uid="{718A23F5-74D0-4B11-A832-BBEDB41478C0}"/>
    <cellStyle name="Comma 6 2 5 2 2 2 2" xfId="8423" xr:uid="{8A52F405-643F-4E5A-8244-495ED6ABD037}"/>
    <cellStyle name="Comma 6 2 5 2 2 2 2 2" xfId="17095" xr:uid="{951404B3-7F67-475A-A991-82EAD07C3EC4}"/>
    <cellStyle name="Comma 6 2 5 2 2 2 2 2 2" xfId="34439" xr:uid="{857A4104-4745-4F58-87A0-E277A0BA2B16}"/>
    <cellStyle name="Comma 6 2 5 2 2 2 2 3" xfId="25767" xr:uid="{05663255-FDD6-4805-AF80-ED7D4F5F7F08}"/>
    <cellStyle name="Comma 6 2 5 2 2 2 3" xfId="12759" xr:uid="{6E17EE3E-94B8-41A6-B709-EB0D093D2C16}"/>
    <cellStyle name="Comma 6 2 5 2 2 2 3 2" xfId="30103" xr:uid="{8046D155-6F1E-4285-9965-26B4B43B5F08}"/>
    <cellStyle name="Comma 6 2 5 2 2 2 4" xfId="21431" xr:uid="{15541FCF-A1A5-45DD-82A9-95701329BFB4}"/>
    <cellStyle name="Comma 6 2 5 2 2 3" xfId="6255" xr:uid="{33D5ABDF-6DEC-47F6-83DF-53408DE4FC88}"/>
    <cellStyle name="Comma 6 2 5 2 2 3 2" xfId="14927" xr:uid="{286DEE17-95FC-4A6A-A104-3E515E5DBECC}"/>
    <cellStyle name="Comma 6 2 5 2 2 3 2 2" xfId="32271" xr:uid="{823358B7-0F32-4BD0-9EB0-9935B4351F3C}"/>
    <cellStyle name="Comma 6 2 5 2 2 3 3" xfId="23599" xr:uid="{4DF37C64-0AD9-456E-9885-1E5A335EB3FA}"/>
    <cellStyle name="Comma 6 2 5 2 2 4" xfId="10591" xr:uid="{CB9067D7-1E26-4EBF-8D94-F85239E35A48}"/>
    <cellStyle name="Comma 6 2 5 2 2 4 2" xfId="27935" xr:uid="{7A23EBA1-F5E4-4AC0-8789-09B1CEEC7888}"/>
    <cellStyle name="Comma 6 2 5 2 2 5" xfId="19263" xr:uid="{442B78CF-E5FC-4408-A9DA-ECA242C34FDD}"/>
    <cellStyle name="Comma 6 2 5 2 3" xfId="3003" xr:uid="{627260AF-8354-44CC-BDF8-FE73A4C16E53}"/>
    <cellStyle name="Comma 6 2 5 2 3 2" xfId="7339" xr:uid="{697E699A-EAD5-40E3-856C-245254B1C6DE}"/>
    <cellStyle name="Comma 6 2 5 2 3 2 2" xfId="16011" xr:uid="{939A6A71-6D61-4E58-B096-FA88FC93C44D}"/>
    <cellStyle name="Comma 6 2 5 2 3 2 2 2" xfId="33355" xr:uid="{04E084D4-3C3C-4CC7-B688-C9A5A2687CCF}"/>
    <cellStyle name="Comma 6 2 5 2 3 2 3" xfId="24683" xr:uid="{55AE00AE-6597-409B-A105-2CF127726B49}"/>
    <cellStyle name="Comma 6 2 5 2 3 3" xfId="11675" xr:uid="{B2B36718-35F5-41D0-8244-08AE3AE4E591}"/>
    <cellStyle name="Comma 6 2 5 2 3 3 2" xfId="29019" xr:uid="{820A6380-BAD9-4D56-804A-788EC2A43C2B}"/>
    <cellStyle name="Comma 6 2 5 2 3 4" xfId="20347" xr:uid="{15D920E8-3370-440A-B541-2939910E4504}"/>
    <cellStyle name="Comma 6 2 5 2 4" xfId="5171" xr:uid="{4168D284-7C46-48FF-B9F7-81CAC2C88F11}"/>
    <cellStyle name="Comma 6 2 5 2 4 2" xfId="13843" xr:uid="{99EFD340-9E33-4CFA-B0DF-82A63AE84FF3}"/>
    <cellStyle name="Comma 6 2 5 2 4 2 2" xfId="31187" xr:uid="{7A4C97EF-0B9C-4068-BA1D-14FC95748FAF}"/>
    <cellStyle name="Comma 6 2 5 2 4 3" xfId="22515" xr:uid="{EC640F50-1FD2-448A-B40D-E7E422BE012E}"/>
    <cellStyle name="Comma 6 2 5 2 5" xfId="9507" xr:uid="{BFF2DCC6-AA29-4D0C-A11E-64444C7CCCEC}"/>
    <cellStyle name="Comma 6 2 5 2 5 2" xfId="26851" xr:uid="{8BAF8220-A89E-4B67-AA03-B15B35BB20DB}"/>
    <cellStyle name="Comma 6 2 5 2 6" xfId="18179" xr:uid="{85629737-E617-4EAB-9EE2-2171B6A66251}"/>
    <cellStyle name="Comma 6 2 5 3" xfId="1378" xr:uid="{AA4E4F99-FCD1-4BB5-B3B2-FE2CF86F86BE}"/>
    <cellStyle name="Comma 6 2 5 3 2" xfId="3546" xr:uid="{ACE9B5A5-6D5D-4752-BE60-EAD949DE8737}"/>
    <cellStyle name="Comma 6 2 5 3 2 2" xfId="7882" xr:uid="{164A69CE-286C-43BC-84CD-4C17E8188F53}"/>
    <cellStyle name="Comma 6 2 5 3 2 2 2" xfId="16554" xr:uid="{61946D4D-12F7-409F-97B6-128355AE73DA}"/>
    <cellStyle name="Comma 6 2 5 3 2 2 2 2" xfId="33898" xr:uid="{71D8DDE3-D80C-4B99-B8A0-8AB542693A5C}"/>
    <cellStyle name="Comma 6 2 5 3 2 2 3" xfId="25226" xr:uid="{2C45381C-A242-4423-9605-D2563A1ABE41}"/>
    <cellStyle name="Comma 6 2 5 3 2 3" xfId="12218" xr:uid="{A0F8F051-832E-4A9C-AED9-6ECD41CBC302}"/>
    <cellStyle name="Comma 6 2 5 3 2 3 2" xfId="29562" xr:uid="{EBFCD761-2887-41C2-BAC6-41A11AAF8107}"/>
    <cellStyle name="Comma 6 2 5 3 2 4" xfId="20890" xr:uid="{B5913133-F581-431F-B0B3-ADE8AB880F4D}"/>
    <cellStyle name="Comma 6 2 5 3 3" xfId="5714" xr:uid="{BE34F1E7-73D4-4E96-A0AE-AA8EAAA2C47B}"/>
    <cellStyle name="Comma 6 2 5 3 3 2" xfId="14386" xr:uid="{F3CC713C-13D1-4AD6-A1E8-AB6670D524C9}"/>
    <cellStyle name="Comma 6 2 5 3 3 2 2" xfId="31730" xr:uid="{61D7CA4D-34AA-48E2-87DB-B8B0AD0F8563}"/>
    <cellStyle name="Comma 6 2 5 3 3 3" xfId="23058" xr:uid="{DE945A29-2146-4201-9A5F-CDB27AD59487}"/>
    <cellStyle name="Comma 6 2 5 3 4" xfId="10050" xr:uid="{29AB05E0-E509-49A6-8AF3-5D45A71C241A}"/>
    <cellStyle name="Comma 6 2 5 3 4 2" xfId="27394" xr:uid="{EAB6850E-D657-4D69-A9A4-10024F98AA8F}"/>
    <cellStyle name="Comma 6 2 5 3 5" xfId="18722" xr:uid="{274F33D0-ADD6-42A6-BEAD-40D758803A90}"/>
    <cellStyle name="Comma 6 2 5 4" xfId="2462" xr:uid="{C8A20620-40D4-4792-948E-F91384B94E3C}"/>
    <cellStyle name="Comma 6 2 5 4 2" xfId="6798" xr:uid="{36003086-71E5-4431-926A-77DC6B524674}"/>
    <cellStyle name="Comma 6 2 5 4 2 2" xfId="15470" xr:uid="{DC0F2D6D-3E4E-48E5-99D8-B24C017C0823}"/>
    <cellStyle name="Comma 6 2 5 4 2 2 2" xfId="32814" xr:uid="{136B49B6-09A6-4FA5-9509-DF3E02B474AA}"/>
    <cellStyle name="Comma 6 2 5 4 2 3" xfId="24142" xr:uid="{FF244F9A-89B2-4D11-A887-78E7A6AB0E27}"/>
    <cellStyle name="Comma 6 2 5 4 3" xfId="11134" xr:uid="{105974D9-1EA6-498B-9B40-595FEBFD871E}"/>
    <cellStyle name="Comma 6 2 5 4 3 2" xfId="28478" xr:uid="{FCFA9BBC-492C-4452-BD9B-1C7580CEE2A0}"/>
    <cellStyle name="Comma 6 2 5 4 4" xfId="19806" xr:uid="{7B08E491-2A95-47C2-9842-453071DDA706}"/>
    <cellStyle name="Comma 6 2 5 5" xfId="4630" xr:uid="{E53326E7-3E66-4077-B307-B90EBB7E6D35}"/>
    <cellStyle name="Comma 6 2 5 5 2" xfId="13302" xr:uid="{E5F36C96-9A62-4879-9E69-996C190DF13B}"/>
    <cellStyle name="Comma 6 2 5 5 2 2" xfId="30646" xr:uid="{F8BBB928-A454-4605-AA44-8245A4BD9FB1}"/>
    <cellStyle name="Comma 6 2 5 5 3" xfId="21974" xr:uid="{7C6820CD-F127-4622-9DB1-4A2FE1C07A54}"/>
    <cellStyle name="Comma 6 2 5 6" xfId="8966" xr:uid="{D75895D5-6B1C-4EFD-9DB7-6A9469FC2AA3}"/>
    <cellStyle name="Comma 6 2 5 6 2" xfId="26310" xr:uid="{CFDA865A-0012-4904-9588-694182FB7830}"/>
    <cellStyle name="Comma 6 2 5 7" xfId="17638" xr:uid="{0D874DD1-EE39-4E06-A3EA-0EE0BAF046D2}"/>
    <cellStyle name="Comma 6 2 6" xfId="565" xr:uid="{83D7AC6C-EA54-499B-A461-60BBBEC6812F}"/>
    <cellStyle name="Comma 6 2 6 2" xfId="1649" xr:uid="{D18A19B7-6CB7-4E88-979D-22F0AE89214F}"/>
    <cellStyle name="Comma 6 2 6 2 2" xfId="3817" xr:uid="{C8964214-F40C-4012-84E9-7BE898ED6BC6}"/>
    <cellStyle name="Comma 6 2 6 2 2 2" xfId="8153" xr:uid="{9BD2ABE0-5D6F-4C1A-B595-F9F2BC07AB93}"/>
    <cellStyle name="Comma 6 2 6 2 2 2 2" xfId="16825" xr:uid="{9916BB12-4C1F-4497-847B-2DA25D77B91F}"/>
    <cellStyle name="Comma 6 2 6 2 2 2 2 2" xfId="34169" xr:uid="{872DD3B3-AC16-4088-AFEE-132F70F5DE52}"/>
    <cellStyle name="Comma 6 2 6 2 2 2 3" xfId="25497" xr:uid="{59CF5F1D-7F7F-494F-B170-4A515E223955}"/>
    <cellStyle name="Comma 6 2 6 2 2 3" xfId="12489" xr:uid="{3D1AA0AC-DB73-47BB-907F-10275A1AAAF4}"/>
    <cellStyle name="Comma 6 2 6 2 2 3 2" xfId="29833" xr:uid="{207DD218-2057-4B7E-A904-D5A97814F2C4}"/>
    <cellStyle name="Comma 6 2 6 2 2 4" xfId="21161" xr:uid="{F87CE3FC-5A58-4007-B733-DCEDE089531D}"/>
    <cellStyle name="Comma 6 2 6 2 3" xfId="5985" xr:uid="{39A65CE8-8CF0-4990-81F3-25111CB953F6}"/>
    <cellStyle name="Comma 6 2 6 2 3 2" xfId="14657" xr:uid="{1AAF3300-9D4D-463E-82D8-1E4B61B9C780}"/>
    <cellStyle name="Comma 6 2 6 2 3 2 2" xfId="32001" xr:uid="{88F7ED1D-332F-467C-A982-8191C96B9B6F}"/>
    <cellStyle name="Comma 6 2 6 2 3 3" xfId="23329" xr:uid="{1204E957-8220-49AD-8160-0C5000945C9C}"/>
    <cellStyle name="Comma 6 2 6 2 4" xfId="10321" xr:uid="{1EFE17BD-7D73-4C36-9B8D-ED67FC88253C}"/>
    <cellStyle name="Comma 6 2 6 2 4 2" xfId="27665" xr:uid="{9C7ABAB0-5977-4342-8FB6-759EC1DADF8A}"/>
    <cellStyle name="Comma 6 2 6 2 5" xfId="18993" xr:uid="{09A4A698-A8F0-4721-8291-3630A33C8924}"/>
    <cellStyle name="Comma 6 2 6 3" xfId="2733" xr:uid="{B1012BDB-0275-48B9-A1AE-51D2F2DB73F4}"/>
    <cellStyle name="Comma 6 2 6 3 2" xfId="7069" xr:uid="{48754558-1859-4391-94EA-EE8E4888A9DF}"/>
    <cellStyle name="Comma 6 2 6 3 2 2" xfId="15741" xr:uid="{1C9928D3-8B5E-442C-AF2D-19462A6819CA}"/>
    <cellStyle name="Comma 6 2 6 3 2 2 2" xfId="33085" xr:uid="{121700C2-4AE2-4B94-8A0E-6120CD190F64}"/>
    <cellStyle name="Comma 6 2 6 3 2 3" xfId="24413" xr:uid="{9A8B8DC4-E806-43D0-8619-AA6954B0FEAA}"/>
    <cellStyle name="Comma 6 2 6 3 3" xfId="11405" xr:uid="{94416B19-DC78-4C77-92B8-8250893F4221}"/>
    <cellStyle name="Comma 6 2 6 3 3 2" xfId="28749" xr:uid="{1E38A232-BB9D-459C-87C0-74283F64D4CA}"/>
    <cellStyle name="Comma 6 2 6 3 4" xfId="20077" xr:uid="{32A7218F-247A-4B2E-BAB2-A7C3B871DB6D}"/>
    <cellStyle name="Comma 6 2 6 4" xfId="4901" xr:uid="{9B55A1F9-6177-48A7-9E00-84F7A1395B38}"/>
    <cellStyle name="Comma 6 2 6 4 2" xfId="13573" xr:uid="{B8B73268-CDDF-4598-93B9-C1E320842A7C}"/>
    <cellStyle name="Comma 6 2 6 4 2 2" xfId="30917" xr:uid="{8A7FCFA0-9E2A-4429-A6F7-6BBB23C898DC}"/>
    <cellStyle name="Comma 6 2 6 4 3" xfId="22245" xr:uid="{87B61B82-8B05-4E5B-940B-60FBABB86D19}"/>
    <cellStyle name="Comma 6 2 6 5" xfId="9237" xr:uid="{44BF8658-097E-4819-B73F-BF65FA8A277C}"/>
    <cellStyle name="Comma 6 2 6 5 2" xfId="26581" xr:uid="{61A0BD22-1737-4064-A6F7-E6758CCF4D9B}"/>
    <cellStyle name="Comma 6 2 6 6" xfId="17909" xr:uid="{F92EB5CC-85C4-41F1-A25A-F2218BD4A867}"/>
    <cellStyle name="Comma 6 2 7" xfId="1108" xr:uid="{93B7A865-F921-49AB-88F8-4221E13D597F}"/>
    <cellStyle name="Comma 6 2 7 2" xfId="3276" xr:uid="{7E1285AC-EF52-4C0C-B80C-D91D5C4F4C54}"/>
    <cellStyle name="Comma 6 2 7 2 2" xfId="7612" xr:uid="{F70C87DF-6F67-498A-86EC-B2E3D523539A}"/>
    <cellStyle name="Comma 6 2 7 2 2 2" xfId="16284" xr:uid="{8F8B715C-9E08-48A4-B54A-E85099870B3F}"/>
    <cellStyle name="Comma 6 2 7 2 2 2 2" xfId="33628" xr:uid="{C16C16DC-612F-4624-9F67-436A6FB0F362}"/>
    <cellStyle name="Comma 6 2 7 2 2 3" xfId="24956" xr:uid="{ACF480CC-AB15-48BA-B58B-92C41B6A5C7B}"/>
    <cellStyle name="Comma 6 2 7 2 3" xfId="11948" xr:uid="{57C5E272-562F-4E2A-8A6C-4AAC654887EE}"/>
    <cellStyle name="Comma 6 2 7 2 3 2" xfId="29292" xr:uid="{B791927F-C754-4D73-9923-1E4B61F3AF24}"/>
    <cellStyle name="Comma 6 2 7 2 4" xfId="20620" xr:uid="{18985B28-4E63-4C07-AC03-914B65B0565C}"/>
    <cellStyle name="Comma 6 2 7 3" xfId="5444" xr:uid="{2F2936E3-1642-43C0-A84C-75814E8C5929}"/>
    <cellStyle name="Comma 6 2 7 3 2" xfId="14116" xr:uid="{78D08FD0-02BC-404A-8BF6-90C7416CE1A8}"/>
    <cellStyle name="Comma 6 2 7 3 2 2" xfId="31460" xr:uid="{6C821BF2-5DBB-4353-89C7-A12AB7B9920C}"/>
    <cellStyle name="Comma 6 2 7 3 3" xfId="22788" xr:uid="{63C4D6E0-F1C0-4B36-9FC2-C593D2F7FB8A}"/>
    <cellStyle name="Comma 6 2 7 4" xfId="9780" xr:uid="{3076ACC3-9797-49D3-8123-CF2C2281CFF0}"/>
    <cellStyle name="Comma 6 2 7 4 2" xfId="27124" xr:uid="{FFFC4647-59F0-421C-A44E-5877C6E64A2C}"/>
    <cellStyle name="Comma 6 2 7 5" xfId="18452" xr:uid="{2E60C787-D823-4CEB-A92C-467609D07436}"/>
    <cellStyle name="Comma 6 2 8" xfId="2192" xr:uid="{FCAB31B7-BD54-4223-B609-171713D8F1F1}"/>
    <cellStyle name="Comma 6 2 8 2" xfId="6528" xr:uid="{9F626F11-A4DF-41A6-A33C-EB6ADC28CC74}"/>
    <cellStyle name="Comma 6 2 8 2 2" xfId="15200" xr:uid="{BAB00F93-7A3B-48CE-8F67-F06CE8976829}"/>
    <cellStyle name="Comma 6 2 8 2 2 2" xfId="32544" xr:uid="{931F5C74-7102-42A5-A2FC-60942C2D2207}"/>
    <cellStyle name="Comma 6 2 8 2 3" xfId="23872" xr:uid="{2F882B5D-F4B8-4A29-B5D8-837B52873D7E}"/>
    <cellStyle name="Comma 6 2 8 3" xfId="10864" xr:uid="{0A4B4ECE-3CE9-4B4C-8492-D6B6DE3A91C8}"/>
    <cellStyle name="Comma 6 2 8 3 2" xfId="28208" xr:uid="{C3A5A2BF-8CA6-4655-9455-3C15BBAF493B}"/>
    <cellStyle name="Comma 6 2 8 4" xfId="19536" xr:uid="{A6A5771D-3722-466F-9C5F-09873E8E3990}"/>
    <cellStyle name="Comma 6 2 9" xfId="4360" xr:uid="{D2E8A220-6D5A-4376-82FC-9D6F5FBA27FA}"/>
    <cellStyle name="Comma 6 2 9 2" xfId="13032" xr:uid="{63ED79FA-039C-48FF-974D-967DC9E2F3E1}"/>
    <cellStyle name="Comma 6 2 9 2 2" xfId="30376" xr:uid="{3E1F12E8-B64A-4A25-BC13-3D858D63BC99}"/>
    <cellStyle name="Comma 6 2 9 3" xfId="21704" xr:uid="{881EC369-1EEC-4E34-8FF5-99735A775BB3}"/>
    <cellStyle name="Comma 6 3" xfId="35" xr:uid="{B11A02A8-E6D9-40D4-99D9-941F6B32B058}"/>
    <cellStyle name="Comma 6 3 10" xfId="8707" xr:uid="{9519C23B-7D6C-4956-8F92-95E5D4F0E2BE}"/>
    <cellStyle name="Comma 6 3 10 2" xfId="26051" xr:uid="{0E5EB3CA-1A7B-4C3C-A4A5-6E593B3C012D}"/>
    <cellStyle name="Comma 6 3 11" xfId="17379" xr:uid="{F90D02F4-0AA5-41AB-AA91-0FA31A17C204}"/>
    <cellStyle name="Comma 6 3 2" xfId="96" xr:uid="{E8A5E250-64CF-4671-BED2-5EAAAD0168F4}"/>
    <cellStyle name="Comma 6 3 2 2" xfId="218" xr:uid="{5C4C7539-8C1A-4223-B93B-EF9151144A19}"/>
    <cellStyle name="Comma 6 3 2 2 2" xfId="488" xr:uid="{5AA3649A-B0D5-44DE-A8B8-4E39CCA28E65}"/>
    <cellStyle name="Comma 6 3 2 2 2 2" xfId="1029" xr:uid="{14014C01-5EE4-4F0F-8CF6-E905CD062566}"/>
    <cellStyle name="Comma 6 3 2 2 2 2 2" xfId="2113" xr:uid="{3AAA9E2A-07A2-4D6B-84B0-86F222AD61EA}"/>
    <cellStyle name="Comma 6 3 2 2 2 2 2 2" xfId="4281" xr:uid="{E93E6A41-67E3-43C4-B2AA-C923FE3F3519}"/>
    <cellStyle name="Comma 6 3 2 2 2 2 2 2 2" xfId="8617" xr:uid="{C4124C11-B855-494E-B16D-F889DEFC02CB}"/>
    <cellStyle name="Comma 6 3 2 2 2 2 2 2 2 2" xfId="17289" xr:uid="{F189CF3A-BDF8-4CB6-8A9B-AB743E2ED175}"/>
    <cellStyle name="Comma 6 3 2 2 2 2 2 2 2 2 2" xfId="34633" xr:uid="{3C57062C-0FD6-40F8-941D-C1759394A85D}"/>
    <cellStyle name="Comma 6 3 2 2 2 2 2 2 2 3" xfId="25961" xr:uid="{E81B26D4-1482-4D24-8766-EB6101AA23FB}"/>
    <cellStyle name="Comma 6 3 2 2 2 2 2 2 3" xfId="12953" xr:uid="{608C4B70-347A-490A-8EDF-256F9D5F53B1}"/>
    <cellStyle name="Comma 6 3 2 2 2 2 2 2 3 2" xfId="30297" xr:uid="{CB4D8B28-F928-402A-875D-EE78E52A9C1A}"/>
    <cellStyle name="Comma 6 3 2 2 2 2 2 2 4" xfId="21625" xr:uid="{ED882EE0-63B4-4E4B-BB6E-0FD9F7CFFC56}"/>
    <cellStyle name="Comma 6 3 2 2 2 2 2 3" xfId="6449" xr:uid="{A471C007-DF5C-43E7-A42C-307ECA2E92E9}"/>
    <cellStyle name="Comma 6 3 2 2 2 2 2 3 2" xfId="15121" xr:uid="{42B14CE5-E223-4EB9-A589-72590509DFCF}"/>
    <cellStyle name="Comma 6 3 2 2 2 2 2 3 2 2" xfId="32465" xr:uid="{698046C2-CBA8-4CBF-919B-EB22A1C70AB8}"/>
    <cellStyle name="Comma 6 3 2 2 2 2 2 3 3" xfId="23793" xr:uid="{9604C745-1BB3-4D8B-8DD8-909555752E34}"/>
    <cellStyle name="Comma 6 3 2 2 2 2 2 4" xfId="10785" xr:uid="{5E96F408-09FB-4A21-AE6A-9B3BE4FCB18F}"/>
    <cellStyle name="Comma 6 3 2 2 2 2 2 4 2" xfId="28129" xr:uid="{799511F9-BFD9-427A-B93C-679B3FF85E00}"/>
    <cellStyle name="Comma 6 3 2 2 2 2 2 5" xfId="19457" xr:uid="{A2CC39DC-E53A-4501-963D-58526D9A48D6}"/>
    <cellStyle name="Comma 6 3 2 2 2 2 3" xfId="3197" xr:uid="{D75A25F5-CD96-4786-9AE8-876C5AFB966E}"/>
    <cellStyle name="Comma 6 3 2 2 2 2 3 2" xfId="7533" xr:uid="{D12AA33A-FB8C-4742-9F5C-CC0EBA2F6E13}"/>
    <cellStyle name="Comma 6 3 2 2 2 2 3 2 2" xfId="16205" xr:uid="{8E072A03-F1FC-4984-8F20-849E5A30DE6B}"/>
    <cellStyle name="Comma 6 3 2 2 2 2 3 2 2 2" xfId="33549" xr:uid="{4583490D-9279-49EA-B540-B6EFDF8BE2E8}"/>
    <cellStyle name="Comma 6 3 2 2 2 2 3 2 3" xfId="24877" xr:uid="{9DC4ED41-228C-4698-A2BB-C7F3F88AB95D}"/>
    <cellStyle name="Comma 6 3 2 2 2 2 3 3" xfId="11869" xr:uid="{561D5D9A-4918-4BB8-9DBE-3BE4C23C9EB9}"/>
    <cellStyle name="Comma 6 3 2 2 2 2 3 3 2" xfId="29213" xr:uid="{AAF97688-81E5-4E2C-A9FE-FD35AAA7D437}"/>
    <cellStyle name="Comma 6 3 2 2 2 2 3 4" xfId="20541" xr:uid="{817B76C2-4140-4430-80E9-52EA46BDFD36}"/>
    <cellStyle name="Comma 6 3 2 2 2 2 4" xfId="5365" xr:uid="{06AE4C2B-F6F4-484D-88FC-6D905C7239E0}"/>
    <cellStyle name="Comma 6 3 2 2 2 2 4 2" xfId="14037" xr:uid="{F458891F-89B0-439B-9FC6-C376BAAD2534}"/>
    <cellStyle name="Comma 6 3 2 2 2 2 4 2 2" xfId="31381" xr:uid="{3C9DDE55-8C9D-48BF-86F5-F2FCFBB76CEF}"/>
    <cellStyle name="Comma 6 3 2 2 2 2 4 3" xfId="22709" xr:uid="{8C350173-62D2-465A-B461-41DB69158465}"/>
    <cellStyle name="Comma 6 3 2 2 2 2 5" xfId="9701" xr:uid="{7C97048F-B2FD-4B43-A430-3396D6628821}"/>
    <cellStyle name="Comma 6 3 2 2 2 2 5 2" xfId="27045" xr:uid="{71A90C97-F03A-4864-A3FC-98A86F60E5E3}"/>
    <cellStyle name="Comma 6 3 2 2 2 2 6" xfId="18373" xr:uid="{52194C67-3733-4D80-A3F4-181B5DD9BC4F}"/>
    <cellStyle name="Comma 6 3 2 2 2 3" xfId="1572" xr:uid="{35AB537F-2102-4102-B49E-8AF3A9035B13}"/>
    <cellStyle name="Comma 6 3 2 2 2 3 2" xfId="3740" xr:uid="{3290357B-8742-47EB-A9E8-74D47F8EA9B5}"/>
    <cellStyle name="Comma 6 3 2 2 2 3 2 2" xfId="8076" xr:uid="{D0AD9080-9CFE-471C-8428-F4D1044075C1}"/>
    <cellStyle name="Comma 6 3 2 2 2 3 2 2 2" xfId="16748" xr:uid="{C82CF2EE-324D-41B6-96AB-2967FA15FA72}"/>
    <cellStyle name="Comma 6 3 2 2 2 3 2 2 2 2" xfId="34092" xr:uid="{BDD9AA94-D384-4429-AF7B-BF6E1B61808F}"/>
    <cellStyle name="Comma 6 3 2 2 2 3 2 2 3" xfId="25420" xr:uid="{693E81E7-A1C8-48F6-8333-485C3D69073A}"/>
    <cellStyle name="Comma 6 3 2 2 2 3 2 3" xfId="12412" xr:uid="{0052F46D-E224-464F-A9B8-C942FA941189}"/>
    <cellStyle name="Comma 6 3 2 2 2 3 2 3 2" xfId="29756" xr:uid="{E7D4D895-8813-4802-B6F2-3465A71BADC2}"/>
    <cellStyle name="Comma 6 3 2 2 2 3 2 4" xfId="21084" xr:uid="{F6F5C823-C461-4BFC-A18C-CA15A602A3FB}"/>
    <cellStyle name="Comma 6 3 2 2 2 3 3" xfId="5908" xr:uid="{4AD0696F-A7F0-4F06-9700-6E3FDDD9B049}"/>
    <cellStyle name="Comma 6 3 2 2 2 3 3 2" xfId="14580" xr:uid="{A5E61F6B-D738-4D66-A7A2-BAD8AA430BF4}"/>
    <cellStyle name="Comma 6 3 2 2 2 3 3 2 2" xfId="31924" xr:uid="{91C932A6-B2C7-4102-999F-CBCA81F135FD}"/>
    <cellStyle name="Comma 6 3 2 2 2 3 3 3" xfId="23252" xr:uid="{603336F1-090F-4CE9-9205-19BBA3771A63}"/>
    <cellStyle name="Comma 6 3 2 2 2 3 4" xfId="10244" xr:uid="{ECBD851C-AB11-4DC2-8962-235DDCDC52FB}"/>
    <cellStyle name="Comma 6 3 2 2 2 3 4 2" xfId="27588" xr:uid="{84E79F6B-660E-4D8E-B92F-71602FAF4DDE}"/>
    <cellStyle name="Comma 6 3 2 2 2 3 5" xfId="18916" xr:uid="{72096B9C-FFB7-4104-B414-5A5EE7C8FFF4}"/>
    <cellStyle name="Comma 6 3 2 2 2 4" xfId="2656" xr:uid="{D96EDB25-5C8D-447C-8421-6BB627719667}"/>
    <cellStyle name="Comma 6 3 2 2 2 4 2" xfId="6992" xr:uid="{69A4A68B-3B8F-490E-97FC-DD585419A465}"/>
    <cellStyle name="Comma 6 3 2 2 2 4 2 2" xfId="15664" xr:uid="{898FE786-F757-4226-93EE-485192C5323D}"/>
    <cellStyle name="Comma 6 3 2 2 2 4 2 2 2" xfId="33008" xr:uid="{4AA7B493-8347-4BFF-B278-A0BBFE1DDAF4}"/>
    <cellStyle name="Comma 6 3 2 2 2 4 2 3" xfId="24336" xr:uid="{5464CA74-90D3-440D-A60D-F4D3221D34F9}"/>
    <cellStyle name="Comma 6 3 2 2 2 4 3" xfId="11328" xr:uid="{952B06AA-CBD3-4B29-8B7D-81CDE7DA7A8D}"/>
    <cellStyle name="Comma 6 3 2 2 2 4 3 2" xfId="28672" xr:uid="{CB1ACA6A-1B1F-4D1A-8A30-7BC478415EB7}"/>
    <cellStyle name="Comma 6 3 2 2 2 4 4" xfId="20000" xr:uid="{4D338DE0-06D7-4569-825D-AB307FC27D99}"/>
    <cellStyle name="Comma 6 3 2 2 2 5" xfId="4824" xr:uid="{1B9BEEE5-F09E-4C88-BCF2-EE290F26535A}"/>
    <cellStyle name="Comma 6 3 2 2 2 5 2" xfId="13496" xr:uid="{34EC58CC-4930-46F3-8FF8-FF9569C0C6E0}"/>
    <cellStyle name="Comma 6 3 2 2 2 5 2 2" xfId="30840" xr:uid="{F402ED56-FC3E-4086-A995-84DD6A35F3F2}"/>
    <cellStyle name="Comma 6 3 2 2 2 5 3" xfId="22168" xr:uid="{BE19B189-CCE9-4486-B23B-0C04873C215C}"/>
    <cellStyle name="Comma 6 3 2 2 2 6" xfId="9160" xr:uid="{69FB6BD4-4687-48D2-BCA5-5A046C434AC6}"/>
    <cellStyle name="Comma 6 3 2 2 2 6 2" xfId="26504" xr:uid="{C84D56EF-B717-45A4-8416-899675527F2A}"/>
    <cellStyle name="Comma 6 3 2 2 2 7" xfId="17832" xr:uid="{D36DF522-6A6D-467F-B93D-AB1B936F569C}"/>
    <cellStyle name="Comma 6 3 2 2 3" xfId="759" xr:uid="{DE8C7B49-73E3-461E-A512-8CDE07A4186B}"/>
    <cellStyle name="Comma 6 3 2 2 3 2" xfId="1843" xr:uid="{8FB812D0-0504-4C3E-88B1-153059C0E888}"/>
    <cellStyle name="Comma 6 3 2 2 3 2 2" xfId="4011" xr:uid="{3EBFF8E8-03C6-4D72-8A48-E545BF8B993F}"/>
    <cellStyle name="Comma 6 3 2 2 3 2 2 2" xfId="8347" xr:uid="{70BAC7C0-CAD4-4F9E-989E-929FBB20EF39}"/>
    <cellStyle name="Comma 6 3 2 2 3 2 2 2 2" xfId="17019" xr:uid="{AB08C492-E7B7-471A-8C56-43E7C6F99838}"/>
    <cellStyle name="Comma 6 3 2 2 3 2 2 2 2 2" xfId="34363" xr:uid="{42F36BB6-F102-4BAB-80C1-F2A3FA669C9A}"/>
    <cellStyle name="Comma 6 3 2 2 3 2 2 2 3" xfId="25691" xr:uid="{DFFE576B-064C-46A5-8507-5364F143E7B3}"/>
    <cellStyle name="Comma 6 3 2 2 3 2 2 3" xfId="12683" xr:uid="{8FC0A962-B2DC-4125-8BC1-2A22C22F395A}"/>
    <cellStyle name="Comma 6 3 2 2 3 2 2 3 2" xfId="30027" xr:uid="{EC70745B-17EF-4FCF-8C21-5C3FDAD06877}"/>
    <cellStyle name="Comma 6 3 2 2 3 2 2 4" xfId="21355" xr:uid="{69EA3417-ACD7-4B45-8F8C-64D8DC6543BA}"/>
    <cellStyle name="Comma 6 3 2 2 3 2 3" xfId="6179" xr:uid="{ABDF9CAC-AAF8-4068-80DD-E8F6E2ECB2E5}"/>
    <cellStyle name="Comma 6 3 2 2 3 2 3 2" xfId="14851" xr:uid="{724E7420-179A-43B0-90E3-FC2990B2124E}"/>
    <cellStyle name="Comma 6 3 2 2 3 2 3 2 2" xfId="32195" xr:uid="{F951B711-A42F-4346-A89F-5FD7602D971E}"/>
    <cellStyle name="Comma 6 3 2 2 3 2 3 3" xfId="23523" xr:uid="{D2348738-DB95-4AD0-BF7F-47B5D6462D87}"/>
    <cellStyle name="Comma 6 3 2 2 3 2 4" xfId="10515" xr:uid="{9C88239C-3AE8-4DBD-B0A6-77EFF1BEE32C}"/>
    <cellStyle name="Comma 6 3 2 2 3 2 4 2" xfId="27859" xr:uid="{7720E113-BBA3-4190-8FBC-E8C64CD4BCC7}"/>
    <cellStyle name="Comma 6 3 2 2 3 2 5" xfId="19187" xr:uid="{920FA626-9EB9-41CC-A3E5-B22C75644F8F}"/>
    <cellStyle name="Comma 6 3 2 2 3 3" xfId="2927" xr:uid="{1C307E48-A31B-4555-8B42-7C9FE0F5ADDA}"/>
    <cellStyle name="Comma 6 3 2 2 3 3 2" xfId="7263" xr:uid="{58C9C000-3601-46C3-950D-E4AD84383477}"/>
    <cellStyle name="Comma 6 3 2 2 3 3 2 2" xfId="15935" xr:uid="{F5FE08AD-6133-471F-B1E0-232AD3CEAF6D}"/>
    <cellStyle name="Comma 6 3 2 2 3 3 2 2 2" xfId="33279" xr:uid="{89447455-A102-4CE1-B2CA-7A30476B80BB}"/>
    <cellStyle name="Comma 6 3 2 2 3 3 2 3" xfId="24607" xr:uid="{1AE2FB9A-DDA1-43AD-AC39-F77E9A7698CA}"/>
    <cellStyle name="Comma 6 3 2 2 3 3 3" xfId="11599" xr:uid="{F811EA33-A6CB-4FA6-83BF-22FE732BC744}"/>
    <cellStyle name="Comma 6 3 2 2 3 3 3 2" xfId="28943" xr:uid="{0837D838-5750-41D1-B1A5-17C332599C18}"/>
    <cellStyle name="Comma 6 3 2 2 3 3 4" xfId="20271" xr:uid="{55028F2B-BBA9-40E2-A99C-0D2D39D4B5F5}"/>
    <cellStyle name="Comma 6 3 2 2 3 4" xfId="5095" xr:uid="{A22146BD-10F6-46CC-803A-8BA6ECBC6A70}"/>
    <cellStyle name="Comma 6 3 2 2 3 4 2" xfId="13767" xr:uid="{C8166BA5-CA4D-4AA3-9AF6-C075EA9CC123}"/>
    <cellStyle name="Comma 6 3 2 2 3 4 2 2" xfId="31111" xr:uid="{851DD38D-1400-42E7-AC7B-94FA6F4249C3}"/>
    <cellStyle name="Comma 6 3 2 2 3 4 3" xfId="22439" xr:uid="{C144E455-7240-4DD6-9BB6-48C5B6FF57E4}"/>
    <cellStyle name="Comma 6 3 2 2 3 5" xfId="9431" xr:uid="{A59E8418-BF71-4606-AFFA-936911BA2A3C}"/>
    <cellStyle name="Comma 6 3 2 2 3 5 2" xfId="26775" xr:uid="{D2D01D74-9F59-4415-92EF-A6BDF0286905}"/>
    <cellStyle name="Comma 6 3 2 2 3 6" xfId="18103" xr:uid="{E726F2EC-7428-41CC-BE90-99D0FAEA6387}"/>
    <cellStyle name="Comma 6 3 2 2 4" xfId="1302" xr:uid="{8ACA127B-C5F3-4968-9114-79224C518775}"/>
    <cellStyle name="Comma 6 3 2 2 4 2" xfId="3470" xr:uid="{0234442A-ADC5-4A59-BD1A-71915AD1C87E}"/>
    <cellStyle name="Comma 6 3 2 2 4 2 2" xfId="7806" xr:uid="{9024C288-8189-4D85-A6FC-EC74D41430A8}"/>
    <cellStyle name="Comma 6 3 2 2 4 2 2 2" xfId="16478" xr:uid="{BA46BC3F-92C4-4C5A-A05F-9703BD498F77}"/>
    <cellStyle name="Comma 6 3 2 2 4 2 2 2 2" xfId="33822" xr:uid="{FAE4C378-2D4B-49BE-B7D3-8A0DB9A6E667}"/>
    <cellStyle name="Comma 6 3 2 2 4 2 2 3" xfId="25150" xr:uid="{9AB46352-D4D2-4A8C-9982-9B1D0F40D82D}"/>
    <cellStyle name="Comma 6 3 2 2 4 2 3" xfId="12142" xr:uid="{20C77367-0C9C-4371-9806-6DD14E997674}"/>
    <cellStyle name="Comma 6 3 2 2 4 2 3 2" xfId="29486" xr:uid="{8CC83065-90EE-42EC-899F-CD8419CBF362}"/>
    <cellStyle name="Comma 6 3 2 2 4 2 4" xfId="20814" xr:uid="{82843CE2-E636-42B9-AB40-FA8CA272FA9E}"/>
    <cellStyle name="Comma 6 3 2 2 4 3" xfId="5638" xr:uid="{18FC86E3-5581-4F5F-9816-EE7193C507B8}"/>
    <cellStyle name="Comma 6 3 2 2 4 3 2" xfId="14310" xr:uid="{DF775FDC-8BFF-4700-BE89-9E7EC2E61CF3}"/>
    <cellStyle name="Comma 6 3 2 2 4 3 2 2" xfId="31654" xr:uid="{3C3C6C87-5E40-4E47-96E2-3ACEAC85ADEF}"/>
    <cellStyle name="Comma 6 3 2 2 4 3 3" xfId="22982" xr:uid="{3F7F6EE0-A463-4FBC-A4E1-A7B2C9FDB45C}"/>
    <cellStyle name="Comma 6 3 2 2 4 4" xfId="9974" xr:uid="{2F06AED0-C1FE-4FE4-A071-BEA295F98B98}"/>
    <cellStyle name="Comma 6 3 2 2 4 4 2" xfId="27318" xr:uid="{9648E4AA-39EC-4BE9-9899-751F32B4F94B}"/>
    <cellStyle name="Comma 6 3 2 2 4 5" xfId="18646" xr:uid="{54AF88B7-71ED-4E78-A9D9-15D7C61AB1C8}"/>
    <cellStyle name="Comma 6 3 2 2 5" xfId="2386" xr:uid="{F45321C7-180D-4618-B8CA-976CDD0680A5}"/>
    <cellStyle name="Comma 6 3 2 2 5 2" xfId="6722" xr:uid="{F3D2618D-9A98-4576-B53B-E996520F5B22}"/>
    <cellStyle name="Comma 6 3 2 2 5 2 2" xfId="15394" xr:uid="{48DF3162-B414-409A-8602-F2070E5B974B}"/>
    <cellStyle name="Comma 6 3 2 2 5 2 2 2" xfId="32738" xr:uid="{46CB441F-0C10-4E70-A1C9-32E786985AFC}"/>
    <cellStyle name="Comma 6 3 2 2 5 2 3" xfId="24066" xr:uid="{7D63D0F4-2D7F-4977-88D3-CA46E09D1124}"/>
    <cellStyle name="Comma 6 3 2 2 5 3" xfId="11058" xr:uid="{387E222B-3D56-4F36-A08F-A673DB7948EE}"/>
    <cellStyle name="Comma 6 3 2 2 5 3 2" xfId="28402" xr:uid="{EDFAB7C2-8703-499C-AB50-D1C84DFE47C6}"/>
    <cellStyle name="Comma 6 3 2 2 5 4" xfId="19730" xr:uid="{9ECF2D81-F25C-43D7-8A4D-C6D094FCB2F2}"/>
    <cellStyle name="Comma 6 3 2 2 6" xfId="4554" xr:uid="{6AB62A4E-EDFD-4F69-A522-E096FFC52681}"/>
    <cellStyle name="Comma 6 3 2 2 6 2" xfId="13226" xr:uid="{C4DCCD55-48C4-4871-89A8-E81FBAF571C5}"/>
    <cellStyle name="Comma 6 3 2 2 6 2 2" xfId="30570" xr:uid="{289CE5AE-9C16-4812-865E-D783490595A3}"/>
    <cellStyle name="Comma 6 3 2 2 6 3" xfId="21898" xr:uid="{F7466672-34FB-4BE7-93A5-9418E5CB4449}"/>
    <cellStyle name="Comma 6 3 2 2 7" xfId="8890" xr:uid="{04B5BFEE-B3F9-417B-874A-045968925445}"/>
    <cellStyle name="Comma 6 3 2 2 7 2" xfId="26234" xr:uid="{9570C3D0-453A-41CF-AE22-356E2F6F787A}"/>
    <cellStyle name="Comma 6 3 2 2 8" xfId="17562" xr:uid="{9828F517-A613-4F99-B046-534AD16EDABB}"/>
    <cellStyle name="Comma 6 3 2 3" xfId="366" xr:uid="{0804C3C7-ED12-4F5C-9EA7-31CB649D1DB9}"/>
    <cellStyle name="Comma 6 3 2 3 2" xfId="907" xr:uid="{101026E8-8808-4C2A-B302-BB8B22E4DE0A}"/>
    <cellStyle name="Comma 6 3 2 3 2 2" xfId="1991" xr:uid="{C7FBC81A-7D6E-434E-B002-ED2D9A5F4856}"/>
    <cellStyle name="Comma 6 3 2 3 2 2 2" xfId="4159" xr:uid="{B19BB33D-7BB3-42C6-A4F2-CEBB70C42F26}"/>
    <cellStyle name="Comma 6 3 2 3 2 2 2 2" xfId="8495" xr:uid="{E753BF6B-6558-4464-A9CC-4C88993B019C}"/>
    <cellStyle name="Comma 6 3 2 3 2 2 2 2 2" xfId="17167" xr:uid="{A0C7EAB6-EF1B-4A16-AA73-40E1ECDA436D}"/>
    <cellStyle name="Comma 6 3 2 3 2 2 2 2 2 2" xfId="34511" xr:uid="{DD35B9D0-E126-40DE-A36F-BF55A69C689A}"/>
    <cellStyle name="Comma 6 3 2 3 2 2 2 2 3" xfId="25839" xr:uid="{EDC8375F-EDA3-4993-9C75-271B79A9BEE4}"/>
    <cellStyle name="Comma 6 3 2 3 2 2 2 3" xfId="12831" xr:uid="{80FB2EDC-4D3D-4F8F-B7C6-24CC27D9AC7B}"/>
    <cellStyle name="Comma 6 3 2 3 2 2 2 3 2" xfId="30175" xr:uid="{E145D70F-A8BC-412C-9B10-399DD2E691CA}"/>
    <cellStyle name="Comma 6 3 2 3 2 2 2 4" xfId="21503" xr:uid="{B52FA186-FD9F-4808-A558-4E60AB354271}"/>
    <cellStyle name="Comma 6 3 2 3 2 2 3" xfId="6327" xr:uid="{32410259-7C32-4935-87EC-45CBE86079D3}"/>
    <cellStyle name="Comma 6 3 2 3 2 2 3 2" xfId="14999" xr:uid="{75A34A6A-0778-4973-B7CC-1415FF05A0B2}"/>
    <cellStyle name="Comma 6 3 2 3 2 2 3 2 2" xfId="32343" xr:uid="{D838C141-DF11-4471-BD3F-AB2A3E5E4613}"/>
    <cellStyle name="Comma 6 3 2 3 2 2 3 3" xfId="23671" xr:uid="{9F697CA4-0A4A-4F4B-94CE-11A50F1FE383}"/>
    <cellStyle name="Comma 6 3 2 3 2 2 4" xfId="10663" xr:uid="{FB51C249-39D5-4BAC-A5FD-D03BAC2FF73E}"/>
    <cellStyle name="Comma 6 3 2 3 2 2 4 2" xfId="28007" xr:uid="{D0959B6B-4D09-44E7-AF85-24052C67992A}"/>
    <cellStyle name="Comma 6 3 2 3 2 2 5" xfId="19335" xr:uid="{F2BE859F-78FE-4E65-B509-A627A97568B7}"/>
    <cellStyle name="Comma 6 3 2 3 2 3" xfId="3075" xr:uid="{17C229E4-6B21-4B1F-9FBD-2A87925C29A2}"/>
    <cellStyle name="Comma 6 3 2 3 2 3 2" xfId="7411" xr:uid="{EA1D94AA-2A43-495A-8893-B46026935E94}"/>
    <cellStyle name="Comma 6 3 2 3 2 3 2 2" xfId="16083" xr:uid="{429858EC-0367-40E2-B234-DD35509E8C27}"/>
    <cellStyle name="Comma 6 3 2 3 2 3 2 2 2" xfId="33427" xr:uid="{0D44A49E-8839-44D3-8BF8-CC383D626964}"/>
    <cellStyle name="Comma 6 3 2 3 2 3 2 3" xfId="24755" xr:uid="{C519AC07-7AE8-49A3-A66C-5918693B72BC}"/>
    <cellStyle name="Comma 6 3 2 3 2 3 3" xfId="11747" xr:uid="{73DE36C4-84F6-4C46-B57B-EB53F7281C9F}"/>
    <cellStyle name="Comma 6 3 2 3 2 3 3 2" xfId="29091" xr:uid="{1D660651-F30F-4ACE-A7BD-8810EE49DD2E}"/>
    <cellStyle name="Comma 6 3 2 3 2 3 4" xfId="20419" xr:uid="{05171CD1-191E-4A0A-8872-59A34E223FCE}"/>
    <cellStyle name="Comma 6 3 2 3 2 4" xfId="5243" xr:uid="{37F91B25-1E74-46FA-A77F-525AEC4A1DC9}"/>
    <cellStyle name="Comma 6 3 2 3 2 4 2" xfId="13915" xr:uid="{766A748F-3C55-492E-AB5A-4E63320C49CD}"/>
    <cellStyle name="Comma 6 3 2 3 2 4 2 2" xfId="31259" xr:uid="{DF60B706-E6F6-474E-895B-F4EA4064C53C}"/>
    <cellStyle name="Comma 6 3 2 3 2 4 3" xfId="22587" xr:uid="{CB5B52A7-CE7B-40E3-A0C2-156009070E7D}"/>
    <cellStyle name="Comma 6 3 2 3 2 5" xfId="9579" xr:uid="{2D951CC5-BB06-42E3-8068-2FEE7E9CDE96}"/>
    <cellStyle name="Comma 6 3 2 3 2 5 2" xfId="26923" xr:uid="{586C0F02-88F1-4041-B9B3-180F7AFB0FC3}"/>
    <cellStyle name="Comma 6 3 2 3 2 6" xfId="18251" xr:uid="{58EED11E-68E4-4A76-9FD9-17E36E7C4AAB}"/>
    <cellStyle name="Comma 6 3 2 3 3" xfId="1450" xr:uid="{52F38AFB-DF17-4122-B561-8463F0988166}"/>
    <cellStyle name="Comma 6 3 2 3 3 2" xfId="3618" xr:uid="{6404CEDB-00E5-4F67-928E-4FB1CE744537}"/>
    <cellStyle name="Comma 6 3 2 3 3 2 2" xfId="7954" xr:uid="{07B6DE5E-959B-4C4E-9A5E-E1B7F653304C}"/>
    <cellStyle name="Comma 6 3 2 3 3 2 2 2" xfId="16626" xr:uid="{A26CDA3B-D00D-411A-B415-57CDB3762570}"/>
    <cellStyle name="Comma 6 3 2 3 3 2 2 2 2" xfId="33970" xr:uid="{8F385D67-1AF3-4241-B87E-E15B942A052F}"/>
    <cellStyle name="Comma 6 3 2 3 3 2 2 3" xfId="25298" xr:uid="{65976D59-0323-4814-825E-2BE05C386CEA}"/>
    <cellStyle name="Comma 6 3 2 3 3 2 3" xfId="12290" xr:uid="{389C6A07-6EC3-48CF-BB45-0DC3C5574623}"/>
    <cellStyle name="Comma 6 3 2 3 3 2 3 2" xfId="29634" xr:uid="{910EB237-AA70-4FF9-9E46-A5904A7ED7CA}"/>
    <cellStyle name="Comma 6 3 2 3 3 2 4" xfId="20962" xr:uid="{78840542-A8B4-4F3D-8F49-88D378CEEFB7}"/>
    <cellStyle name="Comma 6 3 2 3 3 3" xfId="5786" xr:uid="{7E92230B-876C-49EB-A6AA-11B39199D65C}"/>
    <cellStyle name="Comma 6 3 2 3 3 3 2" xfId="14458" xr:uid="{736D2263-6815-4B05-B3A2-3DA3F352CC6D}"/>
    <cellStyle name="Comma 6 3 2 3 3 3 2 2" xfId="31802" xr:uid="{26EA56A2-7879-4403-BCE4-B45F669C0DC5}"/>
    <cellStyle name="Comma 6 3 2 3 3 3 3" xfId="23130" xr:uid="{6B441B67-9BAD-4AD7-8BB5-AA908FF900D6}"/>
    <cellStyle name="Comma 6 3 2 3 3 4" xfId="10122" xr:uid="{0DEAA283-D842-4F14-923C-466CB696675D}"/>
    <cellStyle name="Comma 6 3 2 3 3 4 2" xfId="27466" xr:uid="{1D07797F-BFC6-4C4F-B6CC-B26930159428}"/>
    <cellStyle name="Comma 6 3 2 3 3 5" xfId="18794" xr:uid="{463C2ADA-E101-477E-9896-49232899375C}"/>
    <cellStyle name="Comma 6 3 2 3 4" xfId="2534" xr:uid="{0B179E69-25F6-48F6-80AB-62C4963BEEF5}"/>
    <cellStyle name="Comma 6 3 2 3 4 2" xfId="6870" xr:uid="{64D57322-BD52-4390-9554-BC4002E013D8}"/>
    <cellStyle name="Comma 6 3 2 3 4 2 2" xfId="15542" xr:uid="{9C60D394-022E-434D-9255-79117BAF733B}"/>
    <cellStyle name="Comma 6 3 2 3 4 2 2 2" xfId="32886" xr:uid="{D73A95D1-BBEA-4350-BE2F-E0CFFE68FC19}"/>
    <cellStyle name="Comma 6 3 2 3 4 2 3" xfId="24214" xr:uid="{59E723B6-CA97-4F75-8E47-A66D05A2BC2C}"/>
    <cellStyle name="Comma 6 3 2 3 4 3" xfId="11206" xr:uid="{52F497D4-41C0-4173-B80A-6DC80EA50EF8}"/>
    <cellStyle name="Comma 6 3 2 3 4 3 2" xfId="28550" xr:uid="{953A8FE3-46DD-4088-9A96-0DC143BDF3E0}"/>
    <cellStyle name="Comma 6 3 2 3 4 4" xfId="19878" xr:uid="{B08826FE-6692-49D6-9368-96062FFE183D}"/>
    <cellStyle name="Comma 6 3 2 3 5" xfId="4702" xr:uid="{1A01311C-1BAE-4567-8EFF-C7CE1CC809C2}"/>
    <cellStyle name="Comma 6 3 2 3 5 2" xfId="13374" xr:uid="{35DE8ADC-18FD-45BA-A4F9-1926282D2E9E}"/>
    <cellStyle name="Comma 6 3 2 3 5 2 2" xfId="30718" xr:uid="{7685199B-2CC9-4FDD-AE37-9900A6797F0A}"/>
    <cellStyle name="Comma 6 3 2 3 5 3" xfId="22046" xr:uid="{68058D2F-6BF1-44A6-89A3-5DA9196D9F86}"/>
    <cellStyle name="Comma 6 3 2 3 6" xfId="9038" xr:uid="{EA6DDE6F-30E7-4547-8AB7-42F6F721D55C}"/>
    <cellStyle name="Comma 6 3 2 3 6 2" xfId="26382" xr:uid="{3157DE1B-1D49-4B4E-B39E-D2D0C4EA14E0}"/>
    <cellStyle name="Comma 6 3 2 3 7" xfId="17710" xr:uid="{43A99ADC-5507-4273-A382-EB83D361359B}"/>
    <cellStyle name="Comma 6 3 2 4" xfId="637" xr:uid="{84A940FC-F516-4258-9FF3-DB26FD7CD1E9}"/>
    <cellStyle name="Comma 6 3 2 4 2" xfId="1721" xr:uid="{6EB872CE-1482-4B93-A6F7-CB3423BDB0B4}"/>
    <cellStyle name="Comma 6 3 2 4 2 2" xfId="3889" xr:uid="{D0ABB743-704C-4C29-8AF3-820758A3A2AC}"/>
    <cellStyle name="Comma 6 3 2 4 2 2 2" xfId="8225" xr:uid="{162D70C1-5333-4AAE-9972-5A35B210456C}"/>
    <cellStyle name="Comma 6 3 2 4 2 2 2 2" xfId="16897" xr:uid="{C203C3F3-F8D2-449A-A638-372329928893}"/>
    <cellStyle name="Comma 6 3 2 4 2 2 2 2 2" xfId="34241" xr:uid="{1C405852-124A-4F63-8897-BF4004C833E3}"/>
    <cellStyle name="Comma 6 3 2 4 2 2 2 3" xfId="25569" xr:uid="{9BDAD165-7CF2-4BAE-A15A-1A30EBCC29D5}"/>
    <cellStyle name="Comma 6 3 2 4 2 2 3" xfId="12561" xr:uid="{72C2FB46-DD16-44DE-89B3-AED632A89BBD}"/>
    <cellStyle name="Comma 6 3 2 4 2 2 3 2" xfId="29905" xr:uid="{003A4629-E13A-4B58-B763-74277684A277}"/>
    <cellStyle name="Comma 6 3 2 4 2 2 4" xfId="21233" xr:uid="{F9F3EC1F-BE6F-4A34-88CA-8C2BEE653FEC}"/>
    <cellStyle name="Comma 6 3 2 4 2 3" xfId="6057" xr:uid="{4CCE24E2-93AD-41F2-80CC-C5791F78D3C2}"/>
    <cellStyle name="Comma 6 3 2 4 2 3 2" xfId="14729" xr:uid="{B32076E3-3E54-4318-AC18-62784016564F}"/>
    <cellStyle name="Comma 6 3 2 4 2 3 2 2" xfId="32073" xr:uid="{D0757CBF-03D6-44CF-BD67-82AE7A2A8DD8}"/>
    <cellStyle name="Comma 6 3 2 4 2 3 3" xfId="23401" xr:uid="{30E56A5F-81C9-480F-B5F6-AEFBA76F14C0}"/>
    <cellStyle name="Comma 6 3 2 4 2 4" xfId="10393" xr:uid="{DC546B8F-45BB-4DFE-8EF6-258FD465A4DF}"/>
    <cellStyle name="Comma 6 3 2 4 2 4 2" xfId="27737" xr:uid="{813DA0ED-BE0B-49FD-811C-3BE8C9ADC65D}"/>
    <cellStyle name="Comma 6 3 2 4 2 5" xfId="19065" xr:uid="{23275468-ACD2-49B3-A43D-5D339AA782B7}"/>
    <cellStyle name="Comma 6 3 2 4 3" xfId="2805" xr:uid="{8E0BFD95-30C7-4E80-9D75-01A5F2CEED7F}"/>
    <cellStyle name="Comma 6 3 2 4 3 2" xfId="7141" xr:uid="{5AC925FC-E98D-4D25-97D6-B9A249F6D0FC}"/>
    <cellStyle name="Comma 6 3 2 4 3 2 2" xfId="15813" xr:uid="{5136B2CE-6E40-4C71-84C7-E63EED1AFC7D}"/>
    <cellStyle name="Comma 6 3 2 4 3 2 2 2" xfId="33157" xr:uid="{99F7F8AA-AB8B-4C85-9CD4-0AE80FAF588C}"/>
    <cellStyle name="Comma 6 3 2 4 3 2 3" xfId="24485" xr:uid="{677032A8-C619-4246-A8B9-E12FD2AD6DFF}"/>
    <cellStyle name="Comma 6 3 2 4 3 3" xfId="11477" xr:uid="{394D98AF-1128-4BBF-B95C-DDF858C62E28}"/>
    <cellStyle name="Comma 6 3 2 4 3 3 2" xfId="28821" xr:uid="{0DEDE726-1B66-41B7-A16F-F62C937ABE3A}"/>
    <cellStyle name="Comma 6 3 2 4 3 4" xfId="20149" xr:uid="{A44A880F-EABF-41D1-9767-76DA117E6E67}"/>
    <cellStyle name="Comma 6 3 2 4 4" xfId="4973" xr:uid="{89380719-BEC3-44D8-AE0A-B1AF5B958C45}"/>
    <cellStyle name="Comma 6 3 2 4 4 2" xfId="13645" xr:uid="{476617DC-FABC-4A70-A4FF-45A392E6DAE4}"/>
    <cellStyle name="Comma 6 3 2 4 4 2 2" xfId="30989" xr:uid="{E717AA2C-D065-4A1F-9E28-B6EE50AD363E}"/>
    <cellStyle name="Comma 6 3 2 4 4 3" xfId="22317" xr:uid="{12F5A9A5-D046-41FD-B9C6-E0FF3910E8B3}"/>
    <cellStyle name="Comma 6 3 2 4 5" xfId="9309" xr:uid="{01C424CC-074E-4CE6-A5DD-79F695C3903F}"/>
    <cellStyle name="Comma 6 3 2 4 5 2" xfId="26653" xr:uid="{535C7BA6-0A1B-44CC-8143-6FB4E02DF00E}"/>
    <cellStyle name="Comma 6 3 2 4 6" xfId="17981" xr:uid="{93E772C9-06A7-44D8-B158-E6D5F4E83C9D}"/>
    <cellStyle name="Comma 6 3 2 5" xfId="1180" xr:uid="{DD552D7D-A601-40FC-B6B9-0502AA1789D1}"/>
    <cellStyle name="Comma 6 3 2 5 2" xfId="3348" xr:uid="{020B2A13-B0C7-4482-8CAC-54F401547CAE}"/>
    <cellStyle name="Comma 6 3 2 5 2 2" xfId="7684" xr:uid="{4BBF2A5C-47E3-46DD-81B9-8F692F382EF5}"/>
    <cellStyle name="Comma 6 3 2 5 2 2 2" xfId="16356" xr:uid="{C95B6059-0191-43CB-9669-6E88E9300B33}"/>
    <cellStyle name="Comma 6 3 2 5 2 2 2 2" xfId="33700" xr:uid="{468D6860-9A26-40F2-8C25-DB340DA1819C}"/>
    <cellStyle name="Comma 6 3 2 5 2 2 3" xfId="25028" xr:uid="{0C7CEC18-DE01-4D9F-8DF2-3F547A3A8438}"/>
    <cellStyle name="Comma 6 3 2 5 2 3" xfId="12020" xr:uid="{882938D6-F846-47FC-9192-F29E57B7F96E}"/>
    <cellStyle name="Comma 6 3 2 5 2 3 2" xfId="29364" xr:uid="{FE065277-E74A-45BA-BDD9-0B1B1BCFCE15}"/>
    <cellStyle name="Comma 6 3 2 5 2 4" xfId="20692" xr:uid="{7861B941-0D6D-476C-979F-28A71534D7AA}"/>
    <cellStyle name="Comma 6 3 2 5 3" xfId="5516" xr:uid="{E3DF68A0-4301-494C-8027-E93138C7B137}"/>
    <cellStyle name="Comma 6 3 2 5 3 2" xfId="14188" xr:uid="{54D345B6-6758-4468-A349-2D18837FB30C}"/>
    <cellStyle name="Comma 6 3 2 5 3 2 2" xfId="31532" xr:uid="{FE8F8E5B-4378-4299-9250-D1F844B74625}"/>
    <cellStyle name="Comma 6 3 2 5 3 3" xfId="22860" xr:uid="{29F47B68-50E5-458F-A020-E7F9EA2073C1}"/>
    <cellStyle name="Comma 6 3 2 5 4" xfId="9852" xr:uid="{D432ECAB-8598-4B7D-9DF9-AFD83F847F23}"/>
    <cellStyle name="Comma 6 3 2 5 4 2" xfId="27196" xr:uid="{B5323047-CB08-4CF8-AB04-B809C4376DFA}"/>
    <cellStyle name="Comma 6 3 2 5 5" xfId="18524" xr:uid="{69344675-6617-4FF5-A6FA-31376B5E1CC4}"/>
    <cellStyle name="Comma 6 3 2 6" xfId="2264" xr:uid="{2EAED4D2-7BB7-4671-B75A-1CF80C62372D}"/>
    <cellStyle name="Comma 6 3 2 6 2" xfId="6600" xr:uid="{2B7D7F75-19C7-4DCD-A93B-26A0247C22A7}"/>
    <cellStyle name="Comma 6 3 2 6 2 2" xfId="15272" xr:uid="{E0E79EC9-0C97-443C-93C7-BC185ED03C8F}"/>
    <cellStyle name="Comma 6 3 2 6 2 2 2" xfId="32616" xr:uid="{858FF6C6-12B5-4EAD-BDF9-744A90E73AEF}"/>
    <cellStyle name="Comma 6 3 2 6 2 3" xfId="23944" xr:uid="{80C899B6-DC0A-4110-8B00-3BFEECF1484A}"/>
    <cellStyle name="Comma 6 3 2 6 3" xfId="10936" xr:uid="{1270C05A-B281-4AA3-AABF-866272BEBE4D}"/>
    <cellStyle name="Comma 6 3 2 6 3 2" xfId="28280" xr:uid="{60453BD8-4812-4288-8B5F-685B5BAD33B1}"/>
    <cellStyle name="Comma 6 3 2 6 4" xfId="19608" xr:uid="{00F34E4B-320D-4F97-87B3-C3F5325CB891}"/>
    <cellStyle name="Comma 6 3 2 7" xfId="4432" xr:uid="{038FDB33-3E2F-4BDC-AFCE-5FD0579D6EA2}"/>
    <cellStyle name="Comma 6 3 2 7 2" xfId="13104" xr:uid="{B4159383-86C2-4868-9D47-38D26FDF91A9}"/>
    <cellStyle name="Comma 6 3 2 7 2 2" xfId="30448" xr:uid="{AC6983D4-F27B-473D-BA50-8B31377CBDB6}"/>
    <cellStyle name="Comma 6 3 2 7 3" xfId="21776" xr:uid="{CC381B11-F275-4CAD-A4FD-DA1FB0279423}"/>
    <cellStyle name="Comma 6 3 2 8" xfId="8768" xr:uid="{011255FB-B089-4F38-B9F7-A72E46DD1380}"/>
    <cellStyle name="Comma 6 3 2 8 2" xfId="26112" xr:uid="{7718E003-CA84-4035-978E-029D79FD12EC}"/>
    <cellStyle name="Comma 6 3 2 9" xfId="17440" xr:uid="{0ACD5E86-FB81-4F4A-B1F7-B2079C81C649}"/>
    <cellStyle name="Comma 6 3 3" xfId="157" xr:uid="{F59EE56A-FE7C-4B3B-A949-54EB3588AA99}"/>
    <cellStyle name="Comma 6 3 3 2" xfId="427" xr:uid="{F81F9F88-4E79-43F0-9E2B-10929CCF4711}"/>
    <cellStyle name="Comma 6 3 3 2 2" xfId="968" xr:uid="{9145BCC0-7237-4DBB-9F53-CCBD3CA4D87A}"/>
    <cellStyle name="Comma 6 3 3 2 2 2" xfId="2052" xr:uid="{F4AE4DC0-B8BA-4CEA-AED8-6141099F93C2}"/>
    <cellStyle name="Comma 6 3 3 2 2 2 2" xfId="4220" xr:uid="{C3DFFD6C-99CC-4F85-B8D4-F829D2562371}"/>
    <cellStyle name="Comma 6 3 3 2 2 2 2 2" xfId="8556" xr:uid="{D34AD006-51C5-411B-9185-6D62DF389BAE}"/>
    <cellStyle name="Comma 6 3 3 2 2 2 2 2 2" xfId="17228" xr:uid="{F5B26280-4DC2-4CA0-BC09-6C967676D973}"/>
    <cellStyle name="Comma 6 3 3 2 2 2 2 2 2 2" xfId="34572" xr:uid="{E9A42BD8-38D0-4C54-8296-56C6AC8BD66B}"/>
    <cellStyle name="Comma 6 3 3 2 2 2 2 2 3" xfId="25900" xr:uid="{6181BAFC-7217-4F74-A6B8-775027D8D2CE}"/>
    <cellStyle name="Comma 6 3 3 2 2 2 2 3" xfId="12892" xr:uid="{F367E571-CC5F-42EB-BDA4-46BADA1348C9}"/>
    <cellStyle name="Comma 6 3 3 2 2 2 2 3 2" xfId="30236" xr:uid="{F35CA625-D7F3-4C4B-9196-BEC78AC3B9C9}"/>
    <cellStyle name="Comma 6 3 3 2 2 2 2 4" xfId="21564" xr:uid="{5F3B89F1-2D16-41A0-BCBD-1961A111CA03}"/>
    <cellStyle name="Comma 6 3 3 2 2 2 3" xfId="6388" xr:uid="{CCB8595A-BE75-4694-9714-88F6B24E782A}"/>
    <cellStyle name="Comma 6 3 3 2 2 2 3 2" xfId="15060" xr:uid="{B9E89768-094D-48F7-B378-3894A3F6AA73}"/>
    <cellStyle name="Comma 6 3 3 2 2 2 3 2 2" xfId="32404" xr:uid="{FA65449B-5783-4ADE-8676-C9DC9A89C6B4}"/>
    <cellStyle name="Comma 6 3 3 2 2 2 3 3" xfId="23732" xr:uid="{2CC172C2-C2CB-435D-A6EB-098677B90682}"/>
    <cellStyle name="Comma 6 3 3 2 2 2 4" xfId="10724" xr:uid="{352C2ADA-963E-4B7E-BF51-A86D037FB5DC}"/>
    <cellStyle name="Comma 6 3 3 2 2 2 4 2" xfId="28068" xr:uid="{0DBCFAA0-751F-4043-8D10-5D4A5F32E89D}"/>
    <cellStyle name="Comma 6 3 3 2 2 2 5" xfId="19396" xr:uid="{6D60B3E2-3A99-4660-8C68-70B9F4050E72}"/>
    <cellStyle name="Comma 6 3 3 2 2 3" xfId="3136" xr:uid="{0E3562E3-6E98-4511-B04C-ADD3C8147445}"/>
    <cellStyle name="Comma 6 3 3 2 2 3 2" xfId="7472" xr:uid="{A7307FDA-A02E-4EDA-93B9-ED29D416784A}"/>
    <cellStyle name="Comma 6 3 3 2 2 3 2 2" xfId="16144" xr:uid="{0065D22E-2995-4B3C-82BD-367AC526E9D4}"/>
    <cellStyle name="Comma 6 3 3 2 2 3 2 2 2" xfId="33488" xr:uid="{9957495B-248D-4961-B468-B129B38871B3}"/>
    <cellStyle name="Comma 6 3 3 2 2 3 2 3" xfId="24816" xr:uid="{2750104E-C1F6-4CBF-A030-0F0C98FAF98D}"/>
    <cellStyle name="Comma 6 3 3 2 2 3 3" xfId="11808" xr:uid="{715408ED-A7AE-4775-9055-10E857BF8D89}"/>
    <cellStyle name="Comma 6 3 3 2 2 3 3 2" xfId="29152" xr:uid="{71FF0EED-67E1-48ED-8166-07DF27267363}"/>
    <cellStyle name="Comma 6 3 3 2 2 3 4" xfId="20480" xr:uid="{ED5FED68-708D-4312-AB9E-A97132442D28}"/>
    <cellStyle name="Comma 6 3 3 2 2 4" xfId="5304" xr:uid="{D8200956-3C97-43E6-A008-5BA9DCCB88CF}"/>
    <cellStyle name="Comma 6 3 3 2 2 4 2" xfId="13976" xr:uid="{6E081046-9189-4654-A74D-4BF5DD904AA2}"/>
    <cellStyle name="Comma 6 3 3 2 2 4 2 2" xfId="31320" xr:uid="{043E202A-DE0C-48B2-B92C-21940DEC4294}"/>
    <cellStyle name="Comma 6 3 3 2 2 4 3" xfId="22648" xr:uid="{5FA0D77C-45C6-4678-9107-5C9869074749}"/>
    <cellStyle name="Comma 6 3 3 2 2 5" xfId="9640" xr:uid="{CCCD0714-8F8E-428D-B41C-647690AD05D8}"/>
    <cellStyle name="Comma 6 3 3 2 2 5 2" xfId="26984" xr:uid="{B50C237D-C432-48F1-ABD6-9F1E1DD808CD}"/>
    <cellStyle name="Comma 6 3 3 2 2 6" xfId="18312" xr:uid="{D7919E97-6243-4A58-B9F9-E03CC5591C11}"/>
    <cellStyle name="Comma 6 3 3 2 3" xfId="1511" xr:uid="{4420BC6B-73E3-43C8-B016-1BD6B705A8CA}"/>
    <cellStyle name="Comma 6 3 3 2 3 2" xfId="3679" xr:uid="{3F9A5152-4EB6-4E2D-9CF0-F608758E4905}"/>
    <cellStyle name="Comma 6 3 3 2 3 2 2" xfId="8015" xr:uid="{3A55FD6C-CC76-4FB6-BD6E-7FA7072162FA}"/>
    <cellStyle name="Comma 6 3 3 2 3 2 2 2" xfId="16687" xr:uid="{237ACFAF-AE8A-4477-A6E5-1CC8B5BB0F57}"/>
    <cellStyle name="Comma 6 3 3 2 3 2 2 2 2" xfId="34031" xr:uid="{E5C00C9D-83DF-49F0-99FB-BB24394D9A22}"/>
    <cellStyle name="Comma 6 3 3 2 3 2 2 3" xfId="25359" xr:uid="{4826CA77-BFC6-4886-A9ED-E96B79B62ADD}"/>
    <cellStyle name="Comma 6 3 3 2 3 2 3" xfId="12351" xr:uid="{852AFFB2-2105-49AB-BD2A-085B84C16BF7}"/>
    <cellStyle name="Comma 6 3 3 2 3 2 3 2" xfId="29695" xr:uid="{CC1765DF-69A9-4260-AFCC-51C80EB8354F}"/>
    <cellStyle name="Comma 6 3 3 2 3 2 4" xfId="21023" xr:uid="{05FAE0FB-3382-420D-9E07-F755F321CC3D}"/>
    <cellStyle name="Comma 6 3 3 2 3 3" xfId="5847" xr:uid="{C6F96BFE-8C4E-4177-A004-98B8F4518A79}"/>
    <cellStyle name="Comma 6 3 3 2 3 3 2" xfId="14519" xr:uid="{CCB8DE00-20DD-4F97-997C-09A410F67F21}"/>
    <cellStyle name="Comma 6 3 3 2 3 3 2 2" xfId="31863" xr:uid="{E3CE65F5-9D21-466F-BF69-269368995858}"/>
    <cellStyle name="Comma 6 3 3 2 3 3 3" xfId="23191" xr:uid="{4A14045E-A4FE-4CB2-B95E-1DB1A776D545}"/>
    <cellStyle name="Comma 6 3 3 2 3 4" xfId="10183" xr:uid="{2C6A5FA5-D2C5-428A-BF61-86D0D1F327D2}"/>
    <cellStyle name="Comma 6 3 3 2 3 4 2" xfId="27527" xr:uid="{D9153C92-58E1-417A-A6AE-32A52F600A47}"/>
    <cellStyle name="Comma 6 3 3 2 3 5" xfId="18855" xr:uid="{F13570BE-1D23-498F-9E9F-FE61B4CB816C}"/>
    <cellStyle name="Comma 6 3 3 2 4" xfId="2595" xr:uid="{E0B2726A-9261-42A9-A0D7-A90D7DC0E213}"/>
    <cellStyle name="Comma 6 3 3 2 4 2" xfId="6931" xr:uid="{315CE11C-F13E-4417-A298-E1876F2AE605}"/>
    <cellStyle name="Comma 6 3 3 2 4 2 2" xfId="15603" xr:uid="{8A030D98-B639-4106-A965-54E19475F9BF}"/>
    <cellStyle name="Comma 6 3 3 2 4 2 2 2" xfId="32947" xr:uid="{9EA820CC-086B-497D-BE86-4B855F89DA65}"/>
    <cellStyle name="Comma 6 3 3 2 4 2 3" xfId="24275" xr:uid="{DD08151D-758B-4F9E-972B-7698EF8C5318}"/>
    <cellStyle name="Comma 6 3 3 2 4 3" xfId="11267" xr:uid="{3018AA63-D9A1-46C9-B93E-C0A7226D62B5}"/>
    <cellStyle name="Comma 6 3 3 2 4 3 2" xfId="28611" xr:uid="{F07ADC4F-6EBB-4EFF-A5F1-5D8E78D9A65C}"/>
    <cellStyle name="Comma 6 3 3 2 4 4" xfId="19939" xr:uid="{0D194B69-1DF6-47D7-846C-BFF6D8E55B00}"/>
    <cellStyle name="Comma 6 3 3 2 5" xfId="4763" xr:uid="{4EEDEA98-D493-4EE1-8E59-08FF9253200D}"/>
    <cellStyle name="Comma 6 3 3 2 5 2" xfId="13435" xr:uid="{1F39B6F8-5BA5-47ED-B4DA-0869F411B598}"/>
    <cellStyle name="Comma 6 3 3 2 5 2 2" xfId="30779" xr:uid="{F2589EB0-7701-47BC-AFF8-908AF7118A82}"/>
    <cellStyle name="Comma 6 3 3 2 5 3" xfId="22107" xr:uid="{A1C13200-C328-4027-A16B-734BD915D766}"/>
    <cellStyle name="Comma 6 3 3 2 6" xfId="9099" xr:uid="{1AAEFB35-162E-456C-8B05-4F97708B36F5}"/>
    <cellStyle name="Comma 6 3 3 2 6 2" xfId="26443" xr:uid="{436BAD3A-9611-4CDE-AED2-4587B3148CFE}"/>
    <cellStyle name="Comma 6 3 3 2 7" xfId="17771" xr:uid="{DC738DA8-AF1C-4BF0-8FD9-16E21D7A52EB}"/>
    <cellStyle name="Comma 6 3 3 3" xfId="698" xr:uid="{77B9777E-3D1F-4A8D-8B94-874C48409B0F}"/>
    <cellStyle name="Comma 6 3 3 3 2" xfId="1782" xr:uid="{769662BA-3A17-46FC-BCAF-82C2C0312191}"/>
    <cellStyle name="Comma 6 3 3 3 2 2" xfId="3950" xr:uid="{A2E666CC-EB4D-4FCB-858B-3EB6A3E660E2}"/>
    <cellStyle name="Comma 6 3 3 3 2 2 2" xfId="8286" xr:uid="{5531BC2A-5765-4B89-9155-85B274F8A437}"/>
    <cellStyle name="Comma 6 3 3 3 2 2 2 2" xfId="16958" xr:uid="{EC53745E-BCED-49BC-88C8-8E9FC4A1E736}"/>
    <cellStyle name="Comma 6 3 3 3 2 2 2 2 2" xfId="34302" xr:uid="{95E719C8-8AAC-4F62-A81A-3BAD528D0CE7}"/>
    <cellStyle name="Comma 6 3 3 3 2 2 2 3" xfId="25630" xr:uid="{4082D0E4-F453-4EB2-A634-BCC1284F4F2B}"/>
    <cellStyle name="Comma 6 3 3 3 2 2 3" xfId="12622" xr:uid="{1D9C4A18-BDC4-49D2-85F0-4787E3A44172}"/>
    <cellStyle name="Comma 6 3 3 3 2 2 3 2" xfId="29966" xr:uid="{F805363F-21AF-41E3-A424-1FF4D7CD1A27}"/>
    <cellStyle name="Comma 6 3 3 3 2 2 4" xfId="21294" xr:uid="{9E8DA7F8-876E-47DE-81C9-503F27F0DC64}"/>
    <cellStyle name="Comma 6 3 3 3 2 3" xfId="6118" xr:uid="{69930B89-4B70-4BDC-80D7-C49797DDF9E1}"/>
    <cellStyle name="Comma 6 3 3 3 2 3 2" xfId="14790" xr:uid="{AA3A930A-C27E-47E8-91D6-5109F28424C1}"/>
    <cellStyle name="Comma 6 3 3 3 2 3 2 2" xfId="32134" xr:uid="{82D27308-440A-409E-8971-64CE0C0A0589}"/>
    <cellStyle name="Comma 6 3 3 3 2 3 3" xfId="23462" xr:uid="{B11E401A-8931-48F9-A113-FF2715F45F74}"/>
    <cellStyle name="Comma 6 3 3 3 2 4" xfId="10454" xr:uid="{734C441A-F840-4CB3-B4E6-12E05D85335F}"/>
    <cellStyle name="Comma 6 3 3 3 2 4 2" xfId="27798" xr:uid="{BB9F8A8F-4EDB-4831-841B-3F85BC1D6977}"/>
    <cellStyle name="Comma 6 3 3 3 2 5" xfId="19126" xr:uid="{51EA43C1-776A-4D90-AD4F-8EBACE09DE0E}"/>
    <cellStyle name="Comma 6 3 3 3 3" xfId="2866" xr:uid="{99627E55-091E-450D-AAC9-EEFA300EE97A}"/>
    <cellStyle name="Comma 6 3 3 3 3 2" xfId="7202" xr:uid="{C4C55D73-794B-4A92-B216-B43A6C40DEB4}"/>
    <cellStyle name="Comma 6 3 3 3 3 2 2" xfId="15874" xr:uid="{7F4BD5FB-C768-4C57-A3EE-C3D3093F593C}"/>
    <cellStyle name="Comma 6 3 3 3 3 2 2 2" xfId="33218" xr:uid="{391C3162-7A89-4045-ACE8-1876D013A4D3}"/>
    <cellStyle name="Comma 6 3 3 3 3 2 3" xfId="24546" xr:uid="{F0049857-CB7B-4C33-B9C6-497849B0DDB9}"/>
    <cellStyle name="Comma 6 3 3 3 3 3" xfId="11538" xr:uid="{4872E26E-06B7-490C-91C9-EB509E4A4F7F}"/>
    <cellStyle name="Comma 6 3 3 3 3 3 2" xfId="28882" xr:uid="{BFE1A033-AB9A-4971-9EA8-2F34B73737BC}"/>
    <cellStyle name="Comma 6 3 3 3 3 4" xfId="20210" xr:uid="{C64E7367-248A-46A5-A9F1-2BEB1CBBB62D}"/>
    <cellStyle name="Comma 6 3 3 3 4" xfId="5034" xr:uid="{69663914-6D5B-4D60-B1C1-FD9A17DEAE03}"/>
    <cellStyle name="Comma 6 3 3 3 4 2" xfId="13706" xr:uid="{6521560F-8C82-45B1-B64F-4B6F6CAB0635}"/>
    <cellStyle name="Comma 6 3 3 3 4 2 2" xfId="31050" xr:uid="{B47F8011-279A-4DC6-80AD-917E15E9C209}"/>
    <cellStyle name="Comma 6 3 3 3 4 3" xfId="22378" xr:uid="{04D6CD30-C466-4793-ADA9-57847F15665D}"/>
    <cellStyle name="Comma 6 3 3 3 5" xfId="9370" xr:uid="{0948A45C-7229-407A-8B5B-4CF40CEE9773}"/>
    <cellStyle name="Comma 6 3 3 3 5 2" xfId="26714" xr:uid="{E509D3C8-0E49-45D9-91F1-2F5E93B1B338}"/>
    <cellStyle name="Comma 6 3 3 3 6" xfId="18042" xr:uid="{BCB69DD4-E0CE-4901-94EA-ADAE1D402E5A}"/>
    <cellStyle name="Comma 6 3 3 4" xfId="1241" xr:uid="{E6B9BC3C-13A4-4446-BE59-4B4875E91553}"/>
    <cellStyle name="Comma 6 3 3 4 2" xfId="3409" xr:uid="{A209F86B-9E33-4A2B-9375-9173AAED169B}"/>
    <cellStyle name="Comma 6 3 3 4 2 2" xfId="7745" xr:uid="{4CEDC610-8BDE-4F69-B134-9F6C5BFE7D67}"/>
    <cellStyle name="Comma 6 3 3 4 2 2 2" xfId="16417" xr:uid="{CD515B17-7877-4E85-B6AE-98BBBB689B98}"/>
    <cellStyle name="Comma 6 3 3 4 2 2 2 2" xfId="33761" xr:uid="{A7CE2454-4404-44B3-B0BF-053650E207FA}"/>
    <cellStyle name="Comma 6 3 3 4 2 2 3" xfId="25089" xr:uid="{EB916CAF-4605-4C03-B133-A1A7D67B3081}"/>
    <cellStyle name="Comma 6 3 3 4 2 3" xfId="12081" xr:uid="{D4163441-3D29-4FF3-9ECA-A30DEC934271}"/>
    <cellStyle name="Comma 6 3 3 4 2 3 2" xfId="29425" xr:uid="{0B1BB601-67B2-4DB1-AF2D-6A69222CE1D2}"/>
    <cellStyle name="Comma 6 3 3 4 2 4" xfId="20753" xr:uid="{9C103949-5EDE-44E8-A756-7EB301C435E9}"/>
    <cellStyle name="Comma 6 3 3 4 3" xfId="5577" xr:uid="{F1098982-CCC5-4CE2-8F13-50618EB6D29B}"/>
    <cellStyle name="Comma 6 3 3 4 3 2" xfId="14249" xr:uid="{BDCFE8FD-BB99-4D31-B57E-046481721370}"/>
    <cellStyle name="Comma 6 3 3 4 3 2 2" xfId="31593" xr:uid="{BAB7E9DF-D618-4ED9-B323-1E9CC64CD6F8}"/>
    <cellStyle name="Comma 6 3 3 4 3 3" xfId="22921" xr:uid="{576DE08E-8A81-42FA-ABA9-B87447C4681B}"/>
    <cellStyle name="Comma 6 3 3 4 4" xfId="9913" xr:uid="{9C997928-620D-4D8C-9E17-09152CF93F84}"/>
    <cellStyle name="Comma 6 3 3 4 4 2" xfId="27257" xr:uid="{3ABFA34E-12C4-4E17-A124-9858B3C5A571}"/>
    <cellStyle name="Comma 6 3 3 4 5" xfId="18585" xr:uid="{6B0FD342-00A2-4239-A71A-B1525D4ADAA9}"/>
    <cellStyle name="Comma 6 3 3 5" xfId="2325" xr:uid="{6BE5DF99-6EF2-4F4E-87C5-169C93C4FECC}"/>
    <cellStyle name="Comma 6 3 3 5 2" xfId="6661" xr:uid="{AA1EE46B-0503-47EB-8B4E-A198249736E6}"/>
    <cellStyle name="Comma 6 3 3 5 2 2" xfId="15333" xr:uid="{552D8192-8573-4659-9F73-492CC28EF5B1}"/>
    <cellStyle name="Comma 6 3 3 5 2 2 2" xfId="32677" xr:uid="{EE861449-422D-407F-83FF-305A674C4EA0}"/>
    <cellStyle name="Comma 6 3 3 5 2 3" xfId="24005" xr:uid="{3C7A7481-1D5C-451A-988C-6235D6DC7DBA}"/>
    <cellStyle name="Comma 6 3 3 5 3" xfId="10997" xr:uid="{32ECDC43-377C-43E8-B802-DBD449A09122}"/>
    <cellStyle name="Comma 6 3 3 5 3 2" xfId="28341" xr:uid="{4382DCA6-8D8E-421C-AAC7-0834B41D16A7}"/>
    <cellStyle name="Comma 6 3 3 5 4" xfId="19669" xr:uid="{FEAD3D56-5CD9-4B16-B9CB-F2557F902397}"/>
    <cellStyle name="Comma 6 3 3 6" xfId="4493" xr:uid="{3F313D90-1562-4099-8306-20D4EC9AD5A1}"/>
    <cellStyle name="Comma 6 3 3 6 2" xfId="13165" xr:uid="{7840E0E5-75E3-4CA0-B454-9054835ED510}"/>
    <cellStyle name="Comma 6 3 3 6 2 2" xfId="30509" xr:uid="{C22E6E04-890B-4680-B3A6-DFFAFB7AB09C}"/>
    <cellStyle name="Comma 6 3 3 6 3" xfId="21837" xr:uid="{F7C73391-C2C9-48B8-B4A0-6BBB226F6091}"/>
    <cellStyle name="Comma 6 3 3 7" xfId="8829" xr:uid="{FF346EB8-6EEB-4D67-9514-EB2AA6C69DE5}"/>
    <cellStyle name="Comma 6 3 3 7 2" xfId="26173" xr:uid="{944FB532-A90B-4BBE-AAD8-AD424FBC99C8}"/>
    <cellStyle name="Comma 6 3 3 8" xfId="17501" xr:uid="{7668D473-0AC7-41E0-B15B-577E171C63C6}"/>
    <cellStyle name="Comma 6 3 4" xfId="264" xr:uid="{B55B4B28-4CEC-431B-A962-8DF30279355E}"/>
    <cellStyle name="Comma 6 3 4 2" xfId="534" xr:uid="{A8A022A6-5C42-4A72-B828-0E6992CCCDF8}"/>
    <cellStyle name="Comma 6 3 4 2 2" xfId="1075" xr:uid="{56645EB2-EB4A-40A7-8289-A989F4B8A9C9}"/>
    <cellStyle name="Comma 6 3 4 2 2 2" xfId="2159" xr:uid="{556AF4CC-9341-4E60-B615-D0A1538B96DF}"/>
    <cellStyle name="Comma 6 3 4 2 2 2 2" xfId="4327" xr:uid="{45E30AA8-A56E-4DEC-A5DB-A54B2651572A}"/>
    <cellStyle name="Comma 6 3 4 2 2 2 2 2" xfId="8663" xr:uid="{D74E3248-868D-4E8B-856F-E3082A2DA1C5}"/>
    <cellStyle name="Comma 6 3 4 2 2 2 2 2 2" xfId="17335" xr:uid="{FC42C7DE-0338-49AC-AB7E-6074E4981D34}"/>
    <cellStyle name="Comma 6 3 4 2 2 2 2 2 2 2" xfId="34679" xr:uid="{79EDDA8C-E206-4035-A9F6-E4D864BF08D7}"/>
    <cellStyle name="Comma 6 3 4 2 2 2 2 2 3" xfId="26007" xr:uid="{F114C74F-39D4-4A0B-9D6D-69890C62CA89}"/>
    <cellStyle name="Comma 6 3 4 2 2 2 2 3" xfId="12999" xr:uid="{6EBE9CE7-07C7-4A15-A7DF-0EC06979FFAF}"/>
    <cellStyle name="Comma 6 3 4 2 2 2 2 3 2" xfId="30343" xr:uid="{18416FA9-8AA8-4B5D-AFB6-22E8DE71F96E}"/>
    <cellStyle name="Comma 6 3 4 2 2 2 2 4" xfId="21671" xr:uid="{7270BE24-DA92-466B-964B-25D938FC86AC}"/>
    <cellStyle name="Comma 6 3 4 2 2 2 3" xfId="6495" xr:uid="{5622ADC1-7BD3-4AF1-AD73-BA79C1D0A811}"/>
    <cellStyle name="Comma 6 3 4 2 2 2 3 2" xfId="15167" xr:uid="{30529CB6-EC29-48A7-BDEB-43CA4D99AF2A}"/>
    <cellStyle name="Comma 6 3 4 2 2 2 3 2 2" xfId="32511" xr:uid="{25D31C5B-BCBC-42EB-BEDF-3E31327E7B02}"/>
    <cellStyle name="Comma 6 3 4 2 2 2 3 3" xfId="23839" xr:uid="{01EEE0C3-CA8C-428F-A7F4-17212A664FFC}"/>
    <cellStyle name="Comma 6 3 4 2 2 2 4" xfId="10831" xr:uid="{8CB1A084-F8DA-439D-95E6-C50FC398003E}"/>
    <cellStyle name="Comma 6 3 4 2 2 2 4 2" xfId="28175" xr:uid="{2A9109E3-46F2-4A2F-96C0-400776BA8BB4}"/>
    <cellStyle name="Comma 6 3 4 2 2 2 5" xfId="19503" xr:uid="{42CC9D2C-B562-4176-B9B4-B3E4C0346715}"/>
    <cellStyle name="Comma 6 3 4 2 2 3" xfId="3243" xr:uid="{907DC170-56E1-4712-A28A-88FB4ECE801F}"/>
    <cellStyle name="Comma 6 3 4 2 2 3 2" xfId="7579" xr:uid="{E1E8F8F2-E3AD-4D6D-9062-21A4C9FAEDAF}"/>
    <cellStyle name="Comma 6 3 4 2 2 3 2 2" xfId="16251" xr:uid="{B5186E27-6CAD-491E-9CCE-AC1E8A7290B2}"/>
    <cellStyle name="Comma 6 3 4 2 2 3 2 2 2" xfId="33595" xr:uid="{58DCF2F6-549A-412C-AE5A-9F53AEFE6C1F}"/>
    <cellStyle name="Comma 6 3 4 2 2 3 2 3" xfId="24923" xr:uid="{78203CC2-FEB7-4D7C-A3B6-AE787439DCCA}"/>
    <cellStyle name="Comma 6 3 4 2 2 3 3" xfId="11915" xr:uid="{980C7009-D8E5-4CAE-A556-FC406555B5DE}"/>
    <cellStyle name="Comma 6 3 4 2 2 3 3 2" xfId="29259" xr:uid="{19092FB0-5A5C-4DD8-B0E4-B1A623CA0459}"/>
    <cellStyle name="Comma 6 3 4 2 2 3 4" xfId="20587" xr:uid="{8818665C-A7EA-4A8C-A75D-77D6300872D3}"/>
    <cellStyle name="Comma 6 3 4 2 2 4" xfId="5411" xr:uid="{5BE8BCAB-B05F-48D6-846B-F85A71F7FE8E}"/>
    <cellStyle name="Comma 6 3 4 2 2 4 2" xfId="14083" xr:uid="{84007B13-5ED7-44D2-BD56-BDB803538E3A}"/>
    <cellStyle name="Comma 6 3 4 2 2 4 2 2" xfId="31427" xr:uid="{10D24FD0-D897-412C-A994-765DB9C5D3C6}"/>
    <cellStyle name="Comma 6 3 4 2 2 4 3" xfId="22755" xr:uid="{2E42D7E3-AAAA-4748-A4A1-956820172F26}"/>
    <cellStyle name="Comma 6 3 4 2 2 5" xfId="9747" xr:uid="{D871770A-38B8-4869-BC99-E37170E13F2F}"/>
    <cellStyle name="Comma 6 3 4 2 2 5 2" xfId="27091" xr:uid="{CF869C1F-5E12-4FB5-9E76-11FD089824D9}"/>
    <cellStyle name="Comma 6 3 4 2 2 6" xfId="18419" xr:uid="{FD541978-37B9-41A2-B927-909E6B9F87AC}"/>
    <cellStyle name="Comma 6 3 4 2 3" xfId="1618" xr:uid="{E2C2FF61-D9DD-48B4-B187-79758CA729C6}"/>
    <cellStyle name="Comma 6 3 4 2 3 2" xfId="3786" xr:uid="{90CC2B6A-271D-45C8-A59F-BA9CE6DB97C4}"/>
    <cellStyle name="Comma 6 3 4 2 3 2 2" xfId="8122" xr:uid="{5CC46D04-EE8A-4DCB-B2B6-E6E60F4F4471}"/>
    <cellStyle name="Comma 6 3 4 2 3 2 2 2" xfId="16794" xr:uid="{A41D92E1-3E04-4EF9-B035-3DEB9B3AA015}"/>
    <cellStyle name="Comma 6 3 4 2 3 2 2 2 2" xfId="34138" xr:uid="{084B556B-459E-4606-AC99-043C4FF9157B}"/>
    <cellStyle name="Comma 6 3 4 2 3 2 2 3" xfId="25466" xr:uid="{2C764CBA-35F8-4C1F-B6FA-EADFD7AE45A4}"/>
    <cellStyle name="Comma 6 3 4 2 3 2 3" xfId="12458" xr:uid="{3AA7E25C-3934-49E4-8F3C-8EA1D7278844}"/>
    <cellStyle name="Comma 6 3 4 2 3 2 3 2" xfId="29802" xr:uid="{71CA0A9E-50A9-4352-9F83-2FCA995B7367}"/>
    <cellStyle name="Comma 6 3 4 2 3 2 4" xfId="21130" xr:uid="{E10ADAC0-F78A-4C16-9F4E-5E80010050DD}"/>
    <cellStyle name="Comma 6 3 4 2 3 3" xfId="5954" xr:uid="{93245D72-45B9-4C7C-B17F-15AD2DE3A993}"/>
    <cellStyle name="Comma 6 3 4 2 3 3 2" xfId="14626" xr:uid="{8B705D36-A157-4339-9FD6-6D1C740703A9}"/>
    <cellStyle name="Comma 6 3 4 2 3 3 2 2" xfId="31970" xr:uid="{F574C8E9-C628-4D03-8757-3B21FB29F875}"/>
    <cellStyle name="Comma 6 3 4 2 3 3 3" xfId="23298" xr:uid="{BEB29082-CF2D-4B61-8AE5-92A5BA57A878}"/>
    <cellStyle name="Comma 6 3 4 2 3 4" xfId="10290" xr:uid="{A7399036-EF9F-4BD7-9C78-DC4467D73500}"/>
    <cellStyle name="Comma 6 3 4 2 3 4 2" xfId="27634" xr:uid="{D62389CE-059D-4160-876B-94E9A181C48B}"/>
    <cellStyle name="Comma 6 3 4 2 3 5" xfId="18962" xr:uid="{B50F616D-D4C6-4ADF-8701-8CF25B57406D}"/>
    <cellStyle name="Comma 6 3 4 2 4" xfId="2702" xr:uid="{52F39A9F-CD06-40B6-9C46-6776772FF91C}"/>
    <cellStyle name="Comma 6 3 4 2 4 2" xfId="7038" xr:uid="{B81E7951-19F9-4D8A-B12D-864AFC926C57}"/>
    <cellStyle name="Comma 6 3 4 2 4 2 2" xfId="15710" xr:uid="{A3A8C9F4-9E82-43E0-A60A-285444EF716F}"/>
    <cellStyle name="Comma 6 3 4 2 4 2 2 2" xfId="33054" xr:uid="{B2491275-FFB3-4686-9F6A-DA58E220D9AB}"/>
    <cellStyle name="Comma 6 3 4 2 4 2 3" xfId="24382" xr:uid="{78C13984-4280-4F00-A85A-7A57FE158DFC}"/>
    <cellStyle name="Comma 6 3 4 2 4 3" xfId="11374" xr:uid="{4C074A81-99DE-4610-B83B-23A8FD4F7F5D}"/>
    <cellStyle name="Comma 6 3 4 2 4 3 2" xfId="28718" xr:uid="{1416ADF0-DD29-44DF-A023-46E441051A4A}"/>
    <cellStyle name="Comma 6 3 4 2 4 4" xfId="20046" xr:uid="{C19CAC03-5035-413F-B914-0F6B9EF06E93}"/>
    <cellStyle name="Comma 6 3 4 2 5" xfId="4870" xr:uid="{2E506F36-8AE5-48F4-82AF-00D0FF6F548D}"/>
    <cellStyle name="Comma 6 3 4 2 5 2" xfId="13542" xr:uid="{E58C331F-CD21-4DDF-88FA-EC40309E94C8}"/>
    <cellStyle name="Comma 6 3 4 2 5 2 2" xfId="30886" xr:uid="{2A2299A5-E4FB-4E9F-9E56-17F653FD1B04}"/>
    <cellStyle name="Comma 6 3 4 2 5 3" xfId="22214" xr:uid="{B7A70EA1-B5D0-4701-8838-17110665A374}"/>
    <cellStyle name="Comma 6 3 4 2 6" xfId="9206" xr:uid="{FCE27E81-C126-4D03-AEE7-3B3F3D757DC7}"/>
    <cellStyle name="Comma 6 3 4 2 6 2" xfId="26550" xr:uid="{1D1E7D47-F712-43C7-85F5-FA16C0767C6F}"/>
    <cellStyle name="Comma 6 3 4 2 7" xfId="17878" xr:uid="{AF05421C-198C-4548-B456-9A554F94C77D}"/>
    <cellStyle name="Comma 6 3 4 3" xfId="805" xr:uid="{62DFCEAA-3EEC-439B-88A2-E23DC2B8D1BA}"/>
    <cellStyle name="Comma 6 3 4 3 2" xfId="1889" xr:uid="{C958A3FB-EC21-4E2C-B851-5E30F2390FED}"/>
    <cellStyle name="Comma 6 3 4 3 2 2" xfId="4057" xr:uid="{DD617EC1-4E48-401F-8C59-2AF633235D5D}"/>
    <cellStyle name="Comma 6 3 4 3 2 2 2" xfId="8393" xr:uid="{3678A826-B670-4CD9-8B7D-A945B61DD622}"/>
    <cellStyle name="Comma 6 3 4 3 2 2 2 2" xfId="17065" xr:uid="{36847E43-B268-4A8F-99C4-323A30746954}"/>
    <cellStyle name="Comma 6 3 4 3 2 2 2 2 2" xfId="34409" xr:uid="{4E375602-AE49-4F1A-B422-F552E7354948}"/>
    <cellStyle name="Comma 6 3 4 3 2 2 2 3" xfId="25737" xr:uid="{001708F1-BF44-4D7E-860A-569CC4C4A412}"/>
    <cellStyle name="Comma 6 3 4 3 2 2 3" xfId="12729" xr:uid="{645F6F4F-BAAB-412F-982D-D46B207FAFE7}"/>
    <cellStyle name="Comma 6 3 4 3 2 2 3 2" xfId="30073" xr:uid="{0FAB2726-848E-4EA7-B1B5-F2BFCB27C99A}"/>
    <cellStyle name="Comma 6 3 4 3 2 2 4" xfId="21401" xr:uid="{901DD6ED-9D3D-4CC3-BD02-DAA9FA60C2C3}"/>
    <cellStyle name="Comma 6 3 4 3 2 3" xfId="6225" xr:uid="{A1578C8C-1D77-4CD4-8D2D-4CADDE22AFF7}"/>
    <cellStyle name="Comma 6 3 4 3 2 3 2" xfId="14897" xr:uid="{B506F4E0-3111-45CC-AF67-9C217256A33D}"/>
    <cellStyle name="Comma 6 3 4 3 2 3 2 2" xfId="32241" xr:uid="{9F8F9BFE-B665-4AD5-8636-C0414F88FC23}"/>
    <cellStyle name="Comma 6 3 4 3 2 3 3" xfId="23569" xr:uid="{7FD3404D-EBFE-4F95-B683-1393F9C801E1}"/>
    <cellStyle name="Comma 6 3 4 3 2 4" xfId="10561" xr:uid="{CB2AE9AF-FD3F-4C4E-BAA3-202B2A1FD6FD}"/>
    <cellStyle name="Comma 6 3 4 3 2 4 2" xfId="27905" xr:uid="{9083FAE0-3C25-4330-A976-B5648C134223}"/>
    <cellStyle name="Comma 6 3 4 3 2 5" xfId="19233" xr:uid="{E4EB4A39-9AC5-4B6A-91BB-BB919CC88EC5}"/>
    <cellStyle name="Comma 6 3 4 3 3" xfId="2973" xr:uid="{FB163244-2351-4DFA-B0A3-4368B0A86273}"/>
    <cellStyle name="Comma 6 3 4 3 3 2" xfId="7309" xr:uid="{BEC96979-85A2-49E3-BBFB-25642EFB88B6}"/>
    <cellStyle name="Comma 6 3 4 3 3 2 2" xfId="15981" xr:uid="{A2828E7E-88BF-4CD4-A2C8-68FDCD810BA7}"/>
    <cellStyle name="Comma 6 3 4 3 3 2 2 2" xfId="33325" xr:uid="{B2D77EC1-A71B-4EDC-9127-ACAC62C70812}"/>
    <cellStyle name="Comma 6 3 4 3 3 2 3" xfId="24653" xr:uid="{9DCED76F-BBCE-47BB-B207-C276180D5CA7}"/>
    <cellStyle name="Comma 6 3 4 3 3 3" xfId="11645" xr:uid="{A2676E39-E4F7-4B62-8DFA-ADB892D9E023}"/>
    <cellStyle name="Comma 6 3 4 3 3 3 2" xfId="28989" xr:uid="{C78F5117-2BAA-4F3A-9FD2-A90B4C737909}"/>
    <cellStyle name="Comma 6 3 4 3 3 4" xfId="20317" xr:uid="{8A9AE163-EBE9-48C5-AE07-B6A042390919}"/>
    <cellStyle name="Comma 6 3 4 3 4" xfId="5141" xr:uid="{DF831B0A-72FB-4059-803B-54F3D708F152}"/>
    <cellStyle name="Comma 6 3 4 3 4 2" xfId="13813" xr:uid="{440E3C90-10A6-4823-A538-7DFE80B7409D}"/>
    <cellStyle name="Comma 6 3 4 3 4 2 2" xfId="31157" xr:uid="{39E3AA04-C5F3-44BD-8FB8-AB4DEBBEBC32}"/>
    <cellStyle name="Comma 6 3 4 3 4 3" xfId="22485" xr:uid="{67250B84-97DC-40A2-AD85-B1675722E327}"/>
    <cellStyle name="Comma 6 3 4 3 5" xfId="9477" xr:uid="{4637A6A0-2203-4EF5-82D9-4C0E16DC4007}"/>
    <cellStyle name="Comma 6 3 4 3 5 2" xfId="26821" xr:uid="{7C46216F-DA2E-414E-A878-57C00DE4E1A2}"/>
    <cellStyle name="Comma 6 3 4 3 6" xfId="18149" xr:uid="{4B47487B-84D9-46B7-8A6E-711D857BB012}"/>
    <cellStyle name="Comma 6 3 4 4" xfId="1348" xr:uid="{58B8F044-4E2D-4DAC-AD71-118F2C946BEC}"/>
    <cellStyle name="Comma 6 3 4 4 2" xfId="3516" xr:uid="{3AB3EC82-595B-4DD6-B6AF-F876C8971C66}"/>
    <cellStyle name="Comma 6 3 4 4 2 2" xfId="7852" xr:uid="{52489080-3160-4F26-B3CB-39BC9FA4BB79}"/>
    <cellStyle name="Comma 6 3 4 4 2 2 2" xfId="16524" xr:uid="{8490655E-FC63-4530-9488-550B76D73B73}"/>
    <cellStyle name="Comma 6 3 4 4 2 2 2 2" xfId="33868" xr:uid="{98185B2D-7B05-4832-B420-FF62BB7DC680}"/>
    <cellStyle name="Comma 6 3 4 4 2 2 3" xfId="25196" xr:uid="{7B849BAB-83CC-4B72-891B-1F8A1E30E360}"/>
    <cellStyle name="Comma 6 3 4 4 2 3" xfId="12188" xr:uid="{3C38B1D7-3D3C-4CA4-B3E8-295ADB84F49C}"/>
    <cellStyle name="Comma 6 3 4 4 2 3 2" xfId="29532" xr:uid="{03DEE8C6-64B4-4AA4-BF04-6F1E6C190FC5}"/>
    <cellStyle name="Comma 6 3 4 4 2 4" xfId="20860" xr:uid="{DD05C361-1E19-425E-ABDB-993C3C4AF80C}"/>
    <cellStyle name="Comma 6 3 4 4 3" xfId="5684" xr:uid="{A0A99FC7-BEF5-4A44-BE36-60A8537E852A}"/>
    <cellStyle name="Comma 6 3 4 4 3 2" xfId="14356" xr:uid="{1C9F39B3-EA39-49A6-9A81-039A261C0D0F}"/>
    <cellStyle name="Comma 6 3 4 4 3 2 2" xfId="31700" xr:uid="{D5ECF104-5F6D-41E1-92C1-682FDE61612C}"/>
    <cellStyle name="Comma 6 3 4 4 3 3" xfId="23028" xr:uid="{81B1C18A-92F6-4530-B3B4-18EE731FCA13}"/>
    <cellStyle name="Comma 6 3 4 4 4" xfId="10020" xr:uid="{5CB15664-0A4D-4D8F-89ED-AAC1262EE3ED}"/>
    <cellStyle name="Comma 6 3 4 4 4 2" xfId="27364" xr:uid="{1BEAFD46-9031-4994-BAA2-BD7D3924A855}"/>
    <cellStyle name="Comma 6 3 4 4 5" xfId="18692" xr:uid="{5ED9D7D1-69DC-48A7-AF68-60918F16FE69}"/>
    <cellStyle name="Comma 6 3 4 5" xfId="2432" xr:uid="{944B0A72-C9D2-4AD4-8A45-FC5B0724C24E}"/>
    <cellStyle name="Comma 6 3 4 5 2" xfId="6768" xr:uid="{B69FF908-1398-4B74-9F28-B55DE6E5C1CD}"/>
    <cellStyle name="Comma 6 3 4 5 2 2" xfId="15440" xr:uid="{7FEFB47B-9B57-4486-ADBE-37D4B8D4A27E}"/>
    <cellStyle name="Comma 6 3 4 5 2 2 2" xfId="32784" xr:uid="{6C9C3CC3-01A7-491B-A97E-9C0275E8AF64}"/>
    <cellStyle name="Comma 6 3 4 5 2 3" xfId="24112" xr:uid="{ACE8E498-84E0-4943-BE26-F2B4CB025DD3}"/>
    <cellStyle name="Comma 6 3 4 5 3" xfId="11104" xr:uid="{6F605F0F-5310-4474-9E20-879E33713439}"/>
    <cellStyle name="Comma 6 3 4 5 3 2" xfId="28448" xr:uid="{A2E3A066-F6DF-4558-B1C0-3FF64A6F2546}"/>
    <cellStyle name="Comma 6 3 4 5 4" xfId="19776" xr:uid="{817D035E-F7D5-43CC-976C-62B4DF339199}"/>
    <cellStyle name="Comma 6 3 4 6" xfId="4600" xr:uid="{D3FAFF80-D27C-4A0D-B5FD-902B51F17790}"/>
    <cellStyle name="Comma 6 3 4 6 2" xfId="13272" xr:uid="{7FD55B5F-7857-4F64-B475-A305CF087AF7}"/>
    <cellStyle name="Comma 6 3 4 6 2 2" xfId="30616" xr:uid="{5D208803-6A52-4EC9-B976-356CE87FACEC}"/>
    <cellStyle name="Comma 6 3 4 6 3" xfId="21944" xr:uid="{80881A4A-7800-45FF-A71C-D1A9BA85485A}"/>
    <cellStyle name="Comma 6 3 4 7" xfId="8936" xr:uid="{EB113681-E515-4151-8B25-B7EDB69A0C58}"/>
    <cellStyle name="Comma 6 3 4 7 2" xfId="26280" xr:uid="{68045F3E-331B-4C91-8906-B4DC935B0BA8}"/>
    <cellStyle name="Comma 6 3 4 8" xfId="17608" xr:uid="{7C745CC0-8827-4BAD-A24C-3BA5F7452487}"/>
    <cellStyle name="Comma 6 3 5" xfId="305" xr:uid="{77D5A1E7-1164-431D-A08C-2A74985D2099}"/>
    <cellStyle name="Comma 6 3 5 2" xfId="846" xr:uid="{47AE870A-052C-481C-962B-5C4BBA52E275}"/>
    <cellStyle name="Comma 6 3 5 2 2" xfId="1930" xr:uid="{AF7680D0-6339-43C1-9B7F-0B42EB5145D7}"/>
    <cellStyle name="Comma 6 3 5 2 2 2" xfId="4098" xr:uid="{B2D58059-067A-4290-B8C1-1697F9C55F4A}"/>
    <cellStyle name="Comma 6 3 5 2 2 2 2" xfId="8434" xr:uid="{64E19EF0-0974-4E42-9A44-D45F822F164B}"/>
    <cellStyle name="Comma 6 3 5 2 2 2 2 2" xfId="17106" xr:uid="{4339F210-CF86-4C0A-83A2-CB133EB898B9}"/>
    <cellStyle name="Comma 6 3 5 2 2 2 2 2 2" xfId="34450" xr:uid="{4516F367-40FD-4764-9E01-6662F0DB57A3}"/>
    <cellStyle name="Comma 6 3 5 2 2 2 2 3" xfId="25778" xr:uid="{EAC1975E-F412-4EAD-BB50-3F5A506BD419}"/>
    <cellStyle name="Comma 6 3 5 2 2 2 3" xfId="12770" xr:uid="{58D7FC21-B801-43C7-B33C-09E7CF473EC8}"/>
    <cellStyle name="Comma 6 3 5 2 2 2 3 2" xfId="30114" xr:uid="{4F95D2C2-57CC-42AD-92E0-2D5A1BD941A2}"/>
    <cellStyle name="Comma 6 3 5 2 2 2 4" xfId="21442" xr:uid="{5EBC04F1-FF61-4148-99CE-374D6C506755}"/>
    <cellStyle name="Comma 6 3 5 2 2 3" xfId="6266" xr:uid="{9FF70708-7CC0-4F26-9B14-B6BCB0F62993}"/>
    <cellStyle name="Comma 6 3 5 2 2 3 2" xfId="14938" xr:uid="{8B434B39-150C-4B32-B8A3-A4AE1C0AF917}"/>
    <cellStyle name="Comma 6 3 5 2 2 3 2 2" xfId="32282" xr:uid="{4148F315-F2BE-41D9-9DD4-9D8AA788929D}"/>
    <cellStyle name="Comma 6 3 5 2 2 3 3" xfId="23610" xr:uid="{B791C62C-DF2A-4DB1-BD7A-1B7218B3B876}"/>
    <cellStyle name="Comma 6 3 5 2 2 4" xfId="10602" xr:uid="{2FE7FAA9-7593-46F1-8B2B-3978DB867A0B}"/>
    <cellStyle name="Comma 6 3 5 2 2 4 2" xfId="27946" xr:uid="{BD70CAB8-58F8-43FB-B888-832D366B1BE0}"/>
    <cellStyle name="Comma 6 3 5 2 2 5" xfId="19274" xr:uid="{9CFF3973-4938-4542-8498-97A31F9CDB9B}"/>
    <cellStyle name="Comma 6 3 5 2 3" xfId="3014" xr:uid="{5293557E-1362-4AA4-B2B8-4B48AFCE82A4}"/>
    <cellStyle name="Comma 6 3 5 2 3 2" xfId="7350" xr:uid="{9AAF94AD-DECC-48CC-845D-0F346C7008C6}"/>
    <cellStyle name="Comma 6 3 5 2 3 2 2" xfId="16022" xr:uid="{FF9492BB-D5A4-4C46-A74F-F5BB0CB55804}"/>
    <cellStyle name="Comma 6 3 5 2 3 2 2 2" xfId="33366" xr:uid="{47B3EC93-32D2-4CC1-95B1-EF9B61CB0D1F}"/>
    <cellStyle name="Comma 6 3 5 2 3 2 3" xfId="24694" xr:uid="{DC778AA1-73BA-4A97-8552-8A7F8ADD2337}"/>
    <cellStyle name="Comma 6 3 5 2 3 3" xfId="11686" xr:uid="{ABD67494-A434-49BE-8C50-E3AF8448EB07}"/>
    <cellStyle name="Comma 6 3 5 2 3 3 2" xfId="29030" xr:uid="{3F0AA299-605D-4D2B-A002-9DD949E50ECA}"/>
    <cellStyle name="Comma 6 3 5 2 3 4" xfId="20358" xr:uid="{F1AE9DDE-80B3-407F-BCA0-04C8B3431CC6}"/>
    <cellStyle name="Comma 6 3 5 2 4" xfId="5182" xr:uid="{4AE085BF-C935-48F0-92C3-64BFAA79030A}"/>
    <cellStyle name="Comma 6 3 5 2 4 2" xfId="13854" xr:uid="{150DA8E7-936D-43E5-92DB-1271929116B2}"/>
    <cellStyle name="Comma 6 3 5 2 4 2 2" xfId="31198" xr:uid="{5D3A0EE5-6027-43D5-BA4D-23D9B4D0F9E9}"/>
    <cellStyle name="Comma 6 3 5 2 4 3" xfId="22526" xr:uid="{772CD082-221F-44A1-9C8B-EAB8ABFEF840}"/>
    <cellStyle name="Comma 6 3 5 2 5" xfId="9518" xr:uid="{61C118AE-65F4-4D9D-80E5-57B2012C295F}"/>
    <cellStyle name="Comma 6 3 5 2 5 2" xfId="26862" xr:uid="{B9CDF9B9-B2AD-45DF-A665-756EA58F6FE2}"/>
    <cellStyle name="Comma 6 3 5 2 6" xfId="18190" xr:uid="{487F5354-0519-4956-B5B7-F49F78BE69B2}"/>
    <cellStyle name="Comma 6 3 5 3" xfId="1389" xr:uid="{DE8FDF42-6C98-4D1D-8069-67CA99A547D8}"/>
    <cellStyle name="Comma 6 3 5 3 2" xfId="3557" xr:uid="{F7DABDF1-0D4E-47CB-B195-D83C88A409F8}"/>
    <cellStyle name="Comma 6 3 5 3 2 2" xfId="7893" xr:uid="{94C08A05-A9AA-4283-AD67-25B7C6252110}"/>
    <cellStyle name="Comma 6 3 5 3 2 2 2" xfId="16565" xr:uid="{7C48862A-94B7-48A6-8C2C-179B99F50563}"/>
    <cellStyle name="Comma 6 3 5 3 2 2 2 2" xfId="33909" xr:uid="{484665BF-C7DC-4AFB-814B-8E07B8F4783D}"/>
    <cellStyle name="Comma 6 3 5 3 2 2 3" xfId="25237" xr:uid="{5891FA47-6E42-4BCC-918E-55A485A04C4C}"/>
    <cellStyle name="Comma 6 3 5 3 2 3" xfId="12229" xr:uid="{DECBC3A7-F017-4679-A890-EC53FD3A8EE9}"/>
    <cellStyle name="Comma 6 3 5 3 2 3 2" xfId="29573" xr:uid="{86E868AD-DD5B-4166-8288-4838C6C774E5}"/>
    <cellStyle name="Comma 6 3 5 3 2 4" xfId="20901" xr:uid="{411A3631-0508-4735-9306-3D4FD89494A2}"/>
    <cellStyle name="Comma 6 3 5 3 3" xfId="5725" xr:uid="{2129F3F8-DA0B-4A51-B70F-F75FA1E5BB62}"/>
    <cellStyle name="Comma 6 3 5 3 3 2" xfId="14397" xr:uid="{9E113C13-14A7-4F35-AF77-C6EC46A83744}"/>
    <cellStyle name="Comma 6 3 5 3 3 2 2" xfId="31741" xr:uid="{D123A974-A0BE-4F79-BEB5-4153FADF93F1}"/>
    <cellStyle name="Comma 6 3 5 3 3 3" xfId="23069" xr:uid="{2EC74A7B-3B33-4C60-BF40-C10FBD2BEE70}"/>
    <cellStyle name="Comma 6 3 5 3 4" xfId="10061" xr:uid="{E7EF6B42-4B2E-49D7-8B94-D76E53C9FAA0}"/>
    <cellStyle name="Comma 6 3 5 3 4 2" xfId="27405" xr:uid="{94386274-830C-4B3D-8A07-D270B0AC200F}"/>
    <cellStyle name="Comma 6 3 5 3 5" xfId="18733" xr:uid="{711EC1FD-8F9A-4345-99FC-DC52648E7AC7}"/>
    <cellStyle name="Comma 6 3 5 4" xfId="2473" xr:uid="{7EEDC2A4-1E8C-461A-9717-F3DFE30696A7}"/>
    <cellStyle name="Comma 6 3 5 4 2" xfId="6809" xr:uid="{CE8662B7-C6CF-4E2D-9A82-27F8D233B130}"/>
    <cellStyle name="Comma 6 3 5 4 2 2" xfId="15481" xr:uid="{70A137DB-D69C-49F6-AEE3-2E1B268B4B5A}"/>
    <cellStyle name="Comma 6 3 5 4 2 2 2" xfId="32825" xr:uid="{7BFE8BB5-DD0F-49AE-B281-E31EEEC94C74}"/>
    <cellStyle name="Comma 6 3 5 4 2 3" xfId="24153" xr:uid="{90302D01-3515-4290-9AF0-CE07A818B213}"/>
    <cellStyle name="Comma 6 3 5 4 3" xfId="11145" xr:uid="{9A48794D-B7EE-4E37-A978-60B3C7089AD8}"/>
    <cellStyle name="Comma 6 3 5 4 3 2" xfId="28489" xr:uid="{1A389C1B-D1FA-441F-9B17-BD5A6FDA8839}"/>
    <cellStyle name="Comma 6 3 5 4 4" xfId="19817" xr:uid="{DA89F8D3-9F55-4BFA-B9E7-0E2572392386}"/>
    <cellStyle name="Comma 6 3 5 5" xfId="4641" xr:uid="{5AB2F0C0-1F6C-4780-A9E5-E1C9E8D82109}"/>
    <cellStyle name="Comma 6 3 5 5 2" xfId="13313" xr:uid="{52F5492B-8F7E-4DA1-A621-D8D8696D5105}"/>
    <cellStyle name="Comma 6 3 5 5 2 2" xfId="30657" xr:uid="{322D9DD8-1023-46A5-BDF2-F744F55CACF7}"/>
    <cellStyle name="Comma 6 3 5 5 3" xfId="21985" xr:uid="{882AA59C-636C-4B5C-8D5C-F83B01B120DB}"/>
    <cellStyle name="Comma 6 3 5 6" xfId="8977" xr:uid="{9EF5817A-F805-4127-A08E-DD131C4E1B0F}"/>
    <cellStyle name="Comma 6 3 5 6 2" xfId="26321" xr:uid="{83005B45-1420-4D1A-9A94-B6A498CDC757}"/>
    <cellStyle name="Comma 6 3 5 7" xfId="17649" xr:uid="{06D2C71D-3141-4955-9E4A-1F144BF42DCC}"/>
    <cellStyle name="Comma 6 3 6" xfId="576" xr:uid="{0ABDB6BC-6900-463C-9BB9-3EC2EB1E3454}"/>
    <cellStyle name="Comma 6 3 6 2" xfId="1660" xr:uid="{09A54370-9102-4BC3-A382-332D7898D6B8}"/>
    <cellStyle name="Comma 6 3 6 2 2" xfId="3828" xr:uid="{19AC0284-4C54-4B26-B485-077BAED70226}"/>
    <cellStyle name="Comma 6 3 6 2 2 2" xfId="8164" xr:uid="{9DD6AD84-23AB-4CC4-8824-CD709413B814}"/>
    <cellStyle name="Comma 6 3 6 2 2 2 2" xfId="16836" xr:uid="{B721E3DA-B631-4A7E-94BF-881C8EFB4D69}"/>
    <cellStyle name="Comma 6 3 6 2 2 2 2 2" xfId="34180" xr:uid="{AB82EA99-9394-4035-9B5C-E5921B6D956F}"/>
    <cellStyle name="Comma 6 3 6 2 2 2 3" xfId="25508" xr:uid="{F7F64324-A95C-4F77-9E6F-AD70EC33F35E}"/>
    <cellStyle name="Comma 6 3 6 2 2 3" xfId="12500" xr:uid="{4500E80B-B93E-49A0-B51B-030E9B62E61E}"/>
    <cellStyle name="Comma 6 3 6 2 2 3 2" xfId="29844" xr:uid="{7F6F40BE-735F-4EB5-8776-58E2FBFF2201}"/>
    <cellStyle name="Comma 6 3 6 2 2 4" xfId="21172" xr:uid="{445CE5DE-74FA-4C7C-940C-A0D4B7B62C27}"/>
    <cellStyle name="Comma 6 3 6 2 3" xfId="5996" xr:uid="{E778485E-E7C3-4418-BFA7-4C1D1D68AE4E}"/>
    <cellStyle name="Comma 6 3 6 2 3 2" xfId="14668" xr:uid="{A88572B0-FB86-4A82-A057-29A85D5B643B}"/>
    <cellStyle name="Comma 6 3 6 2 3 2 2" xfId="32012" xr:uid="{A16F8C4A-6EE4-4C8A-A978-966E04FF99A4}"/>
    <cellStyle name="Comma 6 3 6 2 3 3" xfId="23340" xr:uid="{6A40A43A-1FAE-48DA-8268-515B45147233}"/>
    <cellStyle name="Comma 6 3 6 2 4" xfId="10332" xr:uid="{3A0FFCCD-A266-4170-A8D3-9AB2465E32BE}"/>
    <cellStyle name="Comma 6 3 6 2 4 2" xfId="27676" xr:uid="{B086DD5F-5E16-4B8D-B44C-FD153E18E228}"/>
    <cellStyle name="Comma 6 3 6 2 5" xfId="19004" xr:uid="{17052CED-7BE9-4AC0-BE33-7D51B7FFFA3C}"/>
    <cellStyle name="Comma 6 3 6 3" xfId="2744" xr:uid="{8C1DF3C5-289F-443C-9437-1FC38900E00D}"/>
    <cellStyle name="Comma 6 3 6 3 2" xfId="7080" xr:uid="{529D09AC-4529-46B0-8A6E-409A7069028B}"/>
    <cellStyle name="Comma 6 3 6 3 2 2" xfId="15752" xr:uid="{A7AB1499-8B76-476B-9133-D5EE6B6C0C88}"/>
    <cellStyle name="Comma 6 3 6 3 2 2 2" xfId="33096" xr:uid="{F2269FC7-1045-406A-86B2-5AC642055DB8}"/>
    <cellStyle name="Comma 6 3 6 3 2 3" xfId="24424" xr:uid="{9CA4BFA5-F919-4797-9AAA-C4DEF206F1D9}"/>
    <cellStyle name="Comma 6 3 6 3 3" xfId="11416" xr:uid="{71775CA7-4395-4867-A545-C96EAA4F106D}"/>
    <cellStyle name="Comma 6 3 6 3 3 2" xfId="28760" xr:uid="{558FD95C-1CFA-41F4-A577-0987E3F7E0F6}"/>
    <cellStyle name="Comma 6 3 6 3 4" xfId="20088" xr:uid="{D490A87E-3424-44C0-8D79-ADCC545BBF11}"/>
    <cellStyle name="Comma 6 3 6 4" xfId="4912" xr:uid="{5B578FFC-882D-4DD3-BACC-EF5F8A99AC5A}"/>
    <cellStyle name="Comma 6 3 6 4 2" xfId="13584" xr:uid="{EFFD3E5E-9ADD-455D-8A45-6581CEBD3123}"/>
    <cellStyle name="Comma 6 3 6 4 2 2" xfId="30928" xr:uid="{294B6333-B814-45F1-8E8D-E5518C987403}"/>
    <cellStyle name="Comma 6 3 6 4 3" xfId="22256" xr:uid="{28FB059D-AEEA-4E83-88A5-C35C196CAA4C}"/>
    <cellStyle name="Comma 6 3 6 5" xfId="9248" xr:uid="{FA22C6D8-B6DC-4760-82AD-CC834CEAAD02}"/>
    <cellStyle name="Comma 6 3 6 5 2" xfId="26592" xr:uid="{D5E542CB-0189-4CF2-8392-5CBE1BC522C9}"/>
    <cellStyle name="Comma 6 3 6 6" xfId="17920" xr:uid="{CC4B11CB-566B-4893-99B2-8B6C7D1FF6F6}"/>
    <cellStyle name="Comma 6 3 7" xfId="1119" xr:uid="{BC61264D-438A-48AE-8750-9B339647E79E}"/>
    <cellStyle name="Comma 6 3 7 2" xfId="3287" xr:uid="{2ED5A2A1-55EB-4450-899A-46094EF70E49}"/>
    <cellStyle name="Comma 6 3 7 2 2" xfId="7623" xr:uid="{5C4AC964-C26A-405A-80DC-2EBCA20D635E}"/>
    <cellStyle name="Comma 6 3 7 2 2 2" xfId="16295" xr:uid="{7A33FFF7-0BD8-41C9-B9DA-4016DB354B0E}"/>
    <cellStyle name="Comma 6 3 7 2 2 2 2" xfId="33639" xr:uid="{0E7DAB78-24BF-46F2-B9CB-FE15264653CC}"/>
    <cellStyle name="Comma 6 3 7 2 2 3" xfId="24967" xr:uid="{80EBA789-4CEA-4EAF-81C8-5198D5499CE5}"/>
    <cellStyle name="Comma 6 3 7 2 3" xfId="11959" xr:uid="{112831D4-A47A-4A24-89FD-03DEA6200E6E}"/>
    <cellStyle name="Comma 6 3 7 2 3 2" xfId="29303" xr:uid="{666C44DE-BF63-4283-9906-E86C4B695F0A}"/>
    <cellStyle name="Comma 6 3 7 2 4" xfId="20631" xr:uid="{A309BCC1-1F7B-4CE0-BBF2-56D2D56F4640}"/>
    <cellStyle name="Comma 6 3 7 3" xfId="5455" xr:uid="{DE033938-217F-4D58-8E2E-6613D34FC9FB}"/>
    <cellStyle name="Comma 6 3 7 3 2" xfId="14127" xr:uid="{AD376070-86C5-4148-B441-4C555DA22FF7}"/>
    <cellStyle name="Comma 6 3 7 3 2 2" xfId="31471" xr:uid="{B85D4C55-C066-4EB6-AE28-00B99C2B95FA}"/>
    <cellStyle name="Comma 6 3 7 3 3" xfId="22799" xr:uid="{830FB2F3-4E69-4E6E-AE8A-2B58AA42A756}"/>
    <cellStyle name="Comma 6 3 7 4" xfId="9791" xr:uid="{E719334F-E5A6-4E3A-8546-8CEE4BB52D2C}"/>
    <cellStyle name="Comma 6 3 7 4 2" xfId="27135" xr:uid="{850A9CAB-2988-4454-99EC-B2E5098081F8}"/>
    <cellStyle name="Comma 6 3 7 5" xfId="18463" xr:uid="{E2EB4894-2904-4D6D-9E2F-AD2B4CA75605}"/>
    <cellStyle name="Comma 6 3 8" xfId="2203" xr:uid="{B1166BD3-D849-4990-894E-93C27B2FFD1A}"/>
    <cellStyle name="Comma 6 3 8 2" xfId="6539" xr:uid="{99B98A19-F4FF-440F-9FE4-3E2D7D413FDA}"/>
    <cellStyle name="Comma 6 3 8 2 2" xfId="15211" xr:uid="{C4DD6193-3D2E-4580-A8FA-78F0BDE75B16}"/>
    <cellStyle name="Comma 6 3 8 2 2 2" xfId="32555" xr:uid="{F497737F-A990-4340-ACE0-7FE8D41D83EF}"/>
    <cellStyle name="Comma 6 3 8 2 3" xfId="23883" xr:uid="{2CA968A1-3BCF-492A-844A-C421168DD8A8}"/>
    <cellStyle name="Comma 6 3 8 3" xfId="10875" xr:uid="{477A25FF-28CF-4A1C-860E-2770684FA4BF}"/>
    <cellStyle name="Comma 6 3 8 3 2" xfId="28219" xr:uid="{BFB27EF6-AC08-494F-877A-5D40D83DF0FD}"/>
    <cellStyle name="Comma 6 3 8 4" xfId="19547" xr:uid="{F498D5FC-65E1-4C74-875A-96C43CD0D413}"/>
    <cellStyle name="Comma 6 3 9" xfId="4371" xr:uid="{6F710358-CF79-4DFE-9467-61D11C67D3AB}"/>
    <cellStyle name="Comma 6 3 9 2" xfId="13043" xr:uid="{C1E6E18F-8F2F-4238-95BE-7EC19DA36E6E}"/>
    <cellStyle name="Comma 6 3 9 2 2" xfId="30387" xr:uid="{20548B6D-CD0C-4E01-9226-E00807027DD1}"/>
    <cellStyle name="Comma 6 3 9 3" xfId="21715" xr:uid="{0D1837EF-564D-425C-AF17-EBF4644ABF7A}"/>
    <cellStyle name="Comma 6 4" xfId="43" xr:uid="{289A8219-0936-4EC1-82F1-A93306165D50}"/>
    <cellStyle name="Comma 6 4 10" xfId="17387" xr:uid="{48CA1CB3-F1D4-4ABB-ACD2-5630CC9BC614}"/>
    <cellStyle name="Comma 6 4 2" xfId="104" xr:uid="{BC252C4D-D73D-4F8B-87B3-86147952871F}"/>
    <cellStyle name="Comma 6 4 2 2" xfId="226" xr:uid="{1EA3E5EE-F1D5-44ED-8614-E464DA9A7428}"/>
    <cellStyle name="Comma 6 4 2 2 2" xfId="496" xr:uid="{32BFC3DE-CC00-4E97-B38C-436E004055EA}"/>
    <cellStyle name="Comma 6 4 2 2 2 2" xfId="1037" xr:uid="{D556D79A-CAAF-49BD-ACFF-C722363821DE}"/>
    <cellStyle name="Comma 6 4 2 2 2 2 2" xfId="2121" xr:uid="{0C80054D-85AC-442B-8E5C-EDDCD5775686}"/>
    <cellStyle name="Comma 6 4 2 2 2 2 2 2" xfId="4289" xr:uid="{D94150A5-3E2E-49CA-9546-4F8BFB6FBF6F}"/>
    <cellStyle name="Comma 6 4 2 2 2 2 2 2 2" xfId="8625" xr:uid="{9AE2E830-5B07-40BE-8F81-1DFED260E171}"/>
    <cellStyle name="Comma 6 4 2 2 2 2 2 2 2 2" xfId="17297" xr:uid="{ACE8FDF4-E751-4B41-827D-67ED36397CF4}"/>
    <cellStyle name="Comma 6 4 2 2 2 2 2 2 2 2 2" xfId="34641" xr:uid="{137616F8-2CC8-467F-9A15-5C58913746D4}"/>
    <cellStyle name="Comma 6 4 2 2 2 2 2 2 2 3" xfId="25969" xr:uid="{B23DB949-C7A7-4822-8B27-975767A145BC}"/>
    <cellStyle name="Comma 6 4 2 2 2 2 2 2 3" xfId="12961" xr:uid="{DAAA3DCA-6BF1-4442-90DE-A520E651AD08}"/>
    <cellStyle name="Comma 6 4 2 2 2 2 2 2 3 2" xfId="30305" xr:uid="{F0CDD382-A9F0-4445-872A-800CAB1591ED}"/>
    <cellStyle name="Comma 6 4 2 2 2 2 2 2 4" xfId="21633" xr:uid="{6301456C-E238-49DB-948A-E19BC1FF0CC7}"/>
    <cellStyle name="Comma 6 4 2 2 2 2 2 3" xfId="6457" xr:uid="{762A72D8-2D87-4BD4-B655-9DDD558C0FED}"/>
    <cellStyle name="Comma 6 4 2 2 2 2 2 3 2" xfId="15129" xr:uid="{8CEA0BA1-563C-4A56-80B8-F350A289A309}"/>
    <cellStyle name="Comma 6 4 2 2 2 2 2 3 2 2" xfId="32473" xr:uid="{F1D20CE8-1AF0-42E0-89B3-CF2E4D7A57A9}"/>
    <cellStyle name="Comma 6 4 2 2 2 2 2 3 3" xfId="23801" xr:uid="{56BADD4B-DC87-4CAF-B41E-2A75AE76E95B}"/>
    <cellStyle name="Comma 6 4 2 2 2 2 2 4" xfId="10793" xr:uid="{80BBFB90-E6E2-4BC6-A40D-056F5A9C28B8}"/>
    <cellStyle name="Comma 6 4 2 2 2 2 2 4 2" xfId="28137" xr:uid="{EE5E6FCC-6D1E-4206-BCAC-8014FFA9AEFC}"/>
    <cellStyle name="Comma 6 4 2 2 2 2 2 5" xfId="19465" xr:uid="{D249DF1B-67D4-4866-BAB1-C2B7EC4B41C7}"/>
    <cellStyle name="Comma 6 4 2 2 2 2 3" xfId="3205" xr:uid="{4712F1D2-F72E-4871-8FB6-3FA2AB8D9446}"/>
    <cellStyle name="Comma 6 4 2 2 2 2 3 2" xfId="7541" xr:uid="{CF53AB0A-82E4-4C83-A0DB-D8FAB5EED44D}"/>
    <cellStyle name="Comma 6 4 2 2 2 2 3 2 2" xfId="16213" xr:uid="{24C08F23-944A-4956-B19D-904043301EB2}"/>
    <cellStyle name="Comma 6 4 2 2 2 2 3 2 2 2" xfId="33557" xr:uid="{7575FC8C-AF72-4289-A789-7544FAC70749}"/>
    <cellStyle name="Comma 6 4 2 2 2 2 3 2 3" xfId="24885" xr:uid="{C4C4E33E-CBCB-4E38-8DAD-AC9EAE0CA0A0}"/>
    <cellStyle name="Comma 6 4 2 2 2 2 3 3" xfId="11877" xr:uid="{7C613E81-82A9-4546-A9B4-1C4655366E0A}"/>
    <cellStyle name="Comma 6 4 2 2 2 2 3 3 2" xfId="29221" xr:uid="{7048B8C5-F8C5-4F27-8EE0-EB52B4E09D90}"/>
    <cellStyle name="Comma 6 4 2 2 2 2 3 4" xfId="20549" xr:uid="{DE4C5923-1130-46C2-9EE6-39B5D0EE293C}"/>
    <cellStyle name="Comma 6 4 2 2 2 2 4" xfId="5373" xr:uid="{BC9F3EEF-F24D-4CB0-A0B7-765F15421DC0}"/>
    <cellStyle name="Comma 6 4 2 2 2 2 4 2" xfId="14045" xr:uid="{EC2C07C6-7746-404B-982E-E4B1CBC4FB18}"/>
    <cellStyle name="Comma 6 4 2 2 2 2 4 2 2" xfId="31389" xr:uid="{902AAC93-F681-4AC3-BF30-E0781EFF3CFD}"/>
    <cellStyle name="Comma 6 4 2 2 2 2 4 3" xfId="22717" xr:uid="{9DA9DDD4-01DD-434D-B9EA-708C03B54FCD}"/>
    <cellStyle name="Comma 6 4 2 2 2 2 5" xfId="9709" xr:uid="{4755DA0D-2B6B-48CF-AD97-3FF455399652}"/>
    <cellStyle name="Comma 6 4 2 2 2 2 5 2" xfId="27053" xr:uid="{E4C91737-D511-4785-A33D-F3A9A47C33F9}"/>
    <cellStyle name="Comma 6 4 2 2 2 2 6" xfId="18381" xr:uid="{8105CBA9-A940-435B-8030-F1C00E38DA3A}"/>
    <cellStyle name="Comma 6 4 2 2 2 3" xfId="1580" xr:uid="{57835D7E-210A-44DD-A95A-43C52E3DC3D8}"/>
    <cellStyle name="Comma 6 4 2 2 2 3 2" xfId="3748" xr:uid="{35AEB8C1-FF38-495E-8522-D1C292C1293D}"/>
    <cellStyle name="Comma 6 4 2 2 2 3 2 2" xfId="8084" xr:uid="{D701E4AA-A742-4128-9C29-6CF0F2CFD74F}"/>
    <cellStyle name="Comma 6 4 2 2 2 3 2 2 2" xfId="16756" xr:uid="{DEFCF444-D53C-446A-B01A-7902EE327CAD}"/>
    <cellStyle name="Comma 6 4 2 2 2 3 2 2 2 2" xfId="34100" xr:uid="{BE9B59F9-EC71-401F-B366-A941FF7B2732}"/>
    <cellStyle name="Comma 6 4 2 2 2 3 2 2 3" xfId="25428" xr:uid="{842E927E-217C-4364-9B60-8F213A864176}"/>
    <cellStyle name="Comma 6 4 2 2 2 3 2 3" xfId="12420" xr:uid="{094006B1-ABFB-48D6-8B21-47159097BAC4}"/>
    <cellStyle name="Comma 6 4 2 2 2 3 2 3 2" xfId="29764" xr:uid="{40DA8548-4ED8-41AC-B411-E55396824E50}"/>
    <cellStyle name="Comma 6 4 2 2 2 3 2 4" xfId="21092" xr:uid="{C2858291-799F-4A55-9148-25F9CC2B3D54}"/>
    <cellStyle name="Comma 6 4 2 2 2 3 3" xfId="5916" xr:uid="{95538D71-B115-4AB9-A90F-6BB1051DE18A}"/>
    <cellStyle name="Comma 6 4 2 2 2 3 3 2" xfId="14588" xr:uid="{9824807B-CD45-4507-9718-2CAAAD6E78F8}"/>
    <cellStyle name="Comma 6 4 2 2 2 3 3 2 2" xfId="31932" xr:uid="{42A2FBD6-0B0F-4D78-923E-12C17F3F7B97}"/>
    <cellStyle name="Comma 6 4 2 2 2 3 3 3" xfId="23260" xr:uid="{A5776D4E-2E5F-49CA-AAAE-96AC62864E61}"/>
    <cellStyle name="Comma 6 4 2 2 2 3 4" xfId="10252" xr:uid="{669C1184-0DB4-43FF-8433-AE3829338D19}"/>
    <cellStyle name="Comma 6 4 2 2 2 3 4 2" xfId="27596" xr:uid="{E37EA4EE-4B41-491E-8B14-4348DB0A63D9}"/>
    <cellStyle name="Comma 6 4 2 2 2 3 5" xfId="18924" xr:uid="{A03A4A8E-DA1E-4FD7-B8D4-C801153F2CCC}"/>
    <cellStyle name="Comma 6 4 2 2 2 4" xfId="2664" xr:uid="{D59FAD51-67EC-4223-B91E-6E35548B8D9F}"/>
    <cellStyle name="Comma 6 4 2 2 2 4 2" xfId="7000" xr:uid="{EB3DBEE6-D52B-456A-85AA-F497EE37D6A9}"/>
    <cellStyle name="Comma 6 4 2 2 2 4 2 2" xfId="15672" xr:uid="{BC2B51CE-CB78-4FA3-AB50-DA6D5C2E4B33}"/>
    <cellStyle name="Comma 6 4 2 2 2 4 2 2 2" xfId="33016" xr:uid="{6DB30920-D3F8-4638-B141-AB07E383AE80}"/>
    <cellStyle name="Comma 6 4 2 2 2 4 2 3" xfId="24344" xr:uid="{38BE090B-1FBC-405B-81EF-E0ACC3171A84}"/>
    <cellStyle name="Comma 6 4 2 2 2 4 3" xfId="11336" xr:uid="{F7521196-7A37-4D30-9CFF-30D8AD281271}"/>
    <cellStyle name="Comma 6 4 2 2 2 4 3 2" xfId="28680" xr:uid="{FD44B7AF-33CB-45D4-86AE-41FB1E6CB9EA}"/>
    <cellStyle name="Comma 6 4 2 2 2 4 4" xfId="20008" xr:uid="{70617785-F26C-420E-AD9B-1556FC1EBC3D}"/>
    <cellStyle name="Comma 6 4 2 2 2 5" xfId="4832" xr:uid="{78DB251A-F5FD-4B83-A3E4-C36B57D7449B}"/>
    <cellStyle name="Comma 6 4 2 2 2 5 2" xfId="13504" xr:uid="{A830B7D1-56F1-4127-8EA5-AE10E15BC806}"/>
    <cellStyle name="Comma 6 4 2 2 2 5 2 2" xfId="30848" xr:uid="{BDE1A393-208E-4B7B-9AD2-D2C374465EE6}"/>
    <cellStyle name="Comma 6 4 2 2 2 5 3" xfId="22176" xr:uid="{217451CF-4887-4C55-BFCC-1C6B36A8C414}"/>
    <cellStyle name="Comma 6 4 2 2 2 6" xfId="9168" xr:uid="{4FDA2B50-C7F1-438B-AB15-A1B5F0D66767}"/>
    <cellStyle name="Comma 6 4 2 2 2 6 2" xfId="26512" xr:uid="{A6E9D1CB-1BC8-4529-B698-8E0910EA7439}"/>
    <cellStyle name="Comma 6 4 2 2 2 7" xfId="17840" xr:uid="{AA19E226-2DD1-4245-AE90-4E9D77299BCF}"/>
    <cellStyle name="Comma 6 4 2 2 3" xfId="767" xr:uid="{EAA07920-0638-49EF-98F3-4E8130F7AAE5}"/>
    <cellStyle name="Comma 6 4 2 2 3 2" xfId="1851" xr:uid="{0B2B78D9-3F12-424B-9018-691BEFA6BC90}"/>
    <cellStyle name="Comma 6 4 2 2 3 2 2" xfId="4019" xr:uid="{DD58A1DF-FBBB-4910-9C3C-055D0A2C7F4B}"/>
    <cellStyle name="Comma 6 4 2 2 3 2 2 2" xfId="8355" xr:uid="{A6BA40CD-507B-4826-AF7D-8AA956ABBE0A}"/>
    <cellStyle name="Comma 6 4 2 2 3 2 2 2 2" xfId="17027" xr:uid="{23D709CE-23A6-491C-8381-684BBAB44727}"/>
    <cellStyle name="Comma 6 4 2 2 3 2 2 2 2 2" xfId="34371" xr:uid="{B89B8AD4-74C9-4BED-BA0C-2F0EEFF5D3EE}"/>
    <cellStyle name="Comma 6 4 2 2 3 2 2 2 3" xfId="25699" xr:uid="{D6E5F404-4A79-4311-A561-1F00538A1A9F}"/>
    <cellStyle name="Comma 6 4 2 2 3 2 2 3" xfId="12691" xr:uid="{700C0D00-D489-4AE8-B47E-7417627C16FB}"/>
    <cellStyle name="Comma 6 4 2 2 3 2 2 3 2" xfId="30035" xr:uid="{DBF33B02-53B5-4BCA-9719-99A3D0FF3B90}"/>
    <cellStyle name="Comma 6 4 2 2 3 2 2 4" xfId="21363" xr:uid="{EB59EE29-3F11-4F94-9DBB-9608EA125A68}"/>
    <cellStyle name="Comma 6 4 2 2 3 2 3" xfId="6187" xr:uid="{3C4D3A59-B28C-4F20-9092-EEB8C032D48F}"/>
    <cellStyle name="Comma 6 4 2 2 3 2 3 2" xfId="14859" xr:uid="{A20EB5E6-EF1B-4B4A-813A-EB7E1FFF5B90}"/>
    <cellStyle name="Comma 6 4 2 2 3 2 3 2 2" xfId="32203" xr:uid="{C2A36CEE-5972-4CC2-AF87-7D5B21FE472E}"/>
    <cellStyle name="Comma 6 4 2 2 3 2 3 3" xfId="23531" xr:uid="{9AB19794-BD09-4573-BE75-F68CC7B021B0}"/>
    <cellStyle name="Comma 6 4 2 2 3 2 4" xfId="10523" xr:uid="{0D9C6B2A-368E-43B9-9FE9-379AB1794523}"/>
    <cellStyle name="Comma 6 4 2 2 3 2 4 2" xfId="27867" xr:uid="{0EEE3355-8F75-41E2-A88E-190D8DE5A82E}"/>
    <cellStyle name="Comma 6 4 2 2 3 2 5" xfId="19195" xr:uid="{F198CC0A-2333-4260-8665-5262338D03FE}"/>
    <cellStyle name="Comma 6 4 2 2 3 3" xfId="2935" xr:uid="{B08A67F6-096D-480F-B005-A73977E2953E}"/>
    <cellStyle name="Comma 6 4 2 2 3 3 2" xfId="7271" xr:uid="{4685106A-BB2A-49E2-A8C4-364AE8583585}"/>
    <cellStyle name="Comma 6 4 2 2 3 3 2 2" xfId="15943" xr:uid="{2952AA5A-77C3-472B-BA64-CADEA7E2346D}"/>
    <cellStyle name="Comma 6 4 2 2 3 3 2 2 2" xfId="33287" xr:uid="{1A23CD0F-F838-4278-8ECF-D9AEC92ADBA0}"/>
    <cellStyle name="Comma 6 4 2 2 3 3 2 3" xfId="24615" xr:uid="{719E75FC-D379-46B0-8E87-3F2C46566D3B}"/>
    <cellStyle name="Comma 6 4 2 2 3 3 3" xfId="11607" xr:uid="{2CA4719C-8877-442C-8EFD-88FD302E125B}"/>
    <cellStyle name="Comma 6 4 2 2 3 3 3 2" xfId="28951" xr:uid="{4DA4BA7A-9FFA-4AFD-8D16-17714BD61837}"/>
    <cellStyle name="Comma 6 4 2 2 3 3 4" xfId="20279" xr:uid="{AAEC4D94-B3D5-4080-A1D8-ABF2BE6A5427}"/>
    <cellStyle name="Comma 6 4 2 2 3 4" xfId="5103" xr:uid="{59AC6E28-037B-46D8-825A-5AF7BF61185F}"/>
    <cellStyle name="Comma 6 4 2 2 3 4 2" xfId="13775" xr:uid="{67F1D59D-7553-4A74-9A52-181F8DBC3648}"/>
    <cellStyle name="Comma 6 4 2 2 3 4 2 2" xfId="31119" xr:uid="{EA801C5F-664B-4750-A267-E69974DDCA75}"/>
    <cellStyle name="Comma 6 4 2 2 3 4 3" xfId="22447" xr:uid="{0C086508-C112-414A-A949-CC6DC5B603AE}"/>
    <cellStyle name="Comma 6 4 2 2 3 5" xfId="9439" xr:uid="{DDD2F059-253C-48A4-B938-C22010E1CE80}"/>
    <cellStyle name="Comma 6 4 2 2 3 5 2" xfId="26783" xr:uid="{BBDBC2F7-C26D-4E28-89C7-898CCAD959B2}"/>
    <cellStyle name="Comma 6 4 2 2 3 6" xfId="18111" xr:uid="{68AA10B1-B67E-4D15-BDAD-55C9274DF098}"/>
    <cellStyle name="Comma 6 4 2 2 4" xfId="1310" xr:uid="{70A20CA2-3B11-42DA-BC48-BD0CF4A5AE62}"/>
    <cellStyle name="Comma 6 4 2 2 4 2" xfId="3478" xr:uid="{D756E2A0-D5BD-4404-9F7C-5E8A9F0DBBBE}"/>
    <cellStyle name="Comma 6 4 2 2 4 2 2" xfId="7814" xr:uid="{2882AE04-BCC2-4936-9E29-8EE0B86946E3}"/>
    <cellStyle name="Comma 6 4 2 2 4 2 2 2" xfId="16486" xr:uid="{CE6E385B-8BC0-427D-B1FE-00869C7F012A}"/>
    <cellStyle name="Comma 6 4 2 2 4 2 2 2 2" xfId="33830" xr:uid="{D0B4A7A9-F94D-4FE3-9399-3E0D7320E4F2}"/>
    <cellStyle name="Comma 6 4 2 2 4 2 2 3" xfId="25158" xr:uid="{9095E194-D90F-41C6-89C0-6D9F40D74D34}"/>
    <cellStyle name="Comma 6 4 2 2 4 2 3" xfId="12150" xr:uid="{C7667640-F724-4DCE-A8F7-86C3547A4510}"/>
    <cellStyle name="Comma 6 4 2 2 4 2 3 2" xfId="29494" xr:uid="{A88D3DA1-D002-4EEA-8AC6-7C4197170194}"/>
    <cellStyle name="Comma 6 4 2 2 4 2 4" xfId="20822" xr:uid="{CF38DE0C-C0FC-4432-9038-2FB562AD244D}"/>
    <cellStyle name="Comma 6 4 2 2 4 3" xfId="5646" xr:uid="{916D989E-45A1-409E-A77F-4AE097C63F2F}"/>
    <cellStyle name="Comma 6 4 2 2 4 3 2" xfId="14318" xr:uid="{2364C97E-1F94-48D6-8FF6-55BED97372E2}"/>
    <cellStyle name="Comma 6 4 2 2 4 3 2 2" xfId="31662" xr:uid="{BBC79261-B650-4599-99B1-5BD68C5EBF99}"/>
    <cellStyle name="Comma 6 4 2 2 4 3 3" xfId="22990" xr:uid="{CA059EA0-BFAA-480E-B3C9-94F8FF8DCF6F}"/>
    <cellStyle name="Comma 6 4 2 2 4 4" xfId="9982" xr:uid="{5F35B2FB-AD0D-488F-82EC-432C09B87640}"/>
    <cellStyle name="Comma 6 4 2 2 4 4 2" xfId="27326" xr:uid="{7F3146B3-A3B1-481D-A881-571E1601882F}"/>
    <cellStyle name="Comma 6 4 2 2 4 5" xfId="18654" xr:uid="{15086CC3-9721-4835-B1E3-E8BEA1598122}"/>
    <cellStyle name="Comma 6 4 2 2 5" xfId="2394" xr:uid="{AD1F430E-2284-424A-B118-FF625FBF0BE8}"/>
    <cellStyle name="Comma 6 4 2 2 5 2" xfId="6730" xr:uid="{DED4A798-EC6F-4E38-8CFA-523DB67430FE}"/>
    <cellStyle name="Comma 6 4 2 2 5 2 2" xfId="15402" xr:uid="{E85F7C93-FE40-409F-984A-242246B84845}"/>
    <cellStyle name="Comma 6 4 2 2 5 2 2 2" xfId="32746" xr:uid="{57A24550-B40C-4919-B761-A4432E63D311}"/>
    <cellStyle name="Comma 6 4 2 2 5 2 3" xfId="24074" xr:uid="{BF3CE853-2E06-43BE-8DE3-08E25219319D}"/>
    <cellStyle name="Comma 6 4 2 2 5 3" xfId="11066" xr:uid="{7A55CD08-CC09-4C96-A84E-92EF9D1D0053}"/>
    <cellStyle name="Comma 6 4 2 2 5 3 2" xfId="28410" xr:uid="{EE68AB6B-3B76-44C9-B953-C4F0930EF0D3}"/>
    <cellStyle name="Comma 6 4 2 2 5 4" xfId="19738" xr:uid="{12ACD2D6-7EEC-40A6-9812-F75823BC693E}"/>
    <cellStyle name="Comma 6 4 2 2 6" xfId="4562" xr:uid="{CFA5CCDE-EBB8-405E-83A9-08E6FECBB0CC}"/>
    <cellStyle name="Comma 6 4 2 2 6 2" xfId="13234" xr:uid="{5A1F2D4E-5CD3-43BA-BDEB-B90260C6A0BC}"/>
    <cellStyle name="Comma 6 4 2 2 6 2 2" xfId="30578" xr:uid="{7A13F9E2-F921-4AD9-9755-1AFAD6CFDBDB}"/>
    <cellStyle name="Comma 6 4 2 2 6 3" xfId="21906" xr:uid="{8C705B61-9B96-407B-8744-D9BE640464AC}"/>
    <cellStyle name="Comma 6 4 2 2 7" xfId="8898" xr:uid="{E7928B53-8F8A-47A6-9E4F-2D5549062806}"/>
    <cellStyle name="Comma 6 4 2 2 7 2" xfId="26242" xr:uid="{49BD544A-9BF4-4582-B767-199201F80AFD}"/>
    <cellStyle name="Comma 6 4 2 2 8" xfId="17570" xr:uid="{544D4F17-079A-4B44-A2E7-D4A6F32A685B}"/>
    <cellStyle name="Comma 6 4 2 3" xfId="374" xr:uid="{41846F56-8EA6-4291-8CF6-1062DC0644BC}"/>
    <cellStyle name="Comma 6 4 2 3 2" xfId="915" xr:uid="{227F994C-A96A-4CD4-921E-24FD4E108026}"/>
    <cellStyle name="Comma 6 4 2 3 2 2" xfId="1999" xr:uid="{B4E0A81D-E385-44BA-92B3-F9274697684F}"/>
    <cellStyle name="Comma 6 4 2 3 2 2 2" xfId="4167" xr:uid="{37A87841-B78E-4587-B2DF-BF01FFC9C3A9}"/>
    <cellStyle name="Comma 6 4 2 3 2 2 2 2" xfId="8503" xr:uid="{5AA455F9-3F20-45AA-AED9-B9A63B693319}"/>
    <cellStyle name="Comma 6 4 2 3 2 2 2 2 2" xfId="17175" xr:uid="{897B8E99-8821-4F5D-BD43-1AE15510B3B0}"/>
    <cellStyle name="Comma 6 4 2 3 2 2 2 2 2 2" xfId="34519" xr:uid="{8C22CB36-95DB-440A-A368-C1EBE26C254A}"/>
    <cellStyle name="Comma 6 4 2 3 2 2 2 2 3" xfId="25847" xr:uid="{47158F81-21C7-40A8-889A-22958FEFF9B6}"/>
    <cellStyle name="Comma 6 4 2 3 2 2 2 3" xfId="12839" xr:uid="{875C9C3C-BCBB-45BE-B027-83620F0E683D}"/>
    <cellStyle name="Comma 6 4 2 3 2 2 2 3 2" xfId="30183" xr:uid="{86DC0FF4-CBB8-4F46-BDA0-07D8D112883B}"/>
    <cellStyle name="Comma 6 4 2 3 2 2 2 4" xfId="21511" xr:uid="{43A8A72F-FA0B-4328-855A-EBB9EDB0360A}"/>
    <cellStyle name="Comma 6 4 2 3 2 2 3" xfId="6335" xr:uid="{8829D821-FFDF-44B1-9E92-37D8EC1DE014}"/>
    <cellStyle name="Comma 6 4 2 3 2 2 3 2" xfId="15007" xr:uid="{42346DB7-7022-4270-ABAC-C292D303EE74}"/>
    <cellStyle name="Comma 6 4 2 3 2 2 3 2 2" xfId="32351" xr:uid="{344B80C8-7826-4D36-96B7-DDA3E3A4F04E}"/>
    <cellStyle name="Comma 6 4 2 3 2 2 3 3" xfId="23679" xr:uid="{B633C438-3A11-4C31-B57B-68C9F9A2D5BD}"/>
    <cellStyle name="Comma 6 4 2 3 2 2 4" xfId="10671" xr:uid="{E418C49B-3DE6-4A30-810D-43D031342F27}"/>
    <cellStyle name="Comma 6 4 2 3 2 2 4 2" xfId="28015" xr:uid="{DCBB9860-AD43-401F-B01A-9230FD8DB715}"/>
    <cellStyle name="Comma 6 4 2 3 2 2 5" xfId="19343" xr:uid="{45726912-0A09-458A-8C76-65F101DB5D31}"/>
    <cellStyle name="Comma 6 4 2 3 2 3" xfId="3083" xr:uid="{6031E396-021D-4E18-8C5E-2B4426767B4C}"/>
    <cellStyle name="Comma 6 4 2 3 2 3 2" xfId="7419" xr:uid="{72B0D568-D183-4903-815B-07289D0F5727}"/>
    <cellStyle name="Comma 6 4 2 3 2 3 2 2" xfId="16091" xr:uid="{0D40A249-8E29-4B34-9FB3-A9772D8BD3AA}"/>
    <cellStyle name="Comma 6 4 2 3 2 3 2 2 2" xfId="33435" xr:uid="{31E8F938-654E-4F8B-A433-E5CF0E93E327}"/>
    <cellStyle name="Comma 6 4 2 3 2 3 2 3" xfId="24763" xr:uid="{EE9AE075-F52E-41F9-9CCF-2CB64209B9F4}"/>
    <cellStyle name="Comma 6 4 2 3 2 3 3" xfId="11755" xr:uid="{DD2B9A96-4BDE-43F9-9EA1-10061666C7C2}"/>
    <cellStyle name="Comma 6 4 2 3 2 3 3 2" xfId="29099" xr:uid="{2E5C6ECF-E4AA-4585-8B71-61454976EB90}"/>
    <cellStyle name="Comma 6 4 2 3 2 3 4" xfId="20427" xr:uid="{034CBD88-1615-46D8-9C50-6A867043FE0B}"/>
    <cellStyle name="Comma 6 4 2 3 2 4" xfId="5251" xr:uid="{AE75C641-4DBD-484A-AEEE-CC77245C06EE}"/>
    <cellStyle name="Comma 6 4 2 3 2 4 2" xfId="13923" xr:uid="{D7B0687F-CCF7-4ECF-8706-C2428FCBB91A}"/>
    <cellStyle name="Comma 6 4 2 3 2 4 2 2" xfId="31267" xr:uid="{03D6D9BF-0C50-4F8F-9324-09EF17517FE0}"/>
    <cellStyle name="Comma 6 4 2 3 2 4 3" xfId="22595" xr:uid="{DB3B30EC-703D-40B0-9E78-CCD388293E3F}"/>
    <cellStyle name="Comma 6 4 2 3 2 5" xfId="9587" xr:uid="{3B8D5505-3409-40C4-9C00-A14380CB790B}"/>
    <cellStyle name="Comma 6 4 2 3 2 5 2" xfId="26931" xr:uid="{20DAC57F-AC7B-4D88-B24D-E5D8789CE61B}"/>
    <cellStyle name="Comma 6 4 2 3 2 6" xfId="18259" xr:uid="{901266F4-9F88-48A7-8E71-2350EAB06ED6}"/>
    <cellStyle name="Comma 6 4 2 3 3" xfId="1458" xr:uid="{D62303F7-4154-4116-9B84-7F490173FA3C}"/>
    <cellStyle name="Comma 6 4 2 3 3 2" xfId="3626" xr:uid="{DA4B4280-C3E3-4BDC-8A41-208B76D198E4}"/>
    <cellStyle name="Comma 6 4 2 3 3 2 2" xfId="7962" xr:uid="{56E58FA7-E79B-4D06-9A15-640DEB02BCA6}"/>
    <cellStyle name="Comma 6 4 2 3 3 2 2 2" xfId="16634" xr:uid="{0D03EF64-12F8-447A-9C28-1F5F985AC06D}"/>
    <cellStyle name="Comma 6 4 2 3 3 2 2 2 2" xfId="33978" xr:uid="{EFF52E7B-DA6A-4065-A43C-3BD3AE54511E}"/>
    <cellStyle name="Comma 6 4 2 3 3 2 2 3" xfId="25306" xr:uid="{A8CBD941-F93A-4AF9-A1A2-06809D375B5B}"/>
    <cellStyle name="Comma 6 4 2 3 3 2 3" xfId="12298" xr:uid="{6DB5C5E7-F0BA-4003-820F-2BABBFA456CE}"/>
    <cellStyle name="Comma 6 4 2 3 3 2 3 2" xfId="29642" xr:uid="{7565BF56-D41C-4382-B2A6-39210EF04CB8}"/>
    <cellStyle name="Comma 6 4 2 3 3 2 4" xfId="20970" xr:uid="{EBB8898D-CF88-4832-AF40-4048BFD2E1F6}"/>
    <cellStyle name="Comma 6 4 2 3 3 3" xfId="5794" xr:uid="{06B729AE-4312-4ED7-BDBF-DE7409F19F3D}"/>
    <cellStyle name="Comma 6 4 2 3 3 3 2" xfId="14466" xr:uid="{9E1A34F9-F0BA-4107-A974-019ADE427B0E}"/>
    <cellStyle name="Comma 6 4 2 3 3 3 2 2" xfId="31810" xr:uid="{36670A7F-FAB6-40DB-8D59-CDAF278963F9}"/>
    <cellStyle name="Comma 6 4 2 3 3 3 3" xfId="23138" xr:uid="{06B09363-F878-4AF0-8589-24AC1C45B6F0}"/>
    <cellStyle name="Comma 6 4 2 3 3 4" xfId="10130" xr:uid="{F5E7DB71-95B6-491A-A212-352D52D6B84D}"/>
    <cellStyle name="Comma 6 4 2 3 3 4 2" xfId="27474" xr:uid="{70A4A618-F44A-4BC9-86B9-B79E050EDC7C}"/>
    <cellStyle name="Comma 6 4 2 3 3 5" xfId="18802" xr:uid="{FBB06397-8DB1-4E83-B260-EEBB519F3D4E}"/>
    <cellStyle name="Comma 6 4 2 3 4" xfId="2542" xr:uid="{99F33A89-F583-4AD6-A2FD-8F5CBE276995}"/>
    <cellStyle name="Comma 6 4 2 3 4 2" xfId="6878" xr:uid="{CCF43FC6-4489-4290-A3F9-FAF42CC90EAC}"/>
    <cellStyle name="Comma 6 4 2 3 4 2 2" xfId="15550" xr:uid="{473590F6-E04A-40D5-A020-7C9E808B4D0A}"/>
    <cellStyle name="Comma 6 4 2 3 4 2 2 2" xfId="32894" xr:uid="{64749594-1DD7-4129-AB9D-B8DF6487A5B7}"/>
    <cellStyle name="Comma 6 4 2 3 4 2 3" xfId="24222" xr:uid="{AD1D26FE-A0A3-4C07-BA19-4728ACE92527}"/>
    <cellStyle name="Comma 6 4 2 3 4 3" xfId="11214" xr:uid="{80E8170E-6199-4BD3-85C0-A4136FA4A345}"/>
    <cellStyle name="Comma 6 4 2 3 4 3 2" xfId="28558" xr:uid="{D187F97C-BAC7-4B9F-8CDB-97DFDE2A8010}"/>
    <cellStyle name="Comma 6 4 2 3 4 4" xfId="19886" xr:uid="{C3FA280A-750F-46FF-84E2-53733FB609A4}"/>
    <cellStyle name="Comma 6 4 2 3 5" xfId="4710" xr:uid="{9A05DE35-A87F-450A-B9B0-4AAFFC1A4975}"/>
    <cellStyle name="Comma 6 4 2 3 5 2" xfId="13382" xr:uid="{9ACF3565-F9F4-4211-A7FD-B99A8B99A41D}"/>
    <cellStyle name="Comma 6 4 2 3 5 2 2" xfId="30726" xr:uid="{4B58737B-A022-45B3-BE3F-39CC24A4FACB}"/>
    <cellStyle name="Comma 6 4 2 3 5 3" xfId="22054" xr:uid="{2BE8A9EB-D6C8-43C2-92F9-4DE9304F49F6}"/>
    <cellStyle name="Comma 6 4 2 3 6" xfId="9046" xr:uid="{119BF6B9-DF95-4B9E-8D2A-8B5CDB308C84}"/>
    <cellStyle name="Comma 6 4 2 3 6 2" xfId="26390" xr:uid="{E951DA43-3F05-4A70-A32E-F403B472F7DD}"/>
    <cellStyle name="Comma 6 4 2 3 7" xfId="17718" xr:uid="{3455F4D8-F35A-4552-9E87-ADC8857DE5C3}"/>
    <cellStyle name="Comma 6 4 2 4" xfId="645" xr:uid="{8A5C7AD3-3A47-4E6A-964F-B5F61868E69E}"/>
    <cellStyle name="Comma 6 4 2 4 2" xfId="1729" xr:uid="{10735AAA-7FDD-4499-96BD-67594259985F}"/>
    <cellStyle name="Comma 6 4 2 4 2 2" xfId="3897" xr:uid="{05AE7A60-D487-4004-8DB7-8281CDA938D5}"/>
    <cellStyle name="Comma 6 4 2 4 2 2 2" xfId="8233" xr:uid="{F9968EBB-00EC-4C37-99C5-1694253DE5EE}"/>
    <cellStyle name="Comma 6 4 2 4 2 2 2 2" xfId="16905" xr:uid="{458F7EA8-71A8-4FDE-882A-BF99A18315AC}"/>
    <cellStyle name="Comma 6 4 2 4 2 2 2 2 2" xfId="34249" xr:uid="{A562D0CC-20A7-4AFE-8B0A-AEE86B6265B6}"/>
    <cellStyle name="Comma 6 4 2 4 2 2 2 3" xfId="25577" xr:uid="{97FC5184-F6C7-4FE0-8A83-15802D7457CF}"/>
    <cellStyle name="Comma 6 4 2 4 2 2 3" xfId="12569" xr:uid="{0D206043-464F-4825-882E-8A8C2591B1C7}"/>
    <cellStyle name="Comma 6 4 2 4 2 2 3 2" xfId="29913" xr:uid="{60788CD3-734C-41CC-814F-95BDA07FAB00}"/>
    <cellStyle name="Comma 6 4 2 4 2 2 4" xfId="21241" xr:uid="{7A30A395-88C9-4298-9CB9-E2045CFF13F2}"/>
    <cellStyle name="Comma 6 4 2 4 2 3" xfId="6065" xr:uid="{A24282B6-B551-4B18-AC81-8541CD38DC47}"/>
    <cellStyle name="Comma 6 4 2 4 2 3 2" xfId="14737" xr:uid="{92D71171-BD39-4B8A-AF5B-6E175A89F581}"/>
    <cellStyle name="Comma 6 4 2 4 2 3 2 2" xfId="32081" xr:uid="{1C070457-AE94-40FB-9337-E834596C20C1}"/>
    <cellStyle name="Comma 6 4 2 4 2 3 3" xfId="23409" xr:uid="{F66A34DF-3BA1-4BCE-9BF1-5690B4A77900}"/>
    <cellStyle name="Comma 6 4 2 4 2 4" xfId="10401" xr:uid="{90A3F555-22D0-4438-8DA9-528DDA717DA4}"/>
    <cellStyle name="Comma 6 4 2 4 2 4 2" xfId="27745" xr:uid="{C8B83576-2CD1-40FB-95E5-56ABD863CDE1}"/>
    <cellStyle name="Comma 6 4 2 4 2 5" xfId="19073" xr:uid="{31EC8B82-1518-47B5-8186-1B36DC22BE49}"/>
    <cellStyle name="Comma 6 4 2 4 3" xfId="2813" xr:uid="{648DB90F-477F-43C8-A525-B63AFFEE3EF7}"/>
    <cellStyle name="Comma 6 4 2 4 3 2" xfId="7149" xr:uid="{9E9FD33C-1B5E-4818-849F-4DB070B83A16}"/>
    <cellStyle name="Comma 6 4 2 4 3 2 2" xfId="15821" xr:uid="{3E11B7F4-6E32-49A3-8C22-008DD2FD5F1B}"/>
    <cellStyle name="Comma 6 4 2 4 3 2 2 2" xfId="33165" xr:uid="{1CA0C1F3-2A71-4237-9F5F-3C285EC13C20}"/>
    <cellStyle name="Comma 6 4 2 4 3 2 3" xfId="24493" xr:uid="{70C5A647-F05B-41DD-B79C-FA4B44113780}"/>
    <cellStyle name="Comma 6 4 2 4 3 3" xfId="11485" xr:uid="{4A17B74B-2309-4A89-B100-B6E6AC4A1FE3}"/>
    <cellStyle name="Comma 6 4 2 4 3 3 2" xfId="28829" xr:uid="{8587DC1A-DDE2-46C7-BE75-38D13420BEEF}"/>
    <cellStyle name="Comma 6 4 2 4 3 4" xfId="20157" xr:uid="{0B1096C2-2FC0-463E-BA68-87483B3A9C1F}"/>
    <cellStyle name="Comma 6 4 2 4 4" xfId="4981" xr:uid="{399E42F4-C06D-497D-AA24-54950F9B9B04}"/>
    <cellStyle name="Comma 6 4 2 4 4 2" xfId="13653" xr:uid="{1A26EB65-BCA2-40C9-A1E0-89FD88AE9908}"/>
    <cellStyle name="Comma 6 4 2 4 4 2 2" xfId="30997" xr:uid="{5D7DFAAF-DFE1-49BC-A888-12F697AC7624}"/>
    <cellStyle name="Comma 6 4 2 4 4 3" xfId="22325" xr:uid="{1E788A45-FDCD-4899-9CBD-AB6D248E946D}"/>
    <cellStyle name="Comma 6 4 2 4 5" xfId="9317" xr:uid="{794AABB3-3281-426E-8030-171243268C91}"/>
    <cellStyle name="Comma 6 4 2 4 5 2" xfId="26661" xr:uid="{DAC68EC0-DED7-4A52-A4F4-44D0F3A957B8}"/>
    <cellStyle name="Comma 6 4 2 4 6" xfId="17989" xr:uid="{1E0AEB7A-454F-4438-906C-156008260A80}"/>
    <cellStyle name="Comma 6 4 2 5" xfId="1188" xr:uid="{449555A4-2BC9-4F60-A093-D9FFFE1F33D3}"/>
    <cellStyle name="Comma 6 4 2 5 2" xfId="3356" xr:uid="{2964117F-095C-43E4-926D-2764BA086E92}"/>
    <cellStyle name="Comma 6 4 2 5 2 2" xfId="7692" xr:uid="{1982F7CA-AD15-4487-A67A-9ACA07838D6D}"/>
    <cellStyle name="Comma 6 4 2 5 2 2 2" xfId="16364" xr:uid="{D3052FFC-1CA1-4D50-8A25-527DB4F7D6D3}"/>
    <cellStyle name="Comma 6 4 2 5 2 2 2 2" xfId="33708" xr:uid="{06E42B4F-370F-4457-9795-4515B2516049}"/>
    <cellStyle name="Comma 6 4 2 5 2 2 3" xfId="25036" xr:uid="{F3BDF9AA-0F10-44A4-8FA8-20200BF6D36E}"/>
    <cellStyle name="Comma 6 4 2 5 2 3" xfId="12028" xr:uid="{04646497-D7B3-4424-A5B6-4F284F9CEA08}"/>
    <cellStyle name="Comma 6 4 2 5 2 3 2" xfId="29372" xr:uid="{7700DBAB-FC87-4E13-8FC2-57F33F4167F3}"/>
    <cellStyle name="Comma 6 4 2 5 2 4" xfId="20700" xr:uid="{FAA361B6-8A2A-40C1-8591-9F28568E4E11}"/>
    <cellStyle name="Comma 6 4 2 5 3" xfId="5524" xr:uid="{E369D8DE-243B-4CBF-82FE-7D6FB55E4227}"/>
    <cellStyle name="Comma 6 4 2 5 3 2" xfId="14196" xr:uid="{19CB852B-64F8-4276-B70B-3DF863B466AC}"/>
    <cellStyle name="Comma 6 4 2 5 3 2 2" xfId="31540" xr:uid="{ACF22D1C-8D81-48A0-B980-265976B66570}"/>
    <cellStyle name="Comma 6 4 2 5 3 3" xfId="22868" xr:uid="{CFEAA151-40A1-4C3D-B9B7-6DB014D4E3BE}"/>
    <cellStyle name="Comma 6 4 2 5 4" xfId="9860" xr:uid="{C0EDEDE1-0761-42B0-AABB-720CE5B4D1CD}"/>
    <cellStyle name="Comma 6 4 2 5 4 2" xfId="27204" xr:uid="{FBAB39B9-C653-4F6E-A949-7F3E699EDFF7}"/>
    <cellStyle name="Comma 6 4 2 5 5" xfId="18532" xr:uid="{C779EAB4-911D-45DF-8C2C-78F8BC5AFC86}"/>
    <cellStyle name="Comma 6 4 2 6" xfId="2272" xr:uid="{B9D1B880-8689-4185-881E-F53F04D51246}"/>
    <cellStyle name="Comma 6 4 2 6 2" xfId="6608" xr:uid="{BE18EBC0-5CF3-43D6-B6DA-1BADED613CBC}"/>
    <cellStyle name="Comma 6 4 2 6 2 2" xfId="15280" xr:uid="{1317ED67-5F3D-43A3-ADA3-D1F21DAF492F}"/>
    <cellStyle name="Comma 6 4 2 6 2 2 2" xfId="32624" xr:uid="{0205505A-E881-42D4-8AA9-4197DDB8C147}"/>
    <cellStyle name="Comma 6 4 2 6 2 3" xfId="23952" xr:uid="{88CF81B6-FD6A-47E1-88A7-11E291DB3FED}"/>
    <cellStyle name="Comma 6 4 2 6 3" xfId="10944" xr:uid="{5B429BA5-FF19-460B-A059-3D57316FA34B}"/>
    <cellStyle name="Comma 6 4 2 6 3 2" xfId="28288" xr:uid="{B447D1D9-1172-4E62-9301-95C3E98F2538}"/>
    <cellStyle name="Comma 6 4 2 6 4" xfId="19616" xr:uid="{513166E1-97D4-4483-B685-96296B52D9FE}"/>
    <cellStyle name="Comma 6 4 2 7" xfId="4440" xr:uid="{9CAF2B16-3050-46FB-BBF4-6E2208E54A6D}"/>
    <cellStyle name="Comma 6 4 2 7 2" xfId="13112" xr:uid="{83511515-7ACB-4CBC-9A0A-EF6ADFDE304F}"/>
    <cellStyle name="Comma 6 4 2 7 2 2" xfId="30456" xr:uid="{E7E33E3E-5A8E-41CC-8FCD-C251DD6ABA43}"/>
    <cellStyle name="Comma 6 4 2 7 3" xfId="21784" xr:uid="{9EE83DAE-F079-4C1A-AC24-80C39685B302}"/>
    <cellStyle name="Comma 6 4 2 8" xfId="8776" xr:uid="{AAAE12B4-BBF2-4745-9045-838C3DEE758E}"/>
    <cellStyle name="Comma 6 4 2 8 2" xfId="26120" xr:uid="{594CF21C-34C9-49F8-8728-36B8AFB69100}"/>
    <cellStyle name="Comma 6 4 2 9" xfId="17448" xr:uid="{F2A754A3-B73E-4C34-B02A-4083C6778053}"/>
    <cellStyle name="Comma 6 4 3" xfId="165" xr:uid="{E14BA006-0324-4FFA-B62B-49190C938583}"/>
    <cellStyle name="Comma 6 4 3 2" xfId="435" xr:uid="{A5B1FD38-F1DC-4977-9A37-1EAFFC040519}"/>
    <cellStyle name="Comma 6 4 3 2 2" xfId="976" xr:uid="{8425C3AF-D7F8-45C9-B9CC-AD71ECDE61F2}"/>
    <cellStyle name="Comma 6 4 3 2 2 2" xfId="2060" xr:uid="{75BF1517-B281-4856-AB38-71941B67A7E7}"/>
    <cellStyle name="Comma 6 4 3 2 2 2 2" xfId="4228" xr:uid="{EC0FF511-A258-49E3-895B-65D0F1E29DD2}"/>
    <cellStyle name="Comma 6 4 3 2 2 2 2 2" xfId="8564" xr:uid="{8BED922A-2C31-4091-90C3-59EFB61B1584}"/>
    <cellStyle name="Comma 6 4 3 2 2 2 2 2 2" xfId="17236" xr:uid="{DA07BC01-F14F-4CB7-AB9D-9C6D5FB2E12E}"/>
    <cellStyle name="Comma 6 4 3 2 2 2 2 2 2 2" xfId="34580" xr:uid="{A0CA9467-7849-41B9-A67E-C93EB1FA7177}"/>
    <cellStyle name="Comma 6 4 3 2 2 2 2 2 3" xfId="25908" xr:uid="{671F456A-1FD4-4BAB-8F96-8AF569EE9252}"/>
    <cellStyle name="Comma 6 4 3 2 2 2 2 3" xfId="12900" xr:uid="{AC6F3B72-AE2E-4814-BFC1-A32AD4C9F12C}"/>
    <cellStyle name="Comma 6 4 3 2 2 2 2 3 2" xfId="30244" xr:uid="{BFCD4DCC-DAD3-4BAB-B1F9-8DAC70B04AD5}"/>
    <cellStyle name="Comma 6 4 3 2 2 2 2 4" xfId="21572" xr:uid="{69F7E546-1CF9-4B02-8ABE-FFF276B39617}"/>
    <cellStyle name="Comma 6 4 3 2 2 2 3" xfId="6396" xr:uid="{DB93A2E0-B74F-49FD-BF23-D2D242EE581E}"/>
    <cellStyle name="Comma 6 4 3 2 2 2 3 2" xfId="15068" xr:uid="{B3520C9B-7926-4AA9-822E-BB619AFC82D0}"/>
    <cellStyle name="Comma 6 4 3 2 2 2 3 2 2" xfId="32412" xr:uid="{405A3ABB-D5AA-4E65-86D8-87DF7616AD50}"/>
    <cellStyle name="Comma 6 4 3 2 2 2 3 3" xfId="23740" xr:uid="{183CAA45-4581-4971-B8B5-F2696437D510}"/>
    <cellStyle name="Comma 6 4 3 2 2 2 4" xfId="10732" xr:uid="{50D0930B-8967-4C9A-90C1-9B3B70DDBCA9}"/>
    <cellStyle name="Comma 6 4 3 2 2 2 4 2" xfId="28076" xr:uid="{9078AEED-1D15-413A-BA5C-8EDB16074810}"/>
    <cellStyle name="Comma 6 4 3 2 2 2 5" xfId="19404" xr:uid="{E8D348D1-35EA-4B76-AB7C-3E1409726870}"/>
    <cellStyle name="Comma 6 4 3 2 2 3" xfId="3144" xr:uid="{AAF71B9A-ADAF-43A3-8696-78C011168727}"/>
    <cellStyle name="Comma 6 4 3 2 2 3 2" xfId="7480" xr:uid="{67E2D716-BD47-4D17-B0FF-678331C16B86}"/>
    <cellStyle name="Comma 6 4 3 2 2 3 2 2" xfId="16152" xr:uid="{6335AEEA-D124-41B8-87E9-883AD1E2494B}"/>
    <cellStyle name="Comma 6 4 3 2 2 3 2 2 2" xfId="33496" xr:uid="{D54DE369-E85A-4030-85DC-A08976C05706}"/>
    <cellStyle name="Comma 6 4 3 2 2 3 2 3" xfId="24824" xr:uid="{874B10B1-9833-4C3D-A0A2-FE7136CEE513}"/>
    <cellStyle name="Comma 6 4 3 2 2 3 3" xfId="11816" xr:uid="{6F94A5D2-D01D-4F46-A1AA-75C27C63D3BD}"/>
    <cellStyle name="Comma 6 4 3 2 2 3 3 2" xfId="29160" xr:uid="{7BBB58F0-A328-45DD-91E3-2FC1E8F66321}"/>
    <cellStyle name="Comma 6 4 3 2 2 3 4" xfId="20488" xr:uid="{553093CB-634A-4E4C-889D-82BE0D350D63}"/>
    <cellStyle name="Comma 6 4 3 2 2 4" xfId="5312" xr:uid="{AC6D1BCC-B75A-45B4-BC8B-E77FA5C1BA42}"/>
    <cellStyle name="Comma 6 4 3 2 2 4 2" xfId="13984" xr:uid="{C794FD18-E0C8-4A1E-B7AE-12D4DB89B811}"/>
    <cellStyle name="Comma 6 4 3 2 2 4 2 2" xfId="31328" xr:uid="{BB8C16A1-D8E5-4D4A-AA60-2C564A83EE88}"/>
    <cellStyle name="Comma 6 4 3 2 2 4 3" xfId="22656" xr:uid="{68B64515-9B8C-4532-B656-61B95EF8B091}"/>
    <cellStyle name="Comma 6 4 3 2 2 5" xfId="9648" xr:uid="{7B5C3F92-59B4-41D1-BD48-11597B1C7E51}"/>
    <cellStyle name="Comma 6 4 3 2 2 5 2" xfId="26992" xr:uid="{F15C9EE1-BB3A-4FEC-98CF-D73C1511AE3D}"/>
    <cellStyle name="Comma 6 4 3 2 2 6" xfId="18320" xr:uid="{F9329C14-92A3-4279-AB00-6BD45583A808}"/>
    <cellStyle name="Comma 6 4 3 2 3" xfId="1519" xr:uid="{826DAE50-C019-40A5-B525-11A31F26A6B1}"/>
    <cellStyle name="Comma 6 4 3 2 3 2" xfId="3687" xr:uid="{CE129239-D7DC-4D07-8856-B58198F67D92}"/>
    <cellStyle name="Comma 6 4 3 2 3 2 2" xfId="8023" xr:uid="{BB5DA2ED-129C-49B3-B319-06ACC8F5F82C}"/>
    <cellStyle name="Comma 6 4 3 2 3 2 2 2" xfId="16695" xr:uid="{1737AD21-4EE3-4C1C-8739-035DC00F9B3B}"/>
    <cellStyle name="Comma 6 4 3 2 3 2 2 2 2" xfId="34039" xr:uid="{7B544F74-48EA-463B-93DC-0753C609F959}"/>
    <cellStyle name="Comma 6 4 3 2 3 2 2 3" xfId="25367" xr:uid="{B88F5FF3-03A4-4446-BDCD-AA8DF64FACAD}"/>
    <cellStyle name="Comma 6 4 3 2 3 2 3" xfId="12359" xr:uid="{B7EECF93-02A1-4CD2-90CE-BCA17F93BFC5}"/>
    <cellStyle name="Comma 6 4 3 2 3 2 3 2" xfId="29703" xr:uid="{29353BC3-1B9B-47EF-8D5A-1B78D1D39010}"/>
    <cellStyle name="Comma 6 4 3 2 3 2 4" xfId="21031" xr:uid="{BF3FB977-9991-4E76-8435-F15540243609}"/>
    <cellStyle name="Comma 6 4 3 2 3 3" xfId="5855" xr:uid="{79B8CCB9-E2EB-4665-90FE-2861188EFEE4}"/>
    <cellStyle name="Comma 6 4 3 2 3 3 2" xfId="14527" xr:uid="{696176C8-694C-4B99-8BEF-F534BB7B7D89}"/>
    <cellStyle name="Comma 6 4 3 2 3 3 2 2" xfId="31871" xr:uid="{5D755FDB-94EB-4335-B033-84C421482E94}"/>
    <cellStyle name="Comma 6 4 3 2 3 3 3" xfId="23199" xr:uid="{56EC0471-E73C-4433-8105-FB47E6C4A6CD}"/>
    <cellStyle name="Comma 6 4 3 2 3 4" xfId="10191" xr:uid="{FEB38687-6BC5-4299-8026-82C8A879548A}"/>
    <cellStyle name="Comma 6 4 3 2 3 4 2" xfId="27535" xr:uid="{4C4AC156-EDA4-4A3B-B13F-FF42493387A7}"/>
    <cellStyle name="Comma 6 4 3 2 3 5" xfId="18863" xr:uid="{34D4E24B-AFF9-46F9-B31B-05986FAF557B}"/>
    <cellStyle name="Comma 6 4 3 2 4" xfId="2603" xr:uid="{7EDBFD80-8177-490C-A6E4-DAF5FF61CC4D}"/>
    <cellStyle name="Comma 6 4 3 2 4 2" xfId="6939" xr:uid="{BC3406EB-1455-46FD-BC02-02F0B183C7A1}"/>
    <cellStyle name="Comma 6 4 3 2 4 2 2" xfId="15611" xr:uid="{3F4E9B19-46DB-465B-941E-635543C63D61}"/>
    <cellStyle name="Comma 6 4 3 2 4 2 2 2" xfId="32955" xr:uid="{F6C9478D-1502-4E18-904A-01AC0817D393}"/>
    <cellStyle name="Comma 6 4 3 2 4 2 3" xfId="24283" xr:uid="{0D4328B9-C600-4C87-9644-EB2F4B04B925}"/>
    <cellStyle name="Comma 6 4 3 2 4 3" xfId="11275" xr:uid="{8F15D030-4D29-42A0-9A2E-BCBB31AE69FB}"/>
    <cellStyle name="Comma 6 4 3 2 4 3 2" xfId="28619" xr:uid="{364FBE50-371D-4CC8-8583-381A2DE765AC}"/>
    <cellStyle name="Comma 6 4 3 2 4 4" xfId="19947" xr:uid="{F8A5491C-E042-4622-85EB-B4235A01D8D0}"/>
    <cellStyle name="Comma 6 4 3 2 5" xfId="4771" xr:uid="{30318CFF-FCBA-4A5E-A0EC-6925D451148A}"/>
    <cellStyle name="Comma 6 4 3 2 5 2" xfId="13443" xr:uid="{557D9C35-B444-43B8-93B1-72B18ECF2047}"/>
    <cellStyle name="Comma 6 4 3 2 5 2 2" xfId="30787" xr:uid="{2BCA222A-9B22-4D7E-8DDD-DE10D0BA4187}"/>
    <cellStyle name="Comma 6 4 3 2 5 3" xfId="22115" xr:uid="{192B82D3-C063-41FD-9ED7-531CF4D4E838}"/>
    <cellStyle name="Comma 6 4 3 2 6" xfId="9107" xr:uid="{0B869125-39C4-4DEF-A9A3-AD3CB59A5DC8}"/>
    <cellStyle name="Comma 6 4 3 2 6 2" xfId="26451" xr:uid="{7ACEA792-1277-458B-B5B5-31E640D4E171}"/>
    <cellStyle name="Comma 6 4 3 2 7" xfId="17779" xr:uid="{7B9D7339-141C-4148-A9FB-3538C347FDF7}"/>
    <cellStyle name="Comma 6 4 3 3" xfId="706" xr:uid="{FDF0984F-A773-4F51-B715-1D075F532634}"/>
    <cellStyle name="Comma 6 4 3 3 2" xfId="1790" xr:uid="{D3C29D7E-F3C0-48E9-8039-4E2D03982698}"/>
    <cellStyle name="Comma 6 4 3 3 2 2" xfId="3958" xr:uid="{07DF1A0E-0116-415D-8C86-120D822BAFBA}"/>
    <cellStyle name="Comma 6 4 3 3 2 2 2" xfId="8294" xr:uid="{32A3A839-93C6-48C1-8250-E0AE9E016548}"/>
    <cellStyle name="Comma 6 4 3 3 2 2 2 2" xfId="16966" xr:uid="{5A3E9C49-A8D4-41FB-B42D-F457462568A8}"/>
    <cellStyle name="Comma 6 4 3 3 2 2 2 2 2" xfId="34310" xr:uid="{FB28B7F0-0AB1-4941-9A80-391CC0C70BDB}"/>
    <cellStyle name="Comma 6 4 3 3 2 2 2 3" xfId="25638" xr:uid="{00F2CC9A-A233-42A3-8D0E-9E2D4ECC7360}"/>
    <cellStyle name="Comma 6 4 3 3 2 2 3" xfId="12630" xr:uid="{7CDF2936-88C8-4AF2-B6A4-38B39ED42D8F}"/>
    <cellStyle name="Comma 6 4 3 3 2 2 3 2" xfId="29974" xr:uid="{E5F1C955-1CF0-4AD7-9C6B-646B245E79AC}"/>
    <cellStyle name="Comma 6 4 3 3 2 2 4" xfId="21302" xr:uid="{EF3CAB33-FCA3-4065-94CC-D4D6CC17501D}"/>
    <cellStyle name="Comma 6 4 3 3 2 3" xfId="6126" xr:uid="{464ABB6F-D2F5-4552-8C04-4D78C9433F20}"/>
    <cellStyle name="Comma 6 4 3 3 2 3 2" xfId="14798" xr:uid="{B68A8200-D519-4F6A-96F0-B005B3D84F6C}"/>
    <cellStyle name="Comma 6 4 3 3 2 3 2 2" xfId="32142" xr:uid="{7EDB9200-82A8-4F19-B115-6B46BADAA0D2}"/>
    <cellStyle name="Comma 6 4 3 3 2 3 3" xfId="23470" xr:uid="{899DCC66-7B0E-4093-93EF-A98573A48263}"/>
    <cellStyle name="Comma 6 4 3 3 2 4" xfId="10462" xr:uid="{AF0CB7AC-B6C7-41DB-8A73-08E1BD1CE643}"/>
    <cellStyle name="Comma 6 4 3 3 2 4 2" xfId="27806" xr:uid="{7531DAB4-2B84-45FD-8868-950C1547178E}"/>
    <cellStyle name="Comma 6 4 3 3 2 5" xfId="19134" xr:uid="{D226F5A0-FBD0-4007-B2A7-9171FF394B96}"/>
    <cellStyle name="Comma 6 4 3 3 3" xfId="2874" xr:uid="{18A840B5-9037-471A-B4ED-210C7AF980C0}"/>
    <cellStyle name="Comma 6 4 3 3 3 2" xfId="7210" xr:uid="{686F47DA-DEBA-4229-B1F7-2004F993AE01}"/>
    <cellStyle name="Comma 6 4 3 3 3 2 2" xfId="15882" xr:uid="{28E74D31-5092-4B36-BC01-512386C0EDEB}"/>
    <cellStyle name="Comma 6 4 3 3 3 2 2 2" xfId="33226" xr:uid="{E8AD4EEB-438B-40FA-AAE5-C0050319012C}"/>
    <cellStyle name="Comma 6 4 3 3 3 2 3" xfId="24554" xr:uid="{A9E72E00-2C1C-41ED-9C8A-6D1CC36A1AAC}"/>
    <cellStyle name="Comma 6 4 3 3 3 3" xfId="11546" xr:uid="{4BEEBE63-F334-47A0-A00E-942CFE845977}"/>
    <cellStyle name="Comma 6 4 3 3 3 3 2" xfId="28890" xr:uid="{D1A88AE9-3166-4E13-9A50-0AE4433DD1E3}"/>
    <cellStyle name="Comma 6 4 3 3 3 4" xfId="20218" xr:uid="{6CCE718B-8354-445B-A932-3AB2A06E4B65}"/>
    <cellStyle name="Comma 6 4 3 3 4" xfId="5042" xr:uid="{5C08EE6B-2136-4EBA-A442-D9D45B753E49}"/>
    <cellStyle name="Comma 6 4 3 3 4 2" xfId="13714" xr:uid="{E2A1E4EA-9B23-487F-9A04-51D74BA284FB}"/>
    <cellStyle name="Comma 6 4 3 3 4 2 2" xfId="31058" xr:uid="{DDC35DCA-27BC-4C2A-9B01-88C8238D9D15}"/>
    <cellStyle name="Comma 6 4 3 3 4 3" xfId="22386" xr:uid="{558B9A0F-99D1-44E1-8339-1ED04BE0E1A7}"/>
    <cellStyle name="Comma 6 4 3 3 5" xfId="9378" xr:uid="{165AFE3E-672A-4416-981A-1CF2AB7CA4F5}"/>
    <cellStyle name="Comma 6 4 3 3 5 2" xfId="26722" xr:uid="{FB1215C0-0021-49D8-B603-5232161286E3}"/>
    <cellStyle name="Comma 6 4 3 3 6" xfId="18050" xr:uid="{7CC17FBB-144F-4376-9421-A65B05C78FD4}"/>
    <cellStyle name="Comma 6 4 3 4" xfId="1249" xr:uid="{9FBFE442-5A88-410D-8401-A1CFE70C314A}"/>
    <cellStyle name="Comma 6 4 3 4 2" xfId="3417" xr:uid="{D4099453-BD6A-49A8-8383-0CF0030A8415}"/>
    <cellStyle name="Comma 6 4 3 4 2 2" xfId="7753" xr:uid="{A2211753-B8A4-4AE8-AD57-00F8EFEC4546}"/>
    <cellStyle name="Comma 6 4 3 4 2 2 2" xfId="16425" xr:uid="{91EAEAAD-6A15-424A-ABD6-DFF036E8EF52}"/>
    <cellStyle name="Comma 6 4 3 4 2 2 2 2" xfId="33769" xr:uid="{755539C6-7C8D-434A-B654-E8C4D6803BF3}"/>
    <cellStyle name="Comma 6 4 3 4 2 2 3" xfId="25097" xr:uid="{A8D5AC1E-2E9E-4D9D-BDC8-E751D6F3851E}"/>
    <cellStyle name="Comma 6 4 3 4 2 3" xfId="12089" xr:uid="{1640284F-46BF-43CD-A879-31BFD85A8618}"/>
    <cellStyle name="Comma 6 4 3 4 2 3 2" xfId="29433" xr:uid="{6ABB7432-1AB6-494B-B1F4-A00E4F6972BA}"/>
    <cellStyle name="Comma 6 4 3 4 2 4" xfId="20761" xr:uid="{D0B6426E-0AFC-4D10-ABD8-C89C89D9A1DF}"/>
    <cellStyle name="Comma 6 4 3 4 3" xfId="5585" xr:uid="{1BD50EDE-DA14-428B-9797-358BE7067152}"/>
    <cellStyle name="Comma 6 4 3 4 3 2" xfId="14257" xr:uid="{8A36229D-183D-4CF4-A088-A47FCDA6FB6B}"/>
    <cellStyle name="Comma 6 4 3 4 3 2 2" xfId="31601" xr:uid="{3754727D-267C-42DA-B5DA-8C2DD8AC4C99}"/>
    <cellStyle name="Comma 6 4 3 4 3 3" xfId="22929" xr:uid="{D7C9C3FF-459F-4128-B1EF-9A653361D412}"/>
    <cellStyle name="Comma 6 4 3 4 4" xfId="9921" xr:uid="{2B043D28-8A14-4C94-BF90-F48079074EA9}"/>
    <cellStyle name="Comma 6 4 3 4 4 2" xfId="27265" xr:uid="{C32712A6-A83B-44DD-98F4-03A299E49209}"/>
    <cellStyle name="Comma 6 4 3 4 5" xfId="18593" xr:uid="{B6227963-090B-48FC-A51B-4B8894CF453C}"/>
    <cellStyle name="Comma 6 4 3 5" xfId="2333" xr:uid="{39621B4C-210E-40D8-9EB1-21E03B1B6947}"/>
    <cellStyle name="Comma 6 4 3 5 2" xfId="6669" xr:uid="{AA4BE2C8-7F50-45E3-8EE5-07FF128E6F80}"/>
    <cellStyle name="Comma 6 4 3 5 2 2" xfId="15341" xr:uid="{01AE91CA-D73D-4A86-AADA-CC66633E6F2E}"/>
    <cellStyle name="Comma 6 4 3 5 2 2 2" xfId="32685" xr:uid="{A29E0D78-F53B-4F2E-92B5-59BA03845363}"/>
    <cellStyle name="Comma 6 4 3 5 2 3" xfId="24013" xr:uid="{BDF270AA-4481-4F96-9737-8EB576CF87A5}"/>
    <cellStyle name="Comma 6 4 3 5 3" xfId="11005" xr:uid="{7E32961D-8F31-4D37-83B0-4C2FE55EC64F}"/>
    <cellStyle name="Comma 6 4 3 5 3 2" xfId="28349" xr:uid="{6D5FDF49-7D82-467E-B2BC-2AE9BE71163A}"/>
    <cellStyle name="Comma 6 4 3 5 4" xfId="19677" xr:uid="{B4EBFAAB-ABBA-49EB-AA3C-9F2C3487C88B}"/>
    <cellStyle name="Comma 6 4 3 6" xfId="4501" xr:uid="{633EF1DE-A0B6-411F-A33F-A1151D2AE855}"/>
    <cellStyle name="Comma 6 4 3 6 2" xfId="13173" xr:uid="{05DE5F4F-3DDA-499A-8A6D-447A270951ED}"/>
    <cellStyle name="Comma 6 4 3 6 2 2" xfId="30517" xr:uid="{DC4B733E-7F2E-4D8B-9E7E-EBB42EBF59A9}"/>
    <cellStyle name="Comma 6 4 3 6 3" xfId="21845" xr:uid="{F780B71D-6798-46C9-9943-F46FDF4ED5CF}"/>
    <cellStyle name="Comma 6 4 3 7" xfId="8837" xr:uid="{8D02151A-E88D-480A-AC23-B2EAB1A798FB}"/>
    <cellStyle name="Comma 6 4 3 7 2" xfId="26181" xr:uid="{DE9095A7-7409-43A8-B2F7-294D6D7D36AC}"/>
    <cellStyle name="Comma 6 4 3 8" xfId="17509" xr:uid="{4A634F3C-022A-4784-A42B-C920722D9A10}"/>
    <cellStyle name="Comma 6 4 4" xfId="313" xr:uid="{2F8A59B2-DE23-4618-8A40-43ED707EB68B}"/>
    <cellStyle name="Comma 6 4 4 2" xfId="854" xr:uid="{D9CB486A-F47F-4DFB-A2A8-9AA609E1647B}"/>
    <cellStyle name="Comma 6 4 4 2 2" xfId="1938" xr:uid="{6BE3D379-F24B-4993-A04A-E3ADA1E1AF6F}"/>
    <cellStyle name="Comma 6 4 4 2 2 2" xfId="4106" xr:uid="{20629B75-A3B6-4C7B-A9B7-2945E0984B2D}"/>
    <cellStyle name="Comma 6 4 4 2 2 2 2" xfId="8442" xr:uid="{0B5A339F-DD29-4CD4-89C8-A9B5245CE9AC}"/>
    <cellStyle name="Comma 6 4 4 2 2 2 2 2" xfId="17114" xr:uid="{A2976A1C-ABDA-48D9-8ADF-C00624878D1B}"/>
    <cellStyle name="Comma 6 4 4 2 2 2 2 2 2" xfId="34458" xr:uid="{99E28B16-75BD-4DD5-99E7-80855EAEA57A}"/>
    <cellStyle name="Comma 6 4 4 2 2 2 2 3" xfId="25786" xr:uid="{BFD51B80-DBAF-4E95-822C-591C046D0B5E}"/>
    <cellStyle name="Comma 6 4 4 2 2 2 3" xfId="12778" xr:uid="{1AB738F6-BCC6-475B-A592-9325F3205A99}"/>
    <cellStyle name="Comma 6 4 4 2 2 2 3 2" xfId="30122" xr:uid="{46783B3C-93D5-4D17-9B2F-E08DEA32BDC0}"/>
    <cellStyle name="Comma 6 4 4 2 2 2 4" xfId="21450" xr:uid="{105DD7C7-810A-4957-887C-1C6054AC4607}"/>
    <cellStyle name="Comma 6 4 4 2 2 3" xfId="6274" xr:uid="{FBE644DA-58AB-4597-BB9C-6A11D91D3580}"/>
    <cellStyle name="Comma 6 4 4 2 2 3 2" xfId="14946" xr:uid="{6B2DBB5C-7DE9-4002-9113-901518E7C5FD}"/>
    <cellStyle name="Comma 6 4 4 2 2 3 2 2" xfId="32290" xr:uid="{481E0A0C-0FA2-4E9B-9951-A092C43102BC}"/>
    <cellStyle name="Comma 6 4 4 2 2 3 3" xfId="23618" xr:uid="{2367A854-0294-4A9C-A8FA-827B3369A251}"/>
    <cellStyle name="Comma 6 4 4 2 2 4" xfId="10610" xr:uid="{DEC6094F-65CE-46E9-9616-0B0052449F5D}"/>
    <cellStyle name="Comma 6 4 4 2 2 4 2" xfId="27954" xr:uid="{FCF67252-E827-462D-8662-7E308BF80156}"/>
    <cellStyle name="Comma 6 4 4 2 2 5" xfId="19282" xr:uid="{82E23E23-C4EF-470B-978F-F748A3E5BD8A}"/>
    <cellStyle name="Comma 6 4 4 2 3" xfId="3022" xr:uid="{46885ABA-80FE-4AD3-B377-E139F01D0900}"/>
    <cellStyle name="Comma 6 4 4 2 3 2" xfId="7358" xr:uid="{0DD83A29-5E25-4625-B530-08C67B789C0D}"/>
    <cellStyle name="Comma 6 4 4 2 3 2 2" xfId="16030" xr:uid="{834BE75C-EFB5-4366-B90A-18C7EF1E6074}"/>
    <cellStyle name="Comma 6 4 4 2 3 2 2 2" xfId="33374" xr:uid="{51A35C86-0486-4DF6-B7AC-420F4A52B399}"/>
    <cellStyle name="Comma 6 4 4 2 3 2 3" xfId="24702" xr:uid="{43D1F371-DC7F-4A3D-9A0E-8564CBDF804E}"/>
    <cellStyle name="Comma 6 4 4 2 3 3" xfId="11694" xr:uid="{E481E5E1-D2B9-4B13-A732-CE4BD066EFA4}"/>
    <cellStyle name="Comma 6 4 4 2 3 3 2" xfId="29038" xr:uid="{ABC44016-ADD4-433E-942B-45E33F69FD28}"/>
    <cellStyle name="Comma 6 4 4 2 3 4" xfId="20366" xr:uid="{F3F8C90F-1511-41B5-B7C8-C30B5C7889AA}"/>
    <cellStyle name="Comma 6 4 4 2 4" xfId="5190" xr:uid="{49BA7702-0025-4549-9B20-7C65ECF83920}"/>
    <cellStyle name="Comma 6 4 4 2 4 2" xfId="13862" xr:uid="{6C60519D-937D-4EB6-85A0-8B4B066E9CC4}"/>
    <cellStyle name="Comma 6 4 4 2 4 2 2" xfId="31206" xr:uid="{471139F3-A7F4-40AD-94A7-D38EF41B796B}"/>
    <cellStyle name="Comma 6 4 4 2 4 3" xfId="22534" xr:uid="{95FC83F7-B766-4BD8-89B0-3FC7DC2614B2}"/>
    <cellStyle name="Comma 6 4 4 2 5" xfId="9526" xr:uid="{24B7BEC2-1CED-4A88-A1EF-0F0AE7880772}"/>
    <cellStyle name="Comma 6 4 4 2 5 2" xfId="26870" xr:uid="{4B998B53-5430-4923-856F-7048C0A52CAA}"/>
    <cellStyle name="Comma 6 4 4 2 6" xfId="18198" xr:uid="{37EB05D5-6510-4BA0-8E64-BB2F22654C13}"/>
    <cellStyle name="Comma 6 4 4 3" xfId="1397" xr:uid="{2B7D143E-7F4F-4525-AA86-276BEAFA31A7}"/>
    <cellStyle name="Comma 6 4 4 3 2" xfId="3565" xr:uid="{B55C0B3C-04A4-42D0-815F-E3B94C907A5D}"/>
    <cellStyle name="Comma 6 4 4 3 2 2" xfId="7901" xr:uid="{14C1831E-6138-4D59-94F9-E6BA13F7E24F}"/>
    <cellStyle name="Comma 6 4 4 3 2 2 2" xfId="16573" xr:uid="{54281CD7-0C14-449C-BF18-B4655D2D04B4}"/>
    <cellStyle name="Comma 6 4 4 3 2 2 2 2" xfId="33917" xr:uid="{927A5A83-40F1-4BEA-A29C-3397EA61CD94}"/>
    <cellStyle name="Comma 6 4 4 3 2 2 3" xfId="25245" xr:uid="{0056730B-66C0-4863-9020-F6CB3FD6EFB4}"/>
    <cellStyle name="Comma 6 4 4 3 2 3" xfId="12237" xr:uid="{345E44E5-5678-44DB-9FF9-EAD30A351F70}"/>
    <cellStyle name="Comma 6 4 4 3 2 3 2" xfId="29581" xr:uid="{868312A5-3250-45E7-9D14-EA0D84924C64}"/>
    <cellStyle name="Comma 6 4 4 3 2 4" xfId="20909" xr:uid="{1D94B7AE-28A8-4A65-AF80-AFE4EEC469FD}"/>
    <cellStyle name="Comma 6 4 4 3 3" xfId="5733" xr:uid="{FD0C43BD-0ED6-42F2-A343-8C1A5AE5ECE1}"/>
    <cellStyle name="Comma 6 4 4 3 3 2" xfId="14405" xr:uid="{4182F9CC-0F21-4591-B0CB-0223DB57835F}"/>
    <cellStyle name="Comma 6 4 4 3 3 2 2" xfId="31749" xr:uid="{CAFC0204-3383-4331-95CB-23CB37DB8357}"/>
    <cellStyle name="Comma 6 4 4 3 3 3" xfId="23077" xr:uid="{F14D654A-59D9-4616-8083-88B509EF617C}"/>
    <cellStyle name="Comma 6 4 4 3 4" xfId="10069" xr:uid="{849C912A-8980-4702-B9D1-B7D11E42211B}"/>
    <cellStyle name="Comma 6 4 4 3 4 2" xfId="27413" xr:uid="{C213BFFC-4FFC-4918-B670-774E564325F8}"/>
    <cellStyle name="Comma 6 4 4 3 5" xfId="18741" xr:uid="{3FEF5534-F3E4-46A7-AEC1-0FE0C2D64309}"/>
    <cellStyle name="Comma 6 4 4 4" xfId="2481" xr:uid="{6EAD53C2-39E6-4002-B0BD-C2B092A94A5D}"/>
    <cellStyle name="Comma 6 4 4 4 2" xfId="6817" xr:uid="{F213AF39-6169-417A-B96D-D0254F83780B}"/>
    <cellStyle name="Comma 6 4 4 4 2 2" xfId="15489" xr:uid="{4DB40CE3-491C-4AFA-86F6-B9160C3AF4AD}"/>
    <cellStyle name="Comma 6 4 4 4 2 2 2" xfId="32833" xr:uid="{3C2F0834-6751-4386-A2B8-7578AC8DEDC4}"/>
    <cellStyle name="Comma 6 4 4 4 2 3" xfId="24161" xr:uid="{308DAE78-E074-4C91-B49E-41B2C4A2C220}"/>
    <cellStyle name="Comma 6 4 4 4 3" xfId="11153" xr:uid="{2E0B7970-1249-45C0-9A4C-DDE290D5F111}"/>
    <cellStyle name="Comma 6 4 4 4 3 2" xfId="28497" xr:uid="{AB6E8F78-66D9-488E-B1D3-7E8BF5FF6551}"/>
    <cellStyle name="Comma 6 4 4 4 4" xfId="19825" xr:uid="{EB8BD198-5125-4362-858A-503462C59309}"/>
    <cellStyle name="Comma 6 4 4 5" xfId="4649" xr:uid="{FC594E88-C67F-411A-A884-3DA2A4CA131C}"/>
    <cellStyle name="Comma 6 4 4 5 2" xfId="13321" xr:uid="{DE62401F-6944-4F76-9CF0-7F508CADB33A}"/>
    <cellStyle name="Comma 6 4 4 5 2 2" xfId="30665" xr:uid="{77F84802-72EA-4D2B-810C-C1D5298986F8}"/>
    <cellStyle name="Comma 6 4 4 5 3" xfId="21993" xr:uid="{3A4DD8AE-E0C2-40C2-B137-6D4CDFEF23C5}"/>
    <cellStyle name="Comma 6 4 4 6" xfId="8985" xr:uid="{43624DE4-1320-4DF6-9AA1-EB1D52D3DFF1}"/>
    <cellStyle name="Comma 6 4 4 6 2" xfId="26329" xr:uid="{5121C8ED-1CBB-4F04-BF1F-FC8BAC9365F9}"/>
    <cellStyle name="Comma 6 4 4 7" xfId="17657" xr:uid="{DAB7421E-923C-44DE-B875-CB8E1551BE47}"/>
    <cellStyle name="Comma 6 4 5" xfId="584" xr:uid="{B3A7F109-94B8-43D9-9618-327177CB1F45}"/>
    <cellStyle name="Comma 6 4 5 2" xfId="1668" xr:uid="{D5AA18AD-E64C-4E07-85B4-2B86B2F49702}"/>
    <cellStyle name="Comma 6 4 5 2 2" xfId="3836" xr:uid="{1D1320A1-9161-41EC-B585-F27FD6F3550E}"/>
    <cellStyle name="Comma 6 4 5 2 2 2" xfId="8172" xr:uid="{DC35A8FA-25FD-4BD7-BC1A-F4C3AF812C2E}"/>
    <cellStyle name="Comma 6 4 5 2 2 2 2" xfId="16844" xr:uid="{696F8581-78C6-4C5F-86BA-B4BF30A26BB5}"/>
    <cellStyle name="Comma 6 4 5 2 2 2 2 2" xfId="34188" xr:uid="{1DE44D21-E0E0-4A02-B6DE-1FF22189FBB9}"/>
    <cellStyle name="Comma 6 4 5 2 2 2 3" xfId="25516" xr:uid="{AF204781-1608-4FFF-8A77-6D33684B219D}"/>
    <cellStyle name="Comma 6 4 5 2 2 3" xfId="12508" xr:uid="{E71456BC-0F6F-4ABC-81D2-050AFF831552}"/>
    <cellStyle name="Comma 6 4 5 2 2 3 2" xfId="29852" xr:uid="{52432FEA-A12D-4127-9A42-967C2844312A}"/>
    <cellStyle name="Comma 6 4 5 2 2 4" xfId="21180" xr:uid="{ACD5B69F-1004-452B-9AA9-00A590C53837}"/>
    <cellStyle name="Comma 6 4 5 2 3" xfId="6004" xr:uid="{1FDF18D5-CDF7-4B6E-AB9B-20F325C016CA}"/>
    <cellStyle name="Comma 6 4 5 2 3 2" xfId="14676" xr:uid="{F8CD6F88-693E-4FA4-95D2-A0F5EE01F415}"/>
    <cellStyle name="Comma 6 4 5 2 3 2 2" xfId="32020" xr:uid="{2B6DCB25-64F8-4FCD-91C2-D4610414AF4F}"/>
    <cellStyle name="Comma 6 4 5 2 3 3" xfId="23348" xr:uid="{870F878F-933E-4906-8B4E-F64F18DEF580}"/>
    <cellStyle name="Comma 6 4 5 2 4" xfId="10340" xr:uid="{A081DF79-E8F3-467A-8A9A-8B8ED29A92A0}"/>
    <cellStyle name="Comma 6 4 5 2 4 2" xfId="27684" xr:uid="{F2AF0CC9-D1EC-4889-AFE1-1AF433751365}"/>
    <cellStyle name="Comma 6 4 5 2 5" xfId="19012" xr:uid="{432688E2-6C6F-4B99-BB88-7B88B4929497}"/>
    <cellStyle name="Comma 6 4 5 3" xfId="2752" xr:uid="{A5870E11-CDCA-41C5-9B09-43049E117732}"/>
    <cellStyle name="Comma 6 4 5 3 2" xfId="7088" xr:uid="{96A0B55F-E49C-4218-B1D0-ED181D77620F}"/>
    <cellStyle name="Comma 6 4 5 3 2 2" xfId="15760" xr:uid="{B2E21ACF-80F2-4D20-A61F-0F0429AF9502}"/>
    <cellStyle name="Comma 6 4 5 3 2 2 2" xfId="33104" xr:uid="{EF94A2A3-4353-4FC2-9D05-5B6423A5A258}"/>
    <cellStyle name="Comma 6 4 5 3 2 3" xfId="24432" xr:uid="{5E12A503-266C-4CA3-95A6-8173BFEA820C}"/>
    <cellStyle name="Comma 6 4 5 3 3" xfId="11424" xr:uid="{9AAB513C-AAE6-404B-9A3E-8F7B6DEEE951}"/>
    <cellStyle name="Comma 6 4 5 3 3 2" xfId="28768" xr:uid="{E68345F9-F06F-4E54-BBEB-7491B5EFE6F0}"/>
    <cellStyle name="Comma 6 4 5 3 4" xfId="20096" xr:uid="{5745D7B7-172C-4093-B693-BD2061396833}"/>
    <cellStyle name="Comma 6 4 5 4" xfId="4920" xr:uid="{4C931B28-7D45-4ADC-B0C1-1235526D381A}"/>
    <cellStyle name="Comma 6 4 5 4 2" xfId="13592" xr:uid="{070CB2C3-3F05-436A-835D-223AE542DABF}"/>
    <cellStyle name="Comma 6 4 5 4 2 2" xfId="30936" xr:uid="{BABEB32E-5E07-47DD-9C06-A453004F30BE}"/>
    <cellStyle name="Comma 6 4 5 4 3" xfId="22264" xr:uid="{2EA411D1-9EED-43FD-8B02-BDE251BFEDD5}"/>
    <cellStyle name="Comma 6 4 5 5" xfId="9256" xr:uid="{141D8B81-E0D9-40FF-ADF6-93D9C86EE037}"/>
    <cellStyle name="Comma 6 4 5 5 2" xfId="26600" xr:uid="{E9623FF8-08D7-483B-9EC1-94A1878AFFC4}"/>
    <cellStyle name="Comma 6 4 5 6" xfId="17928" xr:uid="{325D9D50-07B6-4F3C-AC91-1E7CE4262F62}"/>
    <cellStyle name="Comma 6 4 6" xfId="1127" xr:uid="{94561CC5-06F4-4DF1-8643-49A0C416AC95}"/>
    <cellStyle name="Comma 6 4 6 2" xfId="3295" xr:uid="{4F9AD812-631A-4723-924A-B504A5A7CA39}"/>
    <cellStyle name="Comma 6 4 6 2 2" xfId="7631" xr:uid="{2032AF6A-6AEA-4B78-8E54-412AC387883F}"/>
    <cellStyle name="Comma 6 4 6 2 2 2" xfId="16303" xr:uid="{12D253BF-B94E-485B-B7CF-4F527CA16125}"/>
    <cellStyle name="Comma 6 4 6 2 2 2 2" xfId="33647" xr:uid="{C468FD61-672D-404C-B1A0-3DE6F5997429}"/>
    <cellStyle name="Comma 6 4 6 2 2 3" xfId="24975" xr:uid="{DBCFF2E7-A504-47AB-91D3-D98E2BA92EC4}"/>
    <cellStyle name="Comma 6 4 6 2 3" xfId="11967" xr:uid="{0FFDB118-DB93-43E7-AEE4-BC4CD43BFD41}"/>
    <cellStyle name="Comma 6 4 6 2 3 2" xfId="29311" xr:uid="{8BF4CA06-104A-4F5C-9B13-A4D65B1147EB}"/>
    <cellStyle name="Comma 6 4 6 2 4" xfId="20639" xr:uid="{688D584B-5310-4FEE-9BBC-7C40284931CC}"/>
    <cellStyle name="Comma 6 4 6 3" xfId="5463" xr:uid="{51871502-6B2A-490B-9A26-D52BD844B591}"/>
    <cellStyle name="Comma 6 4 6 3 2" xfId="14135" xr:uid="{94FFB9D6-AF45-441A-8681-B16E06CCC59E}"/>
    <cellStyle name="Comma 6 4 6 3 2 2" xfId="31479" xr:uid="{ED7A677F-38DA-45CE-A813-E245C6657E95}"/>
    <cellStyle name="Comma 6 4 6 3 3" xfId="22807" xr:uid="{6C9F4C27-FFBB-4AA3-8EA8-3EE68C064835}"/>
    <cellStyle name="Comma 6 4 6 4" xfId="9799" xr:uid="{97A7C477-70F4-4706-A932-D6E955E98624}"/>
    <cellStyle name="Comma 6 4 6 4 2" xfId="27143" xr:uid="{8750F233-99AB-41C6-A2C4-3EFCB39FD838}"/>
    <cellStyle name="Comma 6 4 6 5" xfId="18471" xr:uid="{C504BD09-E745-40B0-B615-0C5E2710BD24}"/>
    <cellStyle name="Comma 6 4 7" xfId="2211" xr:uid="{2930F08B-1AD0-47D9-8C57-4523BBCC1AFC}"/>
    <cellStyle name="Comma 6 4 7 2" xfId="6547" xr:uid="{3AA317EB-1AA6-4B9B-BB88-03E2A1FE81AE}"/>
    <cellStyle name="Comma 6 4 7 2 2" xfId="15219" xr:uid="{DF9E0808-4F50-4705-8ECA-D0E581D21A0C}"/>
    <cellStyle name="Comma 6 4 7 2 2 2" xfId="32563" xr:uid="{E4987837-354F-4309-AD58-9377A0A37740}"/>
    <cellStyle name="Comma 6 4 7 2 3" xfId="23891" xr:uid="{2DAFCBAF-3F2B-4220-9267-7CDB5BA27745}"/>
    <cellStyle name="Comma 6 4 7 3" xfId="10883" xr:uid="{32266554-3279-4CDD-BB64-42EC3AC5D701}"/>
    <cellStyle name="Comma 6 4 7 3 2" xfId="28227" xr:uid="{1E6F3EAA-32F9-46B5-9B8C-FD2247465861}"/>
    <cellStyle name="Comma 6 4 7 4" xfId="19555" xr:uid="{9BCEA9C4-8F1F-43FE-8D6D-CD7AB4211A2A}"/>
    <cellStyle name="Comma 6 4 8" xfId="4379" xr:uid="{5BD10CF4-710F-4A2B-9626-24B1401E3FDD}"/>
    <cellStyle name="Comma 6 4 8 2" xfId="13051" xr:uid="{542D2C98-4B1E-4E89-B47E-88B609FD2649}"/>
    <cellStyle name="Comma 6 4 8 2 2" xfId="30395" xr:uid="{E32AB02E-9002-4A80-AD73-E6365404698B}"/>
    <cellStyle name="Comma 6 4 8 3" xfId="21723" xr:uid="{9E6AB2BC-0503-40BE-9304-949BF120B1B5}"/>
    <cellStyle name="Comma 6 4 9" xfId="8715" xr:uid="{A20AC2EB-705F-41D3-8137-403EF74D600A}"/>
    <cellStyle name="Comma 6 4 9 2" xfId="26059" xr:uid="{5B39B26A-CD5C-4B9D-A8FA-85911FB4121B}"/>
    <cellStyle name="Comma 6 5" xfId="56" xr:uid="{D26352DB-7B82-46F6-99FF-AAE36E755A0F}"/>
    <cellStyle name="Comma 6 5 10" xfId="17400" xr:uid="{169F1187-103C-423B-AF6A-C2ABA13DA358}"/>
    <cellStyle name="Comma 6 5 2" xfId="117" xr:uid="{985477A4-CA00-45B6-93BA-E1A11F1BD24A}"/>
    <cellStyle name="Comma 6 5 2 2" xfId="239" xr:uid="{AE66E918-B201-4B7E-8EC5-D82DE942C76C}"/>
    <cellStyle name="Comma 6 5 2 2 2" xfId="509" xr:uid="{B64C4B33-A2E2-451F-BC15-409C0242447A}"/>
    <cellStyle name="Comma 6 5 2 2 2 2" xfId="1050" xr:uid="{782EF3F0-8595-4921-B78E-4BA89E98554D}"/>
    <cellStyle name="Comma 6 5 2 2 2 2 2" xfId="2134" xr:uid="{08141062-931D-49B4-A85E-4E84C7ACE892}"/>
    <cellStyle name="Comma 6 5 2 2 2 2 2 2" xfId="4302" xr:uid="{211FC545-10DD-455E-BFEC-3DD458542AC0}"/>
    <cellStyle name="Comma 6 5 2 2 2 2 2 2 2" xfId="8638" xr:uid="{74A8977E-90CB-406F-9572-1136F850B384}"/>
    <cellStyle name="Comma 6 5 2 2 2 2 2 2 2 2" xfId="17310" xr:uid="{F3AF09C2-E44C-42AE-952C-EDD31AF0ABF0}"/>
    <cellStyle name="Comma 6 5 2 2 2 2 2 2 2 2 2" xfId="34654" xr:uid="{3846720C-735F-4F20-B6AE-FA7ACB54C701}"/>
    <cellStyle name="Comma 6 5 2 2 2 2 2 2 2 3" xfId="25982" xr:uid="{7A35AFBD-B66E-4EC8-A994-9011D984A8DA}"/>
    <cellStyle name="Comma 6 5 2 2 2 2 2 2 3" xfId="12974" xr:uid="{6B0820E9-7819-4AAE-8154-F9F60C09DB82}"/>
    <cellStyle name="Comma 6 5 2 2 2 2 2 2 3 2" xfId="30318" xr:uid="{DFC42080-494F-4DE3-A42F-649D8D9D61C7}"/>
    <cellStyle name="Comma 6 5 2 2 2 2 2 2 4" xfId="21646" xr:uid="{2E8817D2-5172-4589-B5F2-5673A6806F99}"/>
    <cellStyle name="Comma 6 5 2 2 2 2 2 3" xfId="6470" xr:uid="{6015DAA2-3964-4040-8973-CDD19B9DB773}"/>
    <cellStyle name="Comma 6 5 2 2 2 2 2 3 2" xfId="15142" xr:uid="{7BEE7171-AF94-45E6-8BA0-6ED63B33870A}"/>
    <cellStyle name="Comma 6 5 2 2 2 2 2 3 2 2" xfId="32486" xr:uid="{4B36989D-C2C9-453E-BB88-C0E9EA48645E}"/>
    <cellStyle name="Comma 6 5 2 2 2 2 2 3 3" xfId="23814" xr:uid="{4C0661B8-439F-454F-AC7B-E7B485C24913}"/>
    <cellStyle name="Comma 6 5 2 2 2 2 2 4" xfId="10806" xr:uid="{2233DB0E-E14A-4ECE-869C-CF4392ADE7C5}"/>
    <cellStyle name="Comma 6 5 2 2 2 2 2 4 2" xfId="28150" xr:uid="{65DBBF37-0063-465A-8C75-9DECBFF3BF25}"/>
    <cellStyle name="Comma 6 5 2 2 2 2 2 5" xfId="19478" xr:uid="{C2D8A8A2-42C8-4626-A298-BD593A7000A5}"/>
    <cellStyle name="Comma 6 5 2 2 2 2 3" xfId="3218" xr:uid="{4F45FD5B-FED0-4939-9EEE-1127E1CBBA21}"/>
    <cellStyle name="Comma 6 5 2 2 2 2 3 2" xfId="7554" xr:uid="{6EA799E5-9700-47DB-A085-417613A4211C}"/>
    <cellStyle name="Comma 6 5 2 2 2 2 3 2 2" xfId="16226" xr:uid="{EEB3F0F9-0B97-4B74-AD99-711286CD5C36}"/>
    <cellStyle name="Comma 6 5 2 2 2 2 3 2 2 2" xfId="33570" xr:uid="{BB0E359E-6E0C-44DF-B5D7-BFC0146632C8}"/>
    <cellStyle name="Comma 6 5 2 2 2 2 3 2 3" xfId="24898" xr:uid="{BF21CBC2-1C12-41A0-89A2-C105BDE1C2C0}"/>
    <cellStyle name="Comma 6 5 2 2 2 2 3 3" xfId="11890" xr:uid="{88161A83-8E1E-412C-9542-C34B23A0ECA0}"/>
    <cellStyle name="Comma 6 5 2 2 2 2 3 3 2" xfId="29234" xr:uid="{48C663E2-2114-4E2F-9370-38806BF51991}"/>
    <cellStyle name="Comma 6 5 2 2 2 2 3 4" xfId="20562" xr:uid="{497EFB8C-00CC-457C-A919-C3BB7FB93F06}"/>
    <cellStyle name="Comma 6 5 2 2 2 2 4" xfId="5386" xr:uid="{24038107-85A4-4D4D-B028-F19D1D91643D}"/>
    <cellStyle name="Comma 6 5 2 2 2 2 4 2" xfId="14058" xr:uid="{0A5B5F57-3DA0-49BB-AF2D-2F3B2241B463}"/>
    <cellStyle name="Comma 6 5 2 2 2 2 4 2 2" xfId="31402" xr:uid="{FFD1E576-9BE4-46FC-8698-8DE25F9C26CA}"/>
    <cellStyle name="Comma 6 5 2 2 2 2 4 3" xfId="22730" xr:uid="{FCC4CFCB-A7D0-4D6D-BF78-D745800B2391}"/>
    <cellStyle name="Comma 6 5 2 2 2 2 5" xfId="9722" xr:uid="{B90C973E-A278-45DC-B238-2AF60D877997}"/>
    <cellStyle name="Comma 6 5 2 2 2 2 5 2" xfId="27066" xr:uid="{BEA4D87D-042F-4A5A-BDD5-0006E3320835}"/>
    <cellStyle name="Comma 6 5 2 2 2 2 6" xfId="18394" xr:uid="{058BC10C-D016-483A-9021-A3D21461D463}"/>
    <cellStyle name="Comma 6 5 2 2 2 3" xfId="1593" xr:uid="{0924CD0A-698C-4AD4-BE5B-225B71E0FDFF}"/>
    <cellStyle name="Comma 6 5 2 2 2 3 2" xfId="3761" xr:uid="{D02BD8ED-4948-477F-AC90-F82D378D57C2}"/>
    <cellStyle name="Comma 6 5 2 2 2 3 2 2" xfId="8097" xr:uid="{7465AEEF-9861-4435-BA25-A19BE9ED4EB6}"/>
    <cellStyle name="Comma 6 5 2 2 2 3 2 2 2" xfId="16769" xr:uid="{685D87BC-B90D-48EC-8E1B-807B363C1074}"/>
    <cellStyle name="Comma 6 5 2 2 2 3 2 2 2 2" xfId="34113" xr:uid="{211048A3-0AB4-4953-8989-690A3B6ED394}"/>
    <cellStyle name="Comma 6 5 2 2 2 3 2 2 3" xfId="25441" xr:uid="{19FA7E92-C4D6-40D7-9D7C-09F65AB10AB2}"/>
    <cellStyle name="Comma 6 5 2 2 2 3 2 3" xfId="12433" xr:uid="{433E345C-3B12-419A-B856-6D89ACB1CD19}"/>
    <cellStyle name="Comma 6 5 2 2 2 3 2 3 2" xfId="29777" xr:uid="{AFC30A0D-E0D2-4F6B-BF76-BAACB2B3A891}"/>
    <cellStyle name="Comma 6 5 2 2 2 3 2 4" xfId="21105" xr:uid="{303E0F48-EAD5-4064-B860-32A1D3EB0285}"/>
    <cellStyle name="Comma 6 5 2 2 2 3 3" xfId="5929" xr:uid="{0D348C35-585D-4D0A-86E9-F779C8009EEF}"/>
    <cellStyle name="Comma 6 5 2 2 2 3 3 2" xfId="14601" xr:uid="{DAD159D7-AA30-4B63-95CD-0EE05F45B396}"/>
    <cellStyle name="Comma 6 5 2 2 2 3 3 2 2" xfId="31945" xr:uid="{046DD37A-D0A2-46E1-9B33-BAB32B722BCC}"/>
    <cellStyle name="Comma 6 5 2 2 2 3 3 3" xfId="23273" xr:uid="{2ABF995B-5346-458B-BCB8-44AF9FC34ED1}"/>
    <cellStyle name="Comma 6 5 2 2 2 3 4" xfId="10265" xr:uid="{6E0975BF-6B2D-43A7-A0AF-75DB9BC4DC9C}"/>
    <cellStyle name="Comma 6 5 2 2 2 3 4 2" xfId="27609" xr:uid="{32028E81-13F2-4C33-9433-F17918B5F91C}"/>
    <cellStyle name="Comma 6 5 2 2 2 3 5" xfId="18937" xr:uid="{B1D8B00F-E43C-4B6E-8A18-C6A4DC176546}"/>
    <cellStyle name="Comma 6 5 2 2 2 4" xfId="2677" xr:uid="{04243960-39ED-4F1C-8FC3-79219228A737}"/>
    <cellStyle name="Comma 6 5 2 2 2 4 2" xfId="7013" xr:uid="{ED4D406C-A394-421F-88AE-5CEAD041B3A5}"/>
    <cellStyle name="Comma 6 5 2 2 2 4 2 2" xfId="15685" xr:uid="{9E509B01-CDA1-4EEF-9E1B-70C0F4BD3A18}"/>
    <cellStyle name="Comma 6 5 2 2 2 4 2 2 2" xfId="33029" xr:uid="{5A6CFB93-27E6-4A4E-A117-3E54104FEAE7}"/>
    <cellStyle name="Comma 6 5 2 2 2 4 2 3" xfId="24357" xr:uid="{E3DA1F5D-166A-48DE-9AE2-8612EF2381AD}"/>
    <cellStyle name="Comma 6 5 2 2 2 4 3" xfId="11349" xr:uid="{D6C55530-C844-410B-8749-FA15D09571D6}"/>
    <cellStyle name="Comma 6 5 2 2 2 4 3 2" xfId="28693" xr:uid="{24DE67B4-6486-4748-BC9D-42F565CE6652}"/>
    <cellStyle name="Comma 6 5 2 2 2 4 4" xfId="20021" xr:uid="{53713C55-3D5A-4B33-9DD6-E567C1130F3C}"/>
    <cellStyle name="Comma 6 5 2 2 2 5" xfId="4845" xr:uid="{F9F9591C-F7EB-4A19-A407-445042FE29AC}"/>
    <cellStyle name="Comma 6 5 2 2 2 5 2" xfId="13517" xr:uid="{51B9F089-01F6-4993-A9C1-9924A4982A7A}"/>
    <cellStyle name="Comma 6 5 2 2 2 5 2 2" xfId="30861" xr:uid="{BBB822B4-1C97-446A-B0AD-B427799784C8}"/>
    <cellStyle name="Comma 6 5 2 2 2 5 3" xfId="22189" xr:uid="{7276CDA4-437D-4938-9443-40105E8A6ED4}"/>
    <cellStyle name="Comma 6 5 2 2 2 6" xfId="9181" xr:uid="{092A7E77-541C-4C68-8521-3B86C3FC5B0F}"/>
    <cellStyle name="Comma 6 5 2 2 2 6 2" xfId="26525" xr:uid="{0BD41828-AB6B-4DCB-944B-77BFF4A222EF}"/>
    <cellStyle name="Comma 6 5 2 2 2 7" xfId="17853" xr:uid="{3242388D-6B4E-461C-AC6C-28B553918EF7}"/>
    <cellStyle name="Comma 6 5 2 2 3" xfId="780" xr:uid="{5F118575-2BF1-4ACA-A7B0-A9E0B2C667BC}"/>
    <cellStyle name="Comma 6 5 2 2 3 2" xfId="1864" xr:uid="{71A9EC61-15A7-4B81-AB72-88F93FD72848}"/>
    <cellStyle name="Comma 6 5 2 2 3 2 2" xfId="4032" xr:uid="{752C3FBB-EBE1-4297-8969-C48BF4915957}"/>
    <cellStyle name="Comma 6 5 2 2 3 2 2 2" xfId="8368" xr:uid="{C211BCC9-5550-40D9-96A7-FEED09D273BC}"/>
    <cellStyle name="Comma 6 5 2 2 3 2 2 2 2" xfId="17040" xr:uid="{B6EB2965-B4E3-4131-8B0E-3E91AE93F20A}"/>
    <cellStyle name="Comma 6 5 2 2 3 2 2 2 2 2" xfId="34384" xr:uid="{0A0378F3-DBC7-4C30-94C1-CA231F98469A}"/>
    <cellStyle name="Comma 6 5 2 2 3 2 2 2 3" xfId="25712" xr:uid="{EDD31AC5-D633-421F-9555-12EBD7DDDF96}"/>
    <cellStyle name="Comma 6 5 2 2 3 2 2 3" xfId="12704" xr:uid="{9C6DAFC9-9C42-4722-B5FC-28FAAF87909B}"/>
    <cellStyle name="Comma 6 5 2 2 3 2 2 3 2" xfId="30048" xr:uid="{92209320-9B06-4AFB-AA08-0C57FB01A5A1}"/>
    <cellStyle name="Comma 6 5 2 2 3 2 2 4" xfId="21376" xr:uid="{0C2F1855-D37C-4059-A262-ED0121B9F0E7}"/>
    <cellStyle name="Comma 6 5 2 2 3 2 3" xfId="6200" xr:uid="{2BFA6DA6-B927-40EC-BAF0-EC833E3243A8}"/>
    <cellStyle name="Comma 6 5 2 2 3 2 3 2" xfId="14872" xr:uid="{D35F3DF4-D5BB-4B10-AA22-ACCB37E738C4}"/>
    <cellStyle name="Comma 6 5 2 2 3 2 3 2 2" xfId="32216" xr:uid="{94753C2A-DDB1-43C7-9648-9480677248DF}"/>
    <cellStyle name="Comma 6 5 2 2 3 2 3 3" xfId="23544" xr:uid="{B2C291FC-5B74-48A8-9C1F-4AA3E888C2B9}"/>
    <cellStyle name="Comma 6 5 2 2 3 2 4" xfId="10536" xr:uid="{335CCEA9-6808-4979-AEE0-7535C22B3CAB}"/>
    <cellStyle name="Comma 6 5 2 2 3 2 4 2" xfId="27880" xr:uid="{9867BA16-9FF8-4F71-A35B-3B952F633D62}"/>
    <cellStyle name="Comma 6 5 2 2 3 2 5" xfId="19208" xr:uid="{974BACD0-7985-4EA1-B80B-99856EBD1538}"/>
    <cellStyle name="Comma 6 5 2 2 3 3" xfId="2948" xr:uid="{BB710A12-EAF1-4F43-9808-319A8FF61620}"/>
    <cellStyle name="Comma 6 5 2 2 3 3 2" xfId="7284" xr:uid="{9FBF4047-F3BB-4A63-8AE7-B66C7EBACDD9}"/>
    <cellStyle name="Comma 6 5 2 2 3 3 2 2" xfId="15956" xr:uid="{B32C796B-437D-49A6-A321-DFB06E7852E2}"/>
    <cellStyle name="Comma 6 5 2 2 3 3 2 2 2" xfId="33300" xr:uid="{8760F362-1399-4283-8E62-5874A6942E37}"/>
    <cellStyle name="Comma 6 5 2 2 3 3 2 3" xfId="24628" xr:uid="{A0CB2BAA-596E-4914-9A4D-77EFC2AB7BA9}"/>
    <cellStyle name="Comma 6 5 2 2 3 3 3" xfId="11620" xr:uid="{F4EFD6C8-A7C1-4969-9236-03975743A319}"/>
    <cellStyle name="Comma 6 5 2 2 3 3 3 2" xfId="28964" xr:uid="{610803C9-63D2-4C80-9A2E-B3E476DD436F}"/>
    <cellStyle name="Comma 6 5 2 2 3 3 4" xfId="20292" xr:uid="{8E3C1187-57D4-4291-ADCA-C2B9D8BA5513}"/>
    <cellStyle name="Comma 6 5 2 2 3 4" xfId="5116" xr:uid="{BA096BA0-0A32-42D1-883E-79C9816098D3}"/>
    <cellStyle name="Comma 6 5 2 2 3 4 2" xfId="13788" xr:uid="{934D9D1E-61ED-43E4-B870-A2831DE89244}"/>
    <cellStyle name="Comma 6 5 2 2 3 4 2 2" xfId="31132" xr:uid="{71DB3081-B19E-4DE8-A6E0-1A00EBFFA3DD}"/>
    <cellStyle name="Comma 6 5 2 2 3 4 3" xfId="22460" xr:uid="{8CA0648E-8530-4B5D-9C81-68211CC8C286}"/>
    <cellStyle name="Comma 6 5 2 2 3 5" xfId="9452" xr:uid="{91C4A147-F224-4D81-9086-1AD27D607CF5}"/>
    <cellStyle name="Comma 6 5 2 2 3 5 2" xfId="26796" xr:uid="{977C2BBA-E0EC-44C1-994C-F5326B7E7136}"/>
    <cellStyle name="Comma 6 5 2 2 3 6" xfId="18124" xr:uid="{7764C3D0-2BE0-439A-89C5-7847688EFCB1}"/>
    <cellStyle name="Comma 6 5 2 2 4" xfId="1323" xr:uid="{99C2A38B-BB79-44B8-9DAF-77BBBCC9B2DE}"/>
    <cellStyle name="Comma 6 5 2 2 4 2" xfId="3491" xr:uid="{8EBC4599-BC72-413C-98C2-B22C7CDFFA82}"/>
    <cellStyle name="Comma 6 5 2 2 4 2 2" xfId="7827" xr:uid="{00722928-D75E-42FD-B26C-2F2DF974D1E7}"/>
    <cellStyle name="Comma 6 5 2 2 4 2 2 2" xfId="16499" xr:uid="{3F060180-D748-4733-A043-456CFB8B0A58}"/>
    <cellStyle name="Comma 6 5 2 2 4 2 2 2 2" xfId="33843" xr:uid="{B0932E18-E7D6-47D0-AD5B-E26BD6D6A177}"/>
    <cellStyle name="Comma 6 5 2 2 4 2 2 3" xfId="25171" xr:uid="{7350B4C2-8A0D-4204-8F93-5DC4587421AE}"/>
    <cellStyle name="Comma 6 5 2 2 4 2 3" xfId="12163" xr:uid="{A2BEC97C-C6CA-4F06-B6A0-940BBBA9AA8F}"/>
    <cellStyle name="Comma 6 5 2 2 4 2 3 2" xfId="29507" xr:uid="{BA9352C2-A460-4EDE-8AC0-85D3B9985ACB}"/>
    <cellStyle name="Comma 6 5 2 2 4 2 4" xfId="20835" xr:uid="{10DA3E2E-D35B-4820-899C-E9006C4A947A}"/>
    <cellStyle name="Comma 6 5 2 2 4 3" xfId="5659" xr:uid="{3D7E81AB-0884-4776-A0DE-C5D71376CD9F}"/>
    <cellStyle name="Comma 6 5 2 2 4 3 2" xfId="14331" xr:uid="{45F56724-3FDE-4620-B765-2FD04E954128}"/>
    <cellStyle name="Comma 6 5 2 2 4 3 2 2" xfId="31675" xr:uid="{339C2D5C-5C3E-48F4-870D-E907AC3C36F8}"/>
    <cellStyle name="Comma 6 5 2 2 4 3 3" xfId="23003" xr:uid="{803CA3D3-E0B7-4F74-BDCE-2A1CC54EEDDF}"/>
    <cellStyle name="Comma 6 5 2 2 4 4" xfId="9995" xr:uid="{9E649EE5-B4EC-40CD-B6DC-FD2EC56D3E25}"/>
    <cellStyle name="Comma 6 5 2 2 4 4 2" xfId="27339" xr:uid="{3321D907-BF90-4407-B215-A2E8DB95C97B}"/>
    <cellStyle name="Comma 6 5 2 2 4 5" xfId="18667" xr:uid="{E73FF1ED-1D57-42CE-9ABE-7C7A37FEDA21}"/>
    <cellStyle name="Comma 6 5 2 2 5" xfId="2407" xr:uid="{264C3547-980C-4A16-8163-E24A11ECC0E5}"/>
    <cellStyle name="Comma 6 5 2 2 5 2" xfId="6743" xr:uid="{3E0AD8EE-FFD9-44C6-9AFA-C8CB81132D5F}"/>
    <cellStyle name="Comma 6 5 2 2 5 2 2" xfId="15415" xr:uid="{C1E6F39E-4E1E-4401-8B9D-2F8189646725}"/>
    <cellStyle name="Comma 6 5 2 2 5 2 2 2" xfId="32759" xr:uid="{611C1943-40AB-48CD-A0A0-6E21EBA17492}"/>
    <cellStyle name="Comma 6 5 2 2 5 2 3" xfId="24087" xr:uid="{289DDB36-79C2-4911-9982-8E660746DD35}"/>
    <cellStyle name="Comma 6 5 2 2 5 3" xfId="11079" xr:uid="{37F626A6-7602-4F04-B1A3-EDC4B072985B}"/>
    <cellStyle name="Comma 6 5 2 2 5 3 2" xfId="28423" xr:uid="{6BA7A4D3-A5B6-4A6A-A420-2233DE6CFD41}"/>
    <cellStyle name="Comma 6 5 2 2 5 4" xfId="19751" xr:uid="{BB15A02C-2599-41BE-9177-851098E056D7}"/>
    <cellStyle name="Comma 6 5 2 2 6" xfId="4575" xr:uid="{79AF8C9B-2861-4025-873D-BD7573EABDC6}"/>
    <cellStyle name="Comma 6 5 2 2 6 2" xfId="13247" xr:uid="{A533ACBD-5DAE-407A-9574-3FDFCF64A844}"/>
    <cellStyle name="Comma 6 5 2 2 6 2 2" xfId="30591" xr:uid="{075EB9E9-7EC9-40FB-8DA8-75EC9330E0D2}"/>
    <cellStyle name="Comma 6 5 2 2 6 3" xfId="21919" xr:uid="{F4E46F05-BF87-4824-A874-CDDE3A03BDE8}"/>
    <cellStyle name="Comma 6 5 2 2 7" xfId="8911" xr:uid="{42C953F9-C968-4E27-B0FE-55571BF5C533}"/>
    <cellStyle name="Comma 6 5 2 2 7 2" xfId="26255" xr:uid="{75131CD2-FE48-4D46-851A-4DB5550A555F}"/>
    <cellStyle name="Comma 6 5 2 2 8" xfId="17583" xr:uid="{0F33BE39-2991-47D0-8F5F-377C20AB944D}"/>
    <cellStyle name="Comma 6 5 2 3" xfId="387" xr:uid="{2E758E89-1443-42C6-A9FA-A3C1A3B70929}"/>
    <cellStyle name="Comma 6 5 2 3 2" xfId="928" xr:uid="{BC4FF4A2-2F4E-4005-84A2-5659A5939BB0}"/>
    <cellStyle name="Comma 6 5 2 3 2 2" xfId="2012" xr:uid="{7CE0C7AA-9857-4AAB-95BC-DE98C87AAD29}"/>
    <cellStyle name="Comma 6 5 2 3 2 2 2" xfId="4180" xr:uid="{F1E500DE-5A1E-4D8E-BBEE-048C1C74EF79}"/>
    <cellStyle name="Comma 6 5 2 3 2 2 2 2" xfId="8516" xr:uid="{0EBEFA01-0664-4599-81BA-E0178601087E}"/>
    <cellStyle name="Comma 6 5 2 3 2 2 2 2 2" xfId="17188" xr:uid="{CEDA91A9-BFA1-4F63-AD71-C36771151466}"/>
    <cellStyle name="Comma 6 5 2 3 2 2 2 2 2 2" xfId="34532" xr:uid="{076DA2C4-6357-48D0-B7EB-8C6A142E5D0C}"/>
    <cellStyle name="Comma 6 5 2 3 2 2 2 2 3" xfId="25860" xr:uid="{A52F8329-3930-41BA-8EEB-4C098A40DF16}"/>
    <cellStyle name="Comma 6 5 2 3 2 2 2 3" xfId="12852" xr:uid="{6BE08466-C8CC-4162-8834-66CD6E1D4A6F}"/>
    <cellStyle name="Comma 6 5 2 3 2 2 2 3 2" xfId="30196" xr:uid="{3EF0ADD4-3BC1-4693-B55C-F13E0B2521DC}"/>
    <cellStyle name="Comma 6 5 2 3 2 2 2 4" xfId="21524" xr:uid="{C31A224D-214D-494B-8D2B-F29133397A10}"/>
    <cellStyle name="Comma 6 5 2 3 2 2 3" xfId="6348" xr:uid="{A05F9F5F-0D83-43B2-A947-050C9FE57291}"/>
    <cellStyle name="Comma 6 5 2 3 2 2 3 2" xfId="15020" xr:uid="{B495D221-F539-4E68-9C9A-A19B696ED4DA}"/>
    <cellStyle name="Comma 6 5 2 3 2 2 3 2 2" xfId="32364" xr:uid="{6EE1CEFA-CD19-4CD4-A207-094B14286931}"/>
    <cellStyle name="Comma 6 5 2 3 2 2 3 3" xfId="23692" xr:uid="{8288F94C-4507-48AC-A9D3-C0C2E09EBB29}"/>
    <cellStyle name="Comma 6 5 2 3 2 2 4" xfId="10684" xr:uid="{8171F742-29E0-4A2E-A4CB-E4AEE3F95F19}"/>
    <cellStyle name="Comma 6 5 2 3 2 2 4 2" xfId="28028" xr:uid="{9E1E2A09-EA2F-4CC1-B075-A9CD2F181734}"/>
    <cellStyle name="Comma 6 5 2 3 2 2 5" xfId="19356" xr:uid="{CD402945-C9D2-4E94-91F7-F39D85BAFAA0}"/>
    <cellStyle name="Comma 6 5 2 3 2 3" xfId="3096" xr:uid="{3900B104-4521-4AA1-A336-AA6E9B645A27}"/>
    <cellStyle name="Comma 6 5 2 3 2 3 2" xfId="7432" xr:uid="{E08B50F6-BF70-4DB8-B5A5-DFDD18C2C3CA}"/>
    <cellStyle name="Comma 6 5 2 3 2 3 2 2" xfId="16104" xr:uid="{B4B36E24-3F4E-4504-98B7-685F88DFF10A}"/>
    <cellStyle name="Comma 6 5 2 3 2 3 2 2 2" xfId="33448" xr:uid="{E85F9F3E-7303-499D-A78D-5C0BC84259BF}"/>
    <cellStyle name="Comma 6 5 2 3 2 3 2 3" xfId="24776" xr:uid="{5D5A5BF0-ECE0-4D6C-80D6-BE6A41175C80}"/>
    <cellStyle name="Comma 6 5 2 3 2 3 3" xfId="11768" xr:uid="{941A7026-C625-444C-87EA-97E3B436F936}"/>
    <cellStyle name="Comma 6 5 2 3 2 3 3 2" xfId="29112" xr:uid="{C6EF3F99-A56F-427A-A39C-D7C395DF06D4}"/>
    <cellStyle name="Comma 6 5 2 3 2 3 4" xfId="20440" xr:uid="{D42E115B-4D6F-447A-9504-7BDB4A0BC0E4}"/>
    <cellStyle name="Comma 6 5 2 3 2 4" xfId="5264" xr:uid="{6F200024-F836-4119-BE03-ED4BCE27F81A}"/>
    <cellStyle name="Comma 6 5 2 3 2 4 2" xfId="13936" xr:uid="{1EA3C050-A325-4925-8A93-56713A8705A5}"/>
    <cellStyle name="Comma 6 5 2 3 2 4 2 2" xfId="31280" xr:uid="{7FEB1325-68FF-404A-9CD3-9F15C240C9CA}"/>
    <cellStyle name="Comma 6 5 2 3 2 4 3" xfId="22608" xr:uid="{2BDFC863-CB6B-4C80-8501-6B966E074BC1}"/>
    <cellStyle name="Comma 6 5 2 3 2 5" xfId="9600" xr:uid="{1979661C-E06D-4BF8-B06C-3AC61F710264}"/>
    <cellStyle name="Comma 6 5 2 3 2 5 2" xfId="26944" xr:uid="{A360FB7E-6118-4B55-B4DD-788D6E726E5C}"/>
    <cellStyle name="Comma 6 5 2 3 2 6" xfId="18272" xr:uid="{68C9E92D-6D5C-4F14-85FA-4C7319F7A765}"/>
    <cellStyle name="Comma 6 5 2 3 3" xfId="1471" xr:uid="{3D4C9607-934F-42E8-8057-B7272C97583F}"/>
    <cellStyle name="Comma 6 5 2 3 3 2" xfId="3639" xr:uid="{C076A653-6B05-4010-A708-AAFDD400FAD5}"/>
    <cellStyle name="Comma 6 5 2 3 3 2 2" xfId="7975" xr:uid="{5A5FDC42-0EAA-4692-A1C5-C565AA5B3A21}"/>
    <cellStyle name="Comma 6 5 2 3 3 2 2 2" xfId="16647" xr:uid="{45557024-D65B-4ADD-A854-942FD7801AD6}"/>
    <cellStyle name="Comma 6 5 2 3 3 2 2 2 2" xfId="33991" xr:uid="{0CCB12E9-C212-4E62-8AB1-ADF66DAE5D96}"/>
    <cellStyle name="Comma 6 5 2 3 3 2 2 3" xfId="25319" xr:uid="{154EE7AD-AAB8-48E7-BCC1-64D5F858BDF9}"/>
    <cellStyle name="Comma 6 5 2 3 3 2 3" xfId="12311" xr:uid="{650784A7-0B96-4050-A3FD-53E2E955D01C}"/>
    <cellStyle name="Comma 6 5 2 3 3 2 3 2" xfId="29655" xr:uid="{AFB27869-4F07-4C12-843E-C758B3EC573C}"/>
    <cellStyle name="Comma 6 5 2 3 3 2 4" xfId="20983" xr:uid="{FB1840F4-2AEB-46F0-8BFE-99BB872A4F8A}"/>
    <cellStyle name="Comma 6 5 2 3 3 3" xfId="5807" xr:uid="{EB922BF9-B5E6-4214-9DB4-8A4EDA373A14}"/>
    <cellStyle name="Comma 6 5 2 3 3 3 2" xfId="14479" xr:uid="{B0E964E9-802D-4C8F-9139-66BCFFB0493C}"/>
    <cellStyle name="Comma 6 5 2 3 3 3 2 2" xfId="31823" xr:uid="{42B30890-03D8-4144-88E5-A95E00CBA091}"/>
    <cellStyle name="Comma 6 5 2 3 3 3 3" xfId="23151" xr:uid="{725B9767-5538-4041-B19A-44BB961C6FD3}"/>
    <cellStyle name="Comma 6 5 2 3 3 4" xfId="10143" xr:uid="{74484138-8F50-4754-BC61-42F12DCA7FCB}"/>
    <cellStyle name="Comma 6 5 2 3 3 4 2" xfId="27487" xr:uid="{57739403-6D66-457D-A211-C13532A15F90}"/>
    <cellStyle name="Comma 6 5 2 3 3 5" xfId="18815" xr:uid="{B4AE1418-3A10-4BD8-A587-F313C79A15B8}"/>
    <cellStyle name="Comma 6 5 2 3 4" xfId="2555" xr:uid="{BDC417E7-4287-449A-A69C-68B77D56B39E}"/>
    <cellStyle name="Comma 6 5 2 3 4 2" xfId="6891" xr:uid="{D3109FB4-C3BD-46CD-BF3A-284F520199BA}"/>
    <cellStyle name="Comma 6 5 2 3 4 2 2" xfId="15563" xr:uid="{22CE2388-3C9D-4A79-9EE3-5D94F3D06573}"/>
    <cellStyle name="Comma 6 5 2 3 4 2 2 2" xfId="32907" xr:uid="{6BEFDA58-01D9-4730-8BB9-7069160EB817}"/>
    <cellStyle name="Comma 6 5 2 3 4 2 3" xfId="24235" xr:uid="{70D96D60-F1C4-4535-91FD-F3E1449838AD}"/>
    <cellStyle name="Comma 6 5 2 3 4 3" xfId="11227" xr:uid="{74328D41-52D1-4751-9911-CAC68292B506}"/>
    <cellStyle name="Comma 6 5 2 3 4 3 2" xfId="28571" xr:uid="{D0A47753-FBD3-4CBD-BA64-D1AA485C0EEF}"/>
    <cellStyle name="Comma 6 5 2 3 4 4" xfId="19899" xr:uid="{C164A005-B473-4EE6-93CB-252C390DF9A4}"/>
    <cellStyle name="Comma 6 5 2 3 5" xfId="4723" xr:uid="{8F4CBFF2-0FDA-43FF-8463-8119491EFAB9}"/>
    <cellStyle name="Comma 6 5 2 3 5 2" xfId="13395" xr:uid="{5E31DBB5-9322-4E44-9045-5493392DD155}"/>
    <cellStyle name="Comma 6 5 2 3 5 2 2" xfId="30739" xr:uid="{BB457503-D972-4B13-A0DA-536B268CA994}"/>
    <cellStyle name="Comma 6 5 2 3 5 3" xfId="22067" xr:uid="{A00FCFCF-F920-4F82-A396-CF2B9B98037E}"/>
    <cellStyle name="Comma 6 5 2 3 6" xfId="9059" xr:uid="{0FB19DA3-08A4-4CB0-9600-63C4B8EA966D}"/>
    <cellStyle name="Comma 6 5 2 3 6 2" xfId="26403" xr:uid="{7545A2F3-2ADF-4454-ADA9-0682F54B0859}"/>
    <cellStyle name="Comma 6 5 2 3 7" xfId="17731" xr:uid="{4F33B831-5DBF-4E8C-BC4D-21D8810CE4F6}"/>
    <cellStyle name="Comma 6 5 2 4" xfId="658" xr:uid="{B1A2A530-5E08-4D67-A6DE-2433D21BBA4A}"/>
    <cellStyle name="Comma 6 5 2 4 2" xfId="1742" xr:uid="{89161A90-1C8B-4DEE-8AC3-70C5506D9133}"/>
    <cellStyle name="Comma 6 5 2 4 2 2" xfId="3910" xr:uid="{D06E2E78-999C-4037-9C2F-5FC09BA043B7}"/>
    <cellStyle name="Comma 6 5 2 4 2 2 2" xfId="8246" xr:uid="{85269B19-C50E-401C-9715-69F1F7CF3798}"/>
    <cellStyle name="Comma 6 5 2 4 2 2 2 2" xfId="16918" xr:uid="{B399DEDC-6242-4376-A739-03FFDA0B1A69}"/>
    <cellStyle name="Comma 6 5 2 4 2 2 2 2 2" xfId="34262" xr:uid="{E5D72D1B-4197-4430-9769-74485ECDA478}"/>
    <cellStyle name="Comma 6 5 2 4 2 2 2 3" xfId="25590" xr:uid="{A5C8D13C-A7D2-451E-966F-5A2253B5F024}"/>
    <cellStyle name="Comma 6 5 2 4 2 2 3" xfId="12582" xr:uid="{54E31D54-45F7-4B14-8EBB-2B07BF1E14A8}"/>
    <cellStyle name="Comma 6 5 2 4 2 2 3 2" xfId="29926" xr:uid="{1EFCA9C5-0828-423E-ABC0-0E17E76CB488}"/>
    <cellStyle name="Comma 6 5 2 4 2 2 4" xfId="21254" xr:uid="{D4BBE357-EF2A-4B1D-A577-79C53C5D8536}"/>
    <cellStyle name="Comma 6 5 2 4 2 3" xfId="6078" xr:uid="{EAB333CC-8178-4DA2-8E75-EF4472419E52}"/>
    <cellStyle name="Comma 6 5 2 4 2 3 2" xfId="14750" xr:uid="{DC4BA48B-162A-4DFD-8CE1-D67AEF7D679D}"/>
    <cellStyle name="Comma 6 5 2 4 2 3 2 2" xfId="32094" xr:uid="{12C68220-D7E0-4B35-BA9D-5E41BE8338B7}"/>
    <cellStyle name="Comma 6 5 2 4 2 3 3" xfId="23422" xr:uid="{AB067D4B-45FD-4C6D-B3CD-02C1D039F835}"/>
    <cellStyle name="Comma 6 5 2 4 2 4" xfId="10414" xr:uid="{F0E861FC-6D68-4615-BAD6-114CA22CA55A}"/>
    <cellStyle name="Comma 6 5 2 4 2 4 2" xfId="27758" xr:uid="{D7CBCC87-F1CB-40EF-8BAB-3498F9422155}"/>
    <cellStyle name="Comma 6 5 2 4 2 5" xfId="19086" xr:uid="{5AA751DA-9F4E-47CB-B208-359513847F2A}"/>
    <cellStyle name="Comma 6 5 2 4 3" xfId="2826" xr:uid="{722B3DD4-27F9-494B-8C0E-F245235DE433}"/>
    <cellStyle name="Comma 6 5 2 4 3 2" xfId="7162" xr:uid="{0E9CF017-F33D-4060-B178-4670749CB017}"/>
    <cellStyle name="Comma 6 5 2 4 3 2 2" xfId="15834" xr:uid="{6587ACDF-6A43-472B-9E21-D08B5A3401C6}"/>
    <cellStyle name="Comma 6 5 2 4 3 2 2 2" xfId="33178" xr:uid="{2691FE2E-A0B4-4EDE-9099-F8C271C78C08}"/>
    <cellStyle name="Comma 6 5 2 4 3 2 3" xfId="24506" xr:uid="{4592C9F8-DA3A-4A46-BBA4-7DE47F0D3892}"/>
    <cellStyle name="Comma 6 5 2 4 3 3" xfId="11498" xr:uid="{7C337D41-0FAC-4351-8CE5-E2968BED6775}"/>
    <cellStyle name="Comma 6 5 2 4 3 3 2" xfId="28842" xr:uid="{D4CEC95B-43B8-4391-9F05-9769546B2A00}"/>
    <cellStyle name="Comma 6 5 2 4 3 4" xfId="20170" xr:uid="{ADB5E070-B623-4584-9438-42E006FB9C10}"/>
    <cellStyle name="Comma 6 5 2 4 4" xfId="4994" xr:uid="{2556F3C1-6A27-49D5-BC24-D1FB743FBE31}"/>
    <cellStyle name="Comma 6 5 2 4 4 2" xfId="13666" xr:uid="{A586740A-29FB-4863-95A5-1489D264C675}"/>
    <cellStyle name="Comma 6 5 2 4 4 2 2" xfId="31010" xr:uid="{40F9975B-9CED-4B52-953F-6CF0BDC0C4F9}"/>
    <cellStyle name="Comma 6 5 2 4 4 3" xfId="22338" xr:uid="{B0D712A5-3038-4C2B-A1F5-2F72C00BF6FF}"/>
    <cellStyle name="Comma 6 5 2 4 5" xfId="9330" xr:uid="{475E0874-3468-4E4D-B7B7-209C84D13B6E}"/>
    <cellStyle name="Comma 6 5 2 4 5 2" xfId="26674" xr:uid="{EB51F2EE-24D3-46D4-A218-34ED94C3274A}"/>
    <cellStyle name="Comma 6 5 2 4 6" xfId="18002" xr:uid="{FA80F4D7-0A67-42CC-B95B-00D1A89272BA}"/>
    <cellStyle name="Comma 6 5 2 5" xfId="1201" xr:uid="{C8C70CED-3F2E-405C-A68E-1CA84C3D708C}"/>
    <cellStyle name="Comma 6 5 2 5 2" xfId="3369" xr:uid="{3F3BDDAD-AB5C-4301-9260-C61C825FB35C}"/>
    <cellStyle name="Comma 6 5 2 5 2 2" xfId="7705" xr:uid="{4CD87345-1B3C-4479-9010-75D5DED1548F}"/>
    <cellStyle name="Comma 6 5 2 5 2 2 2" xfId="16377" xr:uid="{CF3D14B8-FE33-4326-A749-22B50D819FC3}"/>
    <cellStyle name="Comma 6 5 2 5 2 2 2 2" xfId="33721" xr:uid="{BAD139B1-528B-4BDB-BD01-43211D6D4E8A}"/>
    <cellStyle name="Comma 6 5 2 5 2 2 3" xfId="25049" xr:uid="{5CBF4A45-9601-4755-901F-198E4A3D7AD2}"/>
    <cellStyle name="Comma 6 5 2 5 2 3" xfId="12041" xr:uid="{BFB074F3-6A43-46FA-A3F5-44D6DCCE0B92}"/>
    <cellStyle name="Comma 6 5 2 5 2 3 2" xfId="29385" xr:uid="{7CA73EEE-5E6E-4E80-BD76-AEE8501F2AC2}"/>
    <cellStyle name="Comma 6 5 2 5 2 4" xfId="20713" xr:uid="{5D4D0760-4925-49F1-9CF2-17BB9D95AFFA}"/>
    <cellStyle name="Comma 6 5 2 5 3" xfId="5537" xr:uid="{457E5460-DF28-4F11-A662-B79E218AD24C}"/>
    <cellStyle name="Comma 6 5 2 5 3 2" xfId="14209" xr:uid="{E893CF54-74AB-431C-AFD2-AC64C66E2466}"/>
    <cellStyle name="Comma 6 5 2 5 3 2 2" xfId="31553" xr:uid="{4A1A11F7-2455-4B78-95A0-5B87A43945E5}"/>
    <cellStyle name="Comma 6 5 2 5 3 3" xfId="22881" xr:uid="{9A91946E-E0E1-4CE9-A707-5377798B0416}"/>
    <cellStyle name="Comma 6 5 2 5 4" xfId="9873" xr:uid="{3FB551DF-A8DB-47A0-8C83-E7F2D49A8480}"/>
    <cellStyle name="Comma 6 5 2 5 4 2" xfId="27217" xr:uid="{D5724DE5-61CF-48AB-823B-02B7FD959A23}"/>
    <cellStyle name="Comma 6 5 2 5 5" xfId="18545" xr:uid="{42B9769D-71B5-433B-AFD8-735B13B37C67}"/>
    <cellStyle name="Comma 6 5 2 6" xfId="2285" xr:uid="{EA9BB6F5-9ABE-45DF-96D7-37F2F8E3C87D}"/>
    <cellStyle name="Comma 6 5 2 6 2" xfId="6621" xr:uid="{534C316D-03F0-4329-9BC7-860D55EBE684}"/>
    <cellStyle name="Comma 6 5 2 6 2 2" xfId="15293" xr:uid="{FA040F0D-1923-49D0-80F0-7C769EFDD597}"/>
    <cellStyle name="Comma 6 5 2 6 2 2 2" xfId="32637" xr:uid="{7468611D-F4E2-4648-B29F-F007EBAA550A}"/>
    <cellStyle name="Comma 6 5 2 6 2 3" xfId="23965" xr:uid="{6FB066F5-46EF-45D1-950E-4AC9B05DB15E}"/>
    <cellStyle name="Comma 6 5 2 6 3" xfId="10957" xr:uid="{A94C1D06-033E-4F17-8F14-067A0F8B0352}"/>
    <cellStyle name="Comma 6 5 2 6 3 2" xfId="28301" xr:uid="{B75C9B80-A676-487D-B0E7-99D75FD8625F}"/>
    <cellStyle name="Comma 6 5 2 6 4" xfId="19629" xr:uid="{DA22F113-BFCB-448A-A9D2-074D02D198D7}"/>
    <cellStyle name="Comma 6 5 2 7" xfId="4453" xr:uid="{C1968FA0-012A-4B30-B537-C0DFF2CE1E6E}"/>
    <cellStyle name="Comma 6 5 2 7 2" xfId="13125" xr:uid="{4EBA7822-3FE6-4C72-B2CC-FEFC838F554E}"/>
    <cellStyle name="Comma 6 5 2 7 2 2" xfId="30469" xr:uid="{62FD8CA0-1AD3-43C9-BE45-287653268976}"/>
    <cellStyle name="Comma 6 5 2 7 3" xfId="21797" xr:uid="{8480BF36-D92D-47E6-8DC9-E88A666E064C}"/>
    <cellStyle name="Comma 6 5 2 8" xfId="8789" xr:uid="{AE95D96F-B9D1-41C5-ABD9-26BDB6C7A7BD}"/>
    <cellStyle name="Comma 6 5 2 8 2" xfId="26133" xr:uid="{9498EEF3-13D1-40BB-83EF-370B9BAD15A8}"/>
    <cellStyle name="Comma 6 5 2 9" xfId="17461" xr:uid="{CE6409E3-8F71-4666-ABFB-7AEACA5BD953}"/>
    <cellStyle name="Comma 6 5 3" xfId="178" xr:uid="{9D3C80A1-3DE8-4493-979C-DCCF6F05EC07}"/>
    <cellStyle name="Comma 6 5 3 2" xfId="448" xr:uid="{C53F63F1-C58F-4211-AAD5-442CC0BA9F2A}"/>
    <cellStyle name="Comma 6 5 3 2 2" xfId="989" xr:uid="{A373F3E4-8C4C-4294-A34C-E9F677BFE776}"/>
    <cellStyle name="Comma 6 5 3 2 2 2" xfId="2073" xr:uid="{B03A7408-1AC5-4342-89AF-6133AFAC42D8}"/>
    <cellStyle name="Comma 6 5 3 2 2 2 2" xfId="4241" xr:uid="{B87CA6D2-C4DF-48B8-99A0-F8207F5FBB52}"/>
    <cellStyle name="Comma 6 5 3 2 2 2 2 2" xfId="8577" xr:uid="{D5D3C8ED-5190-4D42-9BD1-D77D32C1AF48}"/>
    <cellStyle name="Comma 6 5 3 2 2 2 2 2 2" xfId="17249" xr:uid="{8612068E-4F4B-4C59-BB99-9077A1B87E42}"/>
    <cellStyle name="Comma 6 5 3 2 2 2 2 2 2 2" xfId="34593" xr:uid="{BC1850A1-6E82-4AB1-ABE0-272ABBC1107D}"/>
    <cellStyle name="Comma 6 5 3 2 2 2 2 2 3" xfId="25921" xr:uid="{F7228419-ABF2-47E0-8D62-754E5DC21940}"/>
    <cellStyle name="Comma 6 5 3 2 2 2 2 3" xfId="12913" xr:uid="{A5115B59-FB7F-4D70-A1AC-BCAFEFAFEFB4}"/>
    <cellStyle name="Comma 6 5 3 2 2 2 2 3 2" xfId="30257" xr:uid="{4C3031E6-789C-4B83-83F9-8DFC53F03A53}"/>
    <cellStyle name="Comma 6 5 3 2 2 2 2 4" xfId="21585" xr:uid="{82C68524-0A27-4707-8A73-FA6466576DB8}"/>
    <cellStyle name="Comma 6 5 3 2 2 2 3" xfId="6409" xr:uid="{988ACCCE-4380-4A46-AB9E-962183FE7466}"/>
    <cellStyle name="Comma 6 5 3 2 2 2 3 2" xfId="15081" xr:uid="{465FAED3-8E5D-4E79-9102-2DA9D1F6B533}"/>
    <cellStyle name="Comma 6 5 3 2 2 2 3 2 2" xfId="32425" xr:uid="{494093F5-4511-4C3D-9E68-C1CBA321BB9A}"/>
    <cellStyle name="Comma 6 5 3 2 2 2 3 3" xfId="23753" xr:uid="{3C923B86-C1E6-4DB2-80CF-B40B5F3823EA}"/>
    <cellStyle name="Comma 6 5 3 2 2 2 4" xfId="10745" xr:uid="{A7C65FFD-7B67-4BC0-852B-F291E5BBA543}"/>
    <cellStyle name="Comma 6 5 3 2 2 2 4 2" xfId="28089" xr:uid="{FAC41115-5F07-4161-B939-9A563EC34D63}"/>
    <cellStyle name="Comma 6 5 3 2 2 2 5" xfId="19417" xr:uid="{F3B0A2FA-096A-4EA4-A606-2BDB34EBEE67}"/>
    <cellStyle name="Comma 6 5 3 2 2 3" xfId="3157" xr:uid="{AFC9C07F-09AC-4DC9-B081-5E043D043465}"/>
    <cellStyle name="Comma 6 5 3 2 2 3 2" xfId="7493" xr:uid="{5FD20810-52A6-40B2-9E0B-AFA140D4E1F5}"/>
    <cellStyle name="Comma 6 5 3 2 2 3 2 2" xfId="16165" xr:uid="{603E4EDD-7353-4D07-9D02-35F9C8E88D1C}"/>
    <cellStyle name="Comma 6 5 3 2 2 3 2 2 2" xfId="33509" xr:uid="{5213564D-E9BB-4D14-A83F-D6DF6C571D1B}"/>
    <cellStyle name="Comma 6 5 3 2 2 3 2 3" xfId="24837" xr:uid="{91961A98-FF09-4F7E-862E-8D133B0F15ED}"/>
    <cellStyle name="Comma 6 5 3 2 2 3 3" xfId="11829" xr:uid="{8F697CE5-F965-4519-B3B1-E55ADE3B0B43}"/>
    <cellStyle name="Comma 6 5 3 2 2 3 3 2" xfId="29173" xr:uid="{314ED8AD-F5AE-448A-8EFD-5F3752B1739E}"/>
    <cellStyle name="Comma 6 5 3 2 2 3 4" xfId="20501" xr:uid="{4E4EC115-1B53-483A-B94E-7FE94FCABBF5}"/>
    <cellStyle name="Comma 6 5 3 2 2 4" xfId="5325" xr:uid="{AD3FD440-5DB9-42A7-8658-9E8775D3FEC4}"/>
    <cellStyle name="Comma 6 5 3 2 2 4 2" xfId="13997" xr:uid="{33DDE424-474E-44F4-ACAC-46E637727466}"/>
    <cellStyle name="Comma 6 5 3 2 2 4 2 2" xfId="31341" xr:uid="{E738B447-D88B-4548-81A2-C18846127DF3}"/>
    <cellStyle name="Comma 6 5 3 2 2 4 3" xfId="22669" xr:uid="{ADB54A93-574E-41BE-A3FB-F47331DCD658}"/>
    <cellStyle name="Comma 6 5 3 2 2 5" xfId="9661" xr:uid="{8BD998F9-B418-4132-9976-0905B406CE1A}"/>
    <cellStyle name="Comma 6 5 3 2 2 5 2" xfId="27005" xr:uid="{F8599A79-B2A6-4266-B007-5B2BDDEA3FC0}"/>
    <cellStyle name="Comma 6 5 3 2 2 6" xfId="18333" xr:uid="{572AFE56-C35F-4F5F-AD6D-FD5A399CD479}"/>
    <cellStyle name="Comma 6 5 3 2 3" xfId="1532" xr:uid="{6B579965-4C4F-4370-8747-D9FEE029F426}"/>
    <cellStyle name="Comma 6 5 3 2 3 2" xfId="3700" xr:uid="{74F04B43-234C-47F2-BDD7-E280DE882D08}"/>
    <cellStyle name="Comma 6 5 3 2 3 2 2" xfId="8036" xr:uid="{5F6FBA8A-42E7-4C20-8060-E6F8C046C0E8}"/>
    <cellStyle name="Comma 6 5 3 2 3 2 2 2" xfId="16708" xr:uid="{508C7F79-7936-465E-9E96-EFB89267FE83}"/>
    <cellStyle name="Comma 6 5 3 2 3 2 2 2 2" xfId="34052" xr:uid="{66006693-183B-4378-AE05-ECAE8804C786}"/>
    <cellStyle name="Comma 6 5 3 2 3 2 2 3" xfId="25380" xr:uid="{0723BDB1-1042-47F7-8E18-08B0CB9C10EC}"/>
    <cellStyle name="Comma 6 5 3 2 3 2 3" xfId="12372" xr:uid="{55C366AE-338C-4990-922A-D849A347984F}"/>
    <cellStyle name="Comma 6 5 3 2 3 2 3 2" xfId="29716" xr:uid="{63D6D493-E089-460B-A379-DB79CEAF2919}"/>
    <cellStyle name="Comma 6 5 3 2 3 2 4" xfId="21044" xr:uid="{0A7A0233-660D-432C-9FE3-C6D0B004B0C4}"/>
    <cellStyle name="Comma 6 5 3 2 3 3" xfId="5868" xr:uid="{E976C53E-1520-44E2-A86B-2C6826BA741F}"/>
    <cellStyle name="Comma 6 5 3 2 3 3 2" xfId="14540" xr:uid="{750623C8-20C0-4F12-BC2B-C493A0755943}"/>
    <cellStyle name="Comma 6 5 3 2 3 3 2 2" xfId="31884" xr:uid="{08812F0D-9D10-4A1D-A887-7632B7260AD0}"/>
    <cellStyle name="Comma 6 5 3 2 3 3 3" xfId="23212" xr:uid="{7E048631-C94C-4F1C-96D4-C8B28B21B7BC}"/>
    <cellStyle name="Comma 6 5 3 2 3 4" xfId="10204" xr:uid="{ABAFEAC7-C1CC-488D-9656-BD8D5CB34F4F}"/>
    <cellStyle name="Comma 6 5 3 2 3 4 2" xfId="27548" xr:uid="{F4536D88-9C0A-43F9-9C47-C8638446DB0B}"/>
    <cellStyle name="Comma 6 5 3 2 3 5" xfId="18876" xr:uid="{E98A736D-ED9C-421F-B7A3-BE594B8AEF1F}"/>
    <cellStyle name="Comma 6 5 3 2 4" xfId="2616" xr:uid="{3FE6AFBD-CC9F-450B-8D08-234C31F99836}"/>
    <cellStyle name="Comma 6 5 3 2 4 2" xfId="6952" xr:uid="{142576ED-878D-49A0-9E4E-8E3BAF0C92B3}"/>
    <cellStyle name="Comma 6 5 3 2 4 2 2" xfId="15624" xr:uid="{7E305395-CC2B-44E8-A275-0EF9A5692B0F}"/>
    <cellStyle name="Comma 6 5 3 2 4 2 2 2" xfId="32968" xr:uid="{6876D05F-7D64-40E3-8CC4-0E3DF88446C3}"/>
    <cellStyle name="Comma 6 5 3 2 4 2 3" xfId="24296" xr:uid="{C3771B90-E018-4D7C-8DA3-E5DE112C5C43}"/>
    <cellStyle name="Comma 6 5 3 2 4 3" xfId="11288" xr:uid="{5DAD580C-7F1B-4236-9666-4F9CA6D03AF6}"/>
    <cellStyle name="Comma 6 5 3 2 4 3 2" xfId="28632" xr:uid="{DA6530D0-D7BC-416E-8CEC-50BF1A8B9AF5}"/>
    <cellStyle name="Comma 6 5 3 2 4 4" xfId="19960" xr:uid="{23FB831C-1E18-4603-A2C9-493BFBE6B5BF}"/>
    <cellStyle name="Comma 6 5 3 2 5" xfId="4784" xr:uid="{9DF9C065-2B9A-401F-BFD6-7B26CAAF58AE}"/>
    <cellStyle name="Comma 6 5 3 2 5 2" xfId="13456" xr:uid="{54A5215C-4174-4C61-B83A-E6EE440D9971}"/>
    <cellStyle name="Comma 6 5 3 2 5 2 2" xfId="30800" xr:uid="{D4C4F901-CC68-4E63-B425-2972FAC9E399}"/>
    <cellStyle name="Comma 6 5 3 2 5 3" xfId="22128" xr:uid="{A1838086-C5F2-4CD3-BDB1-E223EFB49084}"/>
    <cellStyle name="Comma 6 5 3 2 6" xfId="9120" xr:uid="{49ABE9F4-CC7A-4C54-B3E5-D93AA88A4A94}"/>
    <cellStyle name="Comma 6 5 3 2 6 2" xfId="26464" xr:uid="{85BE0AAF-1A7F-41BA-8EDA-FE1ECED85E12}"/>
    <cellStyle name="Comma 6 5 3 2 7" xfId="17792" xr:uid="{D567DBE7-2BF9-4C3B-80E5-DB795724B45B}"/>
    <cellStyle name="Comma 6 5 3 3" xfId="719" xr:uid="{DB4D7985-4000-46C4-907C-B556099B3E9C}"/>
    <cellStyle name="Comma 6 5 3 3 2" xfId="1803" xr:uid="{69EA97CE-E5AA-4A11-A54B-D965D3FA521A}"/>
    <cellStyle name="Comma 6 5 3 3 2 2" xfId="3971" xr:uid="{94879130-019C-4EFE-9F1C-BE357C0F57BA}"/>
    <cellStyle name="Comma 6 5 3 3 2 2 2" xfId="8307" xr:uid="{4BF1BC64-EF4F-45A1-8C83-E6B70F3F15EA}"/>
    <cellStyle name="Comma 6 5 3 3 2 2 2 2" xfId="16979" xr:uid="{84DDF8B6-673D-4FFE-BC61-6F472D68EF5A}"/>
    <cellStyle name="Comma 6 5 3 3 2 2 2 2 2" xfId="34323" xr:uid="{E0AB69D0-F845-4DA6-96D3-0755E84E653A}"/>
    <cellStyle name="Comma 6 5 3 3 2 2 2 3" xfId="25651" xr:uid="{4C55E738-42F9-49FC-B9C7-555CF048F716}"/>
    <cellStyle name="Comma 6 5 3 3 2 2 3" xfId="12643" xr:uid="{97EA7728-13F7-4262-A45E-5ECA81D1AA57}"/>
    <cellStyle name="Comma 6 5 3 3 2 2 3 2" xfId="29987" xr:uid="{99372462-791F-4CCB-8141-1584C78F2A28}"/>
    <cellStyle name="Comma 6 5 3 3 2 2 4" xfId="21315" xr:uid="{22409F36-78DF-4FC4-8350-F7AA8A43FB36}"/>
    <cellStyle name="Comma 6 5 3 3 2 3" xfId="6139" xr:uid="{4A07409F-1510-4095-9210-8C1EC8CFEC7B}"/>
    <cellStyle name="Comma 6 5 3 3 2 3 2" xfId="14811" xr:uid="{15A408F0-A7FD-4EA2-A19D-CDFBC857B60F}"/>
    <cellStyle name="Comma 6 5 3 3 2 3 2 2" xfId="32155" xr:uid="{76E548A2-D3BF-4E80-9A44-5B4E8ECAB418}"/>
    <cellStyle name="Comma 6 5 3 3 2 3 3" xfId="23483" xr:uid="{60A5355E-E63E-478F-822D-260D5668374A}"/>
    <cellStyle name="Comma 6 5 3 3 2 4" xfId="10475" xr:uid="{7E04BA2E-E66B-4F15-AB36-368341386CA7}"/>
    <cellStyle name="Comma 6 5 3 3 2 4 2" xfId="27819" xr:uid="{1A7E4A77-491A-4B93-B49E-CE3701351041}"/>
    <cellStyle name="Comma 6 5 3 3 2 5" xfId="19147" xr:uid="{AD22DA58-61A4-44BF-A3F1-D5934F16AE98}"/>
    <cellStyle name="Comma 6 5 3 3 3" xfId="2887" xr:uid="{3D92C4A4-50F4-443E-BAFD-2438D5104192}"/>
    <cellStyle name="Comma 6 5 3 3 3 2" xfId="7223" xr:uid="{173AB87C-5A07-4ABF-B8AA-D90CC2AD66E9}"/>
    <cellStyle name="Comma 6 5 3 3 3 2 2" xfId="15895" xr:uid="{07230E69-13B7-47AD-AAEA-9941CB8A3A5B}"/>
    <cellStyle name="Comma 6 5 3 3 3 2 2 2" xfId="33239" xr:uid="{300D8230-D48F-426E-A0FB-6B8F08707CFC}"/>
    <cellStyle name="Comma 6 5 3 3 3 2 3" xfId="24567" xr:uid="{5B732538-3C63-4414-8760-CA8742AE0EB2}"/>
    <cellStyle name="Comma 6 5 3 3 3 3" xfId="11559" xr:uid="{6D860B86-87E8-4B69-AEBF-E4AA9C2E3AD8}"/>
    <cellStyle name="Comma 6 5 3 3 3 3 2" xfId="28903" xr:uid="{4F3100E9-7A65-4ED2-81B6-2F6EC8ED6484}"/>
    <cellStyle name="Comma 6 5 3 3 3 4" xfId="20231" xr:uid="{497CAFB3-C7F7-432C-9EC6-1EED9DDB1C82}"/>
    <cellStyle name="Comma 6 5 3 3 4" xfId="5055" xr:uid="{82F69D59-2C97-4349-A1F6-F2BB319E785C}"/>
    <cellStyle name="Comma 6 5 3 3 4 2" xfId="13727" xr:uid="{0CCD3C99-CB43-4726-99AB-C33CAFFAA7BC}"/>
    <cellStyle name="Comma 6 5 3 3 4 2 2" xfId="31071" xr:uid="{AF81135A-E552-4094-AD14-8CD4F4A07D1B}"/>
    <cellStyle name="Comma 6 5 3 3 4 3" xfId="22399" xr:uid="{816B85A6-DF27-4EF1-A09C-35844D8E24EF}"/>
    <cellStyle name="Comma 6 5 3 3 5" xfId="9391" xr:uid="{025E1151-B99D-40DE-B761-787D7FF03F65}"/>
    <cellStyle name="Comma 6 5 3 3 5 2" xfId="26735" xr:uid="{DBFA9B07-B043-45D5-A168-CF43B6D3705E}"/>
    <cellStyle name="Comma 6 5 3 3 6" xfId="18063" xr:uid="{D3136AFD-9FA7-4636-8979-C00FE64FA9F4}"/>
    <cellStyle name="Comma 6 5 3 4" xfId="1262" xr:uid="{B5618D2A-63DD-484B-B048-56EE3369931A}"/>
    <cellStyle name="Comma 6 5 3 4 2" xfId="3430" xr:uid="{FFBF7BF0-4A8B-4AF9-B535-94EA98124CC4}"/>
    <cellStyle name="Comma 6 5 3 4 2 2" xfId="7766" xr:uid="{7C91B2F7-6937-4AA1-A387-6A5CF00C12FC}"/>
    <cellStyle name="Comma 6 5 3 4 2 2 2" xfId="16438" xr:uid="{C249DB21-BFF1-4375-9CE0-7BC1DCB8467D}"/>
    <cellStyle name="Comma 6 5 3 4 2 2 2 2" xfId="33782" xr:uid="{5D87791B-63AA-49D6-B279-5C7E2C4EDC17}"/>
    <cellStyle name="Comma 6 5 3 4 2 2 3" xfId="25110" xr:uid="{159CDFE5-8160-4A43-B113-994F34735440}"/>
    <cellStyle name="Comma 6 5 3 4 2 3" xfId="12102" xr:uid="{D1ABA5BC-CBA4-4C7C-AB82-C7228DF6EBE0}"/>
    <cellStyle name="Comma 6 5 3 4 2 3 2" xfId="29446" xr:uid="{A3512C10-C6FE-4454-9A12-4B31061C9A77}"/>
    <cellStyle name="Comma 6 5 3 4 2 4" xfId="20774" xr:uid="{8C7C2B81-4CBB-48BA-AF3A-76559C43B344}"/>
    <cellStyle name="Comma 6 5 3 4 3" xfId="5598" xr:uid="{901DD429-CE17-4C65-B281-0BF3A8824DDD}"/>
    <cellStyle name="Comma 6 5 3 4 3 2" xfId="14270" xr:uid="{9A19FF56-9063-4996-A930-45E4AF076BEE}"/>
    <cellStyle name="Comma 6 5 3 4 3 2 2" xfId="31614" xr:uid="{0B3A4461-BF17-40E2-9207-9A011F721BE8}"/>
    <cellStyle name="Comma 6 5 3 4 3 3" xfId="22942" xr:uid="{5C46EED5-789D-4103-B106-0AE78E83CE61}"/>
    <cellStyle name="Comma 6 5 3 4 4" xfId="9934" xr:uid="{86C2958E-81C7-48C0-929C-7D68347EF81E}"/>
    <cellStyle name="Comma 6 5 3 4 4 2" xfId="27278" xr:uid="{F42339F4-7CA4-45B6-BC87-264A5A10BD1E}"/>
    <cellStyle name="Comma 6 5 3 4 5" xfId="18606" xr:uid="{FA087D32-2A11-42DF-A08E-34B852CCE541}"/>
    <cellStyle name="Comma 6 5 3 5" xfId="2346" xr:uid="{6EC8D9F6-E51E-4992-B9C3-DE0B33B91C3F}"/>
    <cellStyle name="Comma 6 5 3 5 2" xfId="6682" xr:uid="{17403F03-662B-47B1-A33B-616FD9A2FE3B}"/>
    <cellStyle name="Comma 6 5 3 5 2 2" xfId="15354" xr:uid="{5AA4DA24-410D-475D-9AC0-F4506178E4C2}"/>
    <cellStyle name="Comma 6 5 3 5 2 2 2" xfId="32698" xr:uid="{A8B011C7-86B0-46D5-B605-B868F9F37C3D}"/>
    <cellStyle name="Comma 6 5 3 5 2 3" xfId="24026" xr:uid="{A77CC5A8-0946-4DE2-A07E-E0B6A38136EC}"/>
    <cellStyle name="Comma 6 5 3 5 3" xfId="11018" xr:uid="{48AF667E-8425-4AB9-8E43-2F91A5FFCA05}"/>
    <cellStyle name="Comma 6 5 3 5 3 2" xfId="28362" xr:uid="{19BB1709-18FE-4D98-A9A3-ADD8B2E4B537}"/>
    <cellStyle name="Comma 6 5 3 5 4" xfId="19690" xr:uid="{3BC57A32-648C-42C5-A5E5-3DC27099B395}"/>
    <cellStyle name="Comma 6 5 3 6" xfId="4514" xr:uid="{10F203B2-DE47-4338-81EB-221D80C0C853}"/>
    <cellStyle name="Comma 6 5 3 6 2" xfId="13186" xr:uid="{3834D4A8-9D12-43B1-B369-1EB4C2BE339C}"/>
    <cellStyle name="Comma 6 5 3 6 2 2" xfId="30530" xr:uid="{19BBAAF8-7690-45DB-9B85-B5820F06AE86}"/>
    <cellStyle name="Comma 6 5 3 6 3" xfId="21858" xr:uid="{BD3AA3EE-4AFA-4B25-ABBA-6CE7A8F85010}"/>
    <cellStyle name="Comma 6 5 3 7" xfId="8850" xr:uid="{4DE480D2-243E-4CC2-BA84-774D745F6AE2}"/>
    <cellStyle name="Comma 6 5 3 7 2" xfId="26194" xr:uid="{6DE50094-CC84-4008-B72E-6D056F37B413}"/>
    <cellStyle name="Comma 6 5 3 8" xfId="17522" xr:uid="{F9B99E0A-7B8F-4E03-8267-151DDD1034A5}"/>
    <cellStyle name="Comma 6 5 4" xfId="326" xr:uid="{F61005F8-D56D-4510-AA77-5AC91D582A8F}"/>
    <cellStyle name="Comma 6 5 4 2" xfId="867" xr:uid="{6EB0F173-1FCD-42BD-80EC-A11C32C4FD30}"/>
    <cellStyle name="Comma 6 5 4 2 2" xfId="1951" xr:uid="{42D79FBB-D1A8-4193-B971-949FAEEC0C80}"/>
    <cellStyle name="Comma 6 5 4 2 2 2" xfId="4119" xr:uid="{A8E8F89E-FA71-46D7-9785-FC312B0F0B37}"/>
    <cellStyle name="Comma 6 5 4 2 2 2 2" xfId="8455" xr:uid="{D6824E3D-D4B3-47E6-80B0-541DEAFF54F9}"/>
    <cellStyle name="Comma 6 5 4 2 2 2 2 2" xfId="17127" xr:uid="{B9487EA1-A591-44C7-97B6-DF5359DDCA4B}"/>
    <cellStyle name="Comma 6 5 4 2 2 2 2 2 2" xfId="34471" xr:uid="{C9231EF5-0107-451A-A757-AC025D51BA3E}"/>
    <cellStyle name="Comma 6 5 4 2 2 2 2 3" xfId="25799" xr:uid="{27C8EA07-D55F-423E-92B6-763CEF3E7A7C}"/>
    <cellStyle name="Comma 6 5 4 2 2 2 3" xfId="12791" xr:uid="{CC113898-7405-46CB-B888-87A097267E97}"/>
    <cellStyle name="Comma 6 5 4 2 2 2 3 2" xfId="30135" xr:uid="{1CE9AD46-18D6-448E-8DFC-092BF49DD377}"/>
    <cellStyle name="Comma 6 5 4 2 2 2 4" xfId="21463" xr:uid="{39C71594-503A-4AEB-849B-B133A50375CB}"/>
    <cellStyle name="Comma 6 5 4 2 2 3" xfId="6287" xr:uid="{B03E2557-BA96-4511-B623-940A604D58E9}"/>
    <cellStyle name="Comma 6 5 4 2 2 3 2" xfId="14959" xr:uid="{B3780187-5D82-4EF4-87C2-0CFA7E6618C7}"/>
    <cellStyle name="Comma 6 5 4 2 2 3 2 2" xfId="32303" xr:uid="{7A9E7894-DEB9-4139-B76F-4BBCB1FD3F89}"/>
    <cellStyle name="Comma 6 5 4 2 2 3 3" xfId="23631" xr:uid="{BB9B6161-4116-4C00-AEEA-1B6E52E10476}"/>
    <cellStyle name="Comma 6 5 4 2 2 4" xfId="10623" xr:uid="{038CC2B1-118D-4D73-90A3-F5D0BD669222}"/>
    <cellStyle name="Comma 6 5 4 2 2 4 2" xfId="27967" xr:uid="{F4CA5AA6-4EAC-4AB7-8102-5B4771E775E6}"/>
    <cellStyle name="Comma 6 5 4 2 2 5" xfId="19295" xr:uid="{900CB9B1-D971-43E1-9018-897F56987D00}"/>
    <cellStyle name="Comma 6 5 4 2 3" xfId="3035" xr:uid="{131F220C-BADE-468E-B9E6-24BA423CD13D}"/>
    <cellStyle name="Comma 6 5 4 2 3 2" xfId="7371" xr:uid="{73FA5DF7-A69F-4B7F-AFAE-25978BADB758}"/>
    <cellStyle name="Comma 6 5 4 2 3 2 2" xfId="16043" xr:uid="{6F334AD9-DC0E-49D0-9340-ACD1DB69C624}"/>
    <cellStyle name="Comma 6 5 4 2 3 2 2 2" xfId="33387" xr:uid="{CB729877-1903-468B-8B16-8DB2B77E26EE}"/>
    <cellStyle name="Comma 6 5 4 2 3 2 3" xfId="24715" xr:uid="{56AE5C1A-7BC4-425A-8C27-3A7F3DC73C00}"/>
    <cellStyle name="Comma 6 5 4 2 3 3" xfId="11707" xr:uid="{DB94DE4F-B060-457C-9A84-E91AECE5A5A9}"/>
    <cellStyle name="Comma 6 5 4 2 3 3 2" xfId="29051" xr:uid="{80BB57A2-B5AF-4E36-9BB0-2CC46BED29F6}"/>
    <cellStyle name="Comma 6 5 4 2 3 4" xfId="20379" xr:uid="{6281C382-F9B0-46E5-A241-5478409375B7}"/>
    <cellStyle name="Comma 6 5 4 2 4" xfId="5203" xr:uid="{C60B136B-F6E2-422B-9CAD-4A2B7851D90C}"/>
    <cellStyle name="Comma 6 5 4 2 4 2" xfId="13875" xr:uid="{A931F6E4-36D2-45C8-A44C-0D9090B37E9F}"/>
    <cellStyle name="Comma 6 5 4 2 4 2 2" xfId="31219" xr:uid="{B08096D2-46DB-44B8-B2FF-305FD2FA32FF}"/>
    <cellStyle name="Comma 6 5 4 2 4 3" xfId="22547" xr:uid="{8DA571D2-988B-41DD-BE47-FC91DAB19165}"/>
    <cellStyle name="Comma 6 5 4 2 5" xfId="9539" xr:uid="{158C3B7B-42CF-46B9-870B-C384FF56DA11}"/>
    <cellStyle name="Comma 6 5 4 2 5 2" xfId="26883" xr:uid="{643508FA-1622-4332-9074-9CF014685D16}"/>
    <cellStyle name="Comma 6 5 4 2 6" xfId="18211" xr:uid="{68DAB8A7-C25B-441F-9AC3-A66B8C8EB836}"/>
    <cellStyle name="Comma 6 5 4 3" xfId="1410" xr:uid="{499724AC-3B49-46F0-81C3-4FF83B485656}"/>
    <cellStyle name="Comma 6 5 4 3 2" xfId="3578" xr:uid="{8BBE2442-235B-48E4-8554-7C606F284B9A}"/>
    <cellStyle name="Comma 6 5 4 3 2 2" xfId="7914" xr:uid="{C331B0AE-E73D-4A9A-A763-FD9CC660DC78}"/>
    <cellStyle name="Comma 6 5 4 3 2 2 2" xfId="16586" xr:uid="{0D8FBCA2-D71B-404C-82AC-927C3D568D2A}"/>
    <cellStyle name="Comma 6 5 4 3 2 2 2 2" xfId="33930" xr:uid="{9806B6A3-3D12-4EE0-8033-F6A6706F07A2}"/>
    <cellStyle name="Comma 6 5 4 3 2 2 3" xfId="25258" xr:uid="{B50AD2C8-AE7F-4288-8B9D-19CA8BDD7D88}"/>
    <cellStyle name="Comma 6 5 4 3 2 3" xfId="12250" xr:uid="{2C4CE5B2-BA90-4D70-A730-DF1F33884044}"/>
    <cellStyle name="Comma 6 5 4 3 2 3 2" xfId="29594" xr:uid="{DE901E33-3537-4D93-8ECC-37BF2E3339B3}"/>
    <cellStyle name="Comma 6 5 4 3 2 4" xfId="20922" xr:uid="{1FE05CD8-129E-4878-A6AA-17FFF7E65725}"/>
    <cellStyle name="Comma 6 5 4 3 3" xfId="5746" xr:uid="{ECD3EB8B-85C4-4DBC-96FB-F1A46B1E0624}"/>
    <cellStyle name="Comma 6 5 4 3 3 2" xfId="14418" xr:uid="{33B97489-00B3-42BD-B85A-4FFBB4365B5A}"/>
    <cellStyle name="Comma 6 5 4 3 3 2 2" xfId="31762" xr:uid="{F3C4D49F-3A8D-4F9C-95F2-EEC5A8CAE803}"/>
    <cellStyle name="Comma 6 5 4 3 3 3" xfId="23090" xr:uid="{FF852C65-38CB-425D-BB83-1633CFC9E985}"/>
    <cellStyle name="Comma 6 5 4 3 4" xfId="10082" xr:uid="{DA635556-4FA7-4361-99B9-39A74298F6BD}"/>
    <cellStyle name="Comma 6 5 4 3 4 2" xfId="27426" xr:uid="{8F047FAC-DDA6-4E4D-9BED-A2E51BFC8A34}"/>
    <cellStyle name="Comma 6 5 4 3 5" xfId="18754" xr:uid="{B300290B-3A4D-4690-B9BE-B3F4A6830445}"/>
    <cellStyle name="Comma 6 5 4 4" xfId="2494" xr:uid="{DDAE2329-1827-4413-8EA5-506A079606E3}"/>
    <cellStyle name="Comma 6 5 4 4 2" xfId="6830" xr:uid="{C7854FE2-C58F-4DE1-8C96-5BCE70BC314E}"/>
    <cellStyle name="Comma 6 5 4 4 2 2" xfId="15502" xr:uid="{0E6BCC3D-5912-423D-AF6B-5169A13F2FBE}"/>
    <cellStyle name="Comma 6 5 4 4 2 2 2" xfId="32846" xr:uid="{7E947D1F-28E8-41E2-B365-180013611B6E}"/>
    <cellStyle name="Comma 6 5 4 4 2 3" xfId="24174" xr:uid="{971DB64B-D431-43BD-BB46-70A23234D458}"/>
    <cellStyle name="Comma 6 5 4 4 3" xfId="11166" xr:uid="{87EC2632-AE10-4138-97D5-80C9A248A686}"/>
    <cellStyle name="Comma 6 5 4 4 3 2" xfId="28510" xr:uid="{C9114AAC-0D61-463A-B81C-0A39C7AC7C8B}"/>
    <cellStyle name="Comma 6 5 4 4 4" xfId="19838" xr:uid="{144C9642-2A97-4DD2-ACA2-9683C8722585}"/>
    <cellStyle name="Comma 6 5 4 5" xfId="4662" xr:uid="{77576204-113E-4FD9-89FC-E6AC30191550}"/>
    <cellStyle name="Comma 6 5 4 5 2" xfId="13334" xr:uid="{00E67319-054F-415F-9CF4-916C0B102B36}"/>
    <cellStyle name="Comma 6 5 4 5 2 2" xfId="30678" xr:uid="{3319B38C-D7A3-46D1-9BB4-46882A9776D3}"/>
    <cellStyle name="Comma 6 5 4 5 3" xfId="22006" xr:uid="{95A93C30-13A8-4111-B107-4EA37D67581B}"/>
    <cellStyle name="Comma 6 5 4 6" xfId="8998" xr:uid="{0099AFFC-D0AD-4950-8AFE-3DFDA27B8166}"/>
    <cellStyle name="Comma 6 5 4 6 2" xfId="26342" xr:uid="{B786A926-E50B-400C-8243-BC66FD603876}"/>
    <cellStyle name="Comma 6 5 4 7" xfId="17670" xr:uid="{D9056164-C5AF-4368-A4DF-B2B638E37CE3}"/>
    <cellStyle name="Comma 6 5 5" xfId="597" xr:uid="{DEA909F9-F10B-4DA8-966B-E83DFFD12E47}"/>
    <cellStyle name="Comma 6 5 5 2" xfId="1681" xr:uid="{18CBE69C-EAE1-4D0C-AE22-974AE27A795B}"/>
    <cellStyle name="Comma 6 5 5 2 2" xfId="3849" xr:uid="{B07B85D6-0B99-4B0C-BD8F-EB653A700EC2}"/>
    <cellStyle name="Comma 6 5 5 2 2 2" xfId="8185" xr:uid="{BA0A6F54-6EDB-414F-A86A-B2D7E11FC834}"/>
    <cellStyle name="Comma 6 5 5 2 2 2 2" xfId="16857" xr:uid="{DDD1D001-9C3F-47C7-8292-0B523A40E700}"/>
    <cellStyle name="Comma 6 5 5 2 2 2 2 2" xfId="34201" xr:uid="{454482D1-4D0C-496E-86BA-F37731F8156F}"/>
    <cellStyle name="Comma 6 5 5 2 2 2 3" xfId="25529" xr:uid="{4D249132-50AF-4014-903D-EF46A6C21FAE}"/>
    <cellStyle name="Comma 6 5 5 2 2 3" xfId="12521" xr:uid="{AE2CA679-2A01-4BD8-9164-742E0BBFE2B0}"/>
    <cellStyle name="Comma 6 5 5 2 2 3 2" xfId="29865" xr:uid="{EAD25AE9-C41E-4883-BC26-83D9173E210F}"/>
    <cellStyle name="Comma 6 5 5 2 2 4" xfId="21193" xr:uid="{106E7E51-A006-45AD-899D-F0FF9A3EFA0D}"/>
    <cellStyle name="Comma 6 5 5 2 3" xfId="6017" xr:uid="{4F9F945B-50FD-4064-95D9-29AD98DD3A26}"/>
    <cellStyle name="Comma 6 5 5 2 3 2" xfId="14689" xr:uid="{25CE2E30-5D13-4F01-865B-5F5AE3A484E1}"/>
    <cellStyle name="Comma 6 5 5 2 3 2 2" xfId="32033" xr:uid="{978D657D-673C-4DE5-B567-27356F0B635F}"/>
    <cellStyle name="Comma 6 5 5 2 3 3" xfId="23361" xr:uid="{7370850F-D218-4C2F-96BE-435227B22C26}"/>
    <cellStyle name="Comma 6 5 5 2 4" xfId="10353" xr:uid="{2AEEFF21-0D63-4969-A694-7F5063A1F4C3}"/>
    <cellStyle name="Comma 6 5 5 2 4 2" xfId="27697" xr:uid="{B1F93DBA-2D56-4B3C-BB95-2E84D27E6FDB}"/>
    <cellStyle name="Comma 6 5 5 2 5" xfId="19025" xr:uid="{F2B181FF-6D90-48BA-ABCE-D5DDDF71F66B}"/>
    <cellStyle name="Comma 6 5 5 3" xfId="2765" xr:uid="{E1737F15-6691-4E10-A578-779218D853B7}"/>
    <cellStyle name="Comma 6 5 5 3 2" xfId="7101" xr:uid="{1B75EE02-D7B1-4E3E-B45A-05925BD752DD}"/>
    <cellStyle name="Comma 6 5 5 3 2 2" xfId="15773" xr:uid="{4B84C62E-3D01-4408-9AB7-7F5ABAA5FE4E}"/>
    <cellStyle name="Comma 6 5 5 3 2 2 2" xfId="33117" xr:uid="{9A59FCF7-5E94-470F-9670-59D5662232F8}"/>
    <cellStyle name="Comma 6 5 5 3 2 3" xfId="24445" xr:uid="{C9EC3F9F-DF5A-4BAD-8F07-6860F0539140}"/>
    <cellStyle name="Comma 6 5 5 3 3" xfId="11437" xr:uid="{7B383F41-4A31-47E7-B237-8D2301E34A5E}"/>
    <cellStyle name="Comma 6 5 5 3 3 2" xfId="28781" xr:uid="{B2252AC7-03D0-4127-B3AC-9DD2CC4209EE}"/>
    <cellStyle name="Comma 6 5 5 3 4" xfId="20109" xr:uid="{CA4A8805-63E6-4BA5-BA47-06256F82E711}"/>
    <cellStyle name="Comma 6 5 5 4" xfId="4933" xr:uid="{8095D3FF-A8C3-40BA-9A0A-756B20F5485A}"/>
    <cellStyle name="Comma 6 5 5 4 2" xfId="13605" xr:uid="{EF7D929D-3357-40C3-B2E6-073B11B3DBF6}"/>
    <cellStyle name="Comma 6 5 5 4 2 2" xfId="30949" xr:uid="{F34D0A85-8F4F-4AD9-B22D-E30A32F29F9B}"/>
    <cellStyle name="Comma 6 5 5 4 3" xfId="22277" xr:uid="{37B28D32-CDFF-4D0A-A1D6-28806FA35946}"/>
    <cellStyle name="Comma 6 5 5 5" xfId="9269" xr:uid="{A339DC2F-6906-4F68-A782-A5853C6A5073}"/>
    <cellStyle name="Comma 6 5 5 5 2" xfId="26613" xr:uid="{2A68A0F3-6EB2-4AD5-8546-4D96B9D00474}"/>
    <cellStyle name="Comma 6 5 5 6" xfId="17941" xr:uid="{04F7B29C-62A5-4AF9-B88C-E3E125DC95A4}"/>
    <cellStyle name="Comma 6 5 6" xfId="1140" xr:uid="{50813666-8737-41A1-808B-38557AD88886}"/>
    <cellStyle name="Comma 6 5 6 2" xfId="3308" xr:uid="{876F4E4B-E5CA-4DE9-80B0-64333881C067}"/>
    <cellStyle name="Comma 6 5 6 2 2" xfId="7644" xr:uid="{92A8C3C0-E3BF-43A4-BB82-4AA7153EC1C6}"/>
    <cellStyle name="Comma 6 5 6 2 2 2" xfId="16316" xr:uid="{A61F1991-B3E4-4D41-8B30-A5EA308776B3}"/>
    <cellStyle name="Comma 6 5 6 2 2 2 2" xfId="33660" xr:uid="{6421A066-ECA0-4D63-8F39-8C534C35BEAE}"/>
    <cellStyle name="Comma 6 5 6 2 2 3" xfId="24988" xr:uid="{2AFC0A44-72A7-431D-8676-2999A810A384}"/>
    <cellStyle name="Comma 6 5 6 2 3" xfId="11980" xr:uid="{686D19BE-78A8-4EB0-BF81-36D9C1FF87EF}"/>
    <cellStyle name="Comma 6 5 6 2 3 2" xfId="29324" xr:uid="{5A4B2DF5-9031-4BB6-966E-9F398854000D}"/>
    <cellStyle name="Comma 6 5 6 2 4" xfId="20652" xr:uid="{BD09B72E-2A00-45D3-8796-6F786CA272DC}"/>
    <cellStyle name="Comma 6 5 6 3" xfId="5476" xr:uid="{247A87B9-FF3D-422A-950A-27228A44287D}"/>
    <cellStyle name="Comma 6 5 6 3 2" xfId="14148" xr:uid="{18111D34-4796-4435-A10F-2AE8D36D2524}"/>
    <cellStyle name="Comma 6 5 6 3 2 2" xfId="31492" xr:uid="{030F3063-E9B5-4CB5-A641-896830CFD8EA}"/>
    <cellStyle name="Comma 6 5 6 3 3" xfId="22820" xr:uid="{C3891FBE-D6AA-419D-BB0D-5598A1E21B80}"/>
    <cellStyle name="Comma 6 5 6 4" xfId="9812" xr:uid="{7385240B-F0A9-41AC-9D18-149E2894C2DE}"/>
    <cellStyle name="Comma 6 5 6 4 2" xfId="27156" xr:uid="{C3EEEC63-F577-40C3-8829-EC01E4C96CE9}"/>
    <cellStyle name="Comma 6 5 6 5" xfId="18484" xr:uid="{38A2FC2A-E7AE-4012-B985-8FDB828AD998}"/>
    <cellStyle name="Comma 6 5 7" xfId="2224" xr:uid="{4F2F6D1A-DD1B-4AB4-A94C-5B8365BDF965}"/>
    <cellStyle name="Comma 6 5 7 2" xfId="6560" xr:uid="{EB6F2917-BD5A-4EF0-BBE8-73F5B1FF8497}"/>
    <cellStyle name="Comma 6 5 7 2 2" xfId="15232" xr:uid="{49E87131-E1D4-4B03-8229-6AB4DEE5302E}"/>
    <cellStyle name="Comma 6 5 7 2 2 2" xfId="32576" xr:uid="{A382F41F-4EFE-444D-A83E-93FC6DB76348}"/>
    <cellStyle name="Comma 6 5 7 2 3" xfId="23904" xr:uid="{5CB90AB3-7FD3-412B-B668-4808E0B7922E}"/>
    <cellStyle name="Comma 6 5 7 3" xfId="10896" xr:uid="{7715B159-1D45-46DA-A9D8-A02E30DA35CD}"/>
    <cellStyle name="Comma 6 5 7 3 2" xfId="28240" xr:uid="{0DC5EA70-4414-4928-9C7D-54941C4A698B}"/>
    <cellStyle name="Comma 6 5 7 4" xfId="19568" xr:uid="{37055966-093E-4073-8E93-F7360338B453}"/>
    <cellStyle name="Comma 6 5 8" xfId="4392" xr:uid="{00E5FDED-E0C0-40DD-A84A-6EBA8D127623}"/>
    <cellStyle name="Comma 6 5 8 2" xfId="13064" xr:uid="{56B67062-06C0-4B0A-BBAB-6BCD5F363C1D}"/>
    <cellStyle name="Comma 6 5 8 2 2" xfId="30408" xr:uid="{EAA69836-6BAA-4236-AC3A-C8D9D443632A}"/>
    <cellStyle name="Comma 6 5 8 3" xfId="21736" xr:uid="{CD7C74B2-9768-4166-BE7E-CA6883C8962A}"/>
    <cellStyle name="Comma 6 5 9" xfId="8728" xr:uid="{4F45DCC8-3BAF-42B6-92B6-FF06F0382C00}"/>
    <cellStyle name="Comma 6 5 9 2" xfId="26072" xr:uid="{0BF399D7-9CB1-4696-93C1-8BB120F4A679}"/>
    <cellStyle name="Comma 6 6" xfId="69" xr:uid="{2531A441-A294-43D8-84A2-54532A31E6B6}"/>
    <cellStyle name="Comma 6 6 2" xfId="191" xr:uid="{4A7112CC-B058-428E-BBF4-14EC609C00D8}"/>
    <cellStyle name="Comma 6 6 2 2" xfId="461" xr:uid="{4C60B07B-DE42-42E5-9A62-EEA09A636780}"/>
    <cellStyle name="Comma 6 6 2 2 2" xfId="1002" xr:uid="{1EA9C539-3F5D-4961-A9EC-BB06C36681DD}"/>
    <cellStyle name="Comma 6 6 2 2 2 2" xfId="2086" xr:uid="{D4F6243F-BAA7-42AC-B1BC-E6ABB3CE1F67}"/>
    <cellStyle name="Comma 6 6 2 2 2 2 2" xfId="4254" xr:uid="{10951DF6-6F0F-4448-A95B-EA9134E88AF8}"/>
    <cellStyle name="Comma 6 6 2 2 2 2 2 2" xfId="8590" xr:uid="{F3A655E9-A31D-4EC2-9871-A388A7B65FEF}"/>
    <cellStyle name="Comma 6 6 2 2 2 2 2 2 2" xfId="17262" xr:uid="{1F17237F-958B-4CE0-ACFE-8F5B8E5FAD4B}"/>
    <cellStyle name="Comma 6 6 2 2 2 2 2 2 2 2" xfId="34606" xr:uid="{FA12CF68-11B3-412D-AB5C-F7484E0BAB77}"/>
    <cellStyle name="Comma 6 6 2 2 2 2 2 2 3" xfId="25934" xr:uid="{A7B295B5-3F72-41A5-A889-367A27F41297}"/>
    <cellStyle name="Comma 6 6 2 2 2 2 2 3" xfId="12926" xr:uid="{CDCB37EE-8567-47DB-8930-BF1B07CD8D03}"/>
    <cellStyle name="Comma 6 6 2 2 2 2 2 3 2" xfId="30270" xr:uid="{3E7175D5-D068-4922-8AC2-C9E132C251C9}"/>
    <cellStyle name="Comma 6 6 2 2 2 2 2 4" xfId="21598" xr:uid="{32ED82F4-D92F-4DB2-95E5-9AC6890CC112}"/>
    <cellStyle name="Comma 6 6 2 2 2 2 3" xfId="6422" xr:uid="{68B3507E-3FBF-43DE-9672-30171AC402D5}"/>
    <cellStyle name="Comma 6 6 2 2 2 2 3 2" xfId="15094" xr:uid="{C2E95B71-088B-4F7E-BA41-2532AB691BDD}"/>
    <cellStyle name="Comma 6 6 2 2 2 2 3 2 2" xfId="32438" xr:uid="{AC9BB2C8-EA01-42E5-99DA-7DC6649A0E18}"/>
    <cellStyle name="Comma 6 6 2 2 2 2 3 3" xfId="23766" xr:uid="{E767C0C4-5F90-4AEF-B6F2-363F70116A6A}"/>
    <cellStyle name="Comma 6 6 2 2 2 2 4" xfId="10758" xr:uid="{4665D425-A721-44AA-A370-AC774D517CA1}"/>
    <cellStyle name="Comma 6 6 2 2 2 2 4 2" xfId="28102" xr:uid="{44317AB0-609A-40E7-B11E-77581520E3E0}"/>
    <cellStyle name="Comma 6 6 2 2 2 2 5" xfId="19430" xr:uid="{5CBF9FE3-A8FD-49B9-AF26-DE148886D53E}"/>
    <cellStyle name="Comma 6 6 2 2 2 3" xfId="3170" xr:uid="{C02486AC-A852-4B35-ABBF-13BBC91A3BBB}"/>
    <cellStyle name="Comma 6 6 2 2 2 3 2" xfId="7506" xr:uid="{F90D29A6-4EE0-40DF-AEDC-4552FFDD7E7C}"/>
    <cellStyle name="Comma 6 6 2 2 2 3 2 2" xfId="16178" xr:uid="{6474E6A7-79CD-45FD-8739-3F9C63E7019C}"/>
    <cellStyle name="Comma 6 6 2 2 2 3 2 2 2" xfId="33522" xr:uid="{AA4323B1-D0CB-4A5B-9749-8234B1FB1AC4}"/>
    <cellStyle name="Comma 6 6 2 2 2 3 2 3" xfId="24850" xr:uid="{1FFCD035-D9C0-4EEC-B2CB-B0AEDC0636B3}"/>
    <cellStyle name="Comma 6 6 2 2 2 3 3" xfId="11842" xr:uid="{43F0B176-BD3A-4137-9369-B3AA7546AF2D}"/>
    <cellStyle name="Comma 6 6 2 2 2 3 3 2" xfId="29186" xr:uid="{C8C02069-32EC-4C83-A180-7ED31F2D6E98}"/>
    <cellStyle name="Comma 6 6 2 2 2 3 4" xfId="20514" xr:uid="{B92A75AD-64AC-4750-93BA-F260704F78B6}"/>
    <cellStyle name="Comma 6 6 2 2 2 4" xfId="5338" xr:uid="{DCE7A808-4B88-47F3-8229-2F0E28BA406D}"/>
    <cellStyle name="Comma 6 6 2 2 2 4 2" xfId="14010" xr:uid="{F027A677-4D34-4CD6-81A1-E5D8EE856250}"/>
    <cellStyle name="Comma 6 6 2 2 2 4 2 2" xfId="31354" xr:uid="{1E9A67D1-52B9-4FD8-88D3-F56B3B9C7BC8}"/>
    <cellStyle name="Comma 6 6 2 2 2 4 3" xfId="22682" xr:uid="{24B2AE79-9A39-4BC9-B5D3-514D9310ED67}"/>
    <cellStyle name="Comma 6 6 2 2 2 5" xfId="9674" xr:uid="{47599350-C718-4128-AB76-A80997CCD8D3}"/>
    <cellStyle name="Comma 6 6 2 2 2 5 2" xfId="27018" xr:uid="{FAD03913-6B90-452B-8E1A-447A661D826C}"/>
    <cellStyle name="Comma 6 6 2 2 2 6" xfId="18346" xr:uid="{7702C63D-EE50-40CB-8512-711CDCA39AC0}"/>
    <cellStyle name="Comma 6 6 2 2 3" xfId="1545" xr:uid="{B02D46D8-C273-41DE-8DF2-CE37102133F1}"/>
    <cellStyle name="Comma 6 6 2 2 3 2" xfId="3713" xr:uid="{80BCC2E2-41B3-4D8C-A0FD-D87229B9CE5F}"/>
    <cellStyle name="Comma 6 6 2 2 3 2 2" xfId="8049" xr:uid="{FFDEC71B-8A76-4F51-BF84-631F531B4D8F}"/>
    <cellStyle name="Comma 6 6 2 2 3 2 2 2" xfId="16721" xr:uid="{762CAEF4-8E33-4ACB-8953-AB8164EF21B8}"/>
    <cellStyle name="Comma 6 6 2 2 3 2 2 2 2" xfId="34065" xr:uid="{9D79DECC-AAF2-43FC-B628-FD15D24C881A}"/>
    <cellStyle name="Comma 6 6 2 2 3 2 2 3" xfId="25393" xr:uid="{11917B31-D903-4BB7-A21F-B232D344FB55}"/>
    <cellStyle name="Comma 6 6 2 2 3 2 3" xfId="12385" xr:uid="{88F1BA97-E7F3-41BE-B6F5-CDA3EB2F4762}"/>
    <cellStyle name="Comma 6 6 2 2 3 2 3 2" xfId="29729" xr:uid="{A6E41E92-688D-4B41-B7DB-899258233312}"/>
    <cellStyle name="Comma 6 6 2 2 3 2 4" xfId="21057" xr:uid="{F8929922-0F39-4469-BE66-E4F4C0F0EAF3}"/>
    <cellStyle name="Comma 6 6 2 2 3 3" xfId="5881" xr:uid="{CFFEE315-AA95-4C65-830C-45A4BB82A514}"/>
    <cellStyle name="Comma 6 6 2 2 3 3 2" xfId="14553" xr:uid="{A4D62299-0EC8-4593-8C2D-661976CE3185}"/>
    <cellStyle name="Comma 6 6 2 2 3 3 2 2" xfId="31897" xr:uid="{441BA2E4-7D43-4D03-804C-04512643B1B5}"/>
    <cellStyle name="Comma 6 6 2 2 3 3 3" xfId="23225" xr:uid="{01AFF47C-4BF1-4722-A686-8AF65F55B511}"/>
    <cellStyle name="Comma 6 6 2 2 3 4" xfId="10217" xr:uid="{73C426D2-F839-417C-A028-46301D72648A}"/>
    <cellStyle name="Comma 6 6 2 2 3 4 2" xfId="27561" xr:uid="{7A786ECC-CE69-43C4-88A1-029B41E729F1}"/>
    <cellStyle name="Comma 6 6 2 2 3 5" xfId="18889" xr:uid="{F2DA425B-7FFE-4ABE-877E-AA07C38BFE75}"/>
    <cellStyle name="Comma 6 6 2 2 4" xfId="2629" xr:uid="{1489B11F-9E3D-4ED2-A361-2D04B299C749}"/>
    <cellStyle name="Comma 6 6 2 2 4 2" xfId="6965" xr:uid="{636B3DEF-F308-4D1D-8A1E-B25AC2C29421}"/>
    <cellStyle name="Comma 6 6 2 2 4 2 2" xfId="15637" xr:uid="{148D8CD4-7979-41A3-9E9B-61DD694EC512}"/>
    <cellStyle name="Comma 6 6 2 2 4 2 2 2" xfId="32981" xr:uid="{0BCA2F07-6389-429F-8D8E-C6B5DF554378}"/>
    <cellStyle name="Comma 6 6 2 2 4 2 3" xfId="24309" xr:uid="{9B63600A-5236-4816-9737-BAA1A21B1C39}"/>
    <cellStyle name="Comma 6 6 2 2 4 3" xfId="11301" xr:uid="{8EF98BA4-3DBE-4B08-B306-739ECAFCB3A0}"/>
    <cellStyle name="Comma 6 6 2 2 4 3 2" xfId="28645" xr:uid="{BFC44828-A207-4736-AD62-B79BA4D3C1D9}"/>
    <cellStyle name="Comma 6 6 2 2 4 4" xfId="19973" xr:uid="{04DCA122-203A-4381-9152-39920AECACFC}"/>
    <cellStyle name="Comma 6 6 2 2 5" xfId="4797" xr:uid="{5CBA0D17-56C5-4C4A-B3D7-549BBAA98221}"/>
    <cellStyle name="Comma 6 6 2 2 5 2" xfId="13469" xr:uid="{D54611D0-1C45-4E84-B2B8-5CEC0A7B093A}"/>
    <cellStyle name="Comma 6 6 2 2 5 2 2" xfId="30813" xr:uid="{D039B36D-F17B-46DF-AEA3-C0A4C4A92A30}"/>
    <cellStyle name="Comma 6 6 2 2 5 3" xfId="22141" xr:uid="{058877B0-BF0B-4A8B-A27E-EFE95C8171B0}"/>
    <cellStyle name="Comma 6 6 2 2 6" xfId="9133" xr:uid="{13760E97-D702-4A4B-9DAC-3A756DEB8405}"/>
    <cellStyle name="Comma 6 6 2 2 6 2" xfId="26477" xr:uid="{69BB90D5-65DF-4C2C-A390-CAC61B5BF204}"/>
    <cellStyle name="Comma 6 6 2 2 7" xfId="17805" xr:uid="{1A66E41B-AC7C-409C-AAE2-6AEAF53E74AD}"/>
    <cellStyle name="Comma 6 6 2 3" xfId="732" xr:uid="{A9289DF8-D7D9-4C5B-8851-FE88ED3F45B3}"/>
    <cellStyle name="Comma 6 6 2 3 2" xfId="1816" xr:uid="{59E436B2-681A-425D-A6ED-170165D88574}"/>
    <cellStyle name="Comma 6 6 2 3 2 2" xfId="3984" xr:uid="{027AF193-27A3-4993-93C0-BDF080F513E2}"/>
    <cellStyle name="Comma 6 6 2 3 2 2 2" xfId="8320" xr:uid="{2B74A67E-98A7-46F1-9613-E3C71E8BD23B}"/>
    <cellStyle name="Comma 6 6 2 3 2 2 2 2" xfId="16992" xr:uid="{8B1D0DCA-3F3F-494B-8EFF-D403FE28D2B7}"/>
    <cellStyle name="Comma 6 6 2 3 2 2 2 2 2" xfId="34336" xr:uid="{93D7D7E0-DC76-4D21-8954-2C8046052268}"/>
    <cellStyle name="Comma 6 6 2 3 2 2 2 3" xfId="25664" xr:uid="{6E3BEF80-62F2-407B-AD14-56FF4FB81847}"/>
    <cellStyle name="Comma 6 6 2 3 2 2 3" xfId="12656" xr:uid="{FA70A3E3-2B9F-4DC2-89BE-B40CC19F31E4}"/>
    <cellStyle name="Comma 6 6 2 3 2 2 3 2" xfId="30000" xr:uid="{553FEE64-7A39-47B4-864B-46006B54C3A2}"/>
    <cellStyle name="Comma 6 6 2 3 2 2 4" xfId="21328" xr:uid="{E21E160A-AF5D-4F4C-AF0A-55353689DACA}"/>
    <cellStyle name="Comma 6 6 2 3 2 3" xfId="6152" xr:uid="{4AB0BA96-A462-4318-962E-D74D34298927}"/>
    <cellStyle name="Comma 6 6 2 3 2 3 2" xfId="14824" xr:uid="{8C604276-6464-4DF0-BBE5-5C673B6AF8D2}"/>
    <cellStyle name="Comma 6 6 2 3 2 3 2 2" xfId="32168" xr:uid="{3FEE9FFD-EA0B-443C-858B-DA40BC1F71F5}"/>
    <cellStyle name="Comma 6 6 2 3 2 3 3" xfId="23496" xr:uid="{FE8FDD82-8586-4708-B27F-9FB3CB507BFD}"/>
    <cellStyle name="Comma 6 6 2 3 2 4" xfId="10488" xr:uid="{005A4B90-F70E-46AC-8A4D-C935BCC70DA2}"/>
    <cellStyle name="Comma 6 6 2 3 2 4 2" xfId="27832" xr:uid="{FCF20BE9-FEB9-467A-BA3F-A309E92626F3}"/>
    <cellStyle name="Comma 6 6 2 3 2 5" xfId="19160" xr:uid="{C6289DE4-2A99-413B-B3A7-BFF4B93AA083}"/>
    <cellStyle name="Comma 6 6 2 3 3" xfId="2900" xr:uid="{A470A51E-4175-473D-8BB6-AC4ADB3FDC11}"/>
    <cellStyle name="Comma 6 6 2 3 3 2" xfId="7236" xr:uid="{EF15CCCD-5F28-4C8D-8EC6-78697A70EB81}"/>
    <cellStyle name="Comma 6 6 2 3 3 2 2" xfId="15908" xr:uid="{5790649C-63D4-424B-8FBB-C547BF4B5146}"/>
    <cellStyle name="Comma 6 6 2 3 3 2 2 2" xfId="33252" xr:uid="{473D0541-B6A4-4C57-8E51-74B4679A4FCC}"/>
    <cellStyle name="Comma 6 6 2 3 3 2 3" xfId="24580" xr:uid="{E665FE8A-816A-4341-82C5-50F8D82A6136}"/>
    <cellStyle name="Comma 6 6 2 3 3 3" xfId="11572" xr:uid="{ABB75493-68FC-4131-AAC4-1B6503676662}"/>
    <cellStyle name="Comma 6 6 2 3 3 3 2" xfId="28916" xr:uid="{47787ABB-9F25-47EB-8FD3-56832C6F1E87}"/>
    <cellStyle name="Comma 6 6 2 3 3 4" xfId="20244" xr:uid="{0A56CD4D-9441-4CDE-9165-301584CB47EC}"/>
    <cellStyle name="Comma 6 6 2 3 4" xfId="5068" xr:uid="{0F60EA4B-9B20-46C2-9793-E2A5D75F425F}"/>
    <cellStyle name="Comma 6 6 2 3 4 2" xfId="13740" xr:uid="{886B66E6-AC5B-4071-9A1F-7C1F79A59C75}"/>
    <cellStyle name="Comma 6 6 2 3 4 2 2" xfId="31084" xr:uid="{8C474A3D-1EDB-45E7-95F0-F85F7A5384F2}"/>
    <cellStyle name="Comma 6 6 2 3 4 3" xfId="22412" xr:uid="{01B2B323-4786-4069-ABDF-ACB2B1BD9624}"/>
    <cellStyle name="Comma 6 6 2 3 5" xfId="9404" xr:uid="{4A1C8A65-B98B-458E-B0EE-C28E9C6B1993}"/>
    <cellStyle name="Comma 6 6 2 3 5 2" xfId="26748" xr:uid="{6FF29AA0-5205-478C-BA96-C8E0B771C4F0}"/>
    <cellStyle name="Comma 6 6 2 3 6" xfId="18076" xr:uid="{9F2241EC-F8AE-4445-A006-0D72B08389E2}"/>
    <cellStyle name="Comma 6 6 2 4" xfId="1275" xr:uid="{ED39701C-A261-4623-9A28-C655018B1BF6}"/>
    <cellStyle name="Comma 6 6 2 4 2" xfId="3443" xr:uid="{4A813D7D-58C0-4147-9862-5D989EFA0C9B}"/>
    <cellStyle name="Comma 6 6 2 4 2 2" xfId="7779" xr:uid="{9847F801-BA95-4A66-9893-DE0CEB467509}"/>
    <cellStyle name="Comma 6 6 2 4 2 2 2" xfId="16451" xr:uid="{89C94351-CEFC-49C4-9026-47F1B2B86BC4}"/>
    <cellStyle name="Comma 6 6 2 4 2 2 2 2" xfId="33795" xr:uid="{642A4FA7-92C1-42BE-8A3C-1610605AC4CD}"/>
    <cellStyle name="Comma 6 6 2 4 2 2 3" xfId="25123" xr:uid="{4182C60A-9104-45AB-B03F-010776721BFD}"/>
    <cellStyle name="Comma 6 6 2 4 2 3" xfId="12115" xr:uid="{1EBEABFC-8C7A-4B9A-B623-AFB53C4D28A7}"/>
    <cellStyle name="Comma 6 6 2 4 2 3 2" xfId="29459" xr:uid="{64ABF356-413B-4E5E-95E0-9EAE354111D8}"/>
    <cellStyle name="Comma 6 6 2 4 2 4" xfId="20787" xr:uid="{D8E9DD3A-5409-4F81-AE0C-E4CB30E9CAD6}"/>
    <cellStyle name="Comma 6 6 2 4 3" xfId="5611" xr:uid="{3D5A46A7-94CA-4E60-9361-F232D330DF19}"/>
    <cellStyle name="Comma 6 6 2 4 3 2" xfId="14283" xr:uid="{F8031E14-5962-4C80-B9DA-961AE50DD3A9}"/>
    <cellStyle name="Comma 6 6 2 4 3 2 2" xfId="31627" xr:uid="{6D7C039D-D4A9-47B3-92B3-F557A9EA4500}"/>
    <cellStyle name="Comma 6 6 2 4 3 3" xfId="22955" xr:uid="{1D0C3CE8-1DD3-452C-8E00-189C40A2F4B2}"/>
    <cellStyle name="Comma 6 6 2 4 4" xfId="9947" xr:uid="{F5D4EEC5-9CDF-4934-A1A4-AF7C96BE21B3}"/>
    <cellStyle name="Comma 6 6 2 4 4 2" xfId="27291" xr:uid="{ADFEE0A7-5DC2-440B-A7D9-08DED8E1F86B}"/>
    <cellStyle name="Comma 6 6 2 4 5" xfId="18619" xr:uid="{46E62B97-2BD9-41A7-B8B3-F65212EAA85B}"/>
    <cellStyle name="Comma 6 6 2 5" xfId="2359" xr:uid="{5F7B12FA-0605-402B-87CD-F3BA6D48C3E6}"/>
    <cellStyle name="Comma 6 6 2 5 2" xfId="6695" xr:uid="{906A6E59-419D-44CB-B225-DAB796CF7D6F}"/>
    <cellStyle name="Comma 6 6 2 5 2 2" xfId="15367" xr:uid="{5BF582B7-FC34-4D1F-9B51-8B7A89B990FB}"/>
    <cellStyle name="Comma 6 6 2 5 2 2 2" xfId="32711" xr:uid="{D8C96FA2-1FE9-4CE2-9155-CDBD752901C0}"/>
    <cellStyle name="Comma 6 6 2 5 2 3" xfId="24039" xr:uid="{60DCBF4C-CB05-4703-8259-A3C4D03ABABC}"/>
    <cellStyle name="Comma 6 6 2 5 3" xfId="11031" xr:uid="{A33C9958-BF7C-4EEA-A7E8-11A88F157D07}"/>
    <cellStyle name="Comma 6 6 2 5 3 2" xfId="28375" xr:uid="{662CF132-63CC-4BAC-835A-453BC6A00BC4}"/>
    <cellStyle name="Comma 6 6 2 5 4" xfId="19703" xr:uid="{3E0BBEDB-9917-4B2E-9240-082F43DDBE9A}"/>
    <cellStyle name="Comma 6 6 2 6" xfId="4527" xr:uid="{127F7FFF-196A-4DF1-B0FB-1A3FB52E6B8B}"/>
    <cellStyle name="Comma 6 6 2 6 2" xfId="13199" xr:uid="{47CC39D3-7D48-4EB0-9C6E-F307EBA9CC8B}"/>
    <cellStyle name="Comma 6 6 2 6 2 2" xfId="30543" xr:uid="{690CD720-6865-4354-8541-E469FF69B476}"/>
    <cellStyle name="Comma 6 6 2 6 3" xfId="21871" xr:uid="{C07CBC10-9477-4564-93EE-618173EA7CAB}"/>
    <cellStyle name="Comma 6 6 2 7" xfId="8863" xr:uid="{0FF9BE64-1C5D-4AF0-AE61-9BCB5A8A2C94}"/>
    <cellStyle name="Comma 6 6 2 7 2" xfId="26207" xr:uid="{AA162BC5-3854-4C63-9E7C-7C4B599FB2E8}"/>
    <cellStyle name="Comma 6 6 2 8" xfId="17535" xr:uid="{0CD0D93D-2754-48D3-AFE8-710B79D5993F}"/>
    <cellStyle name="Comma 6 6 3" xfId="339" xr:uid="{0C799875-8245-4390-AE54-5A3EF9269C81}"/>
    <cellStyle name="Comma 6 6 3 2" xfId="880" xr:uid="{C036B797-B575-4326-AD97-07719C895D67}"/>
    <cellStyle name="Comma 6 6 3 2 2" xfId="1964" xr:uid="{085DE8D0-F8D6-4178-B8D4-67D2B0675036}"/>
    <cellStyle name="Comma 6 6 3 2 2 2" xfId="4132" xr:uid="{348F2B67-0371-4FAA-819E-0DEA1FA5FC31}"/>
    <cellStyle name="Comma 6 6 3 2 2 2 2" xfId="8468" xr:uid="{AFFF2A2D-2527-4434-A3F4-59126FE33D24}"/>
    <cellStyle name="Comma 6 6 3 2 2 2 2 2" xfId="17140" xr:uid="{19E07B46-0EB1-4F65-A4C4-BF1AB41AC66A}"/>
    <cellStyle name="Comma 6 6 3 2 2 2 2 2 2" xfId="34484" xr:uid="{2BFAE6EC-5C06-406B-AE2C-E82176DA377C}"/>
    <cellStyle name="Comma 6 6 3 2 2 2 2 3" xfId="25812" xr:uid="{4121E103-EC20-4994-9E84-D38D6B5C8FC3}"/>
    <cellStyle name="Comma 6 6 3 2 2 2 3" xfId="12804" xr:uid="{F7CC8816-4C91-4CC5-B006-A4CDA8837A13}"/>
    <cellStyle name="Comma 6 6 3 2 2 2 3 2" xfId="30148" xr:uid="{2C925CB9-C4EC-4514-9B22-8B525A12ECF3}"/>
    <cellStyle name="Comma 6 6 3 2 2 2 4" xfId="21476" xr:uid="{6040EAE2-B1C2-41AA-919B-E6FE3CBBBC11}"/>
    <cellStyle name="Comma 6 6 3 2 2 3" xfId="6300" xr:uid="{B82AEB28-6AF0-432E-A788-1AA36E8A5446}"/>
    <cellStyle name="Comma 6 6 3 2 2 3 2" xfId="14972" xr:uid="{8D5E9A3C-0250-4D29-B698-21C970EF9CB6}"/>
    <cellStyle name="Comma 6 6 3 2 2 3 2 2" xfId="32316" xr:uid="{76525738-0712-4FEA-B01D-7D769459B299}"/>
    <cellStyle name="Comma 6 6 3 2 2 3 3" xfId="23644" xr:uid="{788BB0D7-0DFC-4FAE-8DDB-168B1FDCE9DA}"/>
    <cellStyle name="Comma 6 6 3 2 2 4" xfId="10636" xr:uid="{EB743EC3-55FF-40E4-9087-72B4E64B8082}"/>
    <cellStyle name="Comma 6 6 3 2 2 4 2" xfId="27980" xr:uid="{CF958084-894D-42F9-8DCB-5A5EE6D46F56}"/>
    <cellStyle name="Comma 6 6 3 2 2 5" xfId="19308" xr:uid="{121A9950-D710-4C6D-BEC3-3D7A06485EF6}"/>
    <cellStyle name="Comma 6 6 3 2 3" xfId="3048" xr:uid="{80D1F0D3-9E82-445B-9F5B-C0286AB19AC9}"/>
    <cellStyle name="Comma 6 6 3 2 3 2" xfId="7384" xr:uid="{832DD236-A92B-457E-BA03-ABDF43FAA589}"/>
    <cellStyle name="Comma 6 6 3 2 3 2 2" xfId="16056" xr:uid="{4A4DF6A6-6AF4-4A3A-A5D8-A1CD09DBCF8A}"/>
    <cellStyle name="Comma 6 6 3 2 3 2 2 2" xfId="33400" xr:uid="{B964F7A1-6303-4E1D-9B9B-EAABEE77FA12}"/>
    <cellStyle name="Comma 6 6 3 2 3 2 3" xfId="24728" xr:uid="{86C73C78-B082-4187-93F4-03E20BE06145}"/>
    <cellStyle name="Comma 6 6 3 2 3 3" xfId="11720" xr:uid="{2938B880-0A14-4E52-97B8-A18B177EFA63}"/>
    <cellStyle name="Comma 6 6 3 2 3 3 2" xfId="29064" xr:uid="{F9B23AC6-561C-4407-9474-C353EA9DDA44}"/>
    <cellStyle name="Comma 6 6 3 2 3 4" xfId="20392" xr:uid="{E4B8301C-D230-41E3-B718-E23B89EAD149}"/>
    <cellStyle name="Comma 6 6 3 2 4" xfId="5216" xr:uid="{0277226C-100C-4790-9FBB-8D7D3BBBBEDC}"/>
    <cellStyle name="Comma 6 6 3 2 4 2" xfId="13888" xr:uid="{073D1E02-2280-4BCF-BCD3-74E00A37C52E}"/>
    <cellStyle name="Comma 6 6 3 2 4 2 2" xfId="31232" xr:uid="{FC494857-C2A4-482C-A52F-8AFCD1A1E3A2}"/>
    <cellStyle name="Comma 6 6 3 2 4 3" xfId="22560" xr:uid="{AC029F71-3B80-4CB8-A130-BFF7D2DD4B13}"/>
    <cellStyle name="Comma 6 6 3 2 5" xfId="9552" xr:uid="{DA8B763C-2555-4E86-9699-1DBA7FA30B6B}"/>
    <cellStyle name="Comma 6 6 3 2 5 2" xfId="26896" xr:uid="{1304CED6-FCC0-4289-8BF6-293A7C4D3067}"/>
    <cellStyle name="Comma 6 6 3 2 6" xfId="18224" xr:uid="{25B1CFA8-A1D2-4DA2-B1F3-1ED3911AB111}"/>
    <cellStyle name="Comma 6 6 3 3" xfId="1423" xr:uid="{FAF77138-BD86-4179-8633-D192F08A303B}"/>
    <cellStyle name="Comma 6 6 3 3 2" xfId="3591" xr:uid="{3B88F50C-8846-4022-B3B6-DB74B74F0B05}"/>
    <cellStyle name="Comma 6 6 3 3 2 2" xfId="7927" xr:uid="{3B047C54-17F8-4EEF-ACCF-7FD81583FFC3}"/>
    <cellStyle name="Comma 6 6 3 3 2 2 2" xfId="16599" xr:uid="{44255D2E-EEB4-4E6C-8475-3845A7289D97}"/>
    <cellStyle name="Comma 6 6 3 3 2 2 2 2" xfId="33943" xr:uid="{37B6F199-9128-43F4-A829-D74E985174E6}"/>
    <cellStyle name="Comma 6 6 3 3 2 2 3" xfId="25271" xr:uid="{36603A53-6270-4DF1-A8CD-2B9A1B325EFA}"/>
    <cellStyle name="Comma 6 6 3 3 2 3" xfId="12263" xr:uid="{311557EF-A688-46C5-BECA-B66E5A77B11F}"/>
    <cellStyle name="Comma 6 6 3 3 2 3 2" xfId="29607" xr:uid="{B8BB2512-B2F4-4C93-AD54-17C8990D9570}"/>
    <cellStyle name="Comma 6 6 3 3 2 4" xfId="20935" xr:uid="{BD5E9ABB-600D-4EA9-920E-C1B04BD0C8BE}"/>
    <cellStyle name="Comma 6 6 3 3 3" xfId="5759" xr:uid="{68CC7565-EBB9-4689-9392-7F4294F65536}"/>
    <cellStyle name="Comma 6 6 3 3 3 2" xfId="14431" xr:uid="{87AB3C82-E162-452E-9366-8BDFF7B20BE9}"/>
    <cellStyle name="Comma 6 6 3 3 3 2 2" xfId="31775" xr:uid="{1C7E8EC9-AB34-44B3-88F3-04CC3D5799B2}"/>
    <cellStyle name="Comma 6 6 3 3 3 3" xfId="23103" xr:uid="{20C70BB8-E151-403F-8720-44B3DE1461D4}"/>
    <cellStyle name="Comma 6 6 3 3 4" xfId="10095" xr:uid="{81459445-C12E-45CD-8F2C-89604B9A14CA}"/>
    <cellStyle name="Comma 6 6 3 3 4 2" xfId="27439" xr:uid="{AB1914C3-6D43-44CC-8DB1-143D77DE9D3A}"/>
    <cellStyle name="Comma 6 6 3 3 5" xfId="18767" xr:uid="{12EC1B80-5083-41E6-8FD4-F70364FC8906}"/>
    <cellStyle name="Comma 6 6 3 4" xfId="2507" xr:uid="{EFF4E664-E292-44C0-BCE3-73118C86BA1E}"/>
    <cellStyle name="Comma 6 6 3 4 2" xfId="6843" xr:uid="{DC99D718-F698-422B-A862-07CE369EB9F8}"/>
    <cellStyle name="Comma 6 6 3 4 2 2" xfId="15515" xr:uid="{96D0F631-48DF-45DA-A50A-0F740497E1F8}"/>
    <cellStyle name="Comma 6 6 3 4 2 2 2" xfId="32859" xr:uid="{601CE85D-DFC7-4CCA-8CF3-1544C01EAF8F}"/>
    <cellStyle name="Comma 6 6 3 4 2 3" xfId="24187" xr:uid="{A4C7954D-4B5E-417E-A236-B6D502DE4744}"/>
    <cellStyle name="Comma 6 6 3 4 3" xfId="11179" xr:uid="{86E50BDE-2A63-4D56-9BCB-1FA95ACBD611}"/>
    <cellStyle name="Comma 6 6 3 4 3 2" xfId="28523" xr:uid="{797B48FA-BF02-43C3-A2F9-93D49A54E372}"/>
    <cellStyle name="Comma 6 6 3 4 4" xfId="19851" xr:uid="{4C96056B-0EB4-42F0-BCF3-7C36AC0E952B}"/>
    <cellStyle name="Comma 6 6 3 5" xfId="4675" xr:uid="{CB55344F-362D-4D01-8631-522BB3C81F59}"/>
    <cellStyle name="Comma 6 6 3 5 2" xfId="13347" xr:uid="{7D28F9DA-9CD0-48A8-A9BC-CECC577F8DE5}"/>
    <cellStyle name="Comma 6 6 3 5 2 2" xfId="30691" xr:uid="{AD27DB2E-59C8-43AD-8812-FC8853510443}"/>
    <cellStyle name="Comma 6 6 3 5 3" xfId="22019" xr:uid="{BCF5B0D8-4F37-41BA-A736-9DDD94B8702B}"/>
    <cellStyle name="Comma 6 6 3 6" xfId="9011" xr:uid="{AEEC3030-CD93-4E39-B9C2-3322CD2678CE}"/>
    <cellStyle name="Comma 6 6 3 6 2" xfId="26355" xr:uid="{28115640-589B-49F9-8B5D-60EC2669D918}"/>
    <cellStyle name="Comma 6 6 3 7" xfId="17683" xr:uid="{4FA8258E-227A-4714-A130-68EADE04D56A}"/>
    <cellStyle name="Comma 6 6 4" xfId="610" xr:uid="{F42D2ED1-8FC1-49FC-AA60-78D75C343D5E}"/>
    <cellStyle name="Comma 6 6 4 2" xfId="1694" xr:uid="{1F316D0D-31B8-4DD6-8FA6-116F02C0563C}"/>
    <cellStyle name="Comma 6 6 4 2 2" xfId="3862" xr:uid="{60D1AEF6-AF35-4086-A917-601F30CC1A82}"/>
    <cellStyle name="Comma 6 6 4 2 2 2" xfId="8198" xr:uid="{479B3BA9-33FC-4FDE-A361-4551BDB4899E}"/>
    <cellStyle name="Comma 6 6 4 2 2 2 2" xfId="16870" xr:uid="{F14DCA58-DDFE-4D0D-BDFE-BBE32C965BFD}"/>
    <cellStyle name="Comma 6 6 4 2 2 2 2 2" xfId="34214" xr:uid="{B38058CE-9D08-4675-AECA-FC1762C58DBE}"/>
    <cellStyle name="Comma 6 6 4 2 2 2 3" xfId="25542" xr:uid="{04AA5ECC-E52E-4691-B0E7-3CDC282C5EF4}"/>
    <cellStyle name="Comma 6 6 4 2 2 3" xfId="12534" xr:uid="{248C61DD-2A90-4A83-83AD-B256446B83AC}"/>
    <cellStyle name="Comma 6 6 4 2 2 3 2" xfId="29878" xr:uid="{25566C39-A357-4D78-BF2F-9C5FB40EED66}"/>
    <cellStyle name="Comma 6 6 4 2 2 4" xfId="21206" xr:uid="{23B5A639-2F7F-43AC-BD44-F295709B98DE}"/>
    <cellStyle name="Comma 6 6 4 2 3" xfId="6030" xr:uid="{07C7D12E-A774-452E-B649-57CFCD9F2D76}"/>
    <cellStyle name="Comma 6 6 4 2 3 2" xfId="14702" xr:uid="{C5D2CCC4-1F9A-4A1F-9921-93A60AF91FC1}"/>
    <cellStyle name="Comma 6 6 4 2 3 2 2" xfId="32046" xr:uid="{077C57D1-7C1B-4918-B09B-AFF91EE7CC0E}"/>
    <cellStyle name="Comma 6 6 4 2 3 3" xfId="23374" xr:uid="{13EA24C9-49F3-4DCF-B09D-15EA3123A4B0}"/>
    <cellStyle name="Comma 6 6 4 2 4" xfId="10366" xr:uid="{B380B4D5-8D2F-42A6-841F-B68B4D988451}"/>
    <cellStyle name="Comma 6 6 4 2 4 2" xfId="27710" xr:uid="{EBC213E7-18A1-4F0F-81B7-B7000343886A}"/>
    <cellStyle name="Comma 6 6 4 2 5" xfId="19038" xr:uid="{CC21F9B0-80DA-4203-BB95-AD26900EA5F8}"/>
    <cellStyle name="Comma 6 6 4 3" xfId="2778" xr:uid="{78BD197E-C25D-4D6B-B7D3-6067620715CD}"/>
    <cellStyle name="Comma 6 6 4 3 2" xfId="7114" xr:uid="{62D162DF-5BCE-4EF9-ACB5-E025798B3EF4}"/>
    <cellStyle name="Comma 6 6 4 3 2 2" xfId="15786" xr:uid="{9D83FDCE-75C3-4563-AE4B-12835B8E6786}"/>
    <cellStyle name="Comma 6 6 4 3 2 2 2" xfId="33130" xr:uid="{CED5B5F6-FC34-497D-8C74-8DA2E019A03B}"/>
    <cellStyle name="Comma 6 6 4 3 2 3" xfId="24458" xr:uid="{2A0E74DF-25E3-40F1-988E-06896FAC0C23}"/>
    <cellStyle name="Comma 6 6 4 3 3" xfId="11450" xr:uid="{31BDE9FF-D2D3-4C5A-ACAC-E7050514F36C}"/>
    <cellStyle name="Comma 6 6 4 3 3 2" xfId="28794" xr:uid="{D524838C-1481-40E7-AC5C-1FE2D344EFC2}"/>
    <cellStyle name="Comma 6 6 4 3 4" xfId="20122" xr:uid="{286BD28D-7B13-4D32-81BD-B6A3F70D38B1}"/>
    <cellStyle name="Comma 6 6 4 4" xfId="4946" xr:uid="{AE21D74D-121B-41C8-A57D-05DC0A20653F}"/>
    <cellStyle name="Comma 6 6 4 4 2" xfId="13618" xr:uid="{F01660D2-28CC-4104-BA91-BF758451A387}"/>
    <cellStyle name="Comma 6 6 4 4 2 2" xfId="30962" xr:uid="{6161D7E9-DAB0-429B-A411-4B695086DF63}"/>
    <cellStyle name="Comma 6 6 4 4 3" xfId="22290" xr:uid="{213A7BBA-B1C4-4C2B-AA75-7F2CAD0E4601}"/>
    <cellStyle name="Comma 6 6 4 5" xfId="9282" xr:uid="{5F2C33FE-0B96-48B7-8720-896B6E9B219E}"/>
    <cellStyle name="Comma 6 6 4 5 2" xfId="26626" xr:uid="{9E98DCBE-366E-48BE-B781-34BD847F5945}"/>
    <cellStyle name="Comma 6 6 4 6" xfId="17954" xr:uid="{C8F31797-3D72-42F3-8408-505679383F5D}"/>
    <cellStyle name="Comma 6 6 5" xfId="1153" xr:uid="{AAC126F8-6CC0-435B-90D9-B2DF8F69971D}"/>
    <cellStyle name="Comma 6 6 5 2" xfId="3321" xr:uid="{3ADC0124-7B92-42CD-B1ED-CCD707BA961E}"/>
    <cellStyle name="Comma 6 6 5 2 2" xfId="7657" xr:uid="{065D21E6-5BFD-470F-BE11-332E340DEEF9}"/>
    <cellStyle name="Comma 6 6 5 2 2 2" xfId="16329" xr:uid="{F24DEDB0-1C87-4B8C-B4E4-26388E9CAC94}"/>
    <cellStyle name="Comma 6 6 5 2 2 2 2" xfId="33673" xr:uid="{8098F642-8225-4A9F-B639-2CC6EC85AF56}"/>
    <cellStyle name="Comma 6 6 5 2 2 3" xfId="25001" xr:uid="{413F9081-1BA2-422B-A634-3F912C6AE952}"/>
    <cellStyle name="Comma 6 6 5 2 3" xfId="11993" xr:uid="{2068B774-46E9-44F1-ACD0-3B0F289E6628}"/>
    <cellStyle name="Comma 6 6 5 2 3 2" xfId="29337" xr:uid="{069DCB7D-EF0D-4D9B-8BDE-8E9A38F177DE}"/>
    <cellStyle name="Comma 6 6 5 2 4" xfId="20665" xr:uid="{1F32EF44-8824-4A70-9160-6523AD4A237E}"/>
    <cellStyle name="Comma 6 6 5 3" xfId="5489" xr:uid="{225E797E-DE3E-4153-BBB8-8320C37CF307}"/>
    <cellStyle name="Comma 6 6 5 3 2" xfId="14161" xr:uid="{FBAB991A-D733-4790-A1F4-A1F2CE7A1199}"/>
    <cellStyle name="Comma 6 6 5 3 2 2" xfId="31505" xr:uid="{77B79EAB-8038-47E6-804F-02827F13FACE}"/>
    <cellStyle name="Comma 6 6 5 3 3" xfId="22833" xr:uid="{3FC1A21B-287D-428B-9084-60016F9A9B42}"/>
    <cellStyle name="Comma 6 6 5 4" xfId="9825" xr:uid="{FA96F498-AE1F-4A3E-8916-102DFFA9843A}"/>
    <cellStyle name="Comma 6 6 5 4 2" xfId="27169" xr:uid="{95316508-4F54-4860-A81B-98CE9DBD625B}"/>
    <cellStyle name="Comma 6 6 5 5" xfId="18497" xr:uid="{A942A08D-B60C-4B29-89D9-6585A53F81AC}"/>
    <cellStyle name="Comma 6 6 6" xfId="2237" xr:uid="{E64CB2B9-C4C6-46FE-9D59-B1EFBFBD4311}"/>
    <cellStyle name="Comma 6 6 6 2" xfId="6573" xr:uid="{529ED364-D37F-433C-8177-58DA5B283F5D}"/>
    <cellStyle name="Comma 6 6 6 2 2" xfId="15245" xr:uid="{E4294FD9-1313-42B2-84E3-E38379E2DCDA}"/>
    <cellStyle name="Comma 6 6 6 2 2 2" xfId="32589" xr:uid="{1FE597E8-7DAE-4A93-B61E-C96D96EFDFD1}"/>
    <cellStyle name="Comma 6 6 6 2 3" xfId="23917" xr:uid="{CE7391A1-9EDF-486A-921A-31772CD2A511}"/>
    <cellStyle name="Comma 6 6 6 3" xfId="10909" xr:uid="{943C9EB4-CA20-4AF5-AC18-28DC1A7114AF}"/>
    <cellStyle name="Comma 6 6 6 3 2" xfId="28253" xr:uid="{6AB48956-DBBF-4AAD-B1D9-B7D32D4BB924}"/>
    <cellStyle name="Comma 6 6 6 4" xfId="19581" xr:uid="{1E165463-A9C0-4B2F-BBF1-7385436ABBA5}"/>
    <cellStyle name="Comma 6 6 7" xfId="4405" xr:uid="{4EBEA618-1B36-4075-801C-7C63D5BCBFE9}"/>
    <cellStyle name="Comma 6 6 7 2" xfId="13077" xr:uid="{926AB9F2-FCC0-4215-B9B6-12401B01B2B9}"/>
    <cellStyle name="Comma 6 6 7 2 2" xfId="30421" xr:uid="{EB896BB1-6855-4874-9DA9-CFBC512DD3B1}"/>
    <cellStyle name="Comma 6 6 7 3" xfId="21749" xr:uid="{4B432642-2453-4649-8C7C-1C1D9972EBD5}"/>
    <cellStyle name="Comma 6 6 8" xfId="8741" xr:uid="{040D841F-7471-4FD8-90B4-D2439BE7F6C4}"/>
    <cellStyle name="Comma 6 6 8 2" xfId="26085" xr:uid="{08D5A6B4-1A24-4334-9831-A8D915F176A1}"/>
    <cellStyle name="Comma 6 6 9" xfId="17413" xr:uid="{BB2E47D6-603D-471C-94FD-DA5AB17AB854}"/>
    <cellStyle name="Comma 6 7" xfId="130" xr:uid="{73C81830-90F7-4942-9FDF-5C4EAB7A4AAB}"/>
    <cellStyle name="Comma 6 7 2" xfId="400" xr:uid="{B7B26C84-5EC7-44BE-A8D3-E62B8A890A11}"/>
    <cellStyle name="Comma 6 7 2 2" xfId="941" xr:uid="{56E8C289-3999-4681-975D-CE907D54DD15}"/>
    <cellStyle name="Comma 6 7 2 2 2" xfId="2025" xr:uid="{6195A649-5EE7-4629-9963-CE9D49004825}"/>
    <cellStyle name="Comma 6 7 2 2 2 2" xfId="4193" xr:uid="{3120070A-BAA2-46D0-A750-FA9291B099E6}"/>
    <cellStyle name="Comma 6 7 2 2 2 2 2" xfId="8529" xr:uid="{73455330-801A-4F20-BE52-15E721E1DC6B}"/>
    <cellStyle name="Comma 6 7 2 2 2 2 2 2" xfId="17201" xr:uid="{9D044D46-46FA-4AF0-90E6-29F1148E0F42}"/>
    <cellStyle name="Comma 6 7 2 2 2 2 2 2 2" xfId="34545" xr:uid="{F9222FCC-292D-40F4-94AC-9E4F13F8909D}"/>
    <cellStyle name="Comma 6 7 2 2 2 2 2 3" xfId="25873" xr:uid="{E94A01B7-698C-470F-9593-1F7785A1C420}"/>
    <cellStyle name="Comma 6 7 2 2 2 2 3" xfId="12865" xr:uid="{232E09C5-619C-4ED0-B35F-3D161634CA53}"/>
    <cellStyle name="Comma 6 7 2 2 2 2 3 2" xfId="30209" xr:uid="{16FC38D2-5D2F-45DD-BA32-851491AB5C2F}"/>
    <cellStyle name="Comma 6 7 2 2 2 2 4" xfId="21537" xr:uid="{23BADC1A-345F-44C0-9311-25225C097BDF}"/>
    <cellStyle name="Comma 6 7 2 2 2 3" xfId="6361" xr:uid="{7266FC78-93E0-465D-8CD4-6E345BA11B96}"/>
    <cellStyle name="Comma 6 7 2 2 2 3 2" xfId="15033" xr:uid="{91FF5A37-B22D-4760-90B7-AB36A42D617A}"/>
    <cellStyle name="Comma 6 7 2 2 2 3 2 2" xfId="32377" xr:uid="{9F545081-6D7D-4B74-B84C-4D84C5FB6463}"/>
    <cellStyle name="Comma 6 7 2 2 2 3 3" xfId="23705" xr:uid="{C2266A09-C8DB-4567-8F55-8451966AAFBE}"/>
    <cellStyle name="Comma 6 7 2 2 2 4" xfId="10697" xr:uid="{5748D097-265E-4AF6-A0FC-CA3E98A70618}"/>
    <cellStyle name="Comma 6 7 2 2 2 4 2" xfId="28041" xr:uid="{7130FF7D-2F8F-48CC-820E-B78FA4D2DBEE}"/>
    <cellStyle name="Comma 6 7 2 2 2 5" xfId="19369" xr:uid="{D8129DB7-EBB1-4CAF-8D4B-D95E9ECD8996}"/>
    <cellStyle name="Comma 6 7 2 2 3" xfId="3109" xr:uid="{679FEDA6-1437-4715-84BE-6B87493BE4E3}"/>
    <cellStyle name="Comma 6 7 2 2 3 2" xfId="7445" xr:uid="{AF9BFD05-CE61-4E2F-8CB8-5852E96E859B}"/>
    <cellStyle name="Comma 6 7 2 2 3 2 2" xfId="16117" xr:uid="{D59F7F9D-E3F3-4177-A189-4FC6CCE7DF51}"/>
    <cellStyle name="Comma 6 7 2 2 3 2 2 2" xfId="33461" xr:uid="{3D1A1A83-C7AF-46DF-AC58-CE0D18C225B5}"/>
    <cellStyle name="Comma 6 7 2 2 3 2 3" xfId="24789" xr:uid="{40128FAB-D9E5-452E-A42F-3BDF7102FF72}"/>
    <cellStyle name="Comma 6 7 2 2 3 3" xfId="11781" xr:uid="{EDC3FEE2-4ABC-456B-9B54-B3C569D2CF0D}"/>
    <cellStyle name="Comma 6 7 2 2 3 3 2" xfId="29125" xr:uid="{EB10EE93-7299-40EE-B287-5EF64E5FEA03}"/>
    <cellStyle name="Comma 6 7 2 2 3 4" xfId="20453" xr:uid="{C2F7328E-D1EC-4156-A40C-69543E547A81}"/>
    <cellStyle name="Comma 6 7 2 2 4" xfId="5277" xr:uid="{585FBF94-B5AE-41C9-AEA4-DF6490AF6F85}"/>
    <cellStyle name="Comma 6 7 2 2 4 2" xfId="13949" xr:uid="{EE237BE0-41FE-4AC8-BC99-9B8492267A60}"/>
    <cellStyle name="Comma 6 7 2 2 4 2 2" xfId="31293" xr:uid="{ADF6B847-4C39-47FC-8EE5-C72E50B9C609}"/>
    <cellStyle name="Comma 6 7 2 2 4 3" xfId="22621" xr:uid="{E7205993-8C3C-4413-B496-CA5D53253424}"/>
    <cellStyle name="Comma 6 7 2 2 5" xfId="9613" xr:uid="{E95ABF2E-BB00-4FD1-949A-A77E89A63E9C}"/>
    <cellStyle name="Comma 6 7 2 2 5 2" xfId="26957" xr:uid="{74576877-D6A9-4438-80D5-EE5BAB9B8316}"/>
    <cellStyle name="Comma 6 7 2 2 6" xfId="18285" xr:uid="{7B49AD65-8EBB-4A57-B8A0-FD04BF32E12F}"/>
    <cellStyle name="Comma 6 7 2 3" xfId="1484" xr:uid="{D3729DDF-CE12-4FB0-9700-3FF8853FF179}"/>
    <cellStyle name="Comma 6 7 2 3 2" xfId="3652" xr:uid="{0146943A-08BE-4545-92B2-1F4CDE86CA3A}"/>
    <cellStyle name="Comma 6 7 2 3 2 2" xfId="7988" xr:uid="{7048150B-0D79-4CEC-BFB5-5346A7018A18}"/>
    <cellStyle name="Comma 6 7 2 3 2 2 2" xfId="16660" xr:uid="{6862230B-A872-43D8-9C64-F1584B208844}"/>
    <cellStyle name="Comma 6 7 2 3 2 2 2 2" xfId="34004" xr:uid="{069711DF-A668-4ED7-BF58-5104FD1CB283}"/>
    <cellStyle name="Comma 6 7 2 3 2 2 3" xfId="25332" xr:uid="{7AE8B8F9-94AA-4D19-B186-EE25808A2062}"/>
    <cellStyle name="Comma 6 7 2 3 2 3" xfId="12324" xr:uid="{2A48C3E1-DABA-45D6-97B5-10C4652778BB}"/>
    <cellStyle name="Comma 6 7 2 3 2 3 2" xfId="29668" xr:uid="{7CB56459-FBB0-44E4-AC97-44EB2A5D1E42}"/>
    <cellStyle name="Comma 6 7 2 3 2 4" xfId="20996" xr:uid="{3A0A388B-130A-4A62-81B9-924E32B3096A}"/>
    <cellStyle name="Comma 6 7 2 3 3" xfId="5820" xr:uid="{EB85D25F-C72E-4455-9B11-C583987FB41D}"/>
    <cellStyle name="Comma 6 7 2 3 3 2" xfId="14492" xr:uid="{0388282E-3236-48F8-8AB4-CADA2F17BEBA}"/>
    <cellStyle name="Comma 6 7 2 3 3 2 2" xfId="31836" xr:uid="{882BC25C-F86A-4C1D-AEC2-E2DCB7ADF74A}"/>
    <cellStyle name="Comma 6 7 2 3 3 3" xfId="23164" xr:uid="{CC057E99-D3E8-4204-9985-6B853B71BFB7}"/>
    <cellStyle name="Comma 6 7 2 3 4" xfId="10156" xr:uid="{50230000-7202-4AD3-80C2-3423FBC6F1BB}"/>
    <cellStyle name="Comma 6 7 2 3 4 2" xfId="27500" xr:uid="{D0122F19-FD1A-41E4-B83B-613879AD478B}"/>
    <cellStyle name="Comma 6 7 2 3 5" xfId="18828" xr:uid="{F7AF1A0A-0A46-4E17-A34A-1AC3BB1119FE}"/>
    <cellStyle name="Comma 6 7 2 4" xfId="2568" xr:uid="{736AC0D2-47E9-4B7D-951F-01521F6B7113}"/>
    <cellStyle name="Comma 6 7 2 4 2" xfId="6904" xr:uid="{AA817F3F-B8CF-4212-8F6E-923DF470CEB7}"/>
    <cellStyle name="Comma 6 7 2 4 2 2" xfId="15576" xr:uid="{ABAA84F6-05F4-4914-AA1E-3A3AB8970801}"/>
    <cellStyle name="Comma 6 7 2 4 2 2 2" xfId="32920" xr:uid="{E83FE69A-35F8-4EF0-93AE-C6930B806FF4}"/>
    <cellStyle name="Comma 6 7 2 4 2 3" xfId="24248" xr:uid="{2043810F-3A72-44A7-A7C9-BC1FBEE6D14C}"/>
    <cellStyle name="Comma 6 7 2 4 3" xfId="11240" xr:uid="{2AC278DB-BAC3-48E9-80B7-A0910A5CEA6E}"/>
    <cellStyle name="Comma 6 7 2 4 3 2" xfId="28584" xr:uid="{DB5DFBF3-373E-4FED-B3AE-3FFA5D7452B9}"/>
    <cellStyle name="Comma 6 7 2 4 4" xfId="19912" xr:uid="{559E4B03-6486-431F-82ED-E6EC33342D11}"/>
    <cellStyle name="Comma 6 7 2 5" xfId="4736" xr:uid="{18EACABE-0899-49D3-8957-6E9A1B56951F}"/>
    <cellStyle name="Comma 6 7 2 5 2" xfId="13408" xr:uid="{818C8A32-5658-4CA4-8626-C63B001957F8}"/>
    <cellStyle name="Comma 6 7 2 5 2 2" xfId="30752" xr:uid="{A8CE793B-AFE0-45AD-876C-1B2BBCB4E6A0}"/>
    <cellStyle name="Comma 6 7 2 5 3" xfId="22080" xr:uid="{B5D806B5-DB57-4339-A9D8-5EDEA3801B2C}"/>
    <cellStyle name="Comma 6 7 2 6" xfId="9072" xr:uid="{C136F837-32BE-4764-9457-AFB1929FE34F}"/>
    <cellStyle name="Comma 6 7 2 6 2" xfId="26416" xr:uid="{D80798F0-A78C-4559-B944-3075DEBC1BF7}"/>
    <cellStyle name="Comma 6 7 2 7" xfId="17744" xr:uid="{8A232779-3658-4265-886A-E08C46D43361}"/>
    <cellStyle name="Comma 6 7 3" xfId="671" xr:uid="{D76EF821-A0A6-46A4-9153-8D6887113995}"/>
    <cellStyle name="Comma 6 7 3 2" xfId="1755" xr:uid="{E73F2931-A13A-46C5-AD61-6FA99CE3B9FE}"/>
    <cellStyle name="Comma 6 7 3 2 2" xfId="3923" xr:uid="{5D548FFB-6A5F-4B61-BED2-BE1398723CEC}"/>
    <cellStyle name="Comma 6 7 3 2 2 2" xfId="8259" xr:uid="{8C7FF167-A3CC-4894-9BAD-37915AB2B270}"/>
    <cellStyle name="Comma 6 7 3 2 2 2 2" xfId="16931" xr:uid="{C6718CA7-1F86-4767-B6C3-D6F2A9A665E9}"/>
    <cellStyle name="Comma 6 7 3 2 2 2 2 2" xfId="34275" xr:uid="{52173D34-48A8-417B-B5FD-A79C9023EFCF}"/>
    <cellStyle name="Comma 6 7 3 2 2 2 3" xfId="25603" xr:uid="{107A4392-76C6-4E4E-8BE8-B34B23896A4E}"/>
    <cellStyle name="Comma 6 7 3 2 2 3" xfId="12595" xr:uid="{2F8772A0-52F4-4EDA-826C-BD0C10C43337}"/>
    <cellStyle name="Comma 6 7 3 2 2 3 2" xfId="29939" xr:uid="{4D02C473-064A-42F1-80F0-38C3CCE8A826}"/>
    <cellStyle name="Comma 6 7 3 2 2 4" xfId="21267" xr:uid="{FEED072B-2FB3-4F7D-B714-79000DC836B4}"/>
    <cellStyle name="Comma 6 7 3 2 3" xfId="6091" xr:uid="{2EC3916D-6BCE-4926-B0A9-3FD1DA7EAA0D}"/>
    <cellStyle name="Comma 6 7 3 2 3 2" xfId="14763" xr:uid="{268DA088-C723-4984-AD56-79D2E7ADD661}"/>
    <cellStyle name="Comma 6 7 3 2 3 2 2" xfId="32107" xr:uid="{7011ADC2-D2BB-4130-8C40-4F91D4C1CE5D}"/>
    <cellStyle name="Comma 6 7 3 2 3 3" xfId="23435" xr:uid="{7A63E3E6-5F53-4214-9FA3-9FCB37F6FF53}"/>
    <cellStyle name="Comma 6 7 3 2 4" xfId="10427" xr:uid="{6D992456-5E7F-4A59-961D-6A5D1C080A3D}"/>
    <cellStyle name="Comma 6 7 3 2 4 2" xfId="27771" xr:uid="{91176F06-A164-415E-A804-BAB3C872AAFC}"/>
    <cellStyle name="Comma 6 7 3 2 5" xfId="19099" xr:uid="{3029AB75-42F6-40AB-B092-8B5A9C31CE87}"/>
    <cellStyle name="Comma 6 7 3 3" xfId="2839" xr:uid="{C1CAD363-C8C9-44DF-B0AE-0695A44A6BD2}"/>
    <cellStyle name="Comma 6 7 3 3 2" xfId="7175" xr:uid="{6FEB3CFC-517C-4EE5-94DC-F497998DD2D1}"/>
    <cellStyle name="Comma 6 7 3 3 2 2" xfId="15847" xr:uid="{DAE0BFDD-0F35-4AC8-9ECA-CC8549EF6646}"/>
    <cellStyle name="Comma 6 7 3 3 2 2 2" xfId="33191" xr:uid="{20032F0A-C5D1-4BE3-A637-B80EF0494140}"/>
    <cellStyle name="Comma 6 7 3 3 2 3" xfId="24519" xr:uid="{43FF8447-7BDD-4CE5-B158-8F671E16EF3A}"/>
    <cellStyle name="Comma 6 7 3 3 3" xfId="11511" xr:uid="{155FC108-2604-44A1-BB59-E9381372D249}"/>
    <cellStyle name="Comma 6 7 3 3 3 2" xfId="28855" xr:uid="{5864C93A-063C-4CD7-BF7B-71C502540D7F}"/>
    <cellStyle name="Comma 6 7 3 3 4" xfId="20183" xr:uid="{0B3F1F6B-2AAF-4A32-85A7-182F4D4A102A}"/>
    <cellStyle name="Comma 6 7 3 4" xfId="5007" xr:uid="{B1438D36-983E-41B4-A91B-5156C261D003}"/>
    <cellStyle name="Comma 6 7 3 4 2" xfId="13679" xr:uid="{7A4E7231-6AD8-4207-8169-1D27D3688B45}"/>
    <cellStyle name="Comma 6 7 3 4 2 2" xfId="31023" xr:uid="{F8E7CC2D-1DE0-4948-BA0D-38912D1C00A7}"/>
    <cellStyle name="Comma 6 7 3 4 3" xfId="22351" xr:uid="{BF06F79E-31F6-4AAB-A851-167487063DA0}"/>
    <cellStyle name="Comma 6 7 3 5" xfId="9343" xr:uid="{88DD3AB6-3933-454F-9938-57FA9FB0DE02}"/>
    <cellStyle name="Comma 6 7 3 5 2" xfId="26687" xr:uid="{4C0AC00A-BEF8-4798-9270-4771D1BD9078}"/>
    <cellStyle name="Comma 6 7 3 6" xfId="18015" xr:uid="{048C4481-817D-4B3F-9CF3-690A7A3595DF}"/>
    <cellStyle name="Comma 6 7 4" xfId="1214" xr:uid="{14CBDDD0-5705-4A57-8AED-D2365F5CBBEC}"/>
    <cellStyle name="Comma 6 7 4 2" xfId="3382" xr:uid="{E02F06BC-DDA3-42CA-8339-CFA05C76AE5D}"/>
    <cellStyle name="Comma 6 7 4 2 2" xfId="7718" xr:uid="{D79AB787-54B9-4769-B98F-6F9F00EE1C14}"/>
    <cellStyle name="Comma 6 7 4 2 2 2" xfId="16390" xr:uid="{BDB52CDF-7516-4EDC-95BD-327C5C857B43}"/>
    <cellStyle name="Comma 6 7 4 2 2 2 2" xfId="33734" xr:uid="{18E91472-4D01-4CA6-8696-BC3E44B281A7}"/>
    <cellStyle name="Comma 6 7 4 2 2 3" xfId="25062" xr:uid="{2B73E878-D1EE-465A-8B45-4104B3603026}"/>
    <cellStyle name="Comma 6 7 4 2 3" xfId="12054" xr:uid="{E4C8CC81-A2EE-41B8-90A9-B7412DD25318}"/>
    <cellStyle name="Comma 6 7 4 2 3 2" xfId="29398" xr:uid="{C915E361-8E15-4824-8497-76B5A6D8AF26}"/>
    <cellStyle name="Comma 6 7 4 2 4" xfId="20726" xr:uid="{00D12551-C996-422A-9838-1A71270C7C79}"/>
    <cellStyle name="Comma 6 7 4 3" xfId="5550" xr:uid="{0941184A-C5DB-4017-AFCF-49EE71206534}"/>
    <cellStyle name="Comma 6 7 4 3 2" xfId="14222" xr:uid="{CD3E2EB5-9D0E-4F7E-88EA-92DA8C597F87}"/>
    <cellStyle name="Comma 6 7 4 3 2 2" xfId="31566" xr:uid="{5876C887-B73A-4BE0-83AB-2FA6A4AAB669}"/>
    <cellStyle name="Comma 6 7 4 3 3" xfId="22894" xr:uid="{0E96A921-3F68-46A0-B30C-65C132CFF150}"/>
    <cellStyle name="Comma 6 7 4 4" xfId="9886" xr:uid="{F8089839-0B20-45CB-AEAB-96B9A0D556E3}"/>
    <cellStyle name="Comma 6 7 4 4 2" xfId="27230" xr:uid="{51DC1686-E846-4658-B350-3F37FFB0EDC7}"/>
    <cellStyle name="Comma 6 7 4 5" xfId="18558" xr:uid="{C9627FF0-939F-4A37-81AF-936C0492FAE5}"/>
    <cellStyle name="Comma 6 7 5" xfId="2298" xr:uid="{0CA4EE1F-ECAC-418A-BD32-1E68B0ED9300}"/>
    <cellStyle name="Comma 6 7 5 2" xfId="6634" xr:uid="{0BF9A571-E3D7-43FE-A0A9-617DEB51C905}"/>
    <cellStyle name="Comma 6 7 5 2 2" xfId="15306" xr:uid="{B9D1A9A0-3715-4388-9E3C-7E04D2B901FA}"/>
    <cellStyle name="Comma 6 7 5 2 2 2" xfId="32650" xr:uid="{6C28ADCD-91A6-4670-9B59-AE0F6411B1FA}"/>
    <cellStyle name="Comma 6 7 5 2 3" xfId="23978" xr:uid="{3DC49645-CE94-4AB8-BA34-37C6A37D01C2}"/>
    <cellStyle name="Comma 6 7 5 3" xfId="10970" xr:uid="{6D786AFB-31D3-4772-8232-EC5B85D7DA09}"/>
    <cellStyle name="Comma 6 7 5 3 2" xfId="28314" xr:uid="{AE7D1E23-AB13-4CC6-BA45-9116D1D76E57}"/>
    <cellStyle name="Comma 6 7 5 4" xfId="19642" xr:uid="{5DDEA461-2391-4727-8508-1E2C625A769D}"/>
    <cellStyle name="Comma 6 7 6" xfId="4466" xr:uid="{A72FCE2C-FCB2-4D6C-B82B-66D1ADFAE167}"/>
    <cellStyle name="Comma 6 7 6 2" xfId="13138" xr:uid="{D5241640-9538-4FBE-8C11-46BB7D2FD0D9}"/>
    <cellStyle name="Comma 6 7 6 2 2" xfId="30482" xr:uid="{7611DB06-F293-4168-97D7-AB6A6AA4E808}"/>
    <cellStyle name="Comma 6 7 6 3" xfId="21810" xr:uid="{B2898850-271C-467C-A051-00F34DBDB556}"/>
    <cellStyle name="Comma 6 7 7" xfId="8802" xr:uid="{248096A8-1904-4991-B23B-B5C828AB6DD8}"/>
    <cellStyle name="Comma 6 7 7 2" xfId="26146" xr:uid="{F8A3616C-6ABB-44A0-A3F8-FDE2886F4C0D}"/>
    <cellStyle name="Comma 6 7 8" xfId="17474" xr:uid="{896BD187-6BB1-43B9-910D-25BC14824A55}"/>
    <cellStyle name="Comma 6 8" xfId="249" xr:uid="{6F50651C-87E7-4261-A131-9D40AFDF78D0}"/>
    <cellStyle name="Comma 6 8 2" xfId="519" xr:uid="{CE3B8E65-8758-412C-ACFF-178E7354DBD3}"/>
    <cellStyle name="Comma 6 8 2 2" xfId="1060" xr:uid="{82B8EDC6-5EC6-4A82-922B-1AF942767D31}"/>
    <cellStyle name="Comma 6 8 2 2 2" xfId="2144" xr:uid="{E5C546A3-1652-49D6-A26C-E8E4A2A3BF82}"/>
    <cellStyle name="Comma 6 8 2 2 2 2" xfId="4312" xr:uid="{88F9772A-9AC6-4727-A6F0-C293CCD018C3}"/>
    <cellStyle name="Comma 6 8 2 2 2 2 2" xfId="8648" xr:uid="{D93C21E1-9EA2-49BB-BA74-9DD1843F6E7E}"/>
    <cellStyle name="Comma 6 8 2 2 2 2 2 2" xfId="17320" xr:uid="{3B6E3D8C-A2F8-4DA4-9A1D-5B6C5153D5A2}"/>
    <cellStyle name="Comma 6 8 2 2 2 2 2 2 2" xfId="34664" xr:uid="{DAA4B15B-6A41-43AA-B372-BEDB975E358B}"/>
    <cellStyle name="Comma 6 8 2 2 2 2 2 3" xfId="25992" xr:uid="{18005ADA-BA3F-4452-83F3-A39FC67DF117}"/>
    <cellStyle name="Comma 6 8 2 2 2 2 3" xfId="12984" xr:uid="{1AE002CB-D5C4-4C36-9BF5-CAE0C7B8CEF0}"/>
    <cellStyle name="Comma 6 8 2 2 2 2 3 2" xfId="30328" xr:uid="{1E0F2495-1B97-47D7-B5A8-D911D4766EA8}"/>
    <cellStyle name="Comma 6 8 2 2 2 2 4" xfId="21656" xr:uid="{1F2CF247-296B-4F26-A42A-73AF759A5032}"/>
    <cellStyle name="Comma 6 8 2 2 2 3" xfId="6480" xr:uid="{CABFF55C-3B85-447C-9E3D-561F5A29F074}"/>
    <cellStyle name="Comma 6 8 2 2 2 3 2" xfId="15152" xr:uid="{C24B2820-82D2-4BC3-BAF0-4A4578F74CA4}"/>
    <cellStyle name="Comma 6 8 2 2 2 3 2 2" xfId="32496" xr:uid="{07B59E58-86C4-411F-9273-9302940537C8}"/>
    <cellStyle name="Comma 6 8 2 2 2 3 3" xfId="23824" xr:uid="{63E20260-8DE6-41B9-892D-CB3DED5B8928}"/>
    <cellStyle name="Comma 6 8 2 2 2 4" xfId="10816" xr:uid="{85A6B317-EA2B-4D17-B5B9-6208AEBC933B}"/>
    <cellStyle name="Comma 6 8 2 2 2 4 2" xfId="28160" xr:uid="{22AFFA51-E042-4BE1-ADDC-A5D7E3F3B477}"/>
    <cellStyle name="Comma 6 8 2 2 2 5" xfId="19488" xr:uid="{A09D8425-5CC5-468E-8E27-3E9259FAF670}"/>
    <cellStyle name="Comma 6 8 2 2 3" xfId="3228" xr:uid="{B23E6EB7-1B72-49E8-9105-1A6728FDB9DC}"/>
    <cellStyle name="Comma 6 8 2 2 3 2" xfId="7564" xr:uid="{807F9457-4376-4DF3-90C5-B59F17BB8D9E}"/>
    <cellStyle name="Comma 6 8 2 2 3 2 2" xfId="16236" xr:uid="{E7AD1660-DD9D-453E-B87E-B6F030E04866}"/>
    <cellStyle name="Comma 6 8 2 2 3 2 2 2" xfId="33580" xr:uid="{D82AE0C9-B29D-4FB2-B6CA-4018A2CBE8CE}"/>
    <cellStyle name="Comma 6 8 2 2 3 2 3" xfId="24908" xr:uid="{C9F3E541-07F4-43C2-A7C4-714B7F942088}"/>
    <cellStyle name="Comma 6 8 2 2 3 3" xfId="11900" xr:uid="{7BD1974E-2176-48DD-84F3-3E19F53FCF95}"/>
    <cellStyle name="Comma 6 8 2 2 3 3 2" xfId="29244" xr:uid="{03916C20-8B73-4920-970A-BD6B1E7A1921}"/>
    <cellStyle name="Comma 6 8 2 2 3 4" xfId="20572" xr:uid="{136DF37E-7DC8-4E3C-8650-49FF22546B8B}"/>
    <cellStyle name="Comma 6 8 2 2 4" xfId="5396" xr:uid="{D7891727-C1CD-4306-AC57-D3AA4ECD4691}"/>
    <cellStyle name="Comma 6 8 2 2 4 2" xfId="14068" xr:uid="{9BF92303-4E66-4DD5-B922-B693F5D036A7}"/>
    <cellStyle name="Comma 6 8 2 2 4 2 2" xfId="31412" xr:uid="{D22856B4-5852-46A9-84E1-FC74C1A57898}"/>
    <cellStyle name="Comma 6 8 2 2 4 3" xfId="22740" xr:uid="{E15EAA80-6BC5-4DB0-AFDF-060787C85F30}"/>
    <cellStyle name="Comma 6 8 2 2 5" xfId="9732" xr:uid="{B79D619B-A13B-40FC-9A50-15E36C087C35}"/>
    <cellStyle name="Comma 6 8 2 2 5 2" xfId="27076" xr:uid="{B84EFA8B-45E3-4755-BFB7-BD8C667B7FCD}"/>
    <cellStyle name="Comma 6 8 2 2 6" xfId="18404" xr:uid="{8CFA860F-9208-42F0-A7EC-C52EF1C96D08}"/>
    <cellStyle name="Comma 6 8 2 3" xfId="1603" xr:uid="{8ABD3D81-2FD0-4430-9109-0C7C441748AF}"/>
    <cellStyle name="Comma 6 8 2 3 2" xfId="3771" xr:uid="{4E1296D4-4F26-4C5A-AC37-1230B94CF71C}"/>
    <cellStyle name="Comma 6 8 2 3 2 2" xfId="8107" xr:uid="{3869899C-0C13-4BBB-A6A7-F889ACE48C8D}"/>
    <cellStyle name="Comma 6 8 2 3 2 2 2" xfId="16779" xr:uid="{B570613F-D062-4B0B-957E-106D26F157F6}"/>
    <cellStyle name="Comma 6 8 2 3 2 2 2 2" xfId="34123" xr:uid="{2DD6E0BB-CCB3-4FBC-BE97-D7CBEF1BD2D8}"/>
    <cellStyle name="Comma 6 8 2 3 2 2 3" xfId="25451" xr:uid="{CF8AFDC6-794A-4A9E-8AEF-35546585D03D}"/>
    <cellStyle name="Comma 6 8 2 3 2 3" xfId="12443" xr:uid="{CADE9783-0DDB-48F8-ADC0-62DEB38183FB}"/>
    <cellStyle name="Comma 6 8 2 3 2 3 2" xfId="29787" xr:uid="{F1968177-6038-4C2E-AB9F-CF36059F8402}"/>
    <cellStyle name="Comma 6 8 2 3 2 4" xfId="21115" xr:uid="{66795BE7-63EB-4772-9A00-F93260A79431}"/>
    <cellStyle name="Comma 6 8 2 3 3" xfId="5939" xr:uid="{B0697539-11C5-4CEC-8F51-9F4B2756EDEA}"/>
    <cellStyle name="Comma 6 8 2 3 3 2" xfId="14611" xr:uid="{DB83D4FF-AFBB-4C97-9195-5C168DA66707}"/>
    <cellStyle name="Comma 6 8 2 3 3 2 2" xfId="31955" xr:uid="{675C6F2A-FFBB-4FEC-A8BD-448AB4BD724F}"/>
    <cellStyle name="Comma 6 8 2 3 3 3" xfId="23283" xr:uid="{619DFD19-F780-47F5-B8ED-A504031DA804}"/>
    <cellStyle name="Comma 6 8 2 3 4" xfId="10275" xr:uid="{B3C05FB9-9673-4546-8343-4DB20DF01EF4}"/>
    <cellStyle name="Comma 6 8 2 3 4 2" xfId="27619" xr:uid="{A937D687-D563-4D89-9291-0C5D47082662}"/>
    <cellStyle name="Comma 6 8 2 3 5" xfId="18947" xr:uid="{16523773-23E8-4F65-8CDF-9733C884109E}"/>
    <cellStyle name="Comma 6 8 2 4" xfId="2687" xr:uid="{00F0E61D-9867-4724-B306-B16DD61295FF}"/>
    <cellStyle name="Comma 6 8 2 4 2" xfId="7023" xr:uid="{1CFD5D93-7388-40B0-9839-1EAF8CCB41E6}"/>
    <cellStyle name="Comma 6 8 2 4 2 2" xfId="15695" xr:uid="{4D3200D9-E563-4229-9870-0B2FF70837AE}"/>
    <cellStyle name="Comma 6 8 2 4 2 2 2" xfId="33039" xr:uid="{5BA4E434-33E1-4AA9-96AD-3774074C1AA7}"/>
    <cellStyle name="Comma 6 8 2 4 2 3" xfId="24367" xr:uid="{70EB3C0A-00F9-481C-A1FE-ED19F19F363C}"/>
    <cellStyle name="Comma 6 8 2 4 3" xfId="11359" xr:uid="{0086E64A-6532-41A1-BB31-E2C34D4A7465}"/>
    <cellStyle name="Comma 6 8 2 4 3 2" xfId="28703" xr:uid="{03B682D2-2637-498E-BB48-3E321808BB7C}"/>
    <cellStyle name="Comma 6 8 2 4 4" xfId="20031" xr:uid="{6CD74932-D642-428C-BE10-6A4982ED191C}"/>
    <cellStyle name="Comma 6 8 2 5" xfId="4855" xr:uid="{85ECD4AF-5B2F-4BFC-AC15-7679E50475C9}"/>
    <cellStyle name="Comma 6 8 2 5 2" xfId="13527" xr:uid="{6D56570E-0A15-4731-98F7-4D04E6D68F81}"/>
    <cellStyle name="Comma 6 8 2 5 2 2" xfId="30871" xr:uid="{0B03A3DC-9C8A-45D2-9858-5BE1C48DB6A7}"/>
    <cellStyle name="Comma 6 8 2 5 3" xfId="22199" xr:uid="{D24E7CC7-49AE-4303-82CB-3565EF64A0B2}"/>
    <cellStyle name="Comma 6 8 2 6" xfId="9191" xr:uid="{56283679-CA60-44D0-B67C-782A10896E45}"/>
    <cellStyle name="Comma 6 8 2 6 2" xfId="26535" xr:uid="{D012B6B1-6D12-4ED2-8992-6A699532D8C2}"/>
    <cellStyle name="Comma 6 8 2 7" xfId="17863" xr:uid="{AFC3DC16-E696-41BB-B5E7-3C16A973C80F}"/>
    <cellStyle name="Comma 6 8 3" xfId="790" xr:uid="{8F15DB40-F3BD-4B92-A020-F387FA66D328}"/>
    <cellStyle name="Comma 6 8 3 2" xfId="1874" xr:uid="{C9ABC851-06BD-4A9F-87E6-6F9DEF880D12}"/>
    <cellStyle name="Comma 6 8 3 2 2" xfId="4042" xr:uid="{55A40A7B-6095-4309-AE07-2B7218A016EB}"/>
    <cellStyle name="Comma 6 8 3 2 2 2" xfId="8378" xr:uid="{D5DD809F-C4BA-4494-A00E-62851992C7E2}"/>
    <cellStyle name="Comma 6 8 3 2 2 2 2" xfId="17050" xr:uid="{62A5BD9F-DA8C-42C1-B083-5DFC9EBA35E3}"/>
    <cellStyle name="Comma 6 8 3 2 2 2 2 2" xfId="34394" xr:uid="{01D3EF8C-F6BA-4A43-B8A7-590E0801F105}"/>
    <cellStyle name="Comma 6 8 3 2 2 2 3" xfId="25722" xr:uid="{A7041F9E-CA5A-4EE9-A854-AF775364C862}"/>
    <cellStyle name="Comma 6 8 3 2 2 3" xfId="12714" xr:uid="{7FCB3284-A79A-4F96-A348-2A1475D1D3FA}"/>
    <cellStyle name="Comma 6 8 3 2 2 3 2" xfId="30058" xr:uid="{33D3482A-C34C-403A-86C5-F3331B9B4061}"/>
    <cellStyle name="Comma 6 8 3 2 2 4" xfId="21386" xr:uid="{CF3D9395-9037-42D1-B2EA-09285DB88A59}"/>
    <cellStyle name="Comma 6 8 3 2 3" xfId="6210" xr:uid="{51F01980-8BC0-4165-9AD8-3EBF11A82BDC}"/>
    <cellStyle name="Comma 6 8 3 2 3 2" xfId="14882" xr:uid="{B4F23824-DE96-4886-9CF7-A0CC14F02276}"/>
    <cellStyle name="Comma 6 8 3 2 3 2 2" xfId="32226" xr:uid="{E105D35E-A16F-4988-B2F5-86DF333C2F90}"/>
    <cellStyle name="Comma 6 8 3 2 3 3" xfId="23554" xr:uid="{D81C5C6F-27A4-4903-97B2-20093EE5E518}"/>
    <cellStyle name="Comma 6 8 3 2 4" xfId="10546" xr:uid="{8664E068-5FC4-4A30-AA98-3FF8A2745AE6}"/>
    <cellStyle name="Comma 6 8 3 2 4 2" xfId="27890" xr:uid="{4AC2D8A1-E7FF-4154-B78F-411EBB8884D4}"/>
    <cellStyle name="Comma 6 8 3 2 5" xfId="19218" xr:uid="{0496CB8A-1DCE-4E8C-A0D0-D26EC520E02F}"/>
    <cellStyle name="Comma 6 8 3 3" xfId="2958" xr:uid="{AB826705-2658-4BD5-88EB-2C33588F2931}"/>
    <cellStyle name="Comma 6 8 3 3 2" xfId="7294" xr:uid="{5177B5D7-7EBD-4C66-A834-2D510B266272}"/>
    <cellStyle name="Comma 6 8 3 3 2 2" xfId="15966" xr:uid="{0C183712-BB70-4860-AC92-303198AE0F30}"/>
    <cellStyle name="Comma 6 8 3 3 2 2 2" xfId="33310" xr:uid="{2CF342C7-57D6-4B78-AD35-B1EA9769994F}"/>
    <cellStyle name="Comma 6 8 3 3 2 3" xfId="24638" xr:uid="{2C31BA6E-BD25-4BBB-A9EA-CB6423B84828}"/>
    <cellStyle name="Comma 6 8 3 3 3" xfId="11630" xr:uid="{BAFB0AB6-D4D5-4F1E-AA22-68343F5E146F}"/>
    <cellStyle name="Comma 6 8 3 3 3 2" xfId="28974" xr:uid="{925A07F0-1C7C-4861-86EF-C09E4FF54A8F}"/>
    <cellStyle name="Comma 6 8 3 3 4" xfId="20302" xr:uid="{20BCA504-3AA4-4C71-AC31-43EBA242AF4F}"/>
    <cellStyle name="Comma 6 8 3 4" xfId="5126" xr:uid="{ED3A62A4-A491-4416-BB0A-79DA801E3202}"/>
    <cellStyle name="Comma 6 8 3 4 2" xfId="13798" xr:uid="{34671CD7-20BD-4B04-84C4-AEDF48E709DE}"/>
    <cellStyle name="Comma 6 8 3 4 2 2" xfId="31142" xr:uid="{EC0B65A2-1234-41BB-9F3D-9FFB8574A053}"/>
    <cellStyle name="Comma 6 8 3 4 3" xfId="22470" xr:uid="{280D4993-F722-4341-9493-4F5C08CA263B}"/>
    <cellStyle name="Comma 6 8 3 5" xfId="9462" xr:uid="{02A6B59D-65FC-40E8-A6F3-CC9E041E6D60}"/>
    <cellStyle name="Comma 6 8 3 5 2" xfId="26806" xr:uid="{4F639495-1502-4F76-B666-217C6F5A0BB8}"/>
    <cellStyle name="Comma 6 8 3 6" xfId="18134" xr:uid="{74BF3500-EE03-4581-9AC2-82989BD67859}"/>
    <cellStyle name="Comma 6 8 4" xfId="1333" xr:uid="{0928DC67-0108-49FE-8C10-65130478F35D}"/>
    <cellStyle name="Comma 6 8 4 2" xfId="3501" xr:uid="{F6DAF1D0-3D49-415D-9A02-9DC357D4A031}"/>
    <cellStyle name="Comma 6 8 4 2 2" xfId="7837" xr:uid="{DFF26C5F-A371-4D31-858F-08AFF1DECE5E}"/>
    <cellStyle name="Comma 6 8 4 2 2 2" xfId="16509" xr:uid="{DCBAF7F3-D0F2-40DE-A1BA-85229A2FAE0D}"/>
    <cellStyle name="Comma 6 8 4 2 2 2 2" xfId="33853" xr:uid="{987614EB-287F-4B90-8C48-8D5B5E36B1DD}"/>
    <cellStyle name="Comma 6 8 4 2 2 3" xfId="25181" xr:uid="{D83AF86F-BD77-41EF-AC6E-ED21B95C95FE}"/>
    <cellStyle name="Comma 6 8 4 2 3" xfId="12173" xr:uid="{3D37355D-5780-4B8F-BD87-1EBAEBB569BB}"/>
    <cellStyle name="Comma 6 8 4 2 3 2" xfId="29517" xr:uid="{08E7A704-46F0-41E6-99E4-2C67F5D2855D}"/>
    <cellStyle name="Comma 6 8 4 2 4" xfId="20845" xr:uid="{B7249C70-EB0C-4F29-B24D-0781FFC224F1}"/>
    <cellStyle name="Comma 6 8 4 3" xfId="5669" xr:uid="{36E01B63-4004-400C-986F-8742D6CFF916}"/>
    <cellStyle name="Comma 6 8 4 3 2" xfId="14341" xr:uid="{C891A311-037F-4243-8408-AA16D188734E}"/>
    <cellStyle name="Comma 6 8 4 3 2 2" xfId="31685" xr:uid="{71D2ED4A-79BE-481D-9924-0A906A69541E}"/>
    <cellStyle name="Comma 6 8 4 3 3" xfId="23013" xr:uid="{868E0507-EAC3-4DDF-AEB7-7B8917451DC1}"/>
    <cellStyle name="Comma 6 8 4 4" xfId="10005" xr:uid="{3DEE14A4-17FD-4FBB-8997-263C859EE04E}"/>
    <cellStyle name="Comma 6 8 4 4 2" xfId="27349" xr:uid="{D6CC7DC6-385C-4A4E-8BE6-EB0E61944949}"/>
    <cellStyle name="Comma 6 8 4 5" xfId="18677" xr:uid="{1B640272-F401-460A-9955-C1E99DC1240D}"/>
    <cellStyle name="Comma 6 8 5" xfId="2417" xr:uid="{BA4B765B-693A-4555-B732-FFC1A46C4226}"/>
    <cellStyle name="Comma 6 8 5 2" xfId="6753" xr:uid="{4A9143CD-F65C-4F0B-9346-50E42EE6ABDF}"/>
    <cellStyle name="Comma 6 8 5 2 2" xfId="15425" xr:uid="{A416824D-4209-4D43-9EE5-11616E6C2755}"/>
    <cellStyle name="Comma 6 8 5 2 2 2" xfId="32769" xr:uid="{12EEDBF1-E155-496B-B4E0-94DC7627A0A1}"/>
    <cellStyle name="Comma 6 8 5 2 3" xfId="24097" xr:uid="{0EC03CDD-549C-4EBB-A0DE-6DDCCBFD6FE6}"/>
    <cellStyle name="Comma 6 8 5 3" xfId="11089" xr:uid="{73B0578C-8109-46DD-BE23-740F51B4D68A}"/>
    <cellStyle name="Comma 6 8 5 3 2" xfId="28433" xr:uid="{861BB98D-C950-4C47-8063-05029302B0E5}"/>
    <cellStyle name="Comma 6 8 5 4" xfId="19761" xr:uid="{95E27044-61C5-4320-9681-76AC974AF5A1}"/>
    <cellStyle name="Comma 6 8 6" xfId="4585" xr:uid="{4547D942-62A4-4AC7-996C-24C1F74B4652}"/>
    <cellStyle name="Comma 6 8 6 2" xfId="13257" xr:uid="{0570296C-1162-4A10-B545-8E0ECCA00F51}"/>
    <cellStyle name="Comma 6 8 6 2 2" xfId="30601" xr:uid="{43009AB6-81EF-4789-B292-94CACD51F5C7}"/>
    <cellStyle name="Comma 6 8 6 3" xfId="21929" xr:uid="{DB735B3F-18BE-4321-850F-326618B7C7A2}"/>
    <cellStyle name="Comma 6 8 7" xfId="8921" xr:uid="{C6F11D21-DF9A-4A79-B2AD-12A7C87A0E3A}"/>
    <cellStyle name="Comma 6 8 7 2" xfId="26265" xr:uid="{1A40284B-361C-4D6F-B464-6B215B7FA27C}"/>
    <cellStyle name="Comma 6 8 8" xfId="17593" xr:uid="{C480F761-8991-4973-98E4-6D79EBE3FD02}"/>
    <cellStyle name="Comma 6 9" xfId="278" xr:uid="{6526EC15-B0B3-4579-B8E8-DBA2B6280D14}"/>
    <cellStyle name="Comma 6 9 2" xfId="819" xr:uid="{33AF9CE4-C8F1-47C8-A74C-FA29EB36B80C}"/>
    <cellStyle name="Comma 6 9 2 2" xfId="1903" xr:uid="{4EA36D3E-8365-44D3-8BF5-CAB3967C907A}"/>
    <cellStyle name="Comma 6 9 2 2 2" xfId="4071" xr:uid="{58348C61-1ED3-409F-AD57-876CDCEA470D}"/>
    <cellStyle name="Comma 6 9 2 2 2 2" xfId="8407" xr:uid="{7F271A97-C456-4D6C-92AD-BF4086929538}"/>
    <cellStyle name="Comma 6 9 2 2 2 2 2" xfId="17079" xr:uid="{0D874304-9432-48F9-9FA9-075520DCA67E}"/>
    <cellStyle name="Comma 6 9 2 2 2 2 2 2" xfId="34423" xr:uid="{B4A5937F-CECF-4E1B-A5CC-4D0653580296}"/>
    <cellStyle name="Comma 6 9 2 2 2 2 3" xfId="25751" xr:uid="{8F217E8A-5187-4A99-81C0-CE73C7194857}"/>
    <cellStyle name="Comma 6 9 2 2 2 3" xfId="12743" xr:uid="{9A2623BE-B04D-420F-AB0A-78227CA6DA42}"/>
    <cellStyle name="Comma 6 9 2 2 2 3 2" xfId="30087" xr:uid="{A6C7480E-7AC6-4982-A74D-D44FEA794C4D}"/>
    <cellStyle name="Comma 6 9 2 2 2 4" xfId="21415" xr:uid="{5140A285-E621-4B47-A580-849146A61493}"/>
    <cellStyle name="Comma 6 9 2 2 3" xfId="6239" xr:uid="{3EE88D6D-8C4D-42C9-A90E-6C8AB77FCD98}"/>
    <cellStyle name="Comma 6 9 2 2 3 2" xfId="14911" xr:uid="{807E9752-65D8-40AA-B437-C168F26E660C}"/>
    <cellStyle name="Comma 6 9 2 2 3 2 2" xfId="32255" xr:uid="{9838C9B9-6DD6-4114-807A-735C4B3E1D4D}"/>
    <cellStyle name="Comma 6 9 2 2 3 3" xfId="23583" xr:uid="{253EFB02-B9AE-4314-B1D6-959F302AAD80}"/>
    <cellStyle name="Comma 6 9 2 2 4" xfId="10575" xr:uid="{80030D93-346E-4050-97F6-3283381AD971}"/>
    <cellStyle name="Comma 6 9 2 2 4 2" xfId="27919" xr:uid="{CAFC6A7F-427A-4AA2-8BCF-2A4634BA2094}"/>
    <cellStyle name="Comma 6 9 2 2 5" xfId="19247" xr:uid="{F8092A86-52AB-4770-9A40-7D336382CBB3}"/>
    <cellStyle name="Comma 6 9 2 3" xfId="2987" xr:uid="{B62BE9FA-54FA-4A7C-860A-322627189C99}"/>
    <cellStyle name="Comma 6 9 2 3 2" xfId="7323" xr:uid="{4C4D2CA1-220A-45F0-859A-549A8BBD5A51}"/>
    <cellStyle name="Comma 6 9 2 3 2 2" xfId="15995" xr:uid="{8FB67C78-129E-4FC9-BCCD-9C11E2DBF626}"/>
    <cellStyle name="Comma 6 9 2 3 2 2 2" xfId="33339" xr:uid="{EFCBCF87-0C33-4B6A-93CE-3ED8F76C56D5}"/>
    <cellStyle name="Comma 6 9 2 3 2 3" xfId="24667" xr:uid="{5198A2FB-0F68-414A-A19D-6C02974DEE84}"/>
    <cellStyle name="Comma 6 9 2 3 3" xfId="11659" xr:uid="{79A8077D-2DD0-4E1E-8C50-6C42C0FDAEC9}"/>
    <cellStyle name="Comma 6 9 2 3 3 2" xfId="29003" xr:uid="{927563AC-15C3-430F-8F98-F8EE079D5735}"/>
    <cellStyle name="Comma 6 9 2 3 4" xfId="20331" xr:uid="{8AAFCDF4-2730-4200-98AD-D32BD0A08B90}"/>
    <cellStyle name="Comma 6 9 2 4" xfId="5155" xr:uid="{505E7F66-0724-4F3A-BF32-F88C120175BB}"/>
    <cellStyle name="Comma 6 9 2 4 2" xfId="13827" xr:uid="{D214EC7A-208B-4079-BB79-666574D156DA}"/>
    <cellStyle name="Comma 6 9 2 4 2 2" xfId="31171" xr:uid="{5EC3736A-0DF9-42A4-B6BA-6FA8F27B073B}"/>
    <cellStyle name="Comma 6 9 2 4 3" xfId="22499" xr:uid="{4FC70707-32C1-4DB1-A469-6A754B29AB98}"/>
    <cellStyle name="Comma 6 9 2 5" xfId="9491" xr:uid="{F5FA023E-B170-4CB9-8C56-177606D3793C}"/>
    <cellStyle name="Comma 6 9 2 5 2" xfId="26835" xr:uid="{1ABA2C2F-3287-41ED-9A6F-FD54E6587CAE}"/>
    <cellStyle name="Comma 6 9 2 6" xfId="18163" xr:uid="{188D69DF-EC3C-447F-BCC1-5140092D28A9}"/>
    <cellStyle name="Comma 6 9 3" xfId="1362" xr:uid="{B4BA3054-C456-4FFD-8069-CE3B274090EC}"/>
    <cellStyle name="Comma 6 9 3 2" xfId="3530" xr:uid="{F5645274-8CEA-4D9E-B890-53A48767A7E4}"/>
    <cellStyle name="Comma 6 9 3 2 2" xfId="7866" xr:uid="{9BAC30A6-B794-418A-AF4C-BBAA585DB84B}"/>
    <cellStyle name="Comma 6 9 3 2 2 2" xfId="16538" xr:uid="{368B91C7-1875-4027-A079-DBDF6454DF03}"/>
    <cellStyle name="Comma 6 9 3 2 2 2 2" xfId="33882" xr:uid="{56061CF1-050F-4EE0-8B2B-42BD914FB181}"/>
    <cellStyle name="Comma 6 9 3 2 2 3" xfId="25210" xr:uid="{CA688D16-1630-4537-88C7-B9340BC936C1}"/>
    <cellStyle name="Comma 6 9 3 2 3" xfId="12202" xr:uid="{6522FCD3-E851-408A-B4BB-C317CC1AEEB3}"/>
    <cellStyle name="Comma 6 9 3 2 3 2" xfId="29546" xr:uid="{883E238A-6A6B-429D-8EDC-7F8873905771}"/>
    <cellStyle name="Comma 6 9 3 2 4" xfId="20874" xr:uid="{9DB9483F-8C26-48DF-9053-1308972DE280}"/>
    <cellStyle name="Comma 6 9 3 3" xfId="5698" xr:uid="{632056D2-4D21-4E3B-AD67-4C14999BBBBA}"/>
    <cellStyle name="Comma 6 9 3 3 2" xfId="14370" xr:uid="{4B77DEC8-DB48-4251-84FC-0F445460BB19}"/>
    <cellStyle name="Comma 6 9 3 3 2 2" xfId="31714" xr:uid="{13800B3A-6A33-427A-8A65-C34553E558B2}"/>
    <cellStyle name="Comma 6 9 3 3 3" xfId="23042" xr:uid="{86F537FA-4C1A-48A7-BBA5-7994AF65E95E}"/>
    <cellStyle name="Comma 6 9 3 4" xfId="10034" xr:uid="{D0DA98CB-250B-44FB-9949-2C1431752FAC}"/>
    <cellStyle name="Comma 6 9 3 4 2" xfId="27378" xr:uid="{708D2602-4A70-4D27-A60F-B8B9FF1CC67D}"/>
    <cellStyle name="Comma 6 9 3 5" xfId="18706" xr:uid="{24ABC5CB-F633-48F9-B6A4-B7E5EE44ECD8}"/>
    <cellStyle name="Comma 6 9 4" xfId="2446" xr:uid="{09226BA5-AD57-4047-9BA4-47963127B871}"/>
    <cellStyle name="Comma 6 9 4 2" xfId="6782" xr:uid="{9A43144A-325D-4160-8B30-C4D8590924AF}"/>
    <cellStyle name="Comma 6 9 4 2 2" xfId="15454" xr:uid="{98817C8E-A25D-4631-8BC8-E558D977F06D}"/>
    <cellStyle name="Comma 6 9 4 2 2 2" xfId="32798" xr:uid="{F8426B52-E078-4EA9-945F-3C5AA9A0422F}"/>
    <cellStyle name="Comma 6 9 4 2 3" xfId="24126" xr:uid="{1E14CEBD-2B23-42D9-8C27-BBD654C00B7D}"/>
    <cellStyle name="Comma 6 9 4 3" xfId="11118" xr:uid="{8B44B11B-1FEE-4C75-92F9-0E189A8251A0}"/>
    <cellStyle name="Comma 6 9 4 3 2" xfId="28462" xr:uid="{5937AAE6-DD30-49AC-AB92-72C53CB94B76}"/>
    <cellStyle name="Comma 6 9 4 4" xfId="19790" xr:uid="{60F0780A-4D3A-4DB1-8A37-E11DEE06E635}"/>
    <cellStyle name="Comma 6 9 5" xfId="4614" xr:uid="{72FFB533-39D0-4EF7-81A8-1E1D7DD403E3}"/>
    <cellStyle name="Comma 6 9 5 2" xfId="13286" xr:uid="{0389F6B7-3137-44FF-BE0D-4543A2944AE5}"/>
    <cellStyle name="Comma 6 9 5 2 2" xfId="30630" xr:uid="{E545AB5F-407E-4677-9861-F7AD17BB5A18}"/>
    <cellStyle name="Comma 6 9 5 3" xfId="21958" xr:uid="{86F45526-10C9-48C0-8568-05F9C6A8D301}"/>
    <cellStyle name="Comma 6 9 6" xfId="8950" xr:uid="{8AE3414D-C329-4129-9B46-747CECE47D19}"/>
    <cellStyle name="Comma 6 9 6 2" xfId="26294" xr:uid="{D833DB0E-D639-4C1B-A989-55B871308A67}"/>
    <cellStyle name="Comma 6 9 7" xfId="17622" xr:uid="{7532F746-29BD-45D6-B2D5-80B2ED5E7982}"/>
    <cellStyle name="Comma 7" xfId="14" xr:uid="{3E80BD23-2383-43C4-89AA-CDECC51270CA}"/>
    <cellStyle name="Comma 7 10" xfId="1098" xr:uid="{76FF7AC6-7EB1-42B5-ABEE-3109E2B4B3AC}"/>
    <cellStyle name="Comma 7 10 2" xfId="3266" xr:uid="{0CDDE074-D331-4BEE-A473-831FAD8A3CB1}"/>
    <cellStyle name="Comma 7 10 2 2" xfId="7602" xr:uid="{011E688B-621C-4614-A7B7-E1E95A3B02EA}"/>
    <cellStyle name="Comma 7 10 2 2 2" xfId="16274" xr:uid="{BCE2AAC7-673A-4AA0-B020-B60D98208765}"/>
    <cellStyle name="Comma 7 10 2 2 2 2" xfId="33618" xr:uid="{AD44A9D9-8551-4E46-AAE1-DC488AE270A1}"/>
    <cellStyle name="Comma 7 10 2 2 3" xfId="24946" xr:uid="{1ECB94C8-403A-4283-9149-1DAD68F65EB0}"/>
    <cellStyle name="Comma 7 10 2 3" xfId="11938" xr:uid="{B42BE2A9-0D3F-47F1-A482-562C31A0AA3C}"/>
    <cellStyle name="Comma 7 10 2 3 2" xfId="29282" xr:uid="{B9E53D19-DFEB-464D-A78A-40F5B45CEA37}"/>
    <cellStyle name="Comma 7 10 2 4" xfId="20610" xr:uid="{A979EFC7-94F7-4FDF-8C06-5D498B6F64BB}"/>
    <cellStyle name="Comma 7 10 3" xfId="5434" xr:uid="{FCC0EE7F-B5D7-4EE7-B413-9EC2C8E78FFB}"/>
    <cellStyle name="Comma 7 10 3 2" xfId="14106" xr:uid="{FB5CD24D-B955-48E0-BC9D-626FD8D4F1CE}"/>
    <cellStyle name="Comma 7 10 3 2 2" xfId="31450" xr:uid="{A68FD8BA-753F-4B36-8F59-0501AC5B4E01}"/>
    <cellStyle name="Comma 7 10 3 3" xfId="22778" xr:uid="{17C2189E-DBC8-461E-99E0-DEC68EE21DA6}"/>
    <cellStyle name="Comma 7 10 4" xfId="9770" xr:uid="{DCDE19DD-9ABB-46F5-BAB8-2E750905FDF5}"/>
    <cellStyle name="Comma 7 10 4 2" xfId="27114" xr:uid="{7D13CA23-2F4D-4B68-B9B2-91128CE14DE0}"/>
    <cellStyle name="Comma 7 10 5" xfId="18442" xr:uid="{B83774D8-8EAE-4087-9C04-192A4AF50806}"/>
    <cellStyle name="Comma 7 11" xfId="2182" xr:uid="{23A909F1-FAC8-4699-8BA3-FB7808CCE969}"/>
    <cellStyle name="Comma 7 11 2" xfId="6518" xr:uid="{5D27B8EB-693D-496E-A73B-F080A5DB1F41}"/>
    <cellStyle name="Comma 7 11 2 2" xfId="15190" xr:uid="{8BF7A5BE-87DC-4C83-A1B5-B506D4703F75}"/>
    <cellStyle name="Comma 7 11 2 2 2" xfId="32534" xr:uid="{BAE79789-3FFC-4022-828A-D7559AE9C5AB}"/>
    <cellStyle name="Comma 7 11 2 3" xfId="23862" xr:uid="{CCA12D2E-8AE0-4543-A8F7-3BAC8566DD63}"/>
    <cellStyle name="Comma 7 11 3" xfId="10854" xr:uid="{F1D627B5-DE42-4BC0-BD80-ECDA06D4BF36}"/>
    <cellStyle name="Comma 7 11 3 2" xfId="28198" xr:uid="{BA625097-A799-4712-8EBE-A8A13E99033F}"/>
    <cellStyle name="Comma 7 11 4" xfId="19526" xr:uid="{E34AF4DB-3BD9-40CB-B01E-60A2B370B55D}"/>
    <cellStyle name="Comma 7 12" xfId="4350" xr:uid="{65F91FBC-67DD-44AB-841F-75DABD95A31C}"/>
    <cellStyle name="Comma 7 12 2" xfId="13022" xr:uid="{9122D22B-D982-4C89-95FA-B2F90929A157}"/>
    <cellStyle name="Comma 7 12 2 2" xfId="30366" xr:uid="{64403F3E-00AA-4535-BD04-4FF9354921CE}"/>
    <cellStyle name="Comma 7 12 3" xfId="21694" xr:uid="{8B7FDA70-10BF-4C64-AD88-201CC490320A}"/>
    <cellStyle name="Comma 7 13" xfId="8686" xr:uid="{9E65F292-B540-4814-9A1A-47DC8D65E2E6}"/>
    <cellStyle name="Comma 7 13 2" xfId="26030" xr:uid="{024DD666-074C-4DEA-ABC9-1E8602B86E0C}"/>
    <cellStyle name="Comma 7 14" xfId="17358" xr:uid="{68AA51FB-F588-4A2C-82D1-E763380E4118}"/>
    <cellStyle name="Comma 7 2" xfId="30" xr:uid="{9F209B6C-15AD-4CB9-A127-1EBCC6FE06F5}"/>
    <cellStyle name="Comma 7 2 10" xfId="8702" xr:uid="{66D2D4E3-00DB-4CF4-8AEE-42B9434ACA2F}"/>
    <cellStyle name="Comma 7 2 10 2" xfId="26046" xr:uid="{EFF6E282-063A-4097-B45E-F2020F600339}"/>
    <cellStyle name="Comma 7 2 11" xfId="17374" xr:uid="{AC57A742-C30F-4A12-882E-3F458C58F080}"/>
    <cellStyle name="Comma 7 2 2" xfId="91" xr:uid="{74D30B5A-E141-4A45-B546-0A8C8EE72B48}"/>
    <cellStyle name="Comma 7 2 2 2" xfId="213" xr:uid="{35BB5A5A-4BFF-4D93-B0B4-44CEEBBBD740}"/>
    <cellStyle name="Comma 7 2 2 2 2" xfId="483" xr:uid="{3556AD0E-7098-40F1-9383-26F36E2DC5EE}"/>
    <cellStyle name="Comma 7 2 2 2 2 2" xfId="1024" xr:uid="{3031016D-932A-4F82-80D4-EF3B469983DE}"/>
    <cellStyle name="Comma 7 2 2 2 2 2 2" xfId="2108" xr:uid="{1495BEEC-9273-47AF-8851-1113E79A637F}"/>
    <cellStyle name="Comma 7 2 2 2 2 2 2 2" xfId="4276" xr:uid="{FFE9960E-F9C5-41DB-BF60-A92A0571ABD6}"/>
    <cellStyle name="Comma 7 2 2 2 2 2 2 2 2" xfId="8612" xr:uid="{D49AA284-1A54-44A5-BCB2-BC1C068333D9}"/>
    <cellStyle name="Comma 7 2 2 2 2 2 2 2 2 2" xfId="17284" xr:uid="{00D2569D-2AFD-4263-B95C-48D2F38A1BF4}"/>
    <cellStyle name="Comma 7 2 2 2 2 2 2 2 2 2 2" xfId="34628" xr:uid="{8887A6B3-D0A8-419C-A0D6-D4EBEF2FB181}"/>
    <cellStyle name="Comma 7 2 2 2 2 2 2 2 2 3" xfId="25956" xr:uid="{85897271-7689-4925-9DE7-C02CF171A2C9}"/>
    <cellStyle name="Comma 7 2 2 2 2 2 2 2 3" xfId="12948" xr:uid="{372B3AAB-5F10-4AC8-90D1-7D4C0BF20E49}"/>
    <cellStyle name="Comma 7 2 2 2 2 2 2 2 3 2" xfId="30292" xr:uid="{4BC9A5E6-3655-4021-8E48-387BFF720A19}"/>
    <cellStyle name="Comma 7 2 2 2 2 2 2 2 4" xfId="21620" xr:uid="{BBE7778D-DC00-4F59-9025-D8FE8C55C1A0}"/>
    <cellStyle name="Comma 7 2 2 2 2 2 2 3" xfId="6444" xr:uid="{C97FD80C-7F46-409F-97BB-0D222BCE373E}"/>
    <cellStyle name="Comma 7 2 2 2 2 2 2 3 2" xfId="15116" xr:uid="{EA342217-4BA1-45D1-8A76-B5E093BDEF3F}"/>
    <cellStyle name="Comma 7 2 2 2 2 2 2 3 2 2" xfId="32460" xr:uid="{5A99507C-BC2E-4353-A42A-E302D7D255AA}"/>
    <cellStyle name="Comma 7 2 2 2 2 2 2 3 3" xfId="23788" xr:uid="{BEF91DDC-44CA-4530-AE18-728524CB528D}"/>
    <cellStyle name="Comma 7 2 2 2 2 2 2 4" xfId="10780" xr:uid="{308114D9-6285-4CC4-A21B-CAAA8766B121}"/>
    <cellStyle name="Comma 7 2 2 2 2 2 2 4 2" xfId="28124" xr:uid="{BE628449-9C7F-4DD6-AF5C-CD2C939AD251}"/>
    <cellStyle name="Comma 7 2 2 2 2 2 2 5" xfId="19452" xr:uid="{6F6BB4CE-76ED-446A-B685-AB1E7DFFEA43}"/>
    <cellStyle name="Comma 7 2 2 2 2 2 3" xfId="3192" xr:uid="{DF5344CA-9B5D-4659-A1EF-3659FB7A291F}"/>
    <cellStyle name="Comma 7 2 2 2 2 2 3 2" xfId="7528" xr:uid="{470CEDC2-8692-4ACC-B7A5-353FC5BD3C2E}"/>
    <cellStyle name="Comma 7 2 2 2 2 2 3 2 2" xfId="16200" xr:uid="{84FCFAAC-145B-40D6-B8D9-70A39398FCCD}"/>
    <cellStyle name="Comma 7 2 2 2 2 2 3 2 2 2" xfId="33544" xr:uid="{19DCDA3D-4BFD-4893-9F1E-E55ACF0B6652}"/>
    <cellStyle name="Comma 7 2 2 2 2 2 3 2 3" xfId="24872" xr:uid="{09CEEA34-AF49-4E1D-A37C-6A34BF50A367}"/>
    <cellStyle name="Comma 7 2 2 2 2 2 3 3" xfId="11864" xr:uid="{E89D9EA3-0AAF-4952-B3E3-D4391F251B81}"/>
    <cellStyle name="Comma 7 2 2 2 2 2 3 3 2" xfId="29208" xr:uid="{FD3A0DC9-6FF6-49F1-BCB1-3580FF2AE998}"/>
    <cellStyle name="Comma 7 2 2 2 2 2 3 4" xfId="20536" xr:uid="{E15844C2-E47A-49EE-863F-B4D411BF35CC}"/>
    <cellStyle name="Comma 7 2 2 2 2 2 4" xfId="5360" xr:uid="{6C2BC5A1-11D3-4A50-A6B5-01A1D86D8CB7}"/>
    <cellStyle name="Comma 7 2 2 2 2 2 4 2" xfId="14032" xr:uid="{34763143-5433-4B19-8C91-8AB89668B55B}"/>
    <cellStyle name="Comma 7 2 2 2 2 2 4 2 2" xfId="31376" xr:uid="{6D503A80-49BC-445A-B8DA-C9B7F9D3523D}"/>
    <cellStyle name="Comma 7 2 2 2 2 2 4 3" xfId="22704" xr:uid="{55390DFF-538B-4442-BCCA-8733B682C90E}"/>
    <cellStyle name="Comma 7 2 2 2 2 2 5" xfId="9696" xr:uid="{DB52103E-6450-4E7E-9B83-5ACDF85B6EF6}"/>
    <cellStyle name="Comma 7 2 2 2 2 2 5 2" xfId="27040" xr:uid="{15947FA6-DCE8-4F28-B114-40C46C2D5F9B}"/>
    <cellStyle name="Comma 7 2 2 2 2 2 6" xfId="18368" xr:uid="{2A7A439D-0861-44BC-9891-26678B40E750}"/>
    <cellStyle name="Comma 7 2 2 2 2 3" xfId="1567" xr:uid="{AC3C4251-FB05-4676-9493-18953C2D7962}"/>
    <cellStyle name="Comma 7 2 2 2 2 3 2" xfId="3735" xr:uid="{4C6A8F46-9FF7-46BA-87E5-D7AE3174C7A5}"/>
    <cellStyle name="Comma 7 2 2 2 2 3 2 2" xfId="8071" xr:uid="{4A8723C5-C39C-4034-B03A-1B78ACB9BA12}"/>
    <cellStyle name="Comma 7 2 2 2 2 3 2 2 2" xfId="16743" xr:uid="{EB94BDA9-894C-4B93-A351-2253E59A7769}"/>
    <cellStyle name="Comma 7 2 2 2 2 3 2 2 2 2" xfId="34087" xr:uid="{BB223CC8-B757-40AE-A9B0-F8BF73053F72}"/>
    <cellStyle name="Comma 7 2 2 2 2 3 2 2 3" xfId="25415" xr:uid="{42EDF136-4AFB-4291-935A-67D414A95B4B}"/>
    <cellStyle name="Comma 7 2 2 2 2 3 2 3" xfId="12407" xr:uid="{25D018FD-9161-43E1-A94A-2554DBBD2883}"/>
    <cellStyle name="Comma 7 2 2 2 2 3 2 3 2" xfId="29751" xr:uid="{BD045779-2AA5-4444-A88C-C5D3C9E99AB2}"/>
    <cellStyle name="Comma 7 2 2 2 2 3 2 4" xfId="21079" xr:uid="{990CC3F7-2563-47BC-ADA9-76B6BEBCD57D}"/>
    <cellStyle name="Comma 7 2 2 2 2 3 3" xfId="5903" xr:uid="{83887582-6580-4136-99F0-416F2DE79C7A}"/>
    <cellStyle name="Comma 7 2 2 2 2 3 3 2" xfId="14575" xr:uid="{CCE13449-E5B9-4904-BA63-06CA431D4505}"/>
    <cellStyle name="Comma 7 2 2 2 2 3 3 2 2" xfId="31919" xr:uid="{D366EF22-43EB-4885-A387-F1A66AAEA908}"/>
    <cellStyle name="Comma 7 2 2 2 2 3 3 3" xfId="23247" xr:uid="{34B04213-EAC4-4DA6-8005-2AB6873E63F6}"/>
    <cellStyle name="Comma 7 2 2 2 2 3 4" xfId="10239" xr:uid="{09EFEB57-9B3E-43C7-9968-884B3829CCFC}"/>
    <cellStyle name="Comma 7 2 2 2 2 3 4 2" xfId="27583" xr:uid="{5F86E2DA-C564-445A-A6F2-EAD418548FE6}"/>
    <cellStyle name="Comma 7 2 2 2 2 3 5" xfId="18911" xr:uid="{9839AA9D-EF9E-4B92-B5A1-89F33B651933}"/>
    <cellStyle name="Comma 7 2 2 2 2 4" xfId="2651" xr:uid="{EDD9FDD4-97AF-484B-B074-C2749E72D8D3}"/>
    <cellStyle name="Comma 7 2 2 2 2 4 2" xfId="6987" xr:uid="{779E969C-3A13-42C3-8446-C1F16FD9FCC6}"/>
    <cellStyle name="Comma 7 2 2 2 2 4 2 2" xfId="15659" xr:uid="{9615A0CC-F6B8-4C71-8F07-3C6D513CF9E3}"/>
    <cellStyle name="Comma 7 2 2 2 2 4 2 2 2" xfId="33003" xr:uid="{7EFDB191-4F88-4FD6-8282-825A78168E6E}"/>
    <cellStyle name="Comma 7 2 2 2 2 4 2 3" xfId="24331" xr:uid="{B1527CAB-7169-471E-A439-998D3EA966F7}"/>
    <cellStyle name="Comma 7 2 2 2 2 4 3" xfId="11323" xr:uid="{2D5B55F8-E9AE-4CF4-94F5-3AA350F1D96A}"/>
    <cellStyle name="Comma 7 2 2 2 2 4 3 2" xfId="28667" xr:uid="{D5FDA46F-FAA8-4A30-9844-62AD42E6F551}"/>
    <cellStyle name="Comma 7 2 2 2 2 4 4" xfId="19995" xr:uid="{C8E0750F-35D3-4D16-BC05-40493843F3AB}"/>
    <cellStyle name="Comma 7 2 2 2 2 5" xfId="4819" xr:uid="{0118AAF6-627B-4B68-ACE5-4208E7BDD1C4}"/>
    <cellStyle name="Comma 7 2 2 2 2 5 2" xfId="13491" xr:uid="{A46F128C-114E-44B1-8037-249D15B1E62F}"/>
    <cellStyle name="Comma 7 2 2 2 2 5 2 2" xfId="30835" xr:uid="{1E604942-122B-479A-A182-F2471A68EA17}"/>
    <cellStyle name="Comma 7 2 2 2 2 5 3" xfId="22163" xr:uid="{FFA54F51-C6CE-4360-A736-FADB3CEDB1AD}"/>
    <cellStyle name="Comma 7 2 2 2 2 6" xfId="9155" xr:uid="{C4B62017-9A5E-4DC6-9A29-C1111344E859}"/>
    <cellStyle name="Comma 7 2 2 2 2 6 2" xfId="26499" xr:uid="{BDD48CF2-7EC9-439C-9F95-3A79682840BF}"/>
    <cellStyle name="Comma 7 2 2 2 2 7" xfId="17827" xr:uid="{80885D4D-04B6-4F92-95CC-84069DB441D5}"/>
    <cellStyle name="Comma 7 2 2 2 3" xfId="754" xr:uid="{7607260C-C8AF-4983-AB7E-A80CBCCB43DC}"/>
    <cellStyle name="Comma 7 2 2 2 3 2" xfId="1838" xr:uid="{A65E7A01-89C9-4962-8172-63FD989CA920}"/>
    <cellStyle name="Comma 7 2 2 2 3 2 2" xfId="4006" xr:uid="{F227BCC4-E508-442F-8AF2-B682D6CAC6F8}"/>
    <cellStyle name="Comma 7 2 2 2 3 2 2 2" xfId="8342" xr:uid="{2557AC5F-91AC-488C-B77B-A91C5C39E2BB}"/>
    <cellStyle name="Comma 7 2 2 2 3 2 2 2 2" xfId="17014" xr:uid="{0FD6A19A-FF8A-4756-8EB7-EF54AF2D463C}"/>
    <cellStyle name="Comma 7 2 2 2 3 2 2 2 2 2" xfId="34358" xr:uid="{D700C746-AE2D-470B-9E6D-BD68516AB7E8}"/>
    <cellStyle name="Comma 7 2 2 2 3 2 2 2 3" xfId="25686" xr:uid="{307B57A5-C653-40B8-A4ED-13338474B4FA}"/>
    <cellStyle name="Comma 7 2 2 2 3 2 2 3" xfId="12678" xr:uid="{9A2B2C52-251E-4AB0-A071-586537832F52}"/>
    <cellStyle name="Comma 7 2 2 2 3 2 2 3 2" xfId="30022" xr:uid="{AED9AB95-BFC6-4246-A9FB-D08659456B51}"/>
    <cellStyle name="Comma 7 2 2 2 3 2 2 4" xfId="21350" xr:uid="{F6AEC5FC-3D8B-4416-ADB7-2C517291B7E2}"/>
    <cellStyle name="Comma 7 2 2 2 3 2 3" xfId="6174" xr:uid="{01830391-A85E-49C5-9B3A-B85A11A0563A}"/>
    <cellStyle name="Comma 7 2 2 2 3 2 3 2" xfId="14846" xr:uid="{C4F1AE97-48F7-4159-8812-9C88A2B3143F}"/>
    <cellStyle name="Comma 7 2 2 2 3 2 3 2 2" xfId="32190" xr:uid="{5AB060E7-5839-4781-8294-774D2FC35F33}"/>
    <cellStyle name="Comma 7 2 2 2 3 2 3 3" xfId="23518" xr:uid="{A997311B-F26A-4AAA-A53B-86B8BD4153E0}"/>
    <cellStyle name="Comma 7 2 2 2 3 2 4" xfId="10510" xr:uid="{250C9994-ABD1-46C2-AF85-0FB9B523808F}"/>
    <cellStyle name="Comma 7 2 2 2 3 2 4 2" xfId="27854" xr:uid="{22963285-EB09-4AB1-91CE-E5D0E40F17D2}"/>
    <cellStyle name="Comma 7 2 2 2 3 2 5" xfId="19182" xr:uid="{D1C6A1E1-DD23-431F-BFB2-A24C89C6DEFF}"/>
    <cellStyle name="Comma 7 2 2 2 3 3" xfId="2922" xr:uid="{4BE31A55-0B83-4EC6-B995-4848D6AB33B2}"/>
    <cellStyle name="Comma 7 2 2 2 3 3 2" xfId="7258" xr:uid="{A367C1A7-280C-4AF8-B633-89A5356CD197}"/>
    <cellStyle name="Comma 7 2 2 2 3 3 2 2" xfId="15930" xr:uid="{D06A967A-D898-403A-84A3-78F5E713BE46}"/>
    <cellStyle name="Comma 7 2 2 2 3 3 2 2 2" xfId="33274" xr:uid="{D36F9377-E5FE-43B6-924E-BF97C055414D}"/>
    <cellStyle name="Comma 7 2 2 2 3 3 2 3" xfId="24602" xr:uid="{29BB506D-3A8E-4C61-8BF1-C063AD087D88}"/>
    <cellStyle name="Comma 7 2 2 2 3 3 3" xfId="11594" xr:uid="{9CD62A23-2051-4C41-A7BA-1FF4CBBE9DF3}"/>
    <cellStyle name="Comma 7 2 2 2 3 3 3 2" xfId="28938" xr:uid="{BF015302-2D9E-41EF-A15A-F61CA884B446}"/>
    <cellStyle name="Comma 7 2 2 2 3 3 4" xfId="20266" xr:uid="{09F0EB1F-EAB8-48C1-85CE-A073BDD5D5C5}"/>
    <cellStyle name="Comma 7 2 2 2 3 4" xfId="5090" xr:uid="{689CFCE5-B0A7-4C8F-9769-27ECDDA591FB}"/>
    <cellStyle name="Comma 7 2 2 2 3 4 2" xfId="13762" xr:uid="{AF06A3DE-CA9B-4D9C-A986-FF1A454F5734}"/>
    <cellStyle name="Comma 7 2 2 2 3 4 2 2" xfId="31106" xr:uid="{CCC18A25-8756-4B05-8F09-2165B3CE360E}"/>
    <cellStyle name="Comma 7 2 2 2 3 4 3" xfId="22434" xr:uid="{4BA7AB32-0E64-4929-8AA6-1582E5194AA0}"/>
    <cellStyle name="Comma 7 2 2 2 3 5" xfId="9426" xr:uid="{A2218B48-CC4A-474F-8CF5-FBFEB9476CBC}"/>
    <cellStyle name="Comma 7 2 2 2 3 5 2" xfId="26770" xr:uid="{68EDF345-764B-4F79-B93C-09C8865422FE}"/>
    <cellStyle name="Comma 7 2 2 2 3 6" xfId="18098" xr:uid="{E1781CDB-17B5-4328-BF6A-E90114741D94}"/>
    <cellStyle name="Comma 7 2 2 2 4" xfId="1297" xr:uid="{7E6A2922-A744-4E20-942F-CA4184286F49}"/>
    <cellStyle name="Comma 7 2 2 2 4 2" xfId="3465" xr:uid="{894BDA5E-4FB5-4265-BAE4-D15AF8A39736}"/>
    <cellStyle name="Comma 7 2 2 2 4 2 2" xfId="7801" xr:uid="{B2DA338E-81A8-48BA-9E4C-91B0B4586285}"/>
    <cellStyle name="Comma 7 2 2 2 4 2 2 2" xfId="16473" xr:uid="{123D35F3-DA25-4813-B8E9-2B66B9CE579B}"/>
    <cellStyle name="Comma 7 2 2 2 4 2 2 2 2" xfId="33817" xr:uid="{9A11BC76-5663-400D-89FE-FA81C87707E8}"/>
    <cellStyle name="Comma 7 2 2 2 4 2 2 3" xfId="25145" xr:uid="{8072C76B-C442-4E78-8E1C-DA3C7BB6F018}"/>
    <cellStyle name="Comma 7 2 2 2 4 2 3" xfId="12137" xr:uid="{E7D40DBE-5A1A-4789-90EC-0FAD711E595C}"/>
    <cellStyle name="Comma 7 2 2 2 4 2 3 2" xfId="29481" xr:uid="{18D20A97-73BF-444E-A16E-CC6B2F5BBC65}"/>
    <cellStyle name="Comma 7 2 2 2 4 2 4" xfId="20809" xr:uid="{A89EC90F-BDF2-4DF6-9601-09574CC09CC5}"/>
    <cellStyle name="Comma 7 2 2 2 4 3" xfId="5633" xr:uid="{95F7F44E-7D53-4CC2-959A-FFA62A4F888E}"/>
    <cellStyle name="Comma 7 2 2 2 4 3 2" xfId="14305" xr:uid="{7162A484-7503-41EA-BE85-EF281856A0E6}"/>
    <cellStyle name="Comma 7 2 2 2 4 3 2 2" xfId="31649" xr:uid="{B86E13CC-C8DB-46A6-A89F-1F042E15DA3D}"/>
    <cellStyle name="Comma 7 2 2 2 4 3 3" xfId="22977" xr:uid="{D019C35B-7F21-4E91-9C76-F220FF815374}"/>
    <cellStyle name="Comma 7 2 2 2 4 4" xfId="9969" xr:uid="{32684527-565F-4CE3-941D-F4463C436697}"/>
    <cellStyle name="Comma 7 2 2 2 4 4 2" xfId="27313" xr:uid="{395A2386-9054-4054-9839-43608896EDCF}"/>
    <cellStyle name="Comma 7 2 2 2 4 5" xfId="18641" xr:uid="{783846A0-C707-4215-87BF-4F8657819904}"/>
    <cellStyle name="Comma 7 2 2 2 5" xfId="2381" xr:uid="{23ECC4B3-4325-41FC-9B5D-664940BE3225}"/>
    <cellStyle name="Comma 7 2 2 2 5 2" xfId="6717" xr:uid="{D23AEF19-11B5-4E0B-A209-B11B8DA87974}"/>
    <cellStyle name="Comma 7 2 2 2 5 2 2" xfId="15389" xr:uid="{7D15456D-4A54-48C6-8F8A-188A5411C1F0}"/>
    <cellStyle name="Comma 7 2 2 2 5 2 2 2" xfId="32733" xr:uid="{A8C78077-4953-473C-A7FC-02E0FF670B3F}"/>
    <cellStyle name="Comma 7 2 2 2 5 2 3" xfId="24061" xr:uid="{B31D141B-4BA9-4FD3-9C0A-B74E9DB91A1A}"/>
    <cellStyle name="Comma 7 2 2 2 5 3" xfId="11053" xr:uid="{58F1E586-A56A-4E1F-ABB6-196C9614E98F}"/>
    <cellStyle name="Comma 7 2 2 2 5 3 2" xfId="28397" xr:uid="{1B27B31D-62B6-49F8-A726-499C0433F269}"/>
    <cellStyle name="Comma 7 2 2 2 5 4" xfId="19725" xr:uid="{8C3FED22-8764-4CC5-8BFC-D335CC9B70F3}"/>
    <cellStyle name="Comma 7 2 2 2 6" xfId="4549" xr:uid="{89B1A935-E09A-4069-8822-8DC36778C5A0}"/>
    <cellStyle name="Comma 7 2 2 2 6 2" xfId="13221" xr:uid="{4D217C19-29D5-4811-B407-70E5E79AF414}"/>
    <cellStyle name="Comma 7 2 2 2 6 2 2" xfId="30565" xr:uid="{17F8CEDF-4189-4E82-81CB-9E359D18DC82}"/>
    <cellStyle name="Comma 7 2 2 2 6 3" xfId="21893" xr:uid="{8614ADB0-8BBA-4973-A78A-1E797A378C11}"/>
    <cellStyle name="Comma 7 2 2 2 7" xfId="8885" xr:uid="{7BB36B34-786C-49EF-A7C7-D1FA2E6B9A78}"/>
    <cellStyle name="Comma 7 2 2 2 7 2" xfId="26229" xr:uid="{CF68F9B8-FB67-4E92-AF83-DC63137AE8B6}"/>
    <cellStyle name="Comma 7 2 2 2 8" xfId="17557" xr:uid="{79925174-0CFA-4622-842B-E216F8BC06CD}"/>
    <cellStyle name="Comma 7 2 2 3" xfId="361" xr:uid="{F2C12585-E50C-4BEE-B472-BC89D3B80E85}"/>
    <cellStyle name="Comma 7 2 2 3 2" xfId="902" xr:uid="{32E837C0-7412-41DE-BE62-175CD3417A7D}"/>
    <cellStyle name="Comma 7 2 2 3 2 2" xfId="1986" xr:uid="{CB1B7EAE-AFD7-413E-9C9E-F9A64841B93B}"/>
    <cellStyle name="Comma 7 2 2 3 2 2 2" xfId="4154" xr:uid="{096DAE8D-B1E1-404B-9616-F20137FEC773}"/>
    <cellStyle name="Comma 7 2 2 3 2 2 2 2" xfId="8490" xr:uid="{16B9CA53-8BF4-40AE-B809-E1B64CF6936B}"/>
    <cellStyle name="Comma 7 2 2 3 2 2 2 2 2" xfId="17162" xr:uid="{CEE85AB3-B4C5-4856-BCEE-A6C917870412}"/>
    <cellStyle name="Comma 7 2 2 3 2 2 2 2 2 2" xfId="34506" xr:uid="{83159FE8-4E8C-4ACD-A18C-E3BA96CB7D0E}"/>
    <cellStyle name="Comma 7 2 2 3 2 2 2 2 3" xfId="25834" xr:uid="{D042B1DE-FF49-41B0-8EB6-18C035A0872F}"/>
    <cellStyle name="Comma 7 2 2 3 2 2 2 3" xfId="12826" xr:uid="{B77DA972-D87D-4A07-AA73-CBEB983ABBD4}"/>
    <cellStyle name="Comma 7 2 2 3 2 2 2 3 2" xfId="30170" xr:uid="{82AA91D4-FEC8-49D4-B9E1-7FF66FE2D051}"/>
    <cellStyle name="Comma 7 2 2 3 2 2 2 4" xfId="21498" xr:uid="{4F09E75E-41E0-43BB-ABB7-B100560C455A}"/>
    <cellStyle name="Comma 7 2 2 3 2 2 3" xfId="6322" xr:uid="{C8990874-8180-4CCB-B8E4-BE4ACE0D6AAD}"/>
    <cellStyle name="Comma 7 2 2 3 2 2 3 2" xfId="14994" xr:uid="{8B580C63-7029-42BD-A57D-9394DA175D52}"/>
    <cellStyle name="Comma 7 2 2 3 2 2 3 2 2" xfId="32338" xr:uid="{FFC3DCFC-8974-451B-BE3C-9530BC178700}"/>
    <cellStyle name="Comma 7 2 2 3 2 2 3 3" xfId="23666" xr:uid="{D6B9CB3A-DDC9-4CE6-9EB6-EC37B6E939F1}"/>
    <cellStyle name="Comma 7 2 2 3 2 2 4" xfId="10658" xr:uid="{BCA35FA7-1A50-40CE-B3A8-51F7B0D04613}"/>
    <cellStyle name="Comma 7 2 2 3 2 2 4 2" xfId="28002" xr:uid="{7A92EB7D-2BB7-42BF-B9E5-D74430A4310A}"/>
    <cellStyle name="Comma 7 2 2 3 2 2 5" xfId="19330" xr:uid="{D2A60959-9351-40A6-9EE6-E39B9D1DCE7B}"/>
    <cellStyle name="Comma 7 2 2 3 2 3" xfId="3070" xr:uid="{7854C8D8-2C86-4B2A-80DE-79852A669DCF}"/>
    <cellStyle name="Comma 7 2 2 3 2 3 2" xfId="7406" xr:uid="{7FADB338-0467-4318-905A-0513F7CA9B7E}"/>
    <cellStyle name="Comma 7 2 2 3 2 3 2 2" xfId="16078" xr:uid="{9DE954D8-6BE8-43D5-8398-4FC711E00286}"/>
    <cellStyle name="Comma 7 2 2 3 2 3 2 2 2" xfId="33422" xr:uid="{C6BFEBF2-5CDE-4E56-8C99-8E5C98CFF212}"/>
    <cellStyle name="Comma 7 2 2 3 2 3 2 3" xfId="24750" xr:uid="{DD720404-B7BA-4AFF-8283-B790B836F0D7}"/>
    <cellStyle name="Comma 7 2 2 3 2 3 3" xfId="11742" xr:uid="{D24021CC-97E4-4DE5-99DD-7C34D07F4378}"/>
    <cellStyle name="Comma 7 2 2 3 2 3 3 2" xfId="29086" xr:uid="{CEFC37FF-4DBE-4202-B397-8942DD3805DA}"/>
    <cellStyle name="Comma 7 2 2 3 2 3 4" xfId="20414" xr:uid="{B719AB5A-988C-4FF8-AB95-391EC2721ADD}"/>
    <cellStyle name="Comma 7 2 2 3 2 4" xfId="5238" xr:uid="{27666FF2-7891-4D36-A05C-9BD51D8396B7}"/>
    <cellStyle name="Comma 7 2 2 3 2 4 2" xfId="13910" xr:uid="{C8520198-B769-475D-8667-CE499891AE48}"/>
    <cellStyle name="Comma 7 2 2 3 2 4 2 2" xfId="31254" xr:uid="{B0FE0D82-B16D-4C12-9EC8-760FB64567F9}"/>
    <cellStyle name="Comma 7 2 2 3 2 4 3" xfId="22582" xr:uid="{7FC054F0-5E2C-45EC-BFDD-25F4F2790D5A}"/>
    <cellStyle name="Comma 7 2 2 3 2 5" xfId="9574" xr:uid="{2C751550-982D-4673-A5EB-07C2EBFC6BB6}"/>
    <cellStyle name="Comma 7 2 2 3 2 5 2" xfId="26918" xr:uid="{C33131FE-A918-448B-B851-FEC0524C5019}"/>
    <cellStyle name="Comma 7 2 2 3 2 6" xfId="18246" xr:uid="{C83ADE93-C1ED-4107-B95D-38A99F90882E}"/>
    <cellStyle name="Comma 7 2 2 3 3" xfId="1445" xr:uid="{AF8E1460-D740-43C9-B539-E69660C379A5}"/>
    <cellStyle name="Comma 7 2 2 3 3 2" xfId="3613" xr:uid="{2A7D4736-BF45-4DB8-AA7A-9A923F40936E}"/>
    <cellStyle name="Comma 7 2 2 3 3 2 2" xfId="7949" xr:uid="{8A183E03-0F14-4865-8950-6F8A5DD36DA3}"/>
    <cellStyle name="Comma 7 2 2 3 3 2 2 2" xfId="16621" xr:uid="{BB4DD1CE-38B2-4A1A-A1CD-5626C8A49240}"/>
    <cellStyle name="Comma 7 2 2 3 3 2 2 2 2" xfId="33965" xr:uid="{399579AD-9950-4353-A670-ADB920C23C33}"/>
    <cellStyle name="Comma 7 2 2 3 3 2 2 3" xfId="25293" xr:uid="{244DBDF6-AAA5-4C8F-8C17-8289DA7807E3}"/>
    <cellStyle name="Comma 7 2 2 3 3 2 3" xfId="12285" xr:uid="{182E20F9-0E1A-40FC-BEA6-F2238FAE9645}"/>
    <cellStyle name="Comma 7 2 2 3 3 2 3 2" xfId="29629" xr:uid="{6795F703-F123-47E7-8129-79EE19DA260C}"/>
    <cellStyle name="Comma 7 2 2 3 3 2 4" xfId="20957" xr:uid="{9CEB996A-7A14-4DB3-B816-169C3F1321CB}"/>
    <cellStyle name="Comma 7 2 2 3 3 3" xfId="5781" xr:uid="{D771C853-C2E4-4BE9-AADE-1D11A2E3A684}"/>
    <cellStyle name="Comma 7 2 2 3 3 3 2" xfId="14453" xr:uid="{F2F2374A-1CF6-481D-8BA6-6784942E6A5D}"/>
    <cellStyle name="Comma 7 2 2 3 3 3 2 2" xfId="31797" xr:uid="{D1D7DF0A-1312-4D98-9952-CDE0ADA027AE}"/>
    <cellStyle name="Comma 7 2 2 3 3 3 3" xfId="23125" xr:uid="{4B6F3365-F100-400D-B362-8E69DBFE82E6}"/>
    <cellStyle name="Comma 7 2 2 3 3 4" xfId="10117" xr:uid="{6124D278-191E-45E6-AD04-C29D21CFB92F}"/>
    <cellStyle name="Comma 7 2 2 3 3 4 2" xfId="27461" xr:uid="{744C41AF-A938-4B32-9792-C4E3032DEDCD}"/>
    <cellStyle name="Comma 7 2 2 3 3 5" xfId="18789" xr:uid="{C09A0947-95DE-48AC-B83C-7F48B2D458C1}"/>
    <cellStyle name="Comma 7 2 2 3 4" xfId="2529" xr:uid="{8DF5D805-4EE2-4D58-A4D7-8EEA1828630B}"/>
    <cellStyle name="Comma 7 2 2 3 4 2" xfId="6865" xr:uid="{23EA2F71-EA1A-4552-8E5A-9ED33E6435ED}"/>
    <cellStyle name="Comma 7 2 2 3 4 2 2" xfId="15537" xr:uid="{4186FC0C-0763-4559-8069-D8B3410C8112}"/>
    <cellStyle name="Comma 7 2 2 3 4 2 2 2" xfId="32881" xr:uid="{D968DE47-58A3-423C-A508-BFE18BD11A7A}"/>
    <cellStyle name="Comma 7 2 2 3 4 2 3" xfId="24209" xr:uid="{CE36F8DC-A722-4E34-AFF9-091195BEFAD5}"/>
    <cellStyle name="Comma 7 2 2 3 4 3" xfId="11201" xr:uid="{1F8CC8A0-BD13-44C7-8491-B7AA26C76745}"/>
    <cellStyle name="Comma 7 2 2 3 4 3 2" xfId="28545" xr:uid="{FA6740B6-89A6-4603-96CA-4205DC558BD0}"/>
    <cellStyle name="Comma 7 2 2 3 4 4" xfId="19873" xr:uid="{5E488687-F79C-4BEA-A8F8-D8DAD75F5914}"/>
    <cellStyle name="Comma 7 2 2 3 5" xfId="4697" xr:uid="{3DA9385B-2AC0-44B5-BE64-DE0FD6059AB5}"/>
    <cellStyle name="Comma 7 2 2 3 5 2" xfId="13369" xr:uid="{75FFC4BB-5028-4453-96F2-1E4BF8DC7615}"/>
    <cellStyle name="Comma 7 2 2 3 5 2 2" xfId="30713" xr:uid="{D81D8F17-1D83-4C70-BD78-B8F9384920B8}"/>
    <cellStyle name="Comma 7 2 2 3 5 3" xfId="22041" xr:uid="{5719CDDF-EEE4-4F65-803B-032CA10E59CC}"/>
    <cellStyle name="Comma 7 2 2 3 6" xfId="9033" xr:uid="{6F9A769E-DF9E-41B8-BE14-E3A3C08CFADF}"/>
    <cellStyle name="Comma 7 2 2 3 6 2" xfId="26377" xr:uid="{D809F556-1414-4D2A-8CE2-96074D9900EF}"/>
    <cellStyle name="Comma 7 2 2 3 7" xfId="17705" xr:uid="{87E235CE-39AD-47CC-9747-AD932D16C625}"/>
    <cellStyle name="Comma 7 2 2 4" xfId="632" xr:uid="{7D835AC7-7268-4124-93A3-1D7428FE37C2}"/>
    <cellStyle name="Comma 7 2 2 4 2" xfId="1716" xr:uid="{23BA3856-28C8-40C1-BD46-1B5991317856}"/>
    <cellStyle name="Comma 7 2 2 4 2 2" xfId="3884" xr:uid="{CA00419A-F1BA-4E6E-8CB8-7E8554FFFC23}"/>
    <cellStyle name="Comma 7 2 2 4 2 2 2" xfId="8220" xr:uid="{87624D50-A57E-47CC-8C86-53393AD828B0}"/>
    <cellStyle name="Comma 7 2 2 4 2 2 2 2" xfId="16892" xr:uid="{F0B58998-660F-42C3-8C03-1E1E5A6EBF7F}"/>
    <cellStyle name="Comma 7 2 2 4 2 2 2 2 2" xfId="34236" xr:uid="{16EE338E-B069-4918-9C12-E5FF2D4F2201}"/>
    <cellStyle name="Comma 7 2 2 4 2 2 2 3" xfId="25564" xr:uid="{491099AA-4788-45A4-9ED5-FBFA2F119E81}"/>
    <cellStyle name="Comma 7 2 2 4 2 2 3" xfId="12556" xr:uid="{CA9FF9CE-7FAE-4C25-97C5-15A6DB775E18}"/>
    <cellStyle name="Comma 7 2 2 4 2 2 3 2" xfId="29900" xr:uid="{7BEC1DFC-8C66-415D-B2D8-7B0D306F49F5}"/>
    <cellStyle name="Comma 7 2 2 4 2 2 4" xfId="21228" xr:uid="{B291E8FF-58D3-4828-B5A8-A10BDFB0A703}"/>
    <cellStyle name="Comma 7 2 2 4 2 3" xfId="6052" xr:uid="{CC829401-D2C5-4472-9EB8-0B9F34CF5BE3}"/>
    <cellStyle name="Comma 7 2 2 4 2 3 2" xfId="14724" xr:uid="{7F1113AB-6C9A-4948-BEB5-56627D180718}"/>
    <cellStyle name="Comma 7 2 2 4 2 3 2 2" xfId="32068" xr:uid="{3C7F669D-B73B-453B-B357-F34A2EC02228}"/>
    <cellStyle name="Comma 7 2 2 4 2 3 3" xfId="23396" xr:uid="{765A4660-8ABB-4494-A083-820BC06AAD8A}"/>
    <cellStyle name="Comma 7 2 2 4 2 4" xfId="10388" xr:uid="{7999EE99-D1EE-4F55-86C0-7F569863B456}"/>
    <cellStyle name="Comma 7 2 2 4 2 4 2" xfId="27732" xr:uid="{EABA3B45-7EC1-4AC3-8B91-247D2471AD8E}"/>
    <cellStyle name="Comma 7 2 2 4 2 5" xfId="19060" xr:uid="{987E5BC6-4552-40FF-B4E6-57350ABC932A}"/>
    <cellStyle name="Comma 7 2 2 4 3" xfId="2800" xr:uid="{D3CA1866-8FFC-469D-B859-545F776A5C9E}"/>
    <cellStyle name="Comma 7 2 2 4 3 2" xfId="7136" xr:uid="{78C39DF1-4990-4FDC-97C6-8B1B653B1FE7}"/>
    <cellStyle name="Comma 7 2 2 4 3 2 2" xfId="15808" xr:uid="{F47AEC2D-5496-44C0-A83F-8E4274A3059E}"/>
    <cellStyle name="Comma 7 2 2 4 3 2 2 2" xfId="33152" xr:uid="{542A18CB-AC2A-4284-855E-81894E7AF8E0}"/>
    <cellStyle name="Comma 7 2 2 4 3 2 3" xfId="24480" xr:uid="{7F85232B-05B9-4C6C-8CFF-418F219A3D39}"/>
    <cellStyle name="Comma 7 2 2 4 3 3" xfId="11472" xr:uid="{896A5B3A-51A9-436C-99E8-BFF04458125D}"/>
    <cellStyle name="Comma 7 2 2 4 3 3 2" xfId="28816" xr:uid="{0B20D0B6-9CD7-4E7A-8B37-7B1DD39703F3}"/>
    <cellStyle name="Comma 7 2 2 4 3 4" xfId="20144" xr:uid="{F785D970-E10F-4229-9587-283640FEDB22}"/>
    <cellStyle name="Comma 7 2 2 4 4" xfId="4968" xr:uid="{39672BAB-D99C-4422-80A3-2E71973E19BD}"/>
    <cellStyle name="Comma 7 2 2 4 4 2" xfId="13640" xr:uid="{7B292F91-CB74-4EEB-BFDE-EA5CAE140AD0}"/>
    <cellStyle name="Comma 7 2 2 4 4 2 2" xfId="30984" xr:uid="{13475310-BB28-4A2C-9137-9E9211266008}"/>
    <cellStyle name="Comma 7 2 2 4 4 3" xfId="22312" xr:uid="{9ABBA20E-9776-4701-8B15-375E72B71A76}"/>
    <cellStyle name="Comma 7 2 2 4 5" xfId="9304" xr:uid="{31661361-3B03-438D-9344-0CD2AD130D73}"/>
    <cellStyle name="Comma 7 2 2 4 5 2" xfId="26648" xr:uid="{40EB9831-0881-409F-AD3A-C5D7A664761F}"/>
    <cellStyle name="Comma 7 2 2 4 6" xfId="17976" xr:uid="{61B58B6A-E187-489C-805D-5788547AABAC}"/>
    <cellStyle name="Comma 7 2 2 5" xfId="1175" xr:uid="{E498D6C7-2C19-4B74-AC64-EEDEB38A1CE8}"/>
    <cellStyle name="Comma 7 2 2 5 2" xfId="3343" xr:uid="{1F653C72-58DA-4D7C-AC1F-5A965126F06D}"/>
    <cellStyle name="Comma 7 2 2 5 2 2" xfId="7679" xr:uid="{9D3BB5F3-FB4F-4E41-AE49-7C30A1D9266A}"/>
    <cellStyle name="Comma 7 2 2 5 2 2 2" xfId="16351" xr:uid="{363070E4-E9BF-4F94-A781-0CBF19CA8333}"/>
    <cellStyle name="Comma 7 2 2 5 2 2 2 2" xfId="33695" xr:uid="{466DEB6E-A913-4D92-86E2-6A6888E1B156}"/>
    <cellStyle name="Comma 7 2 2 5 2 2 3" xfId="25023" xr:uid="{7373F566-AE3A-42B5-958D-EACF43B77DDB}"/>
    <cellStyle name="Comma 7 2 2 5 2 3" xfId="12015" xr:uid="{E5D26C9E-EC0F-43FC-8166-17EA50CA5AA2}"/>
    <cellStyle name="Comma 7 2 2 5 2 3 2" xfId="29359" xr:uid="{50D00768-8E5D-41F4-80E8-ADD48C0E1805}"/>
    <cellStyle name="Comma 7 2 2 5 2 4" xfId="20687" xr:uid="{E431CE53-8240-454D-920B-8A6C3B8A8438}"/>
    <cellStyle name="Comma 7 2 2 5 3" xfId="5511" xr:uid="{DBFD6BE3-B4F2-4CDF-8572-B1B3A7736846}"/>
    <cellStyle name="Comma 7 2 2 5 3 2" xfId="14183" xr:uid="{E2417F65-2AB4-48A9-8CF3-15F6AF79E656}"/>
    <cellStyle name="Comma 7 2 2 5 3 2 2" xfId="31527" xr:uid="{2597C835-85F3-48D6-9EC0-A4D87B34AE09}"/>
    <cellStyle name="Comma 7 2 2 5 3 3" xfId="22855" xr:uid="{4072918C-91C2-44DA-BDEA-4F6597B08E27}"/>
    <cellStyle name="Comma 7 2 2 5 4" xfId="9847" xr:uid="{E9A8FB0C-73E8-4F9B-8EB1-EF89A7CDDB07}"/>
    <cellStyle name="Comma 7 2 2 5 4 2" xfId="27191" xr:uid="{49E31062-BC4A-4D11-9DB6-CD12D9E3701B}"/>
    <cellStyle name="Comma 7 2 2 5 5" xfId="18519" xr:uid="{7BC72010-58CE-49BD-A746-09F2220B768E}"/>
    <cellStyle name="Comma 7 2 2 6" xfId="2259" xr:uid="{9B395CB1-8097-421C-9834-952E122B9E3A}"/>
    <cellStyle name="Comma 7 2 2 6 2" xfId="6595" xr:uid="{140DF601-7F18-40E6-A4A5-B00C75AE411C}"/>
    <cellStyle name="Comma 7 2 2 6 2 2" xfId="15267" xr:uid="{2A17DF66-CC63-4771-B97B-7250D51D7D46}"/>
    <cellStyle name="Comma 7 2 2 6 2 2 2" xfId="32611" xr:uid="{297076C8-B1F8-495F-A8A1-DD029096DDE9}"/>
    <cellStyle name="Comma 7 2 2 6 2 3" xfId="23939" xr:uid="{7A31D254-98BF-45E1-8CCA-E62F1F588AA1}"/>
    <cellStyle name="Comma 7 2 2 6 3" xfId="10931" xr:uid="{5E43029F-A130-4935-8981-164AE45DE85A}"/>
    <cellStyle name="Comma 7 2 2 6 3 2" xfId="28275" xr:uid="{9609DA33-438C-4404-8E9B-9CFE37A343F7}"/>
    <cellStyle name="Comma 7 2 2 6 4" xfId="19603" xr:uid="{F4EDC498-2E87-4083-ABC9-7BB80B66381A}"/>
    <cellStyle name="Comma 7 2 2 7" xfId="4427" xr:uid="{7E069A5D-CBC8-42C9-BFDF-458745C8C262}"/>
    <cellStyle name="Comma 7 2 2 7 2" xfId="13099" xr:uid="{FCBD40EE-3AEA-4A1A-91E2-8D017B0F7D0E}"/>
    <cellStyle name="Comma 7 2 2 7 2 2" xfId="30443" xr:uid="{5C5F73D6-915A-4E10-99E2-483D2AD81A5F}"/>
    <cellStyle name="Comma 7 2 2 7 3" xfId="21771" xr:uid="{53B7D67A-81D5-4DED-8510-82B21E1653FD}"/>
    <cellStyle name="Comma 7 2 2 8" xfId="8763" xr:uid="{8599166A-18EF-4245-BC2D-DA653B164E82}"/>
    <cellStyle name="Comma 7 2 2 8 2" xfId="26107" xr:uid="{A37C84C4-9F53-4C06-8391-F70ED6457413}"/>
    <cellStyle name="Comma 7 2 2 9" xfId="17435" xr:uid="{DA2AAC92-FB45-40DA-881E-F1F5F7ED5AA0}"/>
    <cellStyle name="Comma 7 2 3" xfId="152" xr:uid="{37CA4219-762C-4FE5-BA89-6F414C07ACC3}"/>
    <cellStyle name="Comma 7 2 3 2" xfId="422" xr:uid="{2D975520-1678-41D1-BA00-DEA027CA594B}"/>
    <cellStyle name="Comma 7 2 3 2 2" xfId="963" xr:uid="{3FF697E1-A46F-4A02-91B6-3D226065FEB4}"/>
    <cellStyle name="Comma 7 2 3 2 2 2" xfId="2047" xr:uid="{72F51CE2-50CB-4DE5-9718-F957135720E8}"/>
    <cellStyle name="Comma 7 2 3 2 2 2 2" xfId="4215" xr:uid="{8CA6E42A-CA2A-4C42-9BED-7CF9FC8A32E0}"/>
    <cellStyle name="Comma 7 2 3 2 2 2 2 2" xfId="8551" xr:uid="{A7A0FC3B-486F-4222-8604-E85FF66A5508}"/>
    <cellStyle name="Comma 7 2 3 2 2 2 2 2 2" xfId="17223" xr:uid="{7F60F21D-D0DC-4D90-B64C-180D709DA185}"/>
    <cellStyle name="Comma 7 2 3 2 2 2 2 2 2 2" xfId="34567" xr:uid="{1F8C634D-4C7D-4996-925C-6B43CF20DB54}"/>
    <cellStyle name="Comma 7 2 3 2 2 2 2 2 3" xfId="25895" xr:uid="{D2D75154-6CC9-4881-BE1E-5B3777E5ACAA}"/>
    <cellStyle name="Comma 7 2 3 2 2 2 2 3" xfId="12887" xr:uid="{41699F0F-43F2-411C-B2A8-720CF721A499}"/>
    <cellStyle name="Comma 7 2 3 2 2 2 2 3 2" xfId="30231" xr:uid="{196172FD-2A32-4EA3-BE54-AE4B351767B2}"/>
    <cellStyle name="Comma 7 2 3 2 2 2 2 4" xfId="21559" xr:uid="{E048DD27-A7AF-4C05-9BD4-5F64E3CB17A5}"/>
    <cellStyle name="Comma 7 2 3 2 2 2 3" xfId="6383" xr:uid="{CBB8D990-5A2E-4031-9EF7-9AFD0BC21F69}"/>
    <cellStyle name="Comma 7 2 3 2 2 2 3 2" xfId="15055" xr:uid="{90D50A7B-12E9-4C4B-A4B3-233F6D0EE95F}"/>
    <cellStyle name="Comma 7 2 3 2 2 2 3 2 2" xfId="32399" xr:uid="{5CB5C106-50BD-454D-B539-D9482D4739A9}"/>
    <cellStyle name="Comma 7 2 3 2 2 2 3 3" xfId="23727" xr:uid="{941E77A5-6FEC-435A-8235-94B38939CF62}"/>
    <cellStyle name="Comma 7 2 3 2 2 2 4" xfId="10719" xr:uid="{20196AA2-7CBE-49BD-9EB6-82C4A5EC1BD0}"/>
    <cellStyle name="Comma 7 2 3 2 2 2 4 2" xfId="28063" xr:uid="{EE5CC95F-2B4B-40A6-B383-97AB07FF7123}"/>
    <cellStyle name="Comma 7 2 3 2 2 2 5" xfId="19391" xr:uid="{E5E0C83A-FA9B-40A4-A092-11070CCEA1EB}"/>
    <cellStyle name="Comma 7 2 3 2 2 3" xfId="3131" xr:uid="{285CBBF2-1066-47CD-A2A6-78F78F2CE0E3}"/>
    <cellStyle name="Comma 7 2 3 2 2 3 2" xfId="7467" xr:uid="{565B6FA2-4716-423E-BDFA-3D6D855140C2}"/>
    <cellStyle name="Comma 7 2 3 2 2 3 2 2" xfId="16139" xr:uid="{FF797C34-0009-4445-8276-9A4E8D3326A2}"/>
    <cellStyle name="Comma 7 2 3 2 2 3 2 2 2" xfId="33483" xr:uid="{30EF3350-C3F7-45B6-A794-CEA1CBA8F47D}"/>
    <cellStyle name="Comma 7 2 3 2 2 3 2 3" xfId="24811" xr:uid="{4D9C5557-FEAA-43D1-B665-4D576FAC66EE}"/>
    <cellStyle name="Comma 7 2 3 2 2 3 3" xfId="11803" xr:uid="{6EBD775B-C6FA-45B4-8D50-F53C556EA63D}"/>
    <cellStyle name="Comma 7 2 3 2 2 3 3 2" xfId="29147" xr:uid="{4EE1E227-8CB9-4455-9E10-17B2C9E3A2FF}"/>
    <cellStyle name="Comma 7 2 3 2 2 3 4" xfId="20475" xr:uid="{FE1ABF1D-C2C5-4D90-9738-37FC05E56278}"/>
    <cellStyle name="Comma 7 2 3 2 2 4" xfId="5299" xr:uid="{7A2F8AEA-FAF2-424B-9EBD-A6493DD4482C}"/>
    <cellStyle name="Comma 7 2 3 2 2 4 2" xfId="13971" xr:uid="{DED2E016-0A28-4757-B910-ED057C2D7D65}"/>
    <cellStyle name="Comma 7 2 3 2 2 4 2 2" xfId="31315" xr:uid="{BB244A76-D659-40AC-8A10-585C86870C69}"/>
    <cellStyle name="Comma 7 2 3 2 2 4 3" xfId="22643" xr:uid="{899585E1-C767-4CC8-A802-F1D6AA6A9E0B}"/>
    <cellStyle name="Comma 7 2 3 2 2 5" xfId="9635" xr:uid="{C8A56AE9-BF46-4EF6-B6D3-A969887A5708}"/>
    <cellStyle name="Comma 7 2 3 2 2 5 2" xfId="26979" xr:uid="{7E924E07-E3CD-41E5-921F-5BB475D26CAA}"/>
    <cellStyle name="Comma 7 2 3 2 2 6" xfId="18307" xr:uid="{BE6AF3CD-A8F0-41B5-A9E8-9D43939508F8}"/>
    <cellStyle name="Comma 7 2 3 2 3" xfId="1506" xr:uid="{15C82C58-8D16-40D3-BDB6-F791AFFE6961}"/>
    <cellStyle name="Comma 7 2 3 2 3 2" xfId="3674" xr:uid="{3F04B773-F597-4FAD-AC16-F2F0BC46366C}"/>
    <cellStyle name="Comma 7 2 3 2 3 2 2" xfId="8010" xr:uid="{A2F1C767-69AD-41EF-BBA0-51BA527DFB79}"/>
    <cellStyle name="Comma 7 2 3 2 3 2 2 2" xfId="16682" xr:uid="{73713589-673A-49C7-8FA4-B24B052C409D}"/>
    <cellStyle name="Comma 7 2 3 2 3 2 2 2 2" xfId="34026" xr:uid="{B373D3F0-A13D-464C-B74C-1B64179C9919}"/>
    <cellStyle name="Comma 7 2 3 2 3 2 2 3" xfId="25354" xr:uid="{EAF9891B-C4F6-4A43-A5C7-71AAA2C941F7}"/>
    <cellStyle name="Comma 7 2 3 2 3 2 3" xfId="12346" xr:uid="{5A39CDCA-07B4-4093-8B6A-0AA85AC99409}"/>
    <cellStyle name="Comma 7 2 3 2 3 2 3 2" xfId="29690" xr:uid="{C28623CF-C44E-4124-B617-4547780DA439}"/>
    <cellStyle name="Comma 7 2 3 2 3 2 4" xfId="21018" xr:uid="{EE823344-45CF-4975-868F-D9CC85734CC9}"/>
    <cellStyle name="Comma 7 2 3 2 3 3" xfId="5842" xr:uid="{EB264888-CFAB-4968-8E58-922E4EE397FC}"/>
    <cellStyle name="Comma 7 2 3 2 3 3 2" xfId="14514" xr:uid="{31504824-EDD8-4691-B119-A5B3756E5D26}"/>
    <cellStyle name="Comma 7 2 3 2 3 3 2 2" xfId="31858" xr:uid="{778174EA-6B0F-41A3-98E8-D40AFDB2F704}"/>
    <cellStyle name="Comma 7 2 3 2 3 3 3" xfId="23186" xr:uid="{ED454996-FCA2-49BE-ADC5-E102E1A0996C}"/>
    <cellStyle name="Comma 7 2 3 2 3 4" xfId="10178" xr:uid="{94E6C372-9089-40C7-9D81-21323E6CEA3D}"/>
    <cellStyle name="Comma 7 2 3 2 3 4 2" xfId="27522" xr:uid="{2EA80E1A-6FEF-4685-9ACF-D37B8CBE767F}"/>
    <cellStyle name="Comma 7 2 3 2 3 5" xfId="18850" xr:uid="{6014A18D-F9DA-49ED-A48D-BE7F97221FDB}"/>
    <cellStyle name="Comma 7 2 3 2 4" xfId="2590" xr:uid="{6B74B000-D4A4-4FDB-9792-DD54833662E2}"/>
    <cellStyle name="Comma 7 2 3 2 4 2" xfId="6926" xr:uid="{6678422D-A9A9-4EDA-9EE3-A0E695FAC24A}"/>
    <cellStyle name="Comma 7 2 3 2 4 2 2" xfId="15598" xr:uid="{93B5E196-9A25-43B9-B0C5-37AD6D0D49E2}"/>
    <cellStyle name="Comma 7 2 3 2 4 2 2 2" xfId="32942" xr:uid="{B5DE190B-D01B-483B-92E1-8B8A295F6468}"/>
    <cellStyle name="Comma 7 2 3 2 4 2 3" xfId="24270" xr:uid="{BD38DBF9-2DD1-4A57-8964-A253BC776268}"/>
    <cellStyle name="Comma 7 2 3 2 4 3" xfId="11262" xr:uid="{9EF006F3-AA27-49C7-94C0-D6A122CFF0F3}"/>
    <cellStyle name="Comma 7 2 3 2 4 3 2" xfId="28606" xr:uid="{A141001A-A7D2-4123-AC34-040FC9D4318B}"/>
    <cellStyle name="Comma 7 2 3 2 4 4" xfId="19934" xr:uid="{6105ED66-B03D-4347-9B09-D58ED880DE96}"/>
    <cellStyle name="Comma 7 2 3 2 5" xfId="4758" xr:uid="{7877E7C9-A0DA-4DF8-8215-D9EBE843D482}"/>
    <cellStyle name="Comma 7 2 3 2 5 2" xfId="13430" xr:uid="{9D264355-BC26-46E7-980F-881175F8EE3E}"/>
    <cellStyle name="Comma 7 2 3 2 5 2 2" xfId="30774" xr:uid="{82C03AD6-F21E-43C8-8F70-CB255C7F7DAF}"/>
    <cellStyle name="Comma 7 2 3 2 5 3" xfId="22102" xr:uid="{766F24B5-D4A9-45D7-BC45-52C10D8EB18F}"/>
    <cellStyle name="Comma 7 2 3 2 6" xfId="9094" xr:uid="{D221381C-90ED-4936-93A9-6B8D3093E4D1}"/>
    <cellStyle name="Comma 7 2 3 2 6 2" xfId="26438" xr:uid="{59DF3528-0D5C-4988-BA24-BD08B8759F42}"/>
    <cellStyle name="Comma 7 2 3 2 7" xfId="17766" xr:uid="{0585C850-3FEC-466C-A765-425E13BE447B}"/>
    <cellStyle name="Comma 7 2 3 3" xfId="693" xr:uid="{E75EEBF3-620C-4A19-AB0E-472E0C4680DA}"/>
    <cellStyle name="Comma 7 2 3 3 2" xfId="1777" xr:uid="{F6125B1E-8C4B-439B-AD1B-3D6D538FEB89}"/>
    <cellStyle name="Comma 7 2 3 3 2 2" xfId="3945" xr:uid="{AC9764AD-D734-4F5C-827E-42911F52E6AD}"/>
    <cellStyle name="Comma 7 2 3 3 2 2 2" xfId="8281" xr:uid="{5541BF9E-D1FA-4F51-9B83-7C65D078C00F}"/>
    <cellStyle name="Comma 7 2 3 3 2 2 2 2" xfId="16953" xr:uid="{FA60A18B-430F-4378-B6AC-7848AFC67C8C}"/>
    <cellStyle name="Comma 7 2 3 3 2 2 2 2 2" xfId="34297" xr:uid="{9CC48EE2-88B5-4086-AFC8-F276AC84F383}"/>
    <cellStyle name="Comma 7 2 3 3 2 2 2 3" xfId="25625" xr:uid="{1DFBA830-62CD-4514-A661-123DBE2D8CB9}"/>
    <cellStyle name="Comma 7 2 3 3 2 2 3" xfId="12617" xr:uid="{F185720F-23EC-4B40-8A0F-F037D8D6B433}"/>
    <cellStyle name="Comma 7 2 3 3 2 2 3 2" xfId="29961" xr:uid="{71614C48-C278-4A4D-9EFD-F29CCEDC88F6}"/>
    <cellStyle name="Comma 7 2 3 3 2 2 4" xfId="21289" xr:uid="{83BBD5EF-72E2-4389-A55D-AF0BEF664F06}"/>
    <cellStyle name="Comma 7 2 3 3 2 3" xfId="6113" xr:uid="{597C63F1-4012-428D-8EA9-39CDA5B53CF9}"/>
    <cellStyle name="Comma 7 2 3 3 2 3 2" xfId="14785" xr:uid="{A4962947-2000-4242-832F-2E7732DFCD8B}"/>
    <cellStyle name="Comma 7 2 3 3 2 3 2 2" xfId="32129" xr:uid="{0BA116E0-55F9-4A6A-B570-B6C5DA801411}"/>
    <cellStyle name="Comma 7 2 3 3 2 3 3" xfId="23457" xr:uid="{516DBEFB-23FB-40E9-B0DE-3AB980D105EA}"/>
    <cellStyle name="Comma 7 2 3 3 2 4" xfId="10449" xr:uid="{EC817552-3556-496B-9A08-49C3E4575081}"/>
    <cellStyle name="Comma 7 2 3 3 2 4 2" xfId="27793" xr:uid="{CC6EE5A2-1626-4B9C-86D5-8D5EDD4DF675}"/>
    <cellStyle name="Comma 7 2 3 3 2 5" xfId="19121" xr:uid="{44C90E58-E012-4140-B984-7B7444BB3E9D}"/>
    <cellStyle name="Comma 7 2 3 3 3" xfId="2861" xr:uid="{57E6A413-578D-4EF1-BE68-EB362B3A994B}"/>
    <cellStyle name="Comma 7 2 3 3 3 2" xfId="7197" xr:uid="{BDB2510D-1F13-4A94-8907-95438B5AF2D0}"/>
    <cellStyle name="Comma 7 2 3 3 3 2 2" xfId="15869" xr:uid="{F6F32C3F-59A0-482B-88AB-360DF522B7C5}"/>
    <cellStyle name="Comma 7 2 3 3 3 2 2 2" xfId="33213" xr:uid="{11089859-CC3E-412A-ABBE-EFBDF0BCFF4D}"/>
    <cellStyle name="Comma 7 2 3 3 3 2 3" xfId="24541" xr:uid="{2E6B7244-5AE2-429D-9743-D1D625092E5A}"/>
    <cellStyle name="Comma 7 2 3 3 3 3" xfId="11533" xr:uid="{03AB6CFB-E1EF-41A2-9DFF-CEABA3570430}"/>
    <cellStyle name="Comma 7 2 3 3 3 3 2" xfId="28877" xr:uid="{CC969543-99BA-4BC4-9733-86CE07C86700}"/>
    <cellStyle name="Comma 7 2 3 3 3 4" xfId="20205" xr:uid="{334D1E4B-E572-4B02-8F56-477BEF9C7C35}"/>
    <cellStyle name="Comma 7 2 3 3 4" xfId="5029" xr:uid="{07764753-1B7C-4415-AB24-DDE5A1C47C17}"/>
    <cellStyle name="Comma 7 2 3 3 4 2" xfId="13701" xr:uid="{4C4BC029-E25D-44A4-98D7-4083F7767453}"/>
    <cellStyle name="Comma 7 2 3 3 4 2 2" xfId="31045" xr:uid="{2CD46277-FE27-4C16-B99B-7C398B31AB91}"/>
    <cellStyle name="Comma 7 2 3 3 4 3" xfId="22373" xr:uid="{FD987E42-C214-427E-ACDA-AA83EE8D1BAC}"/>
    <cellStyle name="Comma 7 2 3 3 5" xfId="9365" xr:uid="{8CCC86E2-8911-481A-8A21-45D3C7E6894E}"/>
    <cellStyle name="Comma 7 2 3 3 5 2" xfId="26709" xr:uid="{27298C3F-6918-4D2F-A286-CFDA092E4A33}"/>
    <cellStyle name="Comma 7 2 3 3 6" xfId="18037" xr:uid="{7B7F5E92-ABB6-478C-A905-81C1C3F6BB5F}"/>
    <cellStyle name="Comma 7 2 3 4" xfId="1236" xr:uid="{3F8D28A8-A918-41D8-BC4F-2C58E2F6FA48}"/>
    <cellStyle name="Comma 7 2 3 4 2" xfId="3404" xr:uid="{B1BD778A-33E8-4A0D-9293-AE79325DCE03}"/>
    <cellStyle name="Comma 7 2 3 4 2 2" xfId="7740" xr:uid="{930D9FB0-FBBB-4B9A-8E36-621AA36ED2A8}"/>
    <cellStyle name="Comma 7 2 3 4 2 2 2" xfId="16412" xr:uid="{06DF188A-11C2-45D6-A8EE-A07157B45D50}"/>
    <cellStyle name="Comma 7 2 3 4 2 2 2 2" xfId="33756" xr:uid="{6F1B76FF-1283-4289-B8BF-9C6D7AFFDE1C}"/>
    <cellStyle name="Comma 7 2 3 4 2 2 3" xfId="25084" xr:uid="{8D81026B-1492-4ECB-9B1C-315353F9AA41}"/>
    <cellStyle name="Comma 7 2 3 4 2 3" xfId="12076" xr:uid="{88BB04B4-21C1-4002-ABF0-87CCB04AA404}"/>
    <cellStyle name="Comma 7 2 3 4 2 3 2" xfId="29420" xr:uid="{5F855E3F-A76E-4100-B656-DC6137815503}"/>
    <cellStyle name="Comma 7 2 3 4 2 4" xfId="20748" xr:uid="{43A7DF53-815E-4DE6-B224-6EC386DD7BF0}"/>
    <cellStyle name="Comma 7 2 3 4 3" xfId="5572" xr:uid="{5B30DE62-FBD7-4697-85F9-9E35E2328110}"/>
    <cellStyle name="Comma 7 2 3 4 3 2" xfId="14244" xr:uid="{9D3A0045-9948-41A6-B62B-A97B5E504EB2}"/>
    <cellStyle name="Comma 7 2 3 4 3 2 2" xfId="31588" xr:uid="{A66641BE-184E-4E98-8B38-13C74286A314}"/>
    <cellStyle name="Comma 7 2 3 4 3 3" xfId="22916" xr:uid="{F6E62B7F-E13D-4031-876E-F22EF1FA8EA0}"/>
    <cellStyle name="Comma 7 2 3 4 4" xfId="9908" xr:uid="{D748E819-43E9-47BB-BF97-7F356E6AABDF}"/>
    <cellStyle name="Comma 7 2 3 4 4 2" xfId="27252" xr:uid="{2B835B24-C149-4229-AFD6-6C82609D68BD}"/>
    <cellStyle name="Comma 7 2 3 4 5" xfId="18580" xr:uid="{56274E62-1658-40C6-B4C0-EDEAD1B6E564}"/>
    <cellStyle name="Comma 7 2 3 5" xfId="2320" xr:uid="{534EB0E0-BD08-45A3-8DCB-5B28F112E506}"/>
    <cellStyle name="Comma 7 2 3 5 2" xfId="6656" xr:uid="{51815E14-64B3-4040-BB06-42002F102629}"/>
    <cellStyle name="Comma 7 2 3 5 2 2" xfId="15328" xr:uid="{05CAF73E-078D-408A-B471-0B2115832EA5}"/>
    <cellStyle name="Comma 7 2 3 5 2 2 2" xfId="32672" xr:uid="{FC4C3470-7B2D-4090-9782-68CC7F5B03A6}"/>
    <cellStyle name="Comma 7 2 3 5 2 3" xfId="24000" xr:uid="{BE04BE53-6B39-4183-887B-72149764F302}"/>
    <cellStyle name="Comma 7 2 3 5 3" xfId="10992" xr:uid="{82280B2A-C81E-40F0-BA34-7787DE2CCD6D}"/>
    <cellStyle name="Comma 7 2 3 5 3 2" xfId="28336" xr:uid="{1F2771FA-69F7-49C1-9EAB-8C5072845761}"/>
    <cellStyle name="Comma 7 2 3 5 4" xfId="19664" xr:uid="{F45F9705-2041-4C22-AADB-241A7CC7B9B0}"/>
    <cellStyle name="Comma 7 2 3 6" xfId="4488" xr:uid="{6FDD2CC4-E063-47DF-B68D-097076E7FF15}"/>
    <cellStyle name="Comma 7 2 3 6 2" xfId="13160" xr:uid="{AC5A852C-7ACD-440D-8ABB-4789E9193B09}"/>
    <cellStyle name="Comma 7 2 3 6 2 2" xfId="30504" xr:uid="{23D6A114-9FC2-4F92-86E0-2B34FD009DCD}"/>
    <cellStyle name="Comma 7 2 3 6 3" xfId="21832" xr:uid="{D72CEEDB-71E7-4C30-B5C8-E6445D176E92}"/>
    <cellStyle name="Comma 7 2 3 7" xfId="8824" xr:uid="{E48E1442-751B-4E41-9703-614306E22AC2}"/>
    <cellStyle name="Comma 7 2 3 7 2" xfId="26168" xr:uid="{BD087B41-2BD4-4DE7-87BB-8A50F4C6919E}"/>
    <cellStyle name="Comma 7 2 3 8" xfId="17496" xr:uid="{AC46F5B2-4A83-45BE-B5F0-96FEB21FF903}"/>
    <cellStyle name="Comma 7 2 4" xfId="262" xr:uid="{73E63449-F654-4953-9E23-DAC7EA38E412}"/>
    <cellStyle name="Comma 7 2 4 2" xfId="532" xr:uid="{F130150C-C5A0-4D62-8F83-86AED506E94D}"/>
    <cellStyle name="Comma 7 2 4 2 2" xfId="1073" xr:uid="{A0AF289F-4E42-4B46-9576-506236566403}"/>
    <cellStyle name="Comma 7 2 4 2 2 2" xfId="2157" xr:uid="{43E1ACBC-6341-4741-A5C6-0AD544F58E64}"/>
    <cellStyle name="Comma 7 2 4 2 2 2 2" xfId="4325" xr:uid="{F301780C-DB14-4913-8F04-228A759A7359}"/>
    <cellStyle name="Comma 7 2 4 2 2 2 2 2" xfId="8661" xr:uid="{282209F8-243F-4D78-BBA6-0C760666132E}"/>
    <cellStyle name="Comma 7 2 4 2 2 2 2 2 2" xfId="17333" xr:uid="{5DAF6710-7D63-4AE1-9F40-CE758216D738}"/>
    <cellStyle name="Comma 7 2 4 2 2 2 2 2 2 2" xfId="34677" xr:uid="{B2A98818-8B8E-4746-8039-F3CAE731EE1D}"/>
    <cellStyle name="Comma 7 2 4 2 2 2 2 2 3" xfId="26005" xr:uid="{B1CE08FE-24EC-4D10-B9A6-624288610961}"/>
    <cellStyle name="Comma 7 2 4 2 2 2 2 3" xfId="12997" xr:uid="{CC9AF817-5307-4868-9720-69A92ECB09E1}"/>
    <cellStyle name="Comma 7 2 4 2 2 2 2 3 2" xfId="30341" xr:uid="{20BCEDE9-72C2-4E01-BE28-3AD42AC8450C}"/>
    <cellStyle name="Comma 7 2 4 2 2 2 2 4" xfId="21669" xr:uid="{5910403F-79C5-498B-894C-C09DB6248E6E}"/>
    <cellStyle name="Comma 7 2 4 2 2 2 3" xfId="6493" xr:uid="{0FA9B99A-89F8-4114-B9A5-D6B380C483B7}"/>
    <cellStyle name="Comma 7 2 4 2 2 2 3 2" xfId="15165" xr:uid="{96F302EA-8731-4AA6-9651-25A168010D00}"/>
    <cellStyle name="Comma 7 2 4 2 2 2 3 2 2" xfId="32509" xr:uid="{8316CAF1-7A4E-4B4B-871E-2DCE40A461D7}"/>
    <cellStyle name="Comma 7 2 4 2 2 2 3 3" xfId="23837" xr:uid="{2F6A733A-D69D-4A3E-B15F-66DE69D1AECD}"/>
    <cellStyle name="Comma 7 2 4 2 2 2 4" xfId="10829" xr:uid="{CFDE289E-6F7E-47EA-BDB6-05EE6B396BFA}"/>
    <cellStyle name="Comma 7 2 4 2 2 2 4 2" xfId="28173" xr:uid="{B01AF080-3C25-45F8-B209-095EBFFCA041}"/>
    <cellStyle name="Comma 7 2 4 2 2 2 5" xfId="19501" xr:uid="{513B6381-90F5-4E54-BE35-396955E1D368}"/>
    <cellStyle name="Comma 7 2 4 2 2 3" xfId="3241" xr:uid="{2B412940-9B0C-4DA8-8107-0D10F58290D2}"/>
    <cellStyle name="Comma 7 2 4 2 2 3 2" xfId="7577" xr:uid="{565CC7AB-145D-4924-88C6-294EFFFE4BAA}"/>
    <cellStyle name="Comma 7 2 4 2 2 3 2 2" xfId="16249" xr:uid="{970D5DE0-19EA-421A-9F74-37A25AA9A0BC}"/>
    <cellStyle name="Comma 7 2 4 2 2 3 2 2 2" xfId="33593" xr:uid="{00FDE024-AEC2-4A0A-8CBE-8CFD4B6F1F17}"/>
    <cellStyle name="Comma 7 2 4 2 2 3 2 3" xfId="24921" xr:uid="{BA0945AA-A7D1-4547-A564-0184CF27FF54}"/>
    <cellStyle name="Comma 7 2 4 2 2 3 3" xfId="11913" xr:uid="{871F816B-ADC5-4B8F-B6E5-3DC925924F19}"/>
    <cellStyle name="Comma 7 2 4 2 2 3 3 2" xfId="29257" xr:uid="{C5F3D818-D289-4D8C-9A91-0925C6FF6E65}"/>
    <cellStyle name="Comma 7 2 4 2 2 3 4" xfId="20585" xr:uid="{0323F103-B081-4DF4-B74F-C9C2B3AAD31B}"/>
    <cellStyle name="Comma 7 2 4 2 2 4" xfId="5409" xr:uid="{D21697AF-3D2D-4D8C-BED1-7A70AB5BEF70}"/>
    <cellStyle name="Comma 7 2 4 2 2 4 2" xfId="14081" xr:uid="{8B5C180A-FCB2-4568-9A1E-CFB561A53757}"/>
    <cellStyle name="Comma 7 2 4 2 2 4 2 2" xfId="31425" xr:uid="{CAAD2FC0-0EAD-46FF-8267-6629EB326B56}"/>
    <cellStyle name="Comma 7 2 4 2 2 4 3" xfId="22753" xr:uid="{8997EE27-61F4-42EE-9640-144E85CE3DE0}"/>
    <cellStyle name="Comma 7 2 4 2 2 5" xfId="9745" xr:uid="{0FFB1D41-A53E-444A-9FAE-20B04075FBD9}"/>
    <cellStyle name="Comma 7 2 4 2 2 5 2" xfId="27089" xr:uid="{76504D9C-11BD-41A9-B34E-CC0DDA06511A}"/>
    <cellStyle name="Comma 7 2 4 2 2 6" xfId="18417" xr:uid="{103C3D14-9645-4D78-AA3A-9F6D3B12DC2F}"/>
    <cellStyle name="Comma 7 2 4 2 3" xfId="1616" xr:uid="{8514D409-730D-4505-8BB3-A54351386F43}"/>
    <cellStyle name="Comma 7 2 4 2 3 2" xfId="3784" xr:uid="{0EC90404-D961-4A86-9925-DCCEA225C489}"/>
    <cellStyle name="Comma 7 2 4 2 3 2 2" xfId="8120" xr:uid="{CD0160B2-FBF0-4B4E-8363-438A33882989}"/>
    <cellStyle name="Comma 7 2 4 2 3 2 2 2" xfId="16792" xr:uid="{F29FDEC4-53E4-472C-97F7-820D661174B8}"/>
    <cellStyle name="Comma 7 2 4 2 3 2 2 2 2" xfId="34136" xr:uid="{39F2781C-9384-4359-BE08-D0A486A641A6}"/>
    <cellStyle name="Comma 7 2 4 2 3 2 2 3" xfId="25464" xr:uid="{CB2A84BE-2285-48F4-85DC-0E7DE25B3177}"/>
    <cellStyle name="Comma 7 2 4 2 3 2 3" xfId="12456" xr:uid="{4F069171-395B-4EB1-9AE6-92E74B54B9ED}"/>
    <cellStyle name="Comma 7 2 4 2 3 2 3 2" xfId="29800" xr:uid="{D517E505-E6FA-4BB5-BCBD-B5774E43C182}"/>
    <cellStyle name="Comma 7 2 4 2 3 2 4" xfId="21128" xr:uid="{4024F8C7-270C-42FB-959A-6826A1F55AB2}"/>
    <cellStyle name="Comma 7 2 4 2 3 3" xfId="5952" xr:uid="{4ADD9250-2127-48ED-9557-4CDE4C6F6A16}"/>
    <cellStyle name="Comma 7 2 4 2 3 3 2" xfId="14624" xr:uid="{B4FCA147-98D4-4171-9210-DE6675FB0CD4}"/>
    <cellStyle name="Comma 7 2 4 2 3 3 2 2" xfId="31968" xr:uid="{4396F46A-5E16-4190-A054-EA551141278B}"/>
    <cellStyle name="Comma 7 2 4 2 3 3 3" xfId="23296" xr:uid="{9CB907EF-DBF3-454F-ADB1-287455FDB709}"/>
    <cellStyle name="Comma 7 2 4 2 3 4" xfId="10288" xr:uid="{B2F2C007-C558-4897-97E6-8006DAD132FB}"/>
    <cellStyle name="Comma 7 2 4 2 3 4 2" xfId="27632" xr:uid="{831DB450-B063-4C18-9163-D6E6D336640C}"/>
    <cellStyle name="Comma 7 2 4 2 3 5" xfId="18960" xr:uid="{1A5D3FAB-517A-4086-8549-37BFB861CD2A}"/>
    <cellStyle name="Comma 7 2 4 2 4" xfId="2700" xr:uid="{28F6E7D6-56EB-4CFE-A8D7-2A93BC5012D5}"/>
    <cellStyle name="Comma 7 2 4 2 4 2" xfId="7036" xr:uid="{3BF96F23-6BFC-4AF3-B0BB-F7804F1A92ED}"/>
    <cellStyle name="Comma 7 2 4 2 4 2 2" xfId="15708" xr:uid="{E9051A1E-C0C8-4888-B807-EF4BDC33C350}"/>
    <cellStyle name="Comma 7 2 4 2 4 2 2 2" xfId="33052" xr:uid="{31423B28-E37E-4E69-BAE1-6D7B552DA073}"/>
    <cellStyle name="Comma 7 2 4 2 4 2 3" xfId="24380" xr:uid="{E00A380C-94DB-43E4-A315-67424BBA97B5}"/>
    <cellStyle name="Comma 7 2 4 2 4 3" xfId="11372" xr:uid="{93795D26-C9D7-4271-AC69-4B7F527A0B32}"/>
    <cellStyle name="Comma 7 2 4 2 4 3 2" xfId="28716" xr:uid="{6CCADF9A-70C1-49A8-B4F8-4E8EB518D3D4}"/>
    <cellStyle name="Comma 7 2 4 2 4 4" xfId="20044" xr:uid="{8A88654E-459A-4D90-B652-98D55CB0E667}"/>
    <cellStyle name="Comma 7 2 4 2 5" xfId="4868" xr:uid="{328F520F-F74A-4A74-8F1C-3818CDCD8B44}"/>
    <cellStyle name="Comma 7 2 4 2 5 2" xfId="13540" xr:uid="{504C1A5B-EA89-4A6B-922C-1A044F8C436E}"/>
    <cellStyle name="Comma 7 2 4 2 5 2 2" xfId="30884" xr:uid="{BD539B72-BF6C-4858-BC9A-165EA575579A}"/>
    <cellStyle name="Comma 7 2 4 2 5 3" xfId="22212" xr:uid="{72910D34-575D-4F4D-B86A-C3FD5922515D}"/>
    <cellStyle name="Comma 7 2 4 2 6" xfId="9204" xr:uid="{1052850E-AA5A-448B-9A06-28767B2495A4}"/>
    <cellStyle name="Comma 7 2 4 2 6 2" xfId="26548" xr:uid="{EF9FE736-E60B-4624-9ECE-91434A2821DD}"/>
    <cellStyle name="Comma 7 2 4 2 7" xfId="17876" xr:uid="{B5A4A647-05EF-4EB5-BC18-12A7A50084C6}"/>
    <cellStyle name="Comma 7 2 4 3" xfId="803" xr:uid="{BEB72AE8-3015-4617-A68E-30D352105892}"/>
    <cellStyle name="Comma 7 2 4 3 2" xfId="1887" xr:uid="{117CEE18-B71B-4C0D-A30A-AF7F21350B6E}"/>
    <cellStyle name="Comma 7 2 4 3 2 2" xfId="4055" xr:uid="{222B3B64-2631-4B51-9BE6-75F2A54B8938}"/>
    <cellStyle name="Comma 7 2 4 3 2 2 2" xfId="8391" xr:uid="{8EFF08DB-A1CB-4ECA-882E-2A42BFF1C6CF}"/>
    <cellStyle name="Comma 7 2 4 3 2 2 2 2" xfId="17063" xr:uid="{AE9A7933-C417-48FF-9FEB-3F8BA101F89E}"/>
    <cellStyle name="Comma 7 2 4 3 2 2 2 2 2" xfId="34407" xr:uid="{C3BC72F0-7A14-4823-BEF4-CF60828E85EB}"/>
    <cellStyle name="Comma 7 2 4 3 2 2 2 3" xfId="25735" xr:uid="{4CC5A72C-F2E1-4678-A262-0E76903A844E}"/>
    <cellStyle name="Comma 7 2 4 3 2 2 3" xfId="12727" xr:uid="{C2479B80-99E9-4C4B-9E39-62C020F1536A}"/>
    <cellStyle name="Comma 7 2 4 3 2 2 3 2" xfId="30071" xr:uid="{0E4683D0-A38A-4090-B7CC-9F930014D3CE}"/>
    <cellStyle name="Comma 7 2 4 3 2 2 4" xfId="21399" xr:uid="{C4051267-1FB7-4255-A1AD-49BE906F8D0D}"/>
    <cellStyle name="Comma 7 2 4 3 2 3" xfId="6223" xr:uid="{54D1E405-460F-44B2-923A-8EF4E8241707}"/>
    <cellStyle name="Comma 7 2 4 3 2 3 2" xfId="14895" xr:uid="{F08D3AFA-D18A-40A0-A2E4-36AD920C152A}"/>
    <cellStyle name="Comma 7 2 4 3 2 3 2 2" xfId="32239" xr:uid="{B14EF555-ACF4-4245-B6D8-FD683762D1E7}"/>
    <cellStyle name="Comma 7 2 4 3 2 3 3" xfId="23567" xr:uid="{2D4DB4C2-01DF-450C-82A0-4222EA9DD778}"/>
    <cellStyle name="Comma 7 2 4 3 2 4" xfId="10559" xr:uid="{45C90A1C-0AC8-4F34-8E20-BA62605C4D09}"/>
    <cellStyle name="Comma 7 2 4 3 2 4 2" xfId="27903" xr:uid="{F0E3523C-E79B-4F72-9885-C280974540AE}"/>
    <cellStyle name="Comma 7 2 4 3 2 5" xfId="19231" xr:uid="{6B9CADF9-9AFA-481B-A50A-6E748200A609}"/>
    <cellStyle name="Comma 7 2 4 3 3" xfId="2971" xr:uid="{BE60540F-E846-4E18-8089-F0D4D7D7E055}"/>
    <cellStyle name="Comma 7 2 4 3 3 2" xfId="7307" xr:uid="{ED7570F3-2320-4B6E-8650-5FFF6AAA34DE}"/>
    <cellStyle name="Comma 7 2 4 3 3 2 2" xfId="15979" xr:uid="{4CEEED23-67EE-4FB6-9330-47D2422EB55B}"/>
    <cellStyle name="Comma 7 2 4 3 3 2 2 2" xfId="33323" xr:uid="{021C89D4-B699-42A0-94E1-1A5466CE4CE2}"/>
    <cellStyle name="Comma 7 2 4 3 3 2 3" xfId="24651" xr:uid="{AA8B78F7-D88F-4DFE-925B-0689DF20B167}"/>
    <cellStyle name="Comma 7 2 4 3 3 3" xfId="11643" xr:uid="{38FB0AF1-66B9-427C-A7E2-16B5AB046016}"/>
    <cellStyle name="Comma 7 2 4 3 3 3 2" xfId="28987" xr:uid="{6EFD29DD-5EB6-44EC-94D3-441D552618F9}"/>
    <cellStyle name="Comma 7 2 4 3 3 4" xfId="20315" xr:uid="{0D171C0E-23C5-4828-A941-9138CE3663D3}"/>
    <cellStyle name="Comma 7 2 4 3 4" xfId="5139" xr:uid="{7F17C9FE-55BF-47C3-A924-10822A7B1528}"/>
    <cellStyle name="Comma 7 2 4 3 4 2" xfId="13811" xr:uid="{B43EF059-5763-465A-84F8-71245C0740D0}"/>
    <cellStyle name="Comma 7 2 4 3 4 2 2" xfId="31155" xr:uid="{26E6DAA8-0999-4D7E-8BED-9C55293A8D3A}"/>
    <cellStyle name="Comma 7 2 4 3 4 3" xfId="22483" xr:uid="{45BECBBE-1543-4F1E-8CF0-EE999590C519}"/>
    <cellStyle name="Comma 7 2 4 3 5" xfId="9475" xr:uid="{471F8922-94DB-48D3-A362-2086DBBE0E64}"/>
    <cellStyle name="Comma 7 2 4 3 5 2" xfId="26819" xr:uid="{36BFD1EE-6055-42B9-A477-2021F400C529}"/>
    <cellStyle name="Comma 7 2 4 3 6" xfId="18147" xr:uid="{D9525205-1538-4952-849A-DC7E6EE92B80}"/>
    <cellStyle name="Comma 7 2 4 4" xfId="1346" xr:uid="{4DB3FC49-13FE-4020-9632-668AF88AF8B3}"/>
    <cellStyle name="Comma 7 2 4 4 2" xfId="3514" xr:uid="{5BBEB68E-3A5A-45C6-A624-4A046D16AA2A}"/>
    <cellStyle name="Comma 7 2 4 4 2 2" xfId="7850" xr:uid="{56B43104-476E-4203-AFB1-29E8B1196FE3}"/>
    <cellStyle name="Comma 7 2 4 4 2 2 2" xfId="16522" xr:uid="{44C8AFE8-149C-48E7-8DB1-845801D428AD}"/>
    <cellStyle name="Comma 7 2 4 4 2 2 2 2" xfId="33866" xr:uid="{BB996C39-5F3D-4044-B39B-DBE25C3BA53E}"/>
    <cellStyle name="Comma 7 2 4 4 2 2 3" xfId="25194" xr:uid="{FA4FF925-F5CA-4407-BAF1-9234370A094B}"/>
    <cellStyle name="Comma 7 2 4 4 2 3" xfId="12186" xr:uid="{0D5F8820-6AB3-4929-9010-D26B788C727C}"/>
    <cellStyle name="Comma 7 2 4 4 2 3 2" xfId="29530" xr:uid="{8B04B6E1-E061-4C58-BC44-81A091080567}"/>
    <cellStyle name="Comma 7 2 4 4 2 4" xfId="20858" xr:uid="{B688A1D9-4B18-4B97-AE4D-ADFE352ED124}"/>
    <cellStyle name="Comma 7 2 4 4 3" xfId="5682" xr:uid="{F945741B-7C39-438B-AB1C-ADE69F1D721D}"/>
    <cellStyle name="Comma 7 2 4 4 3 2" xfId="14354" xr:uid="{F7D66C3C-BEE8-459A-807D-6831C9D36320}"/>
    <cellStyle name="Comma 7 2 4 4 3 2 2" xfId="31698" xr:uid="{E752FC0F-797D-4AD8-9707-3DD72FDDA6A3}"/>
    <cellStyle name="Comma 7 2 4 4 3 3" xfId="23026" xr:uid="{ED7AFD3E-CD23-48B0-8F59-F102A303E063}"/>
    <cellStyle name="Comma 7 2 4 4 4" xfId="10018" xr:uid="{1E5AA086-AA1C-42BC-9A25-EE032D65335C}"/>
    <cellStyle name="Comma 7 2 4 4 4 2" xfId="27362" xr:uid="{CABE412F-EA40-460A-A666-3EEAEF287987}"/>
    <cellStyle name="Comma 7 2 4 4 5" xfId="18690" xr:uid="{190D48AB-AFC6-4DD1-A1DD-597C95AAEE61}"/>
    <cellStyle name="Comma 7 2 4 5" xfId="2430" xr:uid="{B49EB78A-DEA2-44BB-9409-C4C10215B875}"/>
    <cellStyle name="Comma 7 2 4 5 2" xfId="6766" xr:uid="{3BAF5278-CBA9-4AC3-9CA7-1366139E768B}"/>
    <cellStyle name="Comma 7 2 4 5 2 2" xfId="15438" xr:uid="{8C12ADA3-AB46-4E92-8EC4-8BD2D51F3C68}"/>
    <cellStyle name="Comma 7 2 4 5 2 2 2" xfId="32782" xr:uid="{1FC568EB-E824-4104-874F-A59A8476519B}"/>
    <cellStyle name="Comma 7 2 4 5 2 3" xfId="24110" xr:uid="{188E304A-3B03-47E6-894A-7EA0F3B67FA8}"/>
    <cellStyle name="Comma 7 2 4 5 3" xfId="11102" xr:uid="{7D7E6B73-BD1B-4331-8240-4B2B204E9879}"/>
    <cellStyle name="Comma 7 2 4 5 3 2" xfId="28446" xr:uid="{B876FC80-16D9-42C6-92EF-C1CFD010F114}"/>
    <cellStyle name="Comma 7 2 4 5 4" xfId="19774" xr:uid="{7DF2C593-7BA4-4AEF-9558-23C2EB253063}"/>
    <cellStyle name="Comma 7 2 4 6" xfId="4598" xr:uid="{EEA74E16-7F24-4BC7-AF39-B2810CD10C8C}"/>
    <cellStyle name="Comma 7 2 4 6 2" xfId="13270" xr:uid="{7D95E6E4-E40A-4222-AB19-198D3C7F42EE}"/>
    <cellStyle name="Comma 7 2 4 6 2 2" xfId="30614" xr:uid="{7798D36F-4955-4B79-9DEE-63A4871E08C4}"/>
    <cellStyle name="Comma 7 2 4 6 3" xfId="21942" xr:uid="{F2585106-2EB8-44B7-AEE8-B838EE39BA63}"/>
    <cellStyle name="Comma 7 2 4 7" xfId="8934" xr:uid="{7FB16EB1-E396-4032-B1E3-2C2E368C81D2}"/>
    <cellStyle name="Comma 7 2 4 7 2" xfId="26278" xr:uid="{47715204-99B9-436E-8FCE-8BB5EB937F4A}"/>
    <cellStyle name="Comma 7 2 4 8" xfId="17606" xr:uid="{679BB7FC-01BC-4313-8B14-2ECC9F07265F}"/>
    <cellStyle name="Comma 7 2 5" xfId="300" xr:uid="{C5E71C48-0D0B-4B50-BC17-B0ACC4F90D58}"/>
    <cellStyle name="Comma 7 2 5 2" xfId="841" xr:uid="{E1D43F93-07D3-400F-998C-16D81C36D758}"/>
    <cellStyle name="Comma 7 2 5 2 2" xfId="1925" xr:uid="{E97BB2EC-7BDC-4284-9A19-0401B58F3BD8}"/>
    <cellStyle name="Comma 7 2 5 2 2 2" xfId="4093" xr:uid="{846145D8-C76A-4514-81D7-644357FE441E}"/>
    <cellStyle name="Comma 7 2 5 2 2 2 2" xfId="8429" xr:uid="{444CFB16-C0D3-4812-8DC7-0F8CFC360B3B}"/>
    <cellStyle name="Comma 7 2 5 2 2 2 2 2" xfId="17101" xr:uid="{38972DB9-9D9B-49FC-8CFD-0654934F26E2}"/>
    <cellStyle name="Comma 7 2 5 2 2 2 2 2 2" xfId="34445" xr:uid="{76F3593D-0C71-4F06-BA7E-0A553882DB1E}"/>
    <cellStyle name="Comma 7 2 5 2 2 2 2 3" xfId="25773" xr:uid="{1A957DF0-C51F-490A-B515-EF7EFFBF3F40}"/>
    <cellStyle name="Comma 7 2 5 2 2 2 3" xfId="12765" xr:uid="{4B0BF8DF-D051-43EC-AE90-A6BE9D1212B6}"/>
    <cellStyle name="Comma 7 2 5 2 2 2 3 2" xfId="30109" xr:uid="{A41049DF-E634-414E-BB93-433FBDA40BF3}"/>
    <cellStyle name="Comma 7 2 5 2 2 2 4" xfId="21437" xr:uid="{462FEF44-8B56-43DC-98B3-ACB29983783C}"/>
    <cellStyle name="Comma 7 2 5 2 2 3" xfId="6261" xr:uid="{2A39FA64-6E2C-4E15-A135-3238C2837D78}"/>
    <cellStyle name="Comma 7 2 5 2 2 3 2" xfId="14933" xr:uid="{093C0AF3-7857-4BD0-B083-15FA03E8BA7A}"/>
    <cellStyle name="Comma 7 2 5 2 2 3 2 2" xfId="32277" xr:uid="{3103F622-9E16-4123-AEA7-A915A94A1A1B}"/>
    <cellStyle name="Comma 7 2 5 2 2 3 3" xfId="23605" xr:uid="{8E138AD8-2055-4108-BF9A-A1D7ACA59329}"/>
    <cellStyle name="Comma 7 2 5 2 2 4" xfId="10597" xr:uid="{ACA4390F-21DF-400C-ACEF-D0EAFDD599EB}"/>
    <cellStyle name="Comma 7 2 5 2 2 4 2" xfId="27941" xr:uid="{BA1716F1-CF21-434B-B793-4CF90A75E6B8}"/>
    <cellStyle name="Comma 7 2 5 2 2 5" xfId="19269" xr:uid="{462C4314-DEE1-4F3F-9C83-852C82600C99}"/>
    <cellStyle name="Comma 7 2 5 2 3" xfId="3009" xr:uid="{58BDBAFF-67FF-4460-80B9-09FF825EF2CC}"/>
    <cellStyle name="Comma 7 2 5 2 3 2" xfId="7345" xr:uid="{02CB8D2D-4A80-453E-893E-EC9635AF68B8}"/>
    <cellStyle name="Comma 7 2 5 2 3 2 2" xfId="16017" xr:uid="{9B6942C8-117D-4D1D-8F80-3C11E8C00390}"/>
    <cellStyle name="Comma 7 2 5 2 3 2 2 2" xfId="33361" xr:uid="{B012BC2D-2D50-4CC5-80EE-98A5354A7B2D}"/>
    <cellStyle name="Comma 7 2 5 2 3 2 3" xfId="24689" xr:uid="{5A99D369-3B4C-45A9-8FBB-BDB63942E9F7}"/>
    <cellStyle name="Comma 7 2 5 2 3 3" xfId="11681" xr:uid="{B780B034-E858-442B-8CC8-71E7261AB728}"/>
    <cellStyle name="Comma 7 2 5 2 3 3 2" xfId="29025" xr:uid="{D54D103F-7B4C-4CCC-B71A-957FE7D59BB4}"/>
    <cellStyle name="Comma 7 2 5 2 3 4" xfId="20353" xr:uid="{9EA41F22-F85F-42C7-AC44-BA639E587061}"/>
    <cellStyle name="Comma 7 2 5 2 4" xfId="5177" xr:uid="{A5FA7ED2-F2C3-4FD6-BED0-EB82C9EE0642}"/>
    <cellStyle name="Comma 7 2 5 2 4 2" xfId="13849" xr:uid="{AB2E6777-E798-43C1-BED1-EE6A6C5D90A9}"/>
    <cellStyle name="Comma 7 2 5 2 4 2 2" xfId="31193" xr:uid="{7B2FE085-8C03-4345-AE14-13FE46765229}"/>
    <cellStyle name="Comma 7 2 5 2 4 3" xfId="22521" xr:uid="{A5F918CC-F0BE-4B93-B42D-092519E8804C}"/>
    <cellStyle name="Comma 7 2 5 2 5" xfId="9513" xr:uid="{ABEE2654-7732-4A24-B53A-5A733F1DC03A}"/>
    <cellStyle name="Comma 7 2 5 2 5 2" xfId="26857" xr:uid="{771C1F05-669D-43B6-A3DE-8E74CF600C9A}"/>
    <cellStyle name="Comma 7 2 5 2 6" xfId="18185" xr:uid="{8CC47522-EEA8-4915-8B48-2F0717F84B23}"/>
    <cellStyle name="Comma 7 2 5 3" xfId="1384" xr:uid="{2A57B256-5BF8-43E3-9568-D80D312BE111}"/>
    <cellStyle name="Comma 7 2 5 3 2" xfId="3552" xr:uid="{D7146F92-43E2-4278-B43C-DA1A9671BDCC}"/>
    <cellStyle name="Comma 7 2 5 3 2 2" xfId="7888" xr:uid="{2061B9E2-C4FE-4082-925A-D820D054D803}"/>
    <cellStyle name="Comma 7 2 5 3 2 2 2" xfId="16560" xr:uid="{7A4C66D7-CD2B-487C-AFC3-D6D00DB2D9FB}"/>
    <cellStyle name="Comma 7 2 5 3 2 2 2 2" xfId="33904" xr:uid="{979557FC-1516-449F-BA3B-64B1111AA1A2}"/>
    <cellStyle name="Comma 7 2 5 3 2 2 3" xfId="25232" xr:uid="{FEAF2EED-A5A2-47CC-862A-ECA10E836302}"/>
    <cellStyle name="Comma 7 2 5 3 2 3" xfId="12224" xr:uid="{8113103F-615F-4EFC-8F70-3F4FC0DC2AD5}"/>
    <cellStyle name="Comma 7 2 5 3 2 3 2" xfId="29568" xr:uid="{84E139DE-589A-4C04-B33D-D9C825744A73}"/>
    <cellStyle name="Comma 7 2 5 3 2 4" xfId="20896" xr:uid="{09A073B0-855A-46BF-8BDA-B3C09697969F}"/>
    <cellStyle name="Comma 7 2 5 3 3" xfId="5720" xr:uid="{762906BF-ADE0-4B24-A6C5-E9983B444A4C}"/>
    <cellStyle name="Comma 7 2 5 3 3 2" xfId="14392" xr:uid="{7DE6B076-28F6-4FD0-A26D-3CA1BA977B4E}"/>
    <cellStyle name="Comma 7 2 5 3 3 2 2" xfId="31736" xr:uid="{E37539BA-678E-4172-A9AE-87BEE233B41C}"/>
    <cellStyle name="Comma 7 2 5 3 3 3" xfId="23064" xr:uid="{8235A332-7080-4817-B685-10B7A6A981C8}"/>
    <cellStyle name="Comma 7 2 5 3 4" xfId="10056" xr:uid="{512AC3E3-C5D3-46B8-B5BE-E4BCEC082D21}"/>
    <cellStyle name="Comma 7 2 5 3 4 2" xfId="27400" xr:uid="{124C623F-8D0D-48DA-AE2C-5503655674FD}"/>
    <cellStyle name="Comma 7 2 5 3 5" xfId="18728" xr:uid="{0E0B784A-2A73-46AB-99A8-CAF66228489D}"/>
    <cellStyle name="Comma 7 2 5 4" xfId="2468" xr:uid="{42C7F2F3-82DB-489A-B7E8-9235BDF13867}"/>
    <cellStyle name="Comma 7 2 5 4 2" xfId="6804" xr:uid="{C444BA79-B2EA-48D8-87BB-F2F9414F5FB9}"/>
    <cellStyle name="Comma 7 2 5 4 2 2" xfId="15476" xr:uid="{7B820EC0-6B83-40F9-AD11-B996C642AF8F}"/>
    <cellStyle name="Comma 7 2 5 4 2 2 2" xfId="32820" xr:uid="{C580544B-2431-4A59-8D61-8218D40BF25D}"/>
    <cellStyle name="Comma 7 2 5 4 2 3" xfId="24148" xr:uid="{ABADFE09-1A59-4578-B92C-B3AC5C341E39}"/>
    <cellStyle name="Comma 7 2 5 4 3" xfId="11140" xr:uid="{C53F8080-3C72-4CE7-901B-99D3C847D48B}"/>
    <cellStyle name="Comma 7 2 5 4 3 2" xfId="28484" xr:uid="{93C4D4C2-5C8D-47B1-8781-4E7247B1DDE2}"/>
    <cellStyle name="Comma 7 2 5 4 4" xfId="19812" xr:uid="{29F6207D-2A5A-40AC-9903-C0DEE2C068E9}"/>
    <cellStyle name="Comma 7 2 5 5" xfId="4636" xr:uid="{0BE525DD-349E-4F07-9877-759863249A24}"/>
    <cellStyle name="Comma 7 2 5 5 2" xfId="13308" xr:uid="{21ED28A4-3046-40DB-A57C-88ECD6643532}"/>
    <cellStyle name="Comma 7 2 5 5 2 2" xfId="30652" xr:uid="{F4D1448F-8D7A-4715-8E39-3F6DE0CB312E}"/>
    <cellStyle name="Comma 7 2 5 5 3" xfId="21980" xr:uid="{DA278CEC-8566-4A7F-99CC-EA3833F11BB9}"/>
    <cellStyle name="Comma 7 2 5 6" xfId="8972" xr:uid="{6BE309C0-1C25-46B4-B550-EBEFEC90A6B6}"/>
    <cellStyle name="Comma 7 2 5 6 2" xfId="26316" xr:uid="{1DCD3E55-42FB-4E16-BAB2-E7BB4CEA9450}"/>
    <cellStyle name="Comma 7 2 5 7" xfId="17644" xr:uid="{C1F442D4-A038-408E-BF40-CC3C57930E33}"/>
    <cellStyle name="Comma 7 2 6" xfId="571" xr:uid="{504E5669-BA03-497F-A242-12B2A162F6E7}"/>
    <cellStyle name="Comma 7 2 6 2" xfId="1655" xr:uid="{FD1E69D3-474E-4E5C-B903-DC87539F6E86}"/>
    <cellStyle name="Comma 7 2 6 2 2" xfId="3823" xr:uid="{119DE3F4-1154-4F33-BDE9-77F6CB043F43}"/>
    <cellStyle name="Comma 7 2 6 2 2 2" xfId="8159" xr:uid="{6E93FE96-51C9-410E-B930-1023767791E0}"/>
    <cellStyle name="Comma 7 2 6 2 2 2 2" xfId="16831" xr:uid="{442E6FC7-A7C9-4516-B167-18E1A3140EBC}"/>
    <cellStyle name="Comma 7 2 6 2 2 2 2 2" xfId="34175" xr:uid="{75A62CBA-AA75-47BE-BDC8-9C57000AFFC0}"/>
    <cellStyle name="Comma 7 2 6 2 2 2 3" xfId="25503" xr:uid="{BD8C35C5-0910-425D-8EB5-5AF909126A7F}"/>
    <cellStyle name="Comma 7 2 6 2 2 3" xfId="12495" xr:uid="{D202C8BA-028A-4927-8C97-65F52F1D7DCC}"/>
    <cellStyle name="Comma 7 2 6 2 2 3 2" xfId="29839" xr:uid="{A000F4DB-18BF-4594-93EC-ECE50EFEBEB7}"/>
    <cellStyle name="Comma 7 2 6 2 2 4" xfId="21167" xr:uid="{AAB0C411-2377-4DE1-923D-5029CACBE80F}"/>
    <cellStyle name="Comma 7 2 6 2 3" xfId="5991" xr:uid="{291B431C-CE85-4BBE-8314-3CE8E3A17A77}"/>
    <cellStyle name="Comma 7 2 6 2 3 2" xfId="14663" xr:uid="{1865E940-35A6-4B59-BDB6-8AB3255D337B}"/>
    <cellStyle name="Comma 7 2 6 2 3 2 2" xfId="32007" xr:uid="{5DE910DA-22D1-400C-B2F0-5D1F3017380B}"/>
    <cellStyle name="Comma 7 2 6 2 3 3" xfId="23335" xr:uid="{B0A78F16-DEC1-4C16-A6B3-A194358ECD3B}"/>
    <cellStyle name="Comma 7 2 6 2 4" xfId="10327" xr:uid="{2250B2E6-4582-45AC-9856-470D42403874}"/>
    <cellStyle name="Comma 7 2 6 2 4 2" xfId="27671" xr:uid="{E11CA446-BCF1-4955-B7DC-4BC7ED386AC5}"/>
    <cellStyle name="Comma 7 2 6 2 5" xfId="18999" xr:uid="{85AA0C9F-4EDD-44B2-8715-C399E2AC47EC}"/>
    <cellStyle name="Comma 7 2 6 3" xfId="2739" xr:uid="{D5930263-71BA-4A7E-A03D-D576EE652F1B}"/>
    <cellStyle name="Comma 7 2 6 3 2" xfId="7075" xr:uid="{DAACED4B-8835-4CCA-9D27-7B7FD1B6902B}"/>
    <cellStyle name="Comma 7 2 6 3 2 2" xfId="15747" xr:uid="{98EF393D-9BC0-4F35-9087-941A60A5EBFD}"/>
    <cellStyle name="Comma 7 2 6 3 2 2 2" xfId="33091" xr:uid="{A1F5B15D-70B7-4D98-80ED-89FF63EAF89E}"/>
    <cellStyle name="Comma 7 2 6 3 2 3" xfId="24419" xr:uid="{76F5CB11-5227-43AB-B98C-C43BEA206003}"/>
    <cellStyle name="Comma 7 2 6 3 3" xfId="11411" xr:uid="{A25A720E-3F30-4932-8139-4DB12559826B}"/>
    <cellStyle name="Comma 7 2 6 3 3 2" xfId="28755" xr:uid="{5BB76E59-4538-4B40-974B-5C10A79B9410}"/>
    <cellStyle name="Comma 7 2 6 3 4" xfId="20083" xr:uid="{EEDA4B27-DF35-4D11-9B24-445859F82E8A}"/>
    <cellStyle name="Comma 7 2 6 4" xfId="4907" xr:uid="{79783DE4-3446-460B-8AC0-42391DFFBFF8}"/>
    <cellStyle name="Comma 7 2 6 4 2" xfId="13579" xr:uid="{0048597C-E5EB-4D89-999F-0E07E963A7B2}"/>
    <cellStyle name="Comma 7 2 6 4 2 2" xfId="30923" xr:uid="{D47F7125-4DA4-4DD1-8303-FF8CF9576776}"/>
    <cellStyle name="Comma 7 2 6 4 3" xfId="22251" xr:uid="{D25CA93E-7477-45FA-9C04-DA6F1EE086C5}"/>
    <cellStyle name="Comma 7 2 6 5" xfId="9243" xr:uid="{81129742-FD59-42D6-BF42-C7558985CA61}"/>
    <cellStyle name="Comma 7 2 6 5 2" xfId="26587" xr:uid="{68C2BFFD-720C-483B-9927-7D38DB5C818A}"/>
    <cellStyle name="Comma 7 2 6 6" xfId="17915" xr:uid="{32CF28FD-45FF-489E-BE4D-3FEBEBCFCC28}"/>
    <cellStyle name="Comma 7 2 7" xfId="1114" xr:uid="{B963A9CF-A794-4165-878D-7CB47AD89C78}"/>
    <cellStyle name="Comma 7 2 7 2" xfId="3282" xr:uid="{16C30CD8-2586-4748-A8BF-C58EDF1141FC}"/>
    <cellStyle name="Comma 7 2 7 2 2" xfId="7618" xr:uid="{D0E6A8E7-0E19-4968-82A9-12EEA2C38F67}"/>
    <cellStyle name="Comma 7 2 7 2 2 2" xfId="16290" xr:uid="{457D8D87-7E0F-45B3-8714-0DBF961E193E}"/>
    <cellStyle name="Comma 7 2 7 2 2 2 2" xfId="33634" xr:uid="{C136D02D-97CF-4A53-B725-99F011E83204}"/>
    <cellStyle name="Comma 7 2 7 2 2 3" xfId="24962" xr:uid="{889D4164-2994-4203-9FCA-CE009F5BD010}"/>
    <cellStyle name="Comma 7 2 7 2 3" xfId="11954" xr:uid="{3143D827-140E-447B-A8BA-F31FDA524564}"/>
    <cellStyle name="Comma 7 2 7 2 3 2" xfId="29298" xr:uid="{683631C5-1EF7-4F2C-9F45-79770D67994A}"/>
    <cellStyle name="Comma 7 2 7 2 4" xfId="20626" xr:uid="{52E1E44B-C314-4FF4-95A1-3D4914830AF3}"/>
    <cellStyle name="Comma 7 2 7 3" xfId="5450" xr:uid="{7B460952-B875-456C-8342-C832C7CA1314}"/>
    <cellStyle name="Comma 7 2 7 3 2" xfId="14122" xr:uid="{5F109BE2-415F-40FB-962B-CDA3560F7E34}"/>
    <cellStyle name="Comma 7 2 7 3 2 2" xfId="31466" xr:uid="{F5402990-DBE3-4B5B-8EAE-B9415D7C6E85}"/>
    <cellStyle name="Comma 7 2 7 3 3" xfId="22794" xr:uid="{595C875B-A8A5-453C-AF1D-F4377A424C69}"/>
    <cellStyle name="Comma 7 2 7 4" xfId="9786" xr:uid="{BF661C9C-11F2-453E-9A7E-1E25BCAE362D}"/>
    <cellStyle name="Comma 7 2 7 4 2" xfId="27130" xr:uid="{B0A72DED-5165-423D-B56E-DF81FEFF6DC3}"/>
    <cellStyle name="Comma 7 2 7 5" xfId="18458" xr:uid="{695792ED-D1B7-45C4-8FC9-CCF44FAC7688}"/>
    <cellStyle name="Comma 7 2 8" xfId="2198" xr:uid="{98A93FF5-9BBF-4D37-9A6D-28A3D2279778}"/>
    <cellStyle name="Comma 7 2 8 2" xfId="6534" xr:uid="{422DA563-F260-4110-9CA0-49EE03BDD2AD}"/>
    <cellStyle name="Comma 7 2 8 2 2" xfId="15206" xr:uid="{D89990C8-BB6F-4B69-8E0D-A70EBDB295B6}"/>
    <cellStyle name="Comma 7 2 8 2 2 2" xfId="32550" xr:uid="{55310953-B493-4CC1-B8CC-C083EE57C49D}"/>
    <cellStyle name="Comma 7 2 8 2 3" xfId="23878" xr:uid="{DE808606-6BFD-4A2B-8434-8E62D2FFA1BA}"/>
    <cellStyle name="Comma 7 2 8 3" xfId="10870" xr:uid="{2C223444-1124-4448-8EEB-72559095FDB5}"/>
    <cellStyle name="Comma 7 2 8 3 2" xfId="28214" xr:uid="{4CB4CC20-61B2-468D-B7E0-C76D19D9BEFE}"/>
    <cellStyle name="Comma 7 2 8 4" xfId="19542" xr:uid="{8FDAE65F-7C89-4CAD-85D9-AD7FA969ECA2}"/>
    <cellStyle name="Comma 7 2 9" xfId="4366" xr:uid="{B046FE38-EC88-4FDE-964E-853B4C4C3121}"/>
    <cellStyle name="Comma 7 2 9 2" xfId="13038" xr:uid="{70F4CE34-7E9D-4B03-A808-14BC8D355CFD}"/>
    <cellStyle name="Comma 7 2 9 2 2" xfId="30382" xr:uid="{2AAE7034-42B8-495C-8CB8-7D700690458F}"/>
    <cellStyle name="Comma 7 2 9 3" xfId="21710" xr:uid="{F7273B47-6AE7-493D-A4E6-3A92EA22EDE3}"/>
    <cellStyle name="Comma 7 3" xfId="41" xr:uid="{D377A02E-1F9A-4C6C-A5F7-AF0614BC3525}"/>
    <cellStyle name="Comma 7 3 10" xfId="8713" xr:uid="{FB731A45-4E21-4CC2-8890-1F22E8D0345D}"/>
    <cellStyle name="Comma 7 3 10 2" xfId="26057" xr:uid="{C1B5B743-E96F-4DA9-B850-448CB8C06807}"/>
    <cellStyle name="Comma 7 3 11" xfId="17385" xr:uid="{A1524532-5E7E-4FF5-9128-676A6A46A5D0}"/>
    <cellStyle name="Comma 7 3 2" xfId="102" xr:uid="{2CA50CA1-A064-4CB1-B8E1-81863A136132}"/>
    <cellStyle name="Comma 7 3 2 2" xfId="224" xr:uid="{6FACF065-1729-457B-9BCB-CA130EBC672E}"/>
    <cellStyle name="Comma 7 3 2 2 2" xfId="494" xr:uid="{59215FB2-5E91-4DED-8DF6-FF82BDCE9A59}"/>
    <cellStyle name="Comma 7 3 2 2 2 2" xfId="1035" xr:uid="{E7A61BAC-33E8-47F1-BE8C-992C024AD396}"/>
    <cellStyle name="Comma 7 3 2 2 2 2 2" xfId="2119" xr:uid="{C50C23A6-79FC-4A22-9C21-4030E573C075}"/>
    <cellStyle name="Comma 7 3 2 2 2 2 2 2" xfId="4287" xr:uid="{601F7119-DB9B-4EB0-A2E9-1F3552CC380C}"/>
    <cellStyle name="Comma 7 3 2 2 2 2 2 2 2" xfId="8623" xr:uid="{A99F59DA-A899-48BE-BC1B-80CD0A204818}"/>
    <cellStyle name="Comma 7 3 2 2 2 2 2 2 2 2" xfId="17295" xr:uid="{3EFF52E8-CFAA-46C0-A083-1C6EE230FF0F}"/>
    <cellStyle name="Comma 7 3 2 2 2 2 2 2 2 2 2" xfId="34639" xr:uid="{75D29B03-D1F7-4A16-B213-EA75149F6BA4}"/>
    <cellStyle name="Comma 7 3 2 2 2 2 2 2 2 3" xfId="25967" xr:uid="{B3FFEA36-B0F0-438D-8BB2-FBA4DA2CEA4C}"/>
    <cellStyle name="Comma 7 3 2 2 2 2 2 2 3" xfId="12959" xr:uid="{66937EA7-58B7-4FA7-8589-ED17517ED232}"/>
    <cellStyle name="Comma 7 3 2 2 2 2 2 2 3 2" xfId="30303" xr:uid="{3763235B-870D-4CA0-B8E1-3FBBD9AF79E9}"/>
    <cellStyle name="Comma 7 3 2 2 2 2 2 2 4" xfId="21631" xr:uid="{1DEA4CC3-CEF3-4DFE-955F-BB5F9688E102}"/>
    <cellStyle name="Comma 7 3 2 2 2 2 2 3" xfId="6455" xr:uid="{37B2392F-AAEA-4A8F-9C41-C98D02E277A7}"/>
    <cellStyle name="Comma 7 3 2 2 2 2 2 3 2" xfId="15127" xr:uid="{BFF34E0D-EE06-4B6A-9DCA-FC89D1FA1665}"/>
    <cellStyle name="Comma 7 3 2 2 2 2 2 3 2 2" xfId="32471" xr:uid="{9F597012-0BC4-4253-9059-A9CC91B4FC47}"/>
    <cellStyle name="Comma 7 3 2 2 2 2 2 3 3" xfId="23799" xr:uid="{12DAF689-CD92-4426-9DEC-DC17EE86CE80}"/>
    <cellStyle name="Comma 7 3 2 2 2 2 2 4" xfId="10791" xr:uid="{4D460C8D-632B-479A-A6CE-D6620EEBD285}"/>
    <cellStyle name="Comma 7 3 2 2 2 2 2 4 2" xfId="28135" xr:uid="{F2BACC2D-BAC1-497A-9C12-FB193F887CAC}"/>
    <cellStyle name="Comma 7 3 2 2 2 2 2 5" xfId="19463" xr:uid="{81A445E9-7BFC-4201-B32A-E84CA273A919}"/>
    <cellStyle name="Comma 7 3 2 2 2 2 3" xfId="3203" xr:uid="{874E30CB-592F-4F59-8062-A3B41D217362}"/>
    <cellStyle name="Comma 7 3 2 2 2 2 3 2" xfId="7539" xr:uid="{AC113F69-E084-42AA-87C9-92D70B1CF971}"/>
    <cellStyle name="Comma 7 3 2 2 2 2 3 2 2" xfId="16211" xr:uid="{153FF814-BBF5-4C7E-ABD4-7A6CE383EC67}"/>
    <cellStyle name="Comma 7 3 2 2 2 2 3 2 2 2" xfId="33555" xr:uid="{6AEBA13F-1777-4559-AA57-5948368787E0}"/>
    <cellStyle name="Comma 7 3 2 2 2 2 3 2 3" xfId="24883" xr:uid="{2440ABE7-9A9F-441F-99C8-772388C056BC}"/>
    <cellStyle name="Comma 7 3 2 2 2 2 3 3" xfId="11875" xr:uid="{5BCE27CC-1450-41A5-A914-395EC6C1F6B8}"/>
    <cellStyle name="Comma 7 3 2 2 2 2 3 3 2" xfId="29219" xr:uid="{CA7E19ED-B314-4FBE-8787-15E50158C378}"/>
    <cellStyle name="Comma 7 3 2 2 2 2 3 4" xfId="20547" xr:uid="{DB6EF3CC-942B-4999-B302-D4BF3AF96637}"/>
    <cellStyle name="Comma 7 3 2 2 2 2 4" xfId="5371" xr:uid="{AD3E3005-3E26-4825-B2F4-836195F7396A}"/>
    <cellStyle name="Comma 7 3 2 2 2 2 4 2" xfId="14043" xr:uid="{A1BE1256-D1EA-4122-B2FA-7FD2AB9875F9}"/>
    <cellStyle name="Comma 7 3 2 2 2 2 4 2 2" xfId="31387" xr:uid="{B35EE7FC-62E6-4C96-860D-C67EF8C85A98}"/>
    <cellStyle name="Comma 7 3 2 2 2 2 4 3" xfId="22715" xr:uid="{B608DD7C-B9CC-48B9-8A06-3F61875E96E4}"/>
    <cellStyle name="Comma 7 3 2 2 2 2 5" xfId="9707" xr:uid="{E44D646C-2010-4CCD-AEE5-0778D0F30D13}"/>
    <cellStyle name="Comma 7 3 2 2 2 2 5 2" xfId="27051" xr:uid="{C54A5430-EF27-4FA2-9F6A-28F9748BDAEF}"/>
    <cellStyle name="Comma 7 3 2 2 2 2 6" xfId="18379" xr:uid="{0FCC17B9-BAFB-48EE-8E17-241157532E14}"/>
    <cellStyle name="Comma 7 3 2 2 2 3" xfId="1578" xr:uid="{75627C01-288E-41FB-8F8F-B6550BF626AF}"/>
    <cellStyle name="Comma 7 3 2 2 2 3 2" xfId="3746" xr:uid="{D7CA8D02-B2D9-4FFC-847B-3B2D25A55FB4}"/>
    <cellStyle name="Comma 7 3 2 2 2 3 2 2" xfId="8082" xr:uid="{44873F59-8004-4EDB-993C-AD66DE599FFE}"/>
    <cellStyle name="Comma 7 3 2 2 2 3 2 2 2" xfId="16754" xr:uid="{0BF490EB-4BDC-40C2-8639-6C3DFCAF732C}"/>
    <cellStyle name="Comma 7 3 2 2 2 3 2 2 2 2" xfId="34098" xr:uid="{01C46C3B-E96F-44CC-BE4A-1419E1A9F67D}"/>
    <cellStyle name="Comma 7 3 2 2 2 3 2 2 3" xfId="25426" xr:uid="{C32B2A5D-E4F5-45D0-A17C-8B1D14BF4D44}"/>
    <cellStyle name="Comma 7 3 2 2 2 3 2 3" xfId="12418" xr:uid="{1DF48A71-6FD6-4662-AAB4-04BA58859438}"/>
    <cellStyle name="Comma 7 3 2 2 2 3 2 3 2" xfId="29762" xr:uid="{FCDA0846-10D1-4CF2-AA85-4190175D906D}"/>
    <cellStyle name="Comma 7 3 2 2 2 3 2 4" xfId="21090" xr:uid="{D5144B95-79B3-443F-A0FA-C22D0DCEE017}"/>
    <cellStyle name="Comma 7 3 2 2 2 3 3" xfId="5914" xr:uid="{E0281F81-F763-4C66-828D-035E11F94BB6}"/>
    <cellStyle name="Comma 7 3 2 2 2 3 3 2" xfId="14586" xr:uid="{0358854F-13F1-4C03-8731-9C1564F7038C}"/>
    <cellStyle name="Comma 7 3 2 2 2 3 3 2 2" xfId="31930" xr:uid="{789DEA8C-499F-4DF5-9F3D-1A88481EEFD9}"/>
    <cellStyle name="Comma 7 3 2 2 2 3 3 3" xfId="23258" xr:uid="{1D078ACE-B0CC-4E42-801F-DFCE30544A72}"/>
    <cellStyle name="Comma 7 3 2 2 2 3 4" xfId="10250" xr:uid="{B8C63E40-CFD4-45F4-902B-66DFCD76E531}"/>
    <cellStyle name="Comma 7 3 2 2 2 3 4 2" xfId="27594" xr:uid="{2D26756A-6D3F-4191-8082-65AF583BB50B}"/>
    <cellStyle name="Comma 7 3 2 2 2 3 5" xfId="18922" xr:uid="{65AD1171-B3B8-4E4F-A4BE-149C9B5A7C96}"/>
    <cellStyle name="Comma 7 3 2 2 2 4" xfId="2662" xr:uid="{6E7A0F10-91AD-451A-8AAB-AD38885F5D48}"/>
    <cellStyle name="Comma 7 3 2 2 2 4 2" xfId="6998" xr:uid="{940C0216-0E86-4DC0-AA95-89FFADA9B10E}"/>
    <cellStyle name="Comma 7 3 2 2 2 4 2 2" xfId="15670" xr:uid="{B951B558-B556-4513-9A92-1D0C9FE5F726}"/>
    <cellStyle name="Comma 7 3 2 2 2 4 2 2 2" xfId="33014" xr:uid="{F95824BF-8389-47E9-AE14-F06F4527A3DD}"/>
    <cellStyle name="Comma 7 3 2 2 2 4 2 3" xfId="24342" xr:uid="{A03B3510-06A9-4B05-82D5-90D8458A6E4E}"/>
    <cellStyle name="Comma 7 3 2 2 2 4 3" xfId="11334" xr:uid="{7DEF0E8B-B7CA-405C-8BC7-49F5EB2E6605}"/>
    <cellStyle name="Comma 7 3 2 2 2 4 3 2" xfId="28678" xr:uid="{BCE9B360-0C7B-4A37-9716-53F4722D3272}"/>
    <cellStyle name="Comma 7 3 2 2 2 4 4" xfId="20006" xr:uid="{B92DE124-7FAF-41BB-B196-0A5DB4CD56FB}"/>
    <cellStyle name="Comma 7 3 2 2 2 5" xfId="4830" xr:uid="{EF9EA62F-1744-4E2C-8230-5BDF91E2E60B}"/>
    <cellStyle name="Comma 7 3 2 2 2 5 2" xfId="13502" xr:uid="{FB69F536-1291-430D-87E2-8AE30D41A90E}"/>
    <cellStyle name="Comma 7 3 2 2 2 5 2 2" xfId="30846" xr:uid="{D4E2E1B9-8269-47D4-B076-13442C22ECBB}"/>
    <cellStyle name="Comma 7 3 2 2 2 5 3" xfId="22174" xr:uid="{6B9150B8-89D8-4326-B6C7-3F6CC64682E8}"/>
    <cellStyle name="Comma 7 3 2 2 2 6" xfId="9166" xr:uid="{99E1426B-1E6A-48A4-861C-71C298C0A868}"/>
    <cellStyle name="Comma 7 3 2 2 2 6 2" xfId="26510" xr:uid="{CEDA0ACC-5DB7-4BEF-97C8-28881184A4D0}"/>
    <cellStyle name="Comma 7 3 2 2 2 7" xfId="17838" xr:uid="{3246842B-1D9F-43CE-B17C-8057710DF109}"/>
    <cellStyle name="Comma 7 3 2 2 3" xfId="765" xr:uid="{03409ADC-C189-4614-B791-51D14D64BC17}"/>
    <cellStyle name="Comma 7 3 2 2 3 2" xfId="1849" xr:uid="{244B0B0B-E4BF-4CDB-BDF7-5AB41F879F15}"/>
    <cellStyle name="Comma 7 3 2 2 3 2 2" xfId="4017" xr:uid="{6C4BBC51-4C3D-4160-A5CB-6C6B23375ADB}"/>
    <cellStyle name="Comma 7 3 2 2 3 2 2 2" xfId="8353" xr:uid="{CF248AE4-6343-4C8A-AABB-DE62E9CAE2D9}"/>
    <cellStyle name="Comma 7 3 2 2 3 2 2 2 2" xfId="17025" xr:uid="{9216CA6C-55F1-41C5-BCFF-43423918130A}"/>
    <cellStyle name="Comma 7 3 2 2 3 2 2 2 2 2" xfId="34369" xr:uid="{29FBE511-0726-46D2-94E7-9BD95734622B}"/>
    <cellStyle name="Comma 7 3 2 2 3 2 2 2 3" xfId="25697" xr:uid="{EC7362A2-7162-4CB0-BE4E-87A9565EA8EB}"/>
    <cellStyle name="Comma 7 3 2 2 3 2 2 3" xfId="12689" xr:uid="{B72FE0C3-CCAC-41EE-A960-2F54610CF489}"/>
    <cellStyle name="Comma 7 3 2 2 3 2 2 3 2" xfId="30033" xr:uid="{01E94B52-4F14-4AFC-98F7-08EA50E445CF}"/>
    <cellStyle name="Comma 7 3 2 2 3 2 2 4" xfId="21361" xr:uid="{B0D3C203-DF9C-44E1-86DB-63682A827F5A}"/>
    <cellStyle name="Comma 7 3 2 2 3 2 3" xfId="6185" xr:uid="{F9A9205E-824C-4723-9276-D6AD4606E147}"/>
    <cellStyle name="Comma 7 3 2 2 3 2 3 2" xfId="14857" xr:uid="{BD76F970-2F77-469F-B455-67CB7D687435}"/>
    <cellStyle name="Comma 7 3 2 2 3 2 3 2 2" xfId="32201" xr:uid="{5CF500F7-D604-4BAE-A63A-2AE45A9B02B0}"/>
    <cellStyle name="Comma 7 3 2 2 3 2 3 3" xfId="23529" xr:uid="{7FED55FA-26DC-484E-83A1-21F647BB871D}"/>
    <cellStyle name="Comma 7 3 2 2 3 2 4" xfId="10521" xr:uid="{3A07987D-34C5-48B2-869D-8EB6B76FF32D}"/>
    <cellStyle name="Comma 7 3 2 2 3 2 4 2" xfId="27865" xr:uid="{73653BFF-7B87-4595-83E9-77DD0627AA98}"/>
    <cellStyle name="Comma 7 3 2 2 3 2 5" xfId="19193" xr:uid="{7126DCA6-B049-4297-A4EC-9004DFB9137B}"/>
    <cellStyle name="Comma 7 3 2 2 3 3" xfId="2933" xr:uid="{D9EE9EF3-7C2D-4966-B636-7D0C62DCC357}"/>
    <cellStyle name="Comma 7 3 2 2 3 3 2" xfId="7269" xr:uid="{EC5FD19B-11A5-4808-82B0-11145C38A849}"/>
    <cellStyle name="Comma 7 3 2 2 3 3 2 2" xfId="15941" xr:uid="{7D62B6B4-7BE3-4A39-BF8F-B65A70691BEC}"/>
    <cellStyle name="Comma 7 3 2 2 3 3 2 2 2" xfId="33285" xr:uid="{E3F31E8D-EABD-43CF-A401-11F66FB88B24}"/>
    <cellStyle name="Comma 7 3 2 2 3 3 2 3" xfId="24613" xr:uid="{7F3856D3-4813-4EC3-9017-679141576446}"/>
    <cellStyle name="Comma 7 3 2 2 3 3 3" xfId="11605" xr:uid="{84BF6AD0-4AFA-4A05-8216-BC629DD41F92}"/>
    <cellStyle name="Comma 7 3 2 2 3 3 3 2" xfId="28949" xr:uid="{6118AAED-EF55-4DC0-9088-97AB0B1BDDAA}"/>
    <cellStyle name="Comma 7 3 2 2 3 3 4" xfId="20277" xr:uid="{FA39EF35-3A41-4319-AD12-574B71001907}"/>
    <cellStyle name="Comma 7 3 2 2 3 4" xfId="5101" xr:uid="{AA1A0E4D-2671-4885-B0FD-30294B93E3AF}"/>
    <cellStyle name="Comma 7 3 2 2 3 4 2" xfId="13773" xr:uid="{8572746E-EF64-412C-B893-383BA88E15BC}"/>
    <cellStyle name="Comma 7 3 2 2 3 4 2 2" xfId="31117" xr:uid="{E0B89040-4B44-47AC-9838-9A270346EF21}"/>
    <cellStyle name="Comma 7 3 2 2 3 4 3" xfId="22445" xr:uid="{6FD1F9C1-992A-492F-A6DB-7C73E74710E5}"/>
    <cellStyle name="Comma 7 3 2 2 3 5" xfId="9437" xr:uid="{2C91BDBB-B342-41F0-B3A5-D21C7B424D2D}"/>
    <cellStyle name="Comma 7 3 2 2 3 5 2" xfId="26781" xr:uid="{3CB27CA6-B667-4F40-B8B8-F8D1750D6CC7}"/>
    <cellStyle name="Comma 7 3 2 2 3 6" xfId="18109" xr:uid="{CA8134F4-DBAB-42E2-8D33-BE9F2D66E2A9}"/>
    <cellStyle name="Comma 7 3 2 2 4" xfId="1308" xr:uid="{73E12416-9EB3-4AE7-A067-76FCCDA606CE}"/>
    <cellStyle name="Comma 7 3 2 2 4 2" xfId="3476" xr:uid="{31D023BF-6F91-446A-A65E-00035D79DAFF}"/>
    <cellStyle name="Comma 7 3 2 2 4 2 2" xfId="7812" xr:uid="{C309452D-2C18-4F34-9C60-08B699397EC1}"/>
    <cellStyle name="Comma 7 3 2 2 4 2 2 2" xfId="16484" xr:uid="{6B8FE17C-914A-46BD-A600-449DCA70E6B5}"/>
    <cellStyle name="Comma 7 3 2 2 4 2 2 2 2" xfId="33828" xr:uid="{F2AE1AB1-8DAF-43C6-B93E-865E2D4C1196}"/>
    <cellStyle name="Comma 7 3 2 2 4 2 2 3" xfId="25156" xr:uid="{9FDA246D-D548-4EC1-84F0-AD8E150901AD}"/>
    <cellStyle name="Comma 7 3 2 2 4 2 3" xfId="12148" xr:uid="{3042ECF5-5FFF-4D0A-9AFA-02D81B18EF9E}"/>
    <cellStyle name="Comma 7 3 2 2 4 2 3 2" xfId="29492" xr:uid="{923C018B-5395-4405-81F5-95E34C5B8699}"/>
    <cellStyle name="Comma 7 3 2 2 4 2 4" xfId="20820" xr:uid="{8A52CDCA-4234-45EA-81CF-FC0DC4B878C9}"/>
    <cellStyle name="Comma 7 3 2 2 4 3" xfId="5644" xr:uid="{EC0AD1DF-55BE-4680-A6CC-9BAEF52CC9EF}"/>
    <cellStyle name="Comma 7 3 2 2 4 3 2" xfId="14316" xr:uid="{438CD689-486B-4E19-B69A-5FD5857A6B7A}"/>
    <cellStyle name="Comma 7 3 2 2 4 3 2 2" xfId="31660" xr:uid="{0C7CEAD4-1868-4EB9-90FC-14E71B6104D5}"/>
    <cellStyle name="Comma 7 3 2 2 4 3 3" xfId="22988" xr:uid="{946F92F2-8A96-4055-9961-0B38AEF04C87}"/>
    <cellStyle name="Comma 7 3 2 2 4 4" xfId="9980" xr:uid="{510D3FB2-DBAC-4C78-8914-A5932942285C}"/>
    <cellStyle name="Comma 7 3 2 2 4 4 2" xfId="27324" xr:uid="{B16B83AF-6E16-45B7-8842-165E528E299C}"/>
    <cellStyle name="Comma 7 3 2 2 4 5" xfId="18652" xr:uid="{201FCBE0-80A1-40C6-AEE9-A0565FBF4640}"/>
    <cellStyle name="Comma 7 3 2 2 5" xfId="2392" xr:uid="{297A6AF9-A775-4989-9A4F-474A63493905}"/>
    <cellStyle name="Comma 7 3 2 2 5 2" xfId="6728" xr:uid="{E038E87E-6FAE-4278-83BC-38A395F216EB}"/>
    <cellStyle name="Comma 7 3 2 2 5 2 2" xfId="15400" xr:uid="{B7082314-C977-43F3-B3D8-D6AA4B0EF0A1}"/>
    <cellStyle name="Comma 7 3 2 2 5 2 2 2" xfId="32744" xr:uid="{4463623F-BF66-4557-8D7D-96B395FB4EA9}"/>
    <cellStyle name="Comma 7 3 2 2 5 2 3" xfId="24072" xr:uid="{DC072371-7C59-458A-A099-6CD58CA506E8}"/>
    <cellStyle name="Comma 7 3 2 2 5 3" xfId="11064" xr:uid="{4FDDB304-AC2D-411A-BABD-8A5E5989FB94}"/>
    <cellStyle name="Comma 7 3 2 2 5 3 2" xfId="28408" xr:uid="{80572115-894E-44A7-9C95-1168306D81B3}"/>
    <cellStyle name="Comma 7 3 2 2 5 4" xfId="19736" xr:uid="{F3A8B4F5-7A19-478A-AD94-755CEAFADEF9}"/>
    <cellStyle name="Comma 7 3 2 2 6" xfId="4560" xr:uid="{3924EF9B-68F2-4CB2-B68F-DB82FDE12E7A}"/>
    <cellStyle name="Comma 7 3 2 2 6 2" xfId="13232" xr:uid="{59953412-83DF-48E3-B00E-5C1B4B3CB533}"/>
    <cellStyle name="Comma 7 3 2 2 6 2 2" xfId="30576" xr:uid="{FB95ECA8-F3B2-4378-82EB-C775CE426388}"/>
    <cellStyle name="Comma 7 3 2 2 6 3" xfId="21904" xr:uid="{F05A97F0-D243-4C18-A243-3D98D9E62202}"/>
    <cellStyle name="Comma 7 3 2 2 7" xfId="8896" xr:uid="{1144F6AB-77FA-4BC3-8711-ED33D8625325}"/>
    <cellStyle name="Comma 7 3 2 2 7 2" xfId="26240" xr:uid="{952BFD99-3295-4DC5-BD5E-64823D0955A6}"/>
    <cellStyle name="Comma 7 3 2 2 8" xfId="17568" xr:uid="{219D8624-0B38-43EC-9146-250B801B219E}"/>
    <cellStyle name="Comma 7 3 2 3" xfId="372" xr:uid="{457514EB-09CF-4613-8843-0680D5C1845D}"/>
    <cellStyle name="Comma 7 3 2 3 2" xfId="913" xr:uid="{F2A4B08A-ECFF-4DB7-B0BD-E9B8399AA7EA}"/>
    <cellStyle name="Comma 7 3 2 3 2 2" xfId="1997" xr:uid="{9F863180-7842-4244-B18D-739B3547022E}"/>
    <cellStyle name="Comma 7 3 2 3 2 2 2" xfId="4165" xr:uid="{73A6C65A-F6CE-4597-A74E-CA8DD55CF502}"/>
    <cellStyle name="Comma 7 3 2 3 2 2 2 2" xfId="8501" xr:uid="{58AD004A-AA20-4A26-B022-25A28698D547}"/>
    <cellStyle name="Comma 7 3 2 3 2 2 2 2 2" xfId="17173" xr:uid="{0322465A-B157-422B-A927-324613A17B96}"/>
    <cellStyle name="Comma 7 3 2 3 2 2 2 2 2 2" xfId="34517" xr:uid="{6066E242-4802-4E29-A18F-1E31147AFF2E}"/>
    <cellStyle name="Comma 7 3 2 3 2 2 2 2 3" xfId="25845" xr:uid="{2595B835-93B3-4D6B-A9D8-141F2138DDBD}"/>
    <cellStyle name="Comma 7 3 2 3 2 2 2 3" xfId="12837" xr:uid="{CCE4BCC4-F102-47D5-9337-ACC8032DDD6C}"/>
    <cellStyle name="Comma 7 3 2 3 2 2 2 3 2" xfId="30181" xr:uid="{79B0F1A0-9BFC-4E1F-B41D-8DC7227940D4}"/>
    <cellStyle name="Comma 7 3 2 3 2 2 2 4" xfId="21509" xr:uid="{9937367D-64BD-4840-A132-6EF9C3B60BE8}"/>
    <cellStyle name="Comma 7 3 2 3 2 2 3" xfId="6333" xr:uid="{54CAD9E2-AAB0-403E-8B86-33FEE3BA6580}"/>
    <cellStyle name="Comma 7 3 2 3 2 2 3 2" xfId="15005" xr:uid="{56077F3D-2980-457F-8276-A5F93932092F}"/>
    <cellStyle name="Comma 7 3 2 3 2 2 3 2 2" xfId="32349" xr:uid="{2469C168-74BD-4CD0-A23F-840BC6343F1C}"/>
    <cellStyle name="Comma 7 3 2 3 2 2 3 3" xfId="23677" xr:uid="{D4F8968D-B19F-456A-8C1E-C6CFDA2D333B}"/>
    <cellStyle name="Comma 7 3 2 3 2 2 4" xfId="10669" xr:uid="{254275D1-E949-4D62-9BD6-3ACF3EC20265}"/>
    <cellStyle name="Comma 7 3 2 3 2 2 4 2" xfId="28013" xr:uid="{FD8BF898-AB3F-4F5F-A24C-FB1E963A2695}"/>
    <cellStyle name="Comma 7 3 2 3 2 2 5" xfId="19341" xr:uid="{B65044AB-E292-44E0-A462-FDC2400DD1D9}"/>
    <cellStyle name="Comma 7 3 2 3 2 3" xfId="3081" xr:uid="{237C5491-8AC1-47A9-9507-A6F1FA6FBE9B}"/>
    <cellStyle name="Comma 7 3 2 3 2 3 2" xfId="7417" xr:uid="{C1F2D625-53AF-48EF-B1D1-0E25F30AE9C6}"/>
    <cellStyle name="Comma 7 3 2 3 2 3 2 2" xfId="16089" xr:uid="{90C654CB-15C7-494A-9085-5CDC668330A4}"/>
    <cellStyle name="Comma 7 3 2 3 2 3 2 2 2" xfId="33433" xr:uid="{6EBC1D90-525E-4F27-8C04-EEA5A9315C90}"/>
    <cellStyle name="Comma 7 3 2 3 2 3 2 3" xfId="24761" xr:uid="{CF31AE3C-58C8-4D82-9B97-B7F72672B8D7}"/>
    <cellStyle name="Comma 7 3 2 3 2 3 3" xfId="11753" xr:uid="{F5C95693-8DF5-44D2-A3B2-2BF4BE89EF83}"/>
    <cellStyle name="Comma 7 3 2 3 2 3 3 2" xfId="29097" xr:uid="{A7FF4648-9DCD-430F-8142-050D3DAF52DE}"/>
    <cellStyle name="Comma 7 3 2 3 2 3 4" xfId="20425" xr:uid="{5B5EC97E-0F78-40E8-AC62-FEEB73F08ACC}"/>
    <cellStyle name="Comma 7 3 2 3 2 4" xfId="5249" xr:uid="{3DB5F048-4022-449A-B45A-09DD00BAF496}"/>
    <cellStyle name="Comma 7 3 2 3 2 4 2" xfId="13921" xr:uid="{B2A814AD-E096-4E0E-9AA6-31D62BFB025B}"/>
    <cellStyle name="Comma 7 3 2 3 2 4 2 2" xfId="31265" xr:uid="{9BA68B5F-5E37-4809-9AEE-A0255ADBBF9F}"/>
    <cellStyle name="Comma 7 3 2 3 2 4 3" xfId="22593" xr:uid="{8804C5D4-3DBC-41C2-9F63-4F29B9BB5B29}"/>
    <cellStyle name="Comma 7 3 2 3 2 5" xfId="9585" xr:uid="{16A07024-9EB5-4D45-A260-80C32120CD9B}"/>
    <cellStyle name="Comma 7 3 2 3 2 5 2" xfId="26929" xr:uid="{52724AA5-896D-40F2-9805-2CB3FA801431}"/>
    <cellStyle name="Comma 7 3 2 3 2 6" xfId="18257" xr:uid="{0A8D38A2-DDEC-4385-83CD-C723E53562DE}"/>
    <cellStyle name="Comma 7 3 2 3 3" xfId="1456" xr:uid="{58B0EDC3-E7D4-42C0-8427-D8CC1F1CE978}"/>
    <cellStyle name="Comma 7 3 2 3 3 2" xfId="3624" xr:uid="{0857666D-8DCE-416F-94C8-9D3ACCF853DB}"/>
    <cellStyle name="Comma 7 3 2 3 3 2 2" xfId="7960" xr:uid="{144BA1F4-D0F3-415F-A090-B570D30E23D4}"/>
    <cellStyle name="Comma 7 3 2 3 3 2 2 2" xfId="16632" xr:uid="{CAD41531-0220-40C1-A938-F86C1DAFC12D}"/>
    <cellStyle name="Comma 7 3 2 3 3 2 2 2 2" xfId="33976" xr:uid="{8EC84192-91D5-4BD1-A646-7CF2E5FFF950}"/>
    <cellStyle name="Comma 7 3 2 3 3 2 2 3" xfId="25304" xr:uid="{6C31F164-EBFC-432C-9A04-38A1CB5368FC}"/>
    <cellStyle name="Comma 7 3 2 3 3 2 3" xfId="12296" xr:uid="{BED723F4-CA1D-4DE7-BE90-EC0E5966FDF7}"/>
    <cellStyle name="Comma 7 3 2 3 3 2 3 2" xfId="29640" xr:uid="{189B0D3D-C50D-4FAE-88B1-2FF7D5E9E273}"/>
    <cellStyle name="Comma 7 3 2 3 3 2 4" xfId="20968" xr:uid="{D2E96C81-FFFE-4474-A018-90C088B1825A}"/>
    <cellStyle name="Comma 7 3 2 3 3 3" xfId="5792" xr:uid="{92BE41B8-56C9-495B-B9FF-B7F84F798504}"/>
    <cellStyle name="Comma 7 3 2 3 3 3 2" xfId="14464" xr:uid="{C605ABCF-28C1-4CB0-BAB4-4414CB278845}"/>
    <cellStyle name="Comma 7 3 2 3 3 3 2 2" xfId="31808" xr:uid="{F6B059EC-1A62-4442-95F1-B6C41F0B17A6}"/>
    <cellStyle name="Comma 7 3 2 3 3 3 3" xfId="23136" xr:uid="{5116ABAF-00A7-49A3-9C0D-C4E485CF041F}"/>
    <cellStyle name="Comma 7 3 2 3 3 4" xfId="10128" xr:uid="{6C8C093F-F87D-47A2-9E9B-8E4BC8D7FE06}"/>
    <cellStyle name="Comma 7 3 2 3 3 4 2" xfId="27472" xr:uid="{168287AF-8FAE-47B6-9F2D-6961AF6BC6BC}"/>
    <cellStyle name="Comma 7 3 2 3 3 5" xfId="18800" xr:uid="{04F1D893-EA2D-40E7-BFA8-33F35C49FE74}"/>
    <cellStyle name="Comma 7 3 2 3 4" xfId="2540" xr:uid="{243DE7C7-443B-4BA2-B062-B5DC328340B5}"/>
    <cellStyle name="Comma 7 3 2 3 4 2" xfId="6876" xr:uid="{CADD07AF-726D-457B-86C1-DB2DB0E7D017}"/>
    <cellStyle name="Comma 7 3 2 3 4 2 2" xfId="15548" xr:uid="{4EFB7E3A-D6B9-4776-A481-E30610856855}"/>
    <cellStyle name="Comma 7 3 2 3 4 2 2 2" xfId="32892" xr:uid="{34F6BF47-DF64-4B24-B3BE-8D1B5D7773FC}"/>
    <cellStyle name="Comma 7 3 2 3 4 2 3" xfId="24220" xr:uid="{928D17C0-13F0-490A-98BD-0B7F998F94E1}"/>
    <cellStyle name="Comma 7 3 2 3 4 3" xfId="11212" xr:uid="{433FCFF3-53F6-4224-806A-54F22156FE8C}"/>
    <cellStyle name="Comma 7 3 2 3 4 3 2" xfId="28556" xr:uid="{2756AF7A-B5BE-479A-9CDD-4E582145DB71}"/>
    <cellStyle name="Comma 7 3 2 3 4 4" xfId="19884" xr:uid="{C97CA864-3935-4D32-86F0-3B8F4C9F1BA1}"/>
    <cellStyle name="Comma 7 3 2 3 5" xfId="4708" xr:uid="{8E8F9008-F6B1-49F4-AB1A-F1284826D8DC}"/>
    <cellStyle name="Comma 7 3 2 3 5 2" xfId="13380" xr:uid="{F4E429C6-1587-49FA-BFD9-5CFAD1186A52}"/>
    <cellStyle name="Comma 7 3 2 3 5 2 2" xfId="30724" xr:uid="{1D5C5279-6445-432D-B3B0-F4BFB71DE931}"/>
    <cellStyle name="Comma 7 3 2 3 5 3" xfId="22052" xr:uid="{F34BEB92-6ABA-4F5D-89AA-BDCA926C89ED}"/>
    <cellStyle name="Comma 7 3 2 3 6" xfId="9044" xr:uid="{D751BA29-B22A-477B-9506-97429E0D3E3D}"/>
    <cellStyle name="Comma 7 3 2 3 6 2" xfId="26388" xr:uid="{A3BEF4C1-B27A-48C1-8722-96D84162CE7D}"/>
    <cellStyle name="Comma 7 3 2 3 7" xfId="17716" xr:uid="{140B170F-D955-431D-8763-7FD59322F70E}"/>
    <cellStyle name="Comma 7 3 2 4" xfId="643" xr:uid="{AFF33ACE-9FF8-4CC8-8CF4-A483A62FE5AF}"/>
    <cellStyle name="Comma 7 3 2 4 2" xfId="1727" xr:uid="{58A9A34E-B522-4812-B7F3-26FD9AD3B155}"/>
    <cellStyle name="Comma 7 3 2 4 2 2" xfId="3895" xr:uid="{CD6B83F4-61D0-4007-BFA5-271A09FFC99F}"/>
    <cellStyle name="Comma 7 3 2 4 2 2 2" xfId="8231" xr:uid="{14ECC793-2651-407A-825A-D4697B893FE8}"/>
    <cellStyle name="Comma 7 3 2 4 2 2 2 2" xfId="16903" xr:uid="{956A081D-7F24-4A27-AEA1-FE9D489C5B01}"/>
    <cellStyle name="Comma 7 3 2 4 2 2 2 2 2" xfId="34247" xr:uid="{045D5BE8-4A17-4906-98E0-7E07365F84AB}"/>
    <cellStyle name="Comma 7 3 2 4 2 2 2 3" xfId="25575" xr:uid="{253CC4A3-26FD-40F0-BB10-6D487CC20069}"/>
    <cellStyle name="Comma 7 3 2 4 2 2 3" xfId="12567" xr:uid="{84045247-30B3-4092-81D9-B9C9AD6EA35D}"/>
    <cellStyle name="Comma 7 3 2 4 2 2 3 2" xfId="29911" xr:uid="{C25FCDEE-B556-4E68-82BE-98B883A8F5FC}"/>
    <cellStyle name="Comma 7 3 2 4 2 2 4" xfId="21239" xr:uid="{35735D48-D3E0-41B8-B237-261B7D6CF84B}"/>
    <cellStyle name="Comma 7 3 2 4 2 3" xfId="6063" xr:uid="{0E48B7FF-E304-4857-B0CF-2D75C5F7D795}"/>
    <cellStyle name="Comma 7 3 2 4 2 3 2" xfId="14735" xr:uid="{F219F71A-0713-4DD5-96D2-26B8290AEC88}"/>
    <cellStyle name="Comma 7 3 2 4 2 3 2 2" xfId="32079" xr:uid="{F7CFE1FB-D763-4927-B364-A13572DB0DCC}"/>
    <cellStyle name="Comma 7 3 2 4 2 3 3" xfId="23407" xr:uid="{D11AABC1-F3A7-4C6B-9218-476058D038FA}"/>
    <cellStyle name="Comma 7 3 2 4 2 4" xfId="10399" xr:uid="{ECA0B743-6F1D-4CDF-974A-B0D8B962E54D}"/>
    <cellStyle name="Comma 7 3 2 4 2 4 2" xfId="27743" xr:uid="{BC61240C-EBF9-4B25-AE82-8ED823F999D9}"/>
    <cellStyle name="Comma 7 3 2 4 2 5" xfId="19071" xr:uid="{95139E3A-8534-4684-ABED-EC054C0F12D2}"/>
    <cellStyle name="Comma 7 3 2 4 3" xfId="2811" xr:uid="{D6732753-A8A8-4BCE-A639-A1B5DED23E4A}"/>
    <cellStyle name="Comma 7 3 2 4 3 2" xfId="7147" xr:uid="{0B5A9EE9-44BE-4B4B-8F6D-AD27EEC059C0}"/>
    <cellStyle name="Comma 7 3 2 4 3 2 2" xfId="15819" xr:uid="{D6AFA207-4A39-47DD-9C87-B75E6C00D771}"/>
    <cellStyle name="Comma 7 3 2 4 3 2 2 2" xfId="33163" xr:uid="{8064848B-1926-46F3-8708-653F1961DEBE}"/>
    <cellStyle name="Comma 7 3 2 4 3 2 3" xfId="24491" xr:uid="{5820ACDE-9D1E-4D93-A969-E4A1377AFE29}"/>
    <cellStyle name="Comma 7 3 2 4 3 3" xfId="11483" xr:uid="{FD8BF37E-05C2-464E-964A-8F1889AD4E05}"/>
    <cellStyle name="Comma 7 3 2 4 3 3 2" xfId="28827" xr:uid="{512E2DA3-0326-4453-B82F-AD186FDA3569}"/>
    <cellStyle name="Comma 7 3 2 4 3 4" xfId="20155" xr:uid="{5F8A91FA-5FD3-457B-AFD4-147D30AE2D54}"/>
    <cellStyle name="Comma 7 3 2 4 4" xfId="4979" xr:uid="{0CC5C179-E552-4F8E-A280-9F65C426455D}"/>
    <cellStyle name="Comma 7 3 2 4 4 2" xfId="13651" xr:uid="{02B9DD3D-9703-4F02-9281-E21383D90745}"/>
    <cellStyle name="Comma 7 3 2 4 4 2 2" xfId="30995" xr:uid="{EDBFB7DA-A780-4352-B54A-716041ABA0B7}"/>
    <cellStyle name="Comma 7 3 2 4 4 3" xfId="22323" xr:uid="{FFEEC8E2-4FB3-461B-AE78-2A74E90A8A87}"/>
    <cellStyle name="Comma 7 3 2 4 5" xfId="9315" xr:uid="{C80FDC02-A933-4141-9DA5-77716EA16DE4}"/>
    <cellStyle name="Comma 7 3 2 4 5 2" xfId="26659" xr:uid="{F9F56B43-53E3-4F1C-8B3D-74016CC89A21}"/>
    <cellStyle name="Comma 7 3 2 4 6" xfId="17987" xr:uid="{01729D55-51BD-43B9-BB01-E22ECBBF617E}"/>
    <cellStyle name="Comma 7 3 2 5" xfId="1186" xr:uid="{AB31EA5D-02BA-4A96-BB74-DFC3C1B2BDA4}"/>
    <cellStyle name="Comma 7 3 2 5 2" xfId="3354" xr:uid="{547528A8-E674-412F-8598-D73CB89B687B}"/>
    <cellStyle name="Comma 7 3 2 5 2 2" xfId="7690" xr:uid="{45329670-3EAD-4094-A9CD-93DF3655138F}"/>
    <cellStyle name="Comma 7 3 2 5 2 2 2" xfId="16362" xr:uid="{0B001A76-54E4-4A66-99AC-DF3FC5ECEDED}"/>
    <cellStyle name="Comma 7 3 2 5 2 2 2 2" xfId="33706" xr:uid="{3D67AC90-E588-447C-ADF5-0EA19544A0E2}"/>
    <cellStyle name="Comma 7 3 2 5 2 2 3" xfId="25034" xr:uid="{8E3566D4-1139-4E76-BB79-D1BC9791E3E3}"/>
    <cellStyle name="Comma 7 3 2 5 2 3" xfId="12026" xr:uid="{A9442A14-D6DA-437D-A314-CF4E96D5E4B0}"/>
    <cellStyle name="Comma 7 3 2 5 2 3 2" xfId="29370" xr:uid="{B9B61E17-93A4-4F35-9182-302776E1B980}"/>
    <cellStyle name="Comma 7 3 2 5 2 4" xfId="20698" xr:uid="{90FA19C2-DEC1-43CF-BD78-E2771D649C8E}"/>
    <cellStyle name="Comma 7 3 2 5 3" xfId="5522" xr:uid="{D539C5AA-03CB-4F98-A966-2238AAC43C6A}"/>
    <cellStyle name="Comma 7 3 2 5 3 2" xfId="14194" xr:uid="{FCD5B97A-975C-4582-A2C8-F55E2CF7C2EA}"/>
    <cellStyle name="Comma 7 3 2 5 3 2 2" xfId="31538" xr:uid="{6961E50E-3C41-4E51-ABEB-6AD4D7A52AE1}"/>
    <cellStyle name="Comma 7 3 2 5 3 3" xfId="22866" xr:uid="{EA478D62-CE9C-484B-BF34-18B905087A67}"/>
    <cellStyle name="Comma 7 3 2 5 4" xfId="9858" xr:uid="{0D0D3E88-649C-41BB-8486-53BEF0858878}"/>
    <cellStyle name="Comma 7 3 2 5 4 2" xfId="27202" xr:uid="{11126155-3493-47E4-BEF6-B85C518D7D48}"/>
    <cellStyle name="Comma 7 3 2 5 5" xfId="18530" xr:uid="{F7BB7322-5C41-4134-8A56-E49F284F4C21}"/>
    <cellStyle name="Comma 7 3 2 6" xfId="2270" xr:uid="{09C05A03-62B7-4C1E-BFF1-8E5B8F150D67}"/>
    <cellStyle name="Comma 7 3 2 6 2" xfId="6606" xr:uid="{E2669434-53A0-4044-8A39-E026AEC733C7}"/>
    <cellStyle name="Comma 7 3 2 6 2 2" xfId="15278" xr:uid="{662D88BE-7C46-4B97-83D3-9D78CED22389}"/>
    <cellStyle name="Comma 7 3 2 6 2 2 2" xfId="32622" xr:uid="{B4CD0713-95C1-4703-8990-DC87E9296E74}"/>
    <cellStyle name="Comma 7 3 2 6 2 3" xfId="23950" xr:uid="{60AC6612-78F3-4D25-8BCB-11EDEC43C9F9}"/>
    <cellStyle name="Comma 7 3 2 6 3" xfId="10942" xr:uid="{2BC0A7E8-CE6C-49BC-99DF-E09775BF6FCD}"/>
    <cellStyle name="Comma 7 3 2 6 3 2" xfId="28286" xr:uid="{96AC7E45-1CAC-4944-B601-F63DF8D8CD1F}"/>
    <cellStyle name="Comma 7 3 2 6 4" xfId="19614" xr:uid="{A4A4F437-E7DF-455E-8CC5-C393E92F1232}"/>
    <cellStyle name="Comma 7 3 2 7" xfId="4438" xr:uid="{C5A5331F-F9F2-48A9-9177-6FCC06FA1E86}"/>
    <cellStyle name="Comma 7 3 2 7 2" xfId="13110" xr:uid="{50FB14AA-026A-4EB8-8628-37DB1705D6CD}"/>
    <cellStyle name="Comma 7 3 2 7 2 2" xfId="30454" xr:uid="{8FAF662A-C1F0-4BF1-8CA5-DA52A45CB822}"/>
    <cellStyle name="Comma 7 3 2 7 3" xfId="21782" xr:uid="{7ED88CFA-B107-447B-82BA-B4E6B670CFE3}"/>
    <cellStyle name="Comma 7 3 2 8" xfId="8774" xr:uid="{6E179BEA-DFB1-4B07-9E37-DF76BC2DFAB6}"/>
    <cellStyle name="Comma 7 3 2 8 2" xfId="26118" xr:uid="{11B98BE9-F970-44ED-B68F-730F86D14C62}"/>
    <cellStyle name="Comma 7 3 2 9" xfId="17446" xr:uid="{49739B1F-7FF0-47A3-9366-0E50BE81C672}"/>
    <cellStyle name="Comma 7 3 3" xfId="163" xr:uid="{0B8ABE69-2295-488A-BF27-446DE4FD662C}"/>
    <cellStyle name="Comma 7 3 3 2" xfId="433" xr:uid="{12D2D09B-072C-4B0C-A844-DE7254CD36AE}"/>
    <cellStyle name="Comma 7 3 3 2 2" xfId="974" xr:uid="{8DA1144F-BBF0-4676-95D8-1C4DF2FB3A84}"/>
    <cellStyle name="Comma 7 3 3 2 2 2" xfId="2058" xr:uid="{4BE670B8-A172-45DB-83E9-5CE658548B5E}"/>
    <cellStyle name="Comma 7 3 3 2 2 2 2" xfId="4226" xr:uid="{3D977EAE-9681-43E3-BAC9-2376DAE0831C}"/>
    <cellStyle name="Comma 7 3 3 2 2 2 2 2" xfId="8562" xr:uid="{A4DDDBA8-03CA-452A-BB8B-93D3814EC236}"/>
    <cellStyle name="Comma 7 3 3 2 2 2 2 2 2" xfId="17234" xr:uid="{411E607F-E367-4A77-8144-A25E06C8A2FF}"/>
    <cellStyle name="Comma 7 3 3 2 2 2 2 2 2 2" xfId="34578" xr:uid="{9CBE0E8C-908C-4C37-B3F8-75D9E08D23BD}"/>
    <cellStyle name="Comma 7 3 3 2 2 2 2 2 3" xfId="25906" xr:uid="{05A71C92-4934-4D41-8453-D3114E266D7F}"/>
    <cellStyle name="Comma 7 3 3 2 2 2 2 3" xfId="12898" xr:uid="{4C47534A-5FD4-4407-A8FD-746A13074124}"/>
    <cellStyle name="Comma 7 3 3 2 2 2 2 3 2" xfId="30242" xr:uid="{3C099448-1C6D-4F94-9E1F-DEE0646065F4}"/>
    <cellStyle name="Comma 7 3 3 2 2 2 2 4" xfId="21570" xr:uid="{CF63029D-E4EE-4935-A96C-EADD44ECA92F}"/>
    <cellStyle name="Comma 7 3 3 2 2 2 3" xfId="6394" xr:uid="{FE8117D9-14FE-4925-96E7-EB35220171B9}"/>
    <cellStyle name="Comma 7 3 3 2 2 2 3 2" xfId="15066" xr:uid="{8E1686B1-045A-4ED8-8868-BBD099CA6620}"/>
    <cellStyle name="Comma 7 3 3 2 2 2 3 2 2" xfId="32410" xr:uid="{3EA800C8-2024-4693-AB48-F85B6CDC0685}"/>
    <cellStyle name="Comma 7 3 3 2 2 2 3 3" xfId="23738" xr:uid="{3FFFCFD0-CA5A-4D25-9C3F-5C0A88F31A29}"/>
    <cellStyle name="Comma 7 3 3 2 2 2 4" xfId="10730" xr:uid="{586650FF-B5FD-4769-B1F5-07BF2187C25B}"/>
    <cellStyle name="Comma 7 3 3 2 2 2 4 2" xfId="28074" xr:uid="{972D9B63-7ABC-48D4-A6E6-3B90CD454EC4}"/>
    <cellStyle name="Comma 7 3 3 2 2 2 5" xfId="19402" xr:uid="{0B96F432-0BCB-4E6C-BBA4-23A00659F48F}"/>
    <cellStyle name="Comma 7 3 3 2 2 3" xfId="3142" xr:uid="{7450B5F9-7F6B-4A1C-8FCD-36A8BFC4CD09}"/>
    <cellStyle name="Comma 7 3 3 2 2 3 2" xfId="7478" xr:uid="{68C12E5F-FC05-4468-B96D-4EC9544F4858}"/>
    <cellStyle name="Comma 7 3 3 2 2 3 2 2" xfId="16150" xr:uid="{D5843B59-2FA6-4D21-9078-4F9774150252}"/>
    <cellStyle name="Comma 7 3 3 2 2 3 2 2 2" xfId="33494" xr:uid="{9744F843-2AFC-4553-A75D-FCD57A7E9F12}"/>
    <cellStyle name="Comma 7 3 3 2 2 3 2 3" xfId="24822" xr:uid="{83CE2C5A-48BC-4706-8804-C438245B18D5}"/>
    <cellStyle name="Comma 7 3 3 2 2 3 3" xfId="11814" xr:uid="{422038A0-4EF9-45DE-82A7-5E620A86ADC7}"/>
    <cellStyle name="Comma 7 3 3 2 2 3 3 2" xfId="29158" xr:uid="{7737192D-2750-40F5-8E62-DFC0C78E69A2}"/>
    <cellStyle name="Comma 7 3 3 2 2 3 4" xfId="20486" xr:uid="{0E6F3318-565A-451C-9BAE-2D56A724D295}"/>
    <cellStyle name="Comma 7 3 3 2 2 4" xfId="5310" xr:uid="{494BE4A3-6231-42A5-A035-3103E514FD01}"/>
    <cellStyle name="Comma 7 3 3 2 2 4 2" xfId="13982" xr:uid="{F9108DB0-962A-40C3-B12E-DDDCBB19394A}"/>
    <cellStyle name="Comma 7 3 3 2 2 4 2 2" xfId="31326" xr:uid="{5046AC29-A60A-4958-BAD2-1AED0169BFF1}"/>
    <cellStyle name="Comma 7 3 3 2 2 4 3" xfId="22654" xr:uid="{676534B0-AD3D-41FC-86FE-40425A80D8CC}"/>
    <cellStyle name="Comma 7 3 3 2 2 5" xfId="9646" xr:uid="{30D2B8ED-BFE3-4465-AC2F-E301CAEFB2E0}"/>
    <cellStyle name="Comma 7 3 3 2 2 5 2" xfId="26990" xr:uid="{E01F1555-776B-459F-B59C-545E1ACF991B}"/>
    <cellStyle name="Comma 7 3 3 2 2 6" xfId="18318" xr:uid="{7809D8F6-462D-4EB6-9D24-6A971EF04D4F}"/>
    <cellStyle name="Comma 7 3 3 2 3" xfId="1517" xr:uid="{E3381506-EA53-4AE8-952A-F6855DB2FF75}"/>
    <cellStyle name="Comma 7 3 3 2 3 2" xfId="3685" xr:uid="{6188FDA3-090F-4537-9D56-45358326D19C}"/>
    <cellStyle name="Comma 7 3 3 2 3 2 2" xfId="8021" xr:uid="{387B39BE-AE14-4748-B4D2-F03FA4E8DD63}"/>
    <cellStyle name="Comma 7 3 3 2 3 2 2 2" xfId="16693" xr:uid="{9474201E-D339-43DD-88DF-A9843482AF72}"/>
    <cellStyle name="Comma 7 3 3 2 3 2 2 2 2" xfId="34037" xr:uid="{84A3DC99-8AB4-4A12-9A84-ACEC81631C8E}"/>
    <cellStyle name="Comma 7 3 3 2 3 2 2 3" xfId="25365" xr:uid="{9C44D900-29FA-4404-BC74-CDB793046C24}"/>
    <cellStyle name="Comma 7 3 3 2 3 2 3" xfId="12357" xr:uid="{4BDFA8E5-529A-4C75-855A-4D717AE9B9B6}"/>
    <cellStyle name="Comma 7 3 3 2 3 2 3 2" xfId="29701" xr:uid="{E37D1075-65BB-42BB-9607-DDFAA2A76FE6}"/>
    <cellStyle name="Comma 7 3 3 2 3 2 4" xfId="21029" xr:uid="{3F805CA4-FC40-4C31-96BB-72AE4B161078}"/>
    <cellStyle name="Comma 7 3 3 2 3 3" xfId="5853" xr:uid="{C6EBBBA3-E79C-4241-89D5-20493A60C10C}"/>
    <cellStyle name="Comma 7 3 3 2 3 3 2" xfId="14525" xr:uid="{38C5D3C1-1E40-4A0E-A2D4-2AC1357FDC85}"/>
    <cellStyle name="Comma 7 3 3 2 3 3 2 2" xfId="31869" xr:uid="{4792E78D-03DE-490C-9BE3-90C17AAF02F7}"/>
    <cellStyle name="Comma 7 3 3 2 3 3 3" xfId="23197" xr:uid="{3DA35867-5C89-4AF6-AB6E-89544E946B03}"/>
    <cellStyle name="Comma 7 3 3 2 3 4" xfId="10189" xr:uid="{12CEDA5F-557C-4131-B08E-5E332E8199A3}"/>
    <cellStyle name="Comma 7 3 3 2 3 4 2" xfId="27533" xr:uid="{9317460C-5290-4B07-B6A0-0BFDC9139746}"/>
    <cellStyle name="Comma 7 3 3 2 3 5" xfId="18861" xr:uid="{451C6F17-29AB-40F4-A945-56AD6E3C1B86}"/>
    <cellStyle name="Comma 7 3 3 2 4" xfId="2601" xr:uid="{DEA86CD8-4268-41D7-A593-EBB6B4754697}"/>
    <cellStyle name="Comma 7 3 3 2 4 2" xfId="6937" xr:uid="{FD58B1F5-E43A-4764-9DB1-A8E4B48C6840}"/>
    <cellStyle name="Comma 7 3 3 2 4 2 2" xfId="15609" xr:uid="{7B7D44CB-3E0B-49A2-8B9C-DBE160B5D5C4}"/>
    <cellStyle name="Comma 7 3 3 2 4 2 2 2" xfId="32953" xr:uid="{75DEEF92-18D9-4702-A29C-A562724C94F4}"/>
    <cellStyle name="Comma 7 3 3 2 4 2 3" xfId="24281" xr:uid="{D4EAB716-DB39-4D0B-9FAF-60D639859829}"/>
    <cellStyle name="Comma 7 3 3 2 4 3" xfId="11273" xr:uid="{6B012C31-E464-43B1-B5C0-C65D173D8FC2}"/>
    <cellStyle name="Comma 7 3 3 2 4 3 2" xfId="28617" xr:uid="{D932D033-E3DC-4A68-99E5-8596E637D600}"/>
    <cellStyle name="Comma 7 3 3 2 4 4" xfId="19945" xr:uid="{DE3314FF-F5FB-4E9A-AFD6-97F7B813CBB1}"/>
    <cellStyle name="Comma 7 3 3 2 5" xfId="4769" xr:uid="{45F1C96A-29C9-4E75-9361-1CCB71E03DC6}"/>
    <cellStyle name="Comma 7 3 3 2 5 2" xfId="13441" xr:uid="{BF2C06D8-FCD3-48C4-AE33-33095D55C064}"/>
    <cellStyle name="Comma 7 3 3 2 5 2 2" xfId="30785" xr:uid="{CE68B1DE-8C14-4A91-9C62-0564448DE4AF}"/>
    <cellStyle name="Comma 7 3 3 2 5 3" xfId="22113" xr:uid="{39819B33-E0EA-4DE5-9BCD-F9ADAF7CEB53}"/>
    <cellStyle name="Comma 7 3 3 2 6" xfId="9105" xr:uid="{40E74AC1-FF1B-490E-A9B4-72557FD8A49A}"/>
    <cellStyle name="Comma 7 3 3 2 6 2" xfId="26449" xr:uid="{6F44B40C-E70D-4939-A7E7-1BEDFF69DF6C}"/>
    <cellStyle name="Comma 7 3 3 2 7" xfId="17777" xr:uid="{0E3BDEAF-BEE8-4214-8807-79492AD05C41}"/>
    <cellStyle name="Comma 7 3 3 3" xfId="704" xr:uid="{07A8B88A-9FFA-4DD1-A2B2-4B7E4882B47C}"/>
    <cellStyle name="Comma 7 3 3 3 2" xfId="1788" xr:uid="{353E525A-C934-4336-A479-B60E2EBA92B2}"/>
    <cellStyle name="Comma 7 3 3 3 2 2" xfId="3956" xr:uid="{B2CBE430-BF49-44B0-8DF4-40ADEB488633}"/>
    <cellStyle name="Comma 7 3 3 3 2 2 2" xfId="8292" xr:uid="{AEBAEEB5-D2A3-4429-8CD1-CA4B6CAE0CB8}"/>
    <cellStyle name="Comma 7 3 3 3 2 2 2 2" xfId="16964" xr:uid="{8FC8301F-3E02-4810-B772-DABE5F5DCDF9}"/>
    <cellStyle name="Comma 7 3 3 3 2 2 2 2 2" xfId="34308" xr:uid="{269F6DA1-E3A7-4CC1-AFE2-CC2A59106AF5}"/>
    <cellStyle name="Comma 7 3 3 3 2 2 2 3" xfId="25636" xr:uid="{A36AC198-0875-46EA-929C-4B40401C5DC8}"/>
    <cellStyle name="Comma 7 3 3 3 2 2 3" xfId="12628" xr:uid="{E678E288-1E00-4530-8987-D95091EAFFF5}"/>
    <cellStyle name="Comma 7 3 3 3 2 2 3 2" xfId="29972" xr:uid="{16B54202-4824-4A7A-BB0B-D0ABE3A54075}"/>
    <cellStyle name="Comma 7 3 3 3 2 2 4" xfId="21300" xr:uid="{E28C79EC-9F6A-46A4-BB87-C646B3123735}"/>
    <cellStyle name="Comma 7 3 3 3 2 3" xfId="6124" xr:uid="{E57CE757-3001-41EF-9A47-06D3736D396A}"/>
    <cellStyle name="Comma 7 3 3 3 2 3 2" xfId="14796" xr:uid="{37919C90-7C40-491A-9FC8-14F0C3A153B0}"/>
    <cellStyle name="Comma 7 3 3 3 2 3 2 2" xfId="32140" xr:uid="{10B7512D-4505-461D-B8C5-F60776D7C0D6}"/>
    <cellStyle name="Comma 7 3 3 3 2 3 3" xfId="23468" xr:uid="{511648AD-A3D3-4870-A281-E9DEA34DEC56}"/>
    <cellStyle name="Comma 7 3 3 3 2 4" xfId="10460" xr:uid="{B00865DC-78C5-410D-A090-EA3189A9151D}"/>
    <cellStyle name="Comma 7 3 3 3 2 4 2" xfId="27804" xr:uid="{46E1CDAD-C3CA-4C4B-8EE7-A69B8C25A2F6}"/>
    <cellStyle name="Comma 7 3 3 3 2 5" xfId="19132" xr:uid="{B9944FBA-B0D6-4DDC-83EC-3C58455C3CAA}"/>
    <cellStyle name="Comma 7 3 3 3 3" xfId="2872" xr:uid="{E1065E2A-355C-4731-8810-2A41E39C6AEA}"/>
    <cellStyle name="Comma 7 3 3 3 3 2" xfId="7208" xr:uid="{F98824E2-150B-4E7F-8F34-8811F0724B01}"/>
    <cellStyle name="Comma 7 3 3 3 3 2 2" xfId="15880" xr:uid="{4D38B0FB-E061-4E0C-9E54-D35B50C77ADF}"/>
    <cellStyle name="Comma 7 3 3 3 3 2 2 2" xfId="33224" xr:uid="{429BA5C8-D42D-48D4-9B50-D80E6A7C6043}"/>
    <cellStyle name="Comma 7 3 3 3 3 2 3" xfId="24552" xr:uid="{E3870320-B79E-4ED7-AFE1-015688376F0D}"/>
    <cellStyle name="Comma 7 3 3 3 3 3" xfId="11544" xr:uid="{CA0E405F-5F4D-4D14-AAA6-4E57C975BF13}"/>
    <cellStyle name="Comma 7 3 3 3 3 3 2" xfId="28888" xr:uid="{5B772EA4-8FFE-4DF8-90FC-C570D1382D8B}"/>
    <cellStyle name="Comma 7 3 3 3 3 4" xfId="20216" xr:uid="{ABF8AA0E-100C-401F-A95A-58C68D7D239D}"/>
    <cellStyle name="Comma 7 3 3 3 4" xfId="5040" xr:uid="{67EE3137-C373-4B15-9CD4-48586D1AE839}"/>
    <cellStyle name="Comma 7 3 3 3 4 2" xfId="13712" xr:uid="{BFA2FB9D-3A20-496C-9AAD-9E581AAA9A73}"/>
    <cellStyle name="Comma 7 3 3 3 4 2 2" xfId="31056" xr:uid="{843F8C9A-7C10-4EFC-BF7B-2A41198178FF}"/>
    <cellStyle name="Comma 7 3 3 3 4 3" xfId="22384" xr:uid="{6504AEAB-76CD-408E-B111-97AF192B23EA}"/>
    <cellStyle name="Comma 7 3 3 3 5" xfId="9376" xr:uid="{E81FE629-2136-4978-98C5-0838D98E5B69}"/>
    <cellStyle name="Comma 7 3 3 3 5 2" xfId="26720" xr:uid="{9867389F-5B7C-4674-9750-77EAB2E8BB0F}"/>
    <cellStyle name="Comma 7 3 3 3 6" xfId="18048" xr:uid="{A69610B7-E121-4A1A-8A9F-1C14490FF41B}"/>
    <cellStyle name="Comma 7 3 3 4" xfId="1247" xr:uid="{C4E64F46-0473-452F-AB47-80AFB8843BEB}"/>
    <cellStyle name="Comma 7 3 3 4 2" xfId="3415" xr:uid="{AC94BEA5-D36F-44B4-8A53-D95811F7C79C}"/>
    <cellStyle name="Comma 7 3 3 4 2 2" xfId="7751" xr:uid="{77CC989F-2E1C-41B5-B25D-65212364D4B7}"/>
    <cellStyle name="Comma 7 3 3 4 2 2 2" xfId="16423" xr:uid="{7BC6C19E-ABD5-45E1-9610-41D34E7B6EF8}"/>
    <cellStyle name="Comma 7 3 3 4 2 2 2 2" xfId="33767" xr:uid="{DE76459B-CDA2-4766-A16A-BB6FB6512CFD}"/>
    <cellStyle name="Comma 7 3 3 4 2 2 3" xfId="25095" xr:uid="{4C88F1CD-34B3-4782-9320-50B97E999F2E}"/>
    <cellStyle name="Comma 7 3 3 4 2 3" xfId="12087" xr:uid="{CE834CCF-771C-4817-AB78-CEBA04690F31}"/>
    <cellStyle name="Comma 7 3 3 4 2 3 2" xfId="29431" xr:uid="{74F1BF00-C6FF-47B5-AEF6-CA49F9C1DCC8}"/>
    <cellStyle name="Comma 7 3 3 4 2 4" xfId="20759" xr:uid="{9F8F879F-D423-4C93-81DD-D4411C117584}"/>
    <cellStyle name="Comma 7 3 3 4 3" xfId="5583" xr:uid="{7592253F-E0ED-4FDC-9F7E-9CBF0DB0873E}"/>
    <cellStyle name="Comma 7 3 3 4 3 2" xfId="14255" xr:uid="{EA6B7490-6ADD-42B6-96A6-0D3F3CBCA6AD}"/>
    <cellStyle name="Comma 7 3 3 4 3 2 2" xfId="31599" xr:uid="{B78B7A84-CDF7-44B2-90AC-3C432EF8CCE4}"/>
    <cellStyle name="Comma 7 3 3 4 3 3" xfId="22927" xr:uid="{85679049-FED4-41E7-919C-33C9E0BDE0B1}"/>
    <cellStyle name="Comma 7 3 3 4 4" xfId="9919" xr:uid="{C3439B9A-2DC6-4F29-B5FE-E4C06BB67C32}"/>
    <cellStyle name="Comma 7 3 3 4 4 2" xfId="27263" xr:uid="{2494E3EB-45A4-4596-8C75-9109E71EA30B}"/>
    <cellStyle name="Comma 7 3 3 4 5" xfId="18591" xr:uid="{16D23725-2205-402A-9046-0E154DA96C28}"/>
    <cellStyle name="Comma 7 3 3 5" xfId="2331" xr:uid="{F4DD9FFC-EAAB-41E8-96B7-8F55427A6E7E}"/>
    <cellStyle name="Comma 7 3 3 5 2" xfId="6667" xr:uid="{7E0886C5-EB93-4C94-B60E-5232BC10E426}"/>
    <cellStyle name="Comma 7 3 3 5 2 2" xfId="15339" xr:uid="{B1AC2E45-FC43-4499-91CD-80AED717AA56}"/>
    <cellStyle name="Comma 7 3 3 5 2 2 2" xfId="32683" xr:uid="{C63DB14E-E305-4CC1-BAD7-0F62A8108E52}"/>
    <cellStyle name="Comma 7 3 3 5 2 3" xfId="24011" xr:uid="{9470B20D-1A16-42B7-A25A-ECB16066CA01}"/>
    <cellStyle name="Comma 7 3 3 5 3" xfId="11003" xr:uid="{8547FDB2-E37C-487A-B2D2-B71B7020E122}"/>
    <cellStyle name="Comma 7 3 3 5 3 2" xfId="28347" xr:uid="{FE868E82-B965-433B-B57F-A66A21FFDC25}"/>
    <cellStyle name="Comma 7 3 3 5 4" xfId="19675" xr:uid="{C38132A3-FC50-41CE-AE05-F9CFACD6FC5C}"/>
    <cellStyle name="Comma 7 3 3 6" xfId="4499" xr:uid="{7F8F0018-34CE-4C96-9831-E824A786D346}"/>
    <cellStyle name="Comma 7 3 3 6 2" xfId="13171" xr:uid="{E9984FBA-DCA0-4894-94E8-57CDA58647CA}"/>
    <cellStyle name="Comma 7 3 3 6 2 2" xfId="30515" xr:uid="{E3F4E058-0750-4B43-8CFC-238727595C13}"/>
    <cellStyle name="Comma 7 3 3 6 3" xfId="21843" xr:uid="{FEB372E1-5DB0-4FA3-BB1B-F859E8F35165}"/>
    <cellStyle name="Comma 7 3 3 7" xfId="8835" xr:uid="{F01FEB4C-E447-44CF-9D7B-F8400B5E492A}"/>
    <cellStyle name="Comma 7 3 3 7 2" xfId="26179" xr:uid="{C8655DA3-7FCB-4923-8E3C-3AE0C1C02DDA}"/>
    <cellStyle name="Comma 7 3 3 8" xfId="17507" xr:uid="{50EA41F8-DAC8-49A3-8329-814E28D39D1C}"/>
    <cellStyle name="Comma 7 3 4" xfId="270" xr:uid="{B54372B7-D161-4379-AE4F-CC09DBF5F1CE}"/>
    <cellStyle name="Comma 7 3 4 2" xfId="540" xr:uid="{B4DE901F-B82D-4828-A0B5-E6C54AF2C801}"/>
    <cellStyle name="Comma 7 3 4 2 2" xfId="1081" xr:uid="{7B7A8F30-6E5C-48F4-B4BB-E99BA54F2FCE}"/>
    <cellStyle name="Comma 7 3 4 2 2 2" xfId="2165" xr:uid="{FB214803-1F91-4A07-A351-97C6634486D2}"/>
    <cellStyle name="Comma 7 3 4 2 2 2 2" xfId="4333" xr:uid="{B4EF5D74-6864-45B9-8FCB-05B31C7D8620}"/>
    <cellStyle name="Comma 7 3 4 2 2 2 2 2" xfId="8669" xr:uid="{F7BB969D-0137-43D6-A9C3-5F4FC35E55D4}"/>
    <cellStyle name="Comma 7 3 4 2 2 2 2 2 2" xfId="17341" xr:uid="{2E704D34-E577-45C4-8027-91C2314D338F}"/>
    <cellStyle name="Comma 7 3 4 2 2 2 2 2 2 2" xfId="34685" xr:uid="{A74CB930-2AEA-47A9-8C6C-F3949FE298D2}"/>
    <cellStyle name="Comma 7 3 4 2 2 2 2 2 3" xfId="26013" xr:uid="{4D41923D-D0C6-4A34-9DBA-9E0E4E256CA9}"/>
    <cellStyle name="Comma 7 3 4 2 2 2 2 3" xfId="13005" xr:uid="{51EFB6D5-0B2B-452A-AD2F-E223D120A7F4}"/>
    <cellStyle name="Comma 7 3 4 2 2 2 2 3 2" xfId="30349" xr:uid="{C3CBE043-E6EA-407D-9F82-D81D914CCAA6}"/>
    <cellStyle name="Comma 7 3 4 2 2 2 2 4" xfId="21677" xr:uid="{B894D208-48FD-40C5-8046-5F5D80B32669}"/>
    <cellStyle name="Comma 7 3 4 2 2 2 3" xfId="6501" xr:uid="{58FFEBFF-E6ED-48B4-AF2B-A69D4AE8FA4C}"/>
    <cellStyle name="Comma 7 3 4 2 2 2 3 2" xfId="15173" xr:uid="{A5F33756-CD6A-4B77-8EB5-8ACE2EE9E074}"/>
    <cellStyle name="Comma 7 3 4 2 2 2 3 2 2" xfId="32517" xr:uid="{380D8BF1-8C15-47D1-8866-E52C4050E9E3}"/>
    <cellStyle name="Comma 7 3 4 2 2 2 3 3" xfId="23845" xr:uid="{15A9A37F-BA31-4FCC-AD94-6109E47C9B49}"/>
    <cellStyle name="Comma 7 3 4 2 2 2 4" xfId="10837" xr:uid="{EA3F0D6A-16A6-4983-AF27-CE75FB63E535}"/>
    <cellStyle name="Comma 7 3 4 2 2 2 4 2" xfId="28181" xr:uid="{A387DB25-27C9-41A4-8565-A8D536301D69}"/>
    <cellStyle name="Comma 7 3 4 2 2 2 5" xfId="19509" xr:uid="{4DFAA966-A14C-4F0F-8556-54A917456BFA}"/>
    <cellStyle name="Comma 7 3 4 2 2 3" xfId="3249" xr:uid="{9E2FA39E-94AF-40F3-9BBA-DCBAF946D7B6}"/>
    <cellStyle name="Comma 7 3 4 2 2 3 2" xfId="7585" xr:uid="{D964764C-A6F9-4274-8766-97E28E1E5F55}"/>
    <cellStyle name="Comma 7 3 4 2 2 3 2 2" xfId="16257" xr:uid="{20246E1F-9525-47C5-86DB-249A8E4C5ADB}"/>
    <cellStyle name="Comma 7 3 4 2 2 3 2 2 2" xfId="33601" xr:uid="{C40DB64C-1F7C-451E-AA61-C003DE827C76}"/>
    <cellStyle name="Comma 7 3 4 2 2 3 2 3" xfId="24929" xr:uid="{5256C1D7-EEBA-406C-8659-EEAE4FAB3F70}"/>
    <cellStyle name="Comma 7 3 4 2 2 3 3" xfId="11921" xr:uid="{74DBCA61-6F24-4D2E-A240-6A7B1F08AA4A}"/>
    <cellStyle name="Comma 7 3 4 2 2 3 3 2" xfId="29265" xr:uid="{CD7911BA-C196-4EAE-8627-21DF57FB5C9E}"/>
    <cellStyle name="Comma 7 3 4 2 2 3 4" xfId="20593" xr:uid="{1013DDE4-AFBF-46C4-BDC4-4BCBA52D8F91}"/>
    <cellStyle name="Comma 7 3 4 2 2 4" xfId="5417" xr:uid="{4ACD2F89-B954-4A30-B6CB-32A51CCA5023}"/>
    <cellStyle name="Comma 7 3 4 2 2 4 2" xfId="14089" xr:uid="{F90AC7E3-6580-4384-88EB-8F26A7282BB4}"/>
    <cellStyle name="Comma 7 3 4 2 2 4 2 2" xfId="31433" xr:uid="{0C38C499-BFB4-4C16-B791-7E1DB79C5E60}"/>
    <cellStyle name="Comma 7 3 4 2 2 4 3" xfId="22761" xr:uid="{EADD3933-55E1-4923-A343-53B2E2A68AD9}"/>
    <cellStyle name="Comma 7 3 4 2 2 5" xfId="9753" xr:uid="{71237AF6-F4E7-4329-A16D-1C3CAFB0A122}"/>
    <cellStyle name="Comma 7 3 4 2 2 5 2" xfId="27097" xr:uid="{B51A33B2-BD4A-4C06-859D-A3C0CFAAAA9D}"/>
    <cellStyle name="Comma 7 3 4 2 2 6" xfId="18425" xr:uid="{57769EFA-1C08-46A2-A8CE-BF0E22610F7D}"/>
    <cellStyle name="Comma 7 3 4 2 3" xfId="1624" xr:uid="{A22586C2-DB55-4129-904C-8DF7E1CB5B18}"/>
    <cellStyle name="Comma 7 3 4 2 3 2" xfId="3792" xr:uid="{3279BB38-509A-43DD-9239-079F9EC8B48D}"/>
    <cellStyle name="Comma 7 3 4 2 3 2 2" xfId="8128" xr:uid="{566CD088-3DC8-4994-A6A4-683A1071F111}"/>
    <cellStyle name="Comma 7 3 4 2 3 2 2 2" xfId="16800" xr:uid="{95DC3621-51D4-4436-A86E-7E8635592B14}"/>
    <cellStyle name="Comma 7 3 4 2 3 2 2 2 2" xfId="34144" xr:uid="{0061A1FA-6D9D-4CCE-8AFC-869142968BDF}"/>
    <cellStyle name="Comma 7 3 4 2 3 2 2 3" xfId="25472" xr:uid="{B4CF76BF-9780-41A8-BE4D-85259CA55C4F}"/>
    <cellStyle name="Comma 7 3 4 2 3 2 3" xfId="12464" xr:uid="{80E065F4-1F10-43AD-AEEC-D9EEC6A8A597}"/>
    <cellStyle name="Comma 7 3 4 2 3 2 3 2" xfId="29808" xr:uid="{B13132BB-D475-4680-98FE-66CC97396202}"/>
    <cellStyle name="Comma 7 3 4 2 3 2 4" xfId="21136" xr:uid="{39ED3734-9CA0-4C43-9383-EF18C1FE844B}"/>
    <cellStyle name="Comma 7 3 4 2 3 3" xfId="5960" xr:uid="{7BDB1EB8-152C-4701-89F6-49B37C4B9F61}"/>
    <cellStyle name="Comma 7 3 4 2 3 3 2" xfId="14632" xr:uid="{19B10030-DB74-4663-87D1-4E30C758FCF6}"/>
    <cellStyle name="Comma 7 3 4 2 3 3 2 2" xfId="31976" xr:uid="{DE44E0E3-0EE1-45AC-837B-1F4A4BB7672D}"/>
    <cellStyle name="Comma 7 3 4 2 3 3 3" xfId="23304" xr:uid="{14B0635C-80ED-4A2E-B080-9DFA65468EF9}"/>
    <cellStyle name="Comma 7 3 4 2 3 4" xfId="10296" xr:uid="{FF347980-34B9-48CC-93E6-EE93D186F1C6}"/>
    <cellStyle name="Comma 7 3 4 2 3 4 2" xfId="27640" xr:uid="{8B35F60B-FD4E-4628-9CC3-70981BC875B7}"/>
    <cellStyle name="Comma 7 3 4 2 3 5" xfId="18968" xr:uid="{A9F14330-C85A-42D0-82EC-BEB315A717DE}"/>
    <cellStyle name="Comma 7 3 4 2 4" xfId="2708" xr:uid="{71BF0A61-B25F-406C-849B-344301F264DC}"/>
    <cellStyle name="Comma 7 3 4 2 4 2" xfId="7044" xr:uid="{C07D541E-FC2D-4BBD-8833-6F0CB62203BE}"/>
    <cellStyle name="Comma 7 3 4 2 4 2 2" xfId="15716" xr:uid="{347AE39D-374F-4A50-8E86-1D697339B22B}"/>
    <cellStyle name="Comma 7 3 4 2 4 2 2 2" xfId="33060" xr:uid="{FD8FF3FA-688F-4315-A67F-8078B0E80188}"/>
    <cellStyle name="Comma 7 3 4 2 4 2 3" xfId="24388" xr:uid="{41D4AA58-3C1B-4C33-B9D2-3131835DC62E}"/>
    <cellStyle name="Comma 7 3 4 2 4 3" xfId="11380" xr:uid="{A397E458-C339-4F3B-9558-A50F1BA0BA12}"/>
    <cellStyle name="Comma 7 3 4 2 4 3 2" xfId="28724" xr:uid="{8E5D23F6-C2C2-46D3-935D-7656F2E9D466}"/>
    <cellStyle name="Comma 7 3 4 2 4 4" xfId="20052" xr:uid="{E81FF67C-0965-4A24-9E4B-B1587AFF02A7}"/>
    <cellStyle name="Comma 7 3 4 2 5" xfId="4876" xr:uid="{7AFA57FE-D2DB-4E3A-9978-AEC224335FF5}"/>
    <cellStyle name="Comma 7 3 4 2 5 2" xfId="13548" xr:uid="{9FD61C11-6299-4E33-BA87-E12561F912A5}"/>
    <cellStyle name="Comma 7 3 4 2 5 2 2" xfId="30892" xr:uid="{786F7B9F-0DF4-43C6-8593-C13A7AA0F785}"/>
    <cellStyle name="Comma 7 3 4 2 5 3" xfId="22220" xr:uid="{4CBBD25C-B0A8-4123-B671-2AC7D3169DCB}"/>
    <cellStyle name="Comma 7 3 4 2 6" xfId="9212" xr:uid="{21501D12-2B78-4B81-A98E-E2364903E907}"/>
    <cellStyle name="Comma 7 3 4 2 6 2" xfId="26556" xr:uid="{6916C8A1-CA6E-4600-B35C-E948FEF991D4}"/>
    <cellStyle name="Comma 7 3 4 2 7" xfId="17884" xr:uid="{8E3596BB-73D5-47A0-BA7A-5DEC7F4DC7C9}"/>
    <cellStyle name="Comma 7 3 4 3" xfId="811" xr:uid="{35BD2EDD-C3FE-47F2-A5BA-A601FB5CC353}"/>
    <cellStyle name="Comma 7 3 4 3 2" xfId="1895" xr:uid="{67B54410-3F92-4A8C-AD31-AA322D48709A}"/>
    <cellStyle name="Comma 7 3 4 3 2 2" xfId="4063" xr:uid="{B63AF474-B86F-45AB-9E72-4CF1C770BA3D}"/>
    <cellStyle name="Comma 7 3 4 3 2 2 2" xfId="8399" xr:uid="{E7A263DC-6917-4DED-A1CD-14EBBEBBB55A}"/>
    <cellStyle name="Comma 7 3 4 3 2 2 2 2" xfId="17071" xr:uid="{EDA9EBF2-E6B6-45E7-952B-4ABDE32FDD46}"/>
    <cellStyle name="Comma 7 3 4 3 2 2 2 2 2" xfId="34415" xr:uid="{DD1B4208-0F28-4709-A475-5250C1939E8D}"/>
    <cellStyle name="Comma 7 3 4 3 2 2 2 3" xfId="25743" xr:uid="{FFE42F1E-93E9-4098-B71F-FFDAA2C53FE5}"/>
    <cellStyle name="Comma 7 3 4 3 2 2 3" xfId="12735" xr:uid="{D5736B89-9AE2-4C5F-B57D-D68733821AC9}"/>
    <cellStyle name="Comma 7 3 4 3 2 2 3 2" xfId="30079" xr:uid="{EE6E5228-1C64-4563-87A7-1E8A0C514018}"/>
    <cellStyle name="Comma 7 3 4 3 2 2 4" xfId="21407" xr:uid="{B7CF4249-661A-4A6C-9805-4417CCA44379}"/>
    <cellStyle name="Comma 7 3 4 3 2 3" xfId="6231" xr:uid="{02054A40-B1A3-4EE4-A78E-05558678A190}"/>
    <cellStyle name="Comma 7 3 4 3 2 3 2" xfId="14903" xr:uid="{2BF4ABB1-0237-4A89-B47B-7D7136E18D62}"/>
    <cellStyle name="Comma 7 3 4 3 2 3 2 2" xfId="32247" xr:uid="{78171CAB-1CEC-49BD-BA53-E278ED6D1B8D}"/>
    <cellStyle name="Comma 7 3 4 3 2 3 3" xfId="23575" xr:uid="{8D0E5792-B8A4-4043-B34E-4B931CDE2C68}"/>
    <cellStyle name="Comma 7 3 4 3 2 4" xfId="10567" xr:uid="{19F9BFC1-8D11-40FD-8982-907713DFB43F}"/>
    <cellStyle name="Comma 7 3 4 3 2 4 2" xfId="27911" xr:uid="{0B3C9327-BD33-4733-AD19-41887CD75388}"/>
    <cellStyle name="Comma 7 3 4 3 2 5" xfId="19239" xr:uid="{D66C821D-7B21-4D78-94A9-97F3AC64841B}"/>
    <cellStyle name="Comma 7 3 4 3 3" xfId="2979" xr:uid="{1A01837E-4F04-4072-A193-66F5590F17AA}"/>
    <cellStyle name="Comma 7 3 4 3 3 2" xfId="7315" xr:uid="{D97E9C3F-E6E1-40AC-8485-9C8F3C0D8A7A}"/>
    <cellStyle name="Comma 7 3 4 3 3 2 2" xfId="15987" xr:uid="{E7A6A731-0328-45F3-8756-0CA85D62C714}"/>
    <cellStyle name="Comma 7 3 4 3 3 2 2 2" xfId="33331" xr:uid="{587D224B-5664-4DB5-8F42-4EACE0E10D62}"/>
    <cellStyle name="Comma 7 3 4 3 3 2 3" xfId="24659" xr:uid="{9BE52802-1957-4141-B1F6-06BDB0698778}"/>
    <cellStyle name="Comma 7 3 4 3 3 3" xfId="11651" xr:uid="{ECC43681-6C4F-4055-9DD2-0499BCB42164}"/>
    <cellStyle name="Comma 7 3 4 3 3 3 2" xfId="28995" xr:uid="{BC267E91-EA9D-44AA-A945-6208C4CD2F48}"/>
    <cellStyle name="Comma 7 3 4 3 3 4" xfId="20323" xr:uid="{6735A4E4-BAAE-4736-B81F-2E450679C1D8}"/>
    <cellStyle name="Comma 7 3 4 3 4" xfId="5147" xr:uid="{EA33D68A-5921-485E-AC11-2285049EF4C9}"/>
    <cellStyle name="Comma 7 3 4 3 4 2" xfId="13819" xr:uid="{239B2EFC-B9B6-4AB2-9BDE-E3209AB4352B}"/>
    <cellStyle name="Comma 7 3 4 3 4 2 2" xfId="31163" xr:uid="{1DEA7326-DA82-446E-813A-9A59D7148F9E}"/>
    <cellStyle name="Comma 7 3 4 3 4 3" xfId="22491" xr:uid="{033DACF9-0DCD-4F2C-A71E-3DD76B88539A}"/>
    <cellStyle name="Comma 7 3 4 3 5" xfId="9483" xr:uid="{A5166F6D-5B0E-416E-BFC5-3F939E09CF1A}"/>
    <cellStyle name="Comma 7 3 4 3 5 2" xfId="26827" xr:uid="{B2E00358-74D4-4DA1-839A-AF9864A7188A}"/>
    <cellStyle name="Comma 7 3 4 3 6" xfId="18155" xr:uid="{CEE9C0E6-98AF-4B7F-BA0A-BD66E5B38760}"/>
    <cellStyle name="Comma 7 3 4 4" xfId="1354" xr:uid="{4EC5074E-BE10-49B5-95A6-BA8A27B8C1C0}"/>
    <cellStyle name="Comma 7 3 4 4 2" xfId="3522" xr:uid="{A27EB1B1-8D0E-4947-B86C-B2DA5666227B}"/>
    <cellStyle name="Comma 7 3 4 4 2 2" xfId="7858" xr:uid="{45BC7CB5-11FC-4DAE-A598-EBD1117240EF}"/>
    <cellStyle name="Comma 7 3 4 4 2 2 2" xfId="16530" xr:uid="{020F068C-73EB-4BB7-977D-095C01A51A78}"/>
    <cellStyle name="Comma 7 3 4 4 2 2 2 2" xfId="33874" xr:uid="{3443DA81-4289-46F7-A3EB-11B947A94C9D}"/>
    <cellStyle name="Comma 7 3 4 4 2 2 3" xfId="25202" xr:uid="{6F779F03-2B04-46BA-8692-082647FB681A}"/>
    <cellStyle name="Comma 7 3 4 4 2 3" xfId="12194" xr:uid="{8C4D897B-FDB9-4D67-AC57-0F8C8C22665F}"/>
    <cellStyle name="Comma 7 3 4 4 2 3 2" xfId="29538" xr:uid="{9A12DF35-F379-4C68-B350-4E3C6053948A}"/>
    <cellStyle name="Comma 7 3 4 4 2 4" xfId="20866" xr:uid="{6BE8D2FC-F2C1-41CE-BA1A-31567B348AE3}"/>
    <cellStyle name="Comma 7 3 4 4 3" xfId="5690" xr:uid="{FB39DB44-52ED-4359-A1F5-92BAAC02E90A}"/>
    <cellStyle name="Comma 7 3 4 4 3 2" xfId="14362" xr:uid="{45F8F648-DFFC-4805-9292-84C18B949437}"/>
    <cellStyle name="Comma 7 3 4 4 3 2 2" xfId="31706" xr:uid="{0E66B7BF-9A91-4957-860F-68A97262F30F}"/>
    <cellStyle name="Comma 7 3 4 4 3 3" xfId="23034" xr:uid="{701ADB25-97D1-40E7-8E7F-D72470D24372}"/>
    <cellStyle name="Comma 7 3 4 4 4" xfId="10026" xr:uid="{CB5C0FD0-1CE5-424D-A7CD-B09BF18FB1DF}"/>
    <cellStyle name="Comma 7 3 4 4 4 2" xfId="27370" xr:uid="{68A9A7E7-EEEF-4BDB-8066-E0ECB6079D17}"/>
    <cellStyle name="Comma 7 3 4 4 5" xfId="18698" xr:uid="{65C4B3F4-18BB-4E68-9CC7-81B0E1D4A009}"/>
    <cellStyle name="Comma 7 3 4 5" xfId="2438" xr:uid="{AD37AC30-E687-4A58-ACDF-CE96045AAD63}"/>
    <cellStyle name="Comma 7 3 4 5 2" xfId="6774" xr:uid="{EAB8FB2F-06AA-402C-9820-A6F71A39ECE3}"/>
    <cellStyle name="Comma 7 3 4 5 2 2" xfId="15446" xr:uid="{089E084E-B4F4-4112-9177-90E93C3A1339}"/>
    <cellStyle name="Comma 7 3 4 5 2 2 2" xfId="32790" xr:uid="{D67BF813-9B52-42E9-880B-5523803D5677}"/>
    <cellStyle name="Comma 7 3 4 5 2 3" xfId="24118" xr:uid="{DF8687F4-6E67-4446-B6C7-B690435EBD12}"/>
    <cellStyle name="Comma 7 3 4 5 3" xfId="11110" xr:uid="{E2714617-0508-4148-AF9E-D28FAADFFE96}"/>
    <cellStyle name="Comma 7 3 4 5 3 2" xfId="28454" xr:uid="{DF183167-7697-411B-B774-2261140789F6}"/>
    <cellStyle name="Comma 7 3 4 5 4" xfId="19782" xr:uid="{02FAEF16-08A6-4CDB-A68C-0448E902D7DD}"/>
    <cellStyle name="Comma 7 3 4 6" xfId="4606" xr:uid="{4987B5A5-67FF-4E10-9B29-2C880FB82986}"/>
    <cellStyle name="Comma 7 3 4 6 2" xfId="13278" xr:uid="{A7408048-44FE-4898-9CD8-72589F94BA21}"/>
    <cellStyle name="Comma 7 3 4 6 2 2" xfId="30622" xr:uid="{F64A8651-E816-4A8D-A0B8-8CE1D0E5CE0F}"/>
    <cellStyle name="Comma 7 3 4 6 3" xfId="21950" xr:uid="{7B710518-9347-462C-8915-DF966BC376A0}"/>
    <cellStyle name="Comma 7 3 4 7" xfId="8942" xr:uid="{FA27026E-C78A-42C2-971F-C2079C9BC3F1}"/>
    <cellStyle name="Comma 7 3 4 7 2" xfId="26286" xr:uid="{2BAB8E26-9307-4766-B8B9-9038B36DB42B}"/>
    <cellStyle name="Comma 7 3 4 8" xfId="17614" xr:uid="{0AF7F9B9-D96A-4320-8EDE-C24EFBF173B7}"/>
    <cellStyle name="Comma 7 3 5" xfId="311" xr:uid="{B220026A-613B-4D2A-A359-7E416EFE2A43}"/>
    <cellStyle name="Comma 7 3 5 2" xfId="852" xr:uid="{F2ABDDC6-75E4-405A-8207-39C34EAF768B}"/>
    <cellStyle name="Comma 7 3 5 2 2" xfId="1936" xr:uid="{6FF78CB7-D820-4345-A804-4D29F903A593}"/>
    <cellStyle name="Comma 7 3 5 2 2 2" xfId="4104" xr:uid="{39E0F614-9875-4345-9120-1FAD2CFF8553}"/>
    <cellStyle name="Comma 7 3 5 2 2 2 2" xfId="8440" xr:uid="{6168E610-D52D-41BB-8EC1-6B431F3F4CFD}"/>
    <cellStyle name="Comma 7 3 5 2 2 2 2 2" xfId="17112" xr:uid="{1593C690-0C7B-4F61-A98C-1528AE633D75}"/>
    <cellStyle name="Comma 7 3 5 2 2 2 2 2 2" xfId="34456" xr:uid="{470DD6E1-94D9-4ED4-B1D0-162788B5CDC0}"/>
    <cellStyle name="Comma 7 3 5 2 2 2 2 3" xfId="25784" xr:uid="{B7B3F155-2407-464F-9FB5-BD1A105B80C7}"/>
    <cellStyle name="Comma 7 3 5 2 2 2 3" xfId="12776" xr:uid="{3B60B7F4-FF65-4DE7-B849-1254BE880678}"/>
    <cellStyle name="Comma 7 3 5 2 2 2 3 2" xfId="30120" xr:uid="{525264EA-1559-487D-A2BF-635CC603CE76}"/>
    <cellStyle name="Comma 7 3 5 2 2 2 4" xfId="21448" xr:uid="{3F59D885-F9C7-46F3-9BF8-299CA50F6FDB}"/>
    <cellStyle name="Comma 7 3 5 2 2 3" xfId="6272" xr:uid="{196D97C3-EE07-412B-A588-6CC0927E469A}"/>
    <cellStyle name="Comma 7 3 5 2 2 3 2" xfId="14944" xr:uid="{9AF69954-AABF-4630-9175-3BF1214CBFF7}"/>
    <cellStyle name="Comma 7 3 5 2 2 3 2 2" xfId="32288" xr:uid="{9500C380-53B1-4451-9B04-F1441EC55D3E}"/>
    <cellStyle name="Comma 7 3 5 2 2 3 3" xfId="23616" xr:uid="{C41C3132-586C-4053-830E-67A3AF6A791D}"/>
    <cellStyle name="Comma 7 3 5 2 2 4" xfId="10608" xr:uid="{EA8D5FE0-8C66-446C-A45D-DB5BA25DC757}"/>
    <cellStyle name="Comma 7 3 5 2 2 4 2" xfId="27952" xr:uid="{689237E2-3431-4B61-9173-17EE8F662D0D}"/>
    <cellStyle name="Comma 7 3 5 2 2 5" xfId="19280" xr:uid="{2863D044-EDF4-4AB0-BD6A-C3CFB0277909}"/>
    <cellStyle name="Comma 7 3 5 2 3" xfId="3020" xr:uid="{A9F2D817-52BD-4409-8D6D-1C7C908AA0D3}"/>
    <cellStyle name="Comma 7 3 5 2 3 2" xfId="7356" xr:uid="{D2AA8619-0AFF-4A87-B78E-936BCF94FDB5}"/>
    <cellStyle name="Comma 7 3 5 2 3 2 2" xfId="16028" xr:uid="{65365713-F56D-424C-898A-B36C4DC9247A}"/>
    <cellStyle name="Comma 7 3 5 2 3 2 2 2" xfId="33372" xr:uid="{A6E21826-FC39-4856-8C42-3E3155D4BCC7}"/>
    <cellStyle name="Comma 7 3 5 2 3 2 3" xfId="24700" xr:uid="{B12B5C2A-70FC-47F8-A1FC-8B0AAED50F8B}"/>
    <cellStyle name="Comma 7 3 5 2 3 3" xfId="11692" xr:uid="{BC6A7D17-4BBB-4431-B0D1-B93004A114D7}"/>
    <cellStyle name="Comma 7 3 5 2 3 3 2" xfId="29036" xr:uid="{62B6C3CF-D82A-45DF-BC17-BEB81AD1261E}"/>
    <cellStyle name="Comma 7 3 5 2 3 4" xfId="20364" xr:uid="{BE58B471-B94A-499C-BFBB-BDAC4F64814D}"/>
    <cellStyle name="Comma 7 3 5 2 4" xfId="5188" xr:uid="{4DA11C37-23EF-4CEB-A80C-3070035077D2}"/>
    <cellStyle name="Comma 7 3 5 2 4 2" xfId="13860" xr:uid="{D0F71627-AA85-4847-A9A0-DF6B95F26D62}"/>
    <cellStyle name="Comma 7 3 5 2 4 2 2" xfId="31204" xr:uid="{79A24A6D-A0E0-47BF-B8EE-82753E620004}"/>
    <cellStyle name="Comma 7 3 5 2 4 3" xfId="22532" xr:uid="{3CAEA047-A1A6-4E01-B618-5B7916126C08}"/>
    <cellStyle name="Comma 7 3 5 2 5" xfId="9524" xr:uid="{A329DCB1-E6EB-474E-92F8-784C80A65A99}"/>
    <cellStyle name="Comma 7 3 5 2 5 2" xfId="26868" xr:uid="{D77D495A-3600-4D30-9BB3-16AF5B098BDF}"/>
    <cellStyle name="Comma 7 3 5 2 6" xfId="18196" xr:uid="{8456296D-EB62-4235-A30D-4FAE1092716B}"/>
    <cellStyle name="Comma 7 3 5 3" xfId="1395" xr:uid="{F5B8FC93-8AA8-4702-A0D3-C600C210EE88}"/>
    <cellStyle name="Comma 7 3 5 3 2" xfId="3563" xr:uid="{B2EC9F8F-5F0C-4461-A5B2-3771EC5E9298}"/>
    <cellStyle name="Comma 7 3 5 3 2 2" xfId="7899" xr:uid="{013AC3D4-9555-49CF-B349-E50DC4F2D331}"/>
    <cellStyle name="Comma 7 3 5 3 2 2 2" xfId="16571" xr:uid="{510B5E09-66C3-4A77-B34B-AC17FCF55FFE}"/>
    <cellStyle name="Comma 7 3 5 3 2 2 2 2" xfId="33915" xr:uid="{8F44AE7E-6568-49D4-8C2D-909CB9D7107E}"/>
    <cellStyle name="Comma 7 3 5 3 2 2 3" xfId="25243" xr:uid="{A8CF56B5-C9AB-4A56-835E-4C654B970B8E}"/>
    <cellStyle name="Comma 7 3 5 3 2 3" xfId="12235" xr:uid="{801757B1-1209-4C4B-8DA8-C7A9FD1163A3}"/>
    <cellStyle name="Comma 7 3 5 3 2 3 2" xfId="29579" xr:uid="{13420B30-8600-4928-A101-64BD568E479C}"/>
    <cellStyle name="Comma 7 3 5 3 2 4" xfId="20907" xr:uid="{C9D50E7C-2175-43C3-BEB5-0476F588C058}"/>
    <cellStyle name="Comma 7 3 5 3 3" xfId="5731" xr:uid="{5B3479AE-B7FA-4953-BB81-22FF1BFD9308}"/>
    <cellStyle name="Comma 7 3 5 3 3 2" xfId="14403" xr:uid="{E128B86C-58B6-422D-A8A8-CB7C4A47A6AC}"/>
    <cellStyle name="Comma 7 3 5 3 3 2 2" xfId="31747" xr:uid="{DF14F013-ECDE-4916-813A-10F6B3715BB2}"/>
    <cellStyle name="Comma 7 3 5 3 3 3" xfId="23075" xr:uid="{3D256458-BE83-4280-92D2-2F07BCAF1380}"/>
    <cellStyle name="Comma 7 3 5 3 4" xfId="10067" xr:uid="{150B8D30-3B81-4012-992F-04D83ABB8C82}"/>
    <cellStyle name="Comma 7 3 5 3 4 2" xfId="27411" xr:uid="{DEDBCEE9-F8C8-44C0-9751-209957D7C099}"/>
    <cellStyle name="Comma 7 3 5 3 5" xfId="18739" xr:uid="{AE6721FA-120F-4DCC-9591-970AF2CB107B}"/>
    <cellStyle name="Comma 7 3 5 4" xfId="2479" xr:uid="{E2D0A415-9B31-41D7-B90E-F68B3033453D}"/>
    <cellStyle name="Comma 7 3 5 4 2" xfId="6815" xr:uid="{D07ECA8A-F200-4F9B-8E75-3D09B909EE3B}"/>
    <cellStyle name="Comma 7 3 5 4 2 2" xfId="15487" xr:uid="{3B7FB392-D409-403A-8ABC-92F0C70D336A}"/>
    <cellStyle name="Comma 7 3 5 4 2 2 2" xfId="32831" xr:uid="{7CFCD8C7-4E17-48F9-94DE-1B4394F1D298}"/>
    <cellStyle name="Comma 7 3 5 4 2 3" xfId="24159" xr:uid="{6E4A7DB5-BDE7-4B04-80DB-BCE3EE7D4C0D}"/>
    <cellStyle name="Comma 7 3 5 4 3" xfId="11151" xr:uid="{EAD555B8-4015-4054-B110-7AB403B25470}"/>
    <cellStyle name="Comma 7 3 5 4 3 2" xfId="28495" xr:uid="{AE14C594-5CCE-43C3-AC1A-0EE59DADF427}"/>
    <cellStyle name="Comma 7 3 5 4 4" xfId="19823" xr:uid="{203615E8-9353-45E3-B468-000DD5CEAC90}"/>
    <cellStyle name="Comma 7 3 5 5" xfId="4647" xr:uid="{1066BFDD-162A-4F54-99D8-5E0834F2826B}"/>
    <cellStyle name="Comma 7 3 5 5 2" xfId="13319" xr:uid="{40E125C6-367A-4E6A-96D7-B1DDFC0183EE}"/>
    <cellStyle name="Comma 7 3 5 5 2 2" xfId="30663" xr:uid="{2901C49D-10EF-4DFB-A4A3-19E1BDAE2ECC}"/>
    <cellStyle name="Comma 7 3 5 5 3" xfId="21991" xr:uid="{4D7DB696-97E9-4E6C-9B5B-A2F9C540EE98}"/>
    <cellStyle name="Comma 7 3 5 6" xfId="8983" xr:uid="{83E02846-DACE-4D2F-A85B-3F83BCC66EAE}"/>
    <cellStyle name="Comma 7 3 5 6 2" xfId="26327" xr:uid="{486F233B-312A-49B4-8DB9-69210365377C}"/>
    <cellStyle name="Comma 7 3 5 7" xfId="17655" xr:uid="{C56063F4-9CCE-4B3F-A651-4910CCE931F4}"/>
    <cellStyle name="Comma 7 3 6" xfId="582" xr:uid="{028C0C56-BB88-427E-9C6E-58D08B84CD23}"/>
    <cellStyle name="Comma 7 3 6 2" xfId="1666" xr:uid="{BE63AE81-C93B-4519-9C06-B82EA80FEC4C}"/>
    <cellStyle name="Comma 7 3 6 2 2" xfId="3834" xr:uid="{B9E2E831-8AA4-4440-992D-76333BE709F0}"/>
    <cellStyle name="Comma 7 3 6 2 2 2" xfId="8170" xr:uid="{568BD3E6-9DE9-4C7B-A388-E2C1B676EB0A}"/>
    <cellStyle name="Comma 7 3 6 2 2 2 2" xfId="16842" xr:uid="{E30A147E-5453-4965-B03E-2E7CE0E463BC}"/>
    <cellStyle name="Comma 7 3 6 2 2 2 2 2" xfId="34186" xr:uid="{E5DCD501-6224-46DB-A684-B801AD90C598}"/>
    <cellStyle name="Comma 7 3 6 2 2 2 3" xfId="25514" xr:uid="{E72EE7D8-3ADF-4E1D-B02F-C6B06739D4FE}"/>
    <cellStyle name="Comma 7 3 6 2 2 3" xfId="12506" xr:uid="{DA32E5E7-4896-4359-8D4E-465107935CC8}"/>
    <cellStyle name="Comma 7 3 6 2 2 3 2" xfId="29850" xr:uid="{956879AA-E6D3-43B6-AC61-5C5EFA8C5B9D}"/>
    <cellStyle name="Comma 7 3 6 2 2 4" xfId="21178" xr:uid="{895586A0-227A-4AE5-8F2F-79D68F25FC97}"/>
    <cellStyle name="Comma 7 3 6 2 3" xfId="6002" xr:uid="{8319B195-5C64-4D5C-9AF4-901340BCF47E}"/>
    <cellStyle name="Comma 7 3 6 2 3 2" xfId="14674" xr:uid="{5A40060E-2D30-45F5-A49F-DF16424BB81F}"/>
    <cellStyle name="Comma 7 3 6 2 3 2 2" xfId="32018" xr:uid="{A83CA553-3C59-454C-9671-6C28DF624BA7}"/>
    <cellStyle name="Comma 7 3 6 2 3 3" xfId="23346" xr:uid="{73CF6446-910E-40EB-A64B-174E9DB1298C}"/>
    <cellStyle name="Comma 7 3 6 2 4" xfId="10338" xr:uid="{6B6A9517-25C1-41BC-B06C-67E83E1C8896}"/>
    <cellStyle name="Comma 7 3 6 2 4 2" xfId="27682" xr:uid="{4638D946-A724-4D7A-BD70-0CFF0745C5D5}"/>
    <cellStyle name="Comma 7 3 6 2 5" xfId="19010" xr:uid="{E142B5F8-E2FB-4C8C-A14A-CCAF03429BCA}"/>
    <cellStyle name="Comma 7 3 6 3" xfId="2750" xr:uid="{D16ABB96-6B10-4E95-B45F-AD9D2694D698}"/>
    <cellStyle name="Comma 7 3 6 3 2" xfId="7086" xr:uid="{9EA067F9-1D32-4053-BA03-36A50B2C4690}"/>
    <cellStyle name="Comma 7 3 6 3 2 2" xfId="15758" xr:uid="{BCAF4AE4-AFC8-4CB1-81FE-05EB04A10E6A}"/>
    <cellStyle name="Comma 7 3 6 3 2 2 2" xfId="33102" xr:uid="{27D702CB-0588-4516-B88F-DBD4BD548E2C}"/>
    <cellStyle name="Comma 7 3 6 3 2 3" xfId="24430" xr:uid="{9E559203-039E-42FC-AE26-AC0FFD2EE839}"/>
    <cellStyle name="Comma 7 3 6 3 3" xfId="11422" xr:uid="{079FD314-8E72-42FD-B87A-E0A6DE40CCFE}"/>
    <cellStyle name="Comma 7 3 6 3 3 2" xfId="28766" xr:uid="{2C92F19C-5022-4E9D-B542-0EAE01EB7045}"/>
    <cellStyle name="Comma 7 3 6 3 4" xfId="20094" xr:uid="{FAF04E0C-1067-4E94-8392-676668BFD3E6}"/>
    <cellStyle name="Comma 7 3 6 4" xfId="4918" xr:uid="{00D13F98-66CC-430A-8456-5E365A9A2679}"/>
    <cellStyle name="Comma 7 3 6 4 2" xfId="13590" xr:uid="{2F2D8571-9750-4E7B-AD1B-ED3B7A80688E}"/>
    <cellStyle name="Comma 7 3 6 4 2 2" xfId="30934" xr:uid="{A928CDDF-83DB-41D7-BAEA-2064935AA3A6}"/>
    <cellStyle name="Comma 7 3 6 4 3" xfId="22262" xr:uid="{6A91CA02-A7BC-4C33-829B-4D6A7183947A}"/>
    <cellStyle name="Comma 7 3 6 5" xfId="9254" xr:uid="{DBE4B89D-EB6D-4347-8C18-E82FA866CD00}"/>
    <cellStyle name="Comma 7 3 6 5 2" xfId="26598" xr:uid="{AD014166-4E55-418F-A02C-E86D6F0D44B4}"/>
    <cellStyle name="Comma 7 3 6 6" xfId="17926" xr:uid="{DE14E05E-6B93-47D6-A4C2-7AF2CC41007B}"/>
    <cellStyle name="Comma 7 3 7" xfId="1125" xr:uid="{BFFB8D80-6D0D-4120-9976-EF8DA3AA838C}"/>
    <cellStyle name="Comma 7 3 7 2" xfId="3293" xr:uid="{ECEF9122-4B94-49C3-B0B3-DCA58819B6CC}"/>
    <cellStyle name="Comma 7 3 7 2 2" xfId="7629" xr:uid="{CCD438AD-C1D8-4A23-B58D-AA999E85C3C3}"/>
    <cellStyle name="Comma 7 3 7 2 2 2" xfId="16301" xr:uid="{4C652ADB-2A46-4E20-8A88-BD42199B7692}"/>
    <cellStyle name="Comma 7 3 7 2 2 2 2" xfId="33645" xr:uid="{B117C4BE-81B6-48FD-B8C3-77628BD3C8A6}"/>
    <cellStyle name="Comma 7 3 7 2 2 3" xfId="24973" xr:uid="{CE334613-1B05-41FF-BBD1-517E1CA059EB}"/>
    <cellStyle name="Comma 7 3 7 2 3" xfId="11965" xr:uid="{D7775FB2-75DC-4F3C-82FE-2E477F8C4A5D}"/>
    <cellStyle name="Comma 7 3 7 2 3 2" xfId="29309" xr:uid="{067C4060-4057-4831-8816-6D1F4F5630DE}"/>
    <cellStyle name="Comma 7 3 7 2 4" xfId="20637" xr:uid="{5A87B4C5-37B7-49EB-8FBB-6692F179C30F}"/>
    <cellStyle name="Comma 7 3 7 3" xfId="5461" xr:uid="{FD9953A6-71D9-4E01-B7F4-5B09D84D30E9}"/>
    <cellStyle name="Comma 7 3 7 3 2" xfId="14133" xr:uid="{D1DCF2ED-3DE9-4ED2-BF2B-837B171D9DB7}"/>
    <cellStyle name="Comma 7 3 7 3 2 2" xfId="31477" xr:uid="{47D6A176-9E95-441E-9933-F2465E6F1843}"/>
    <cellStyle name="Comma 7 3 7 3 3" xfId="22805" xr:uid="{E40F105A-82AA-4108-A800-DC7DF6E3556E}"/>
    <cellStyle name="Comma 7 3 7 4" xfId="9797" xr:uid="{CD52CC82-1CEC-4259-A012-303CCDB72D6A}"/>
    <cellStyle name="Comma 7 3 7 4 2" xfId="27141" xr:uid="{440D0096-7ED0-4815-8A50-6C59F60BE11C}"/>
    <cellStyle name="Comma 7 3 7 5" xfId="18469" xr:uid="{4FE62873-C9A8-48E3-8F22-CC7D544C035F}"/>
    <cellStyle name="Comma 7 3 8" xfId="2209" xr:uid="{45DA8C5D-DDF7-422B-A8F3-B8F1303C5433}"/>
    <cellStyle name="Comma 7 3 8 2" xfId="6545" xr:uid="{64C928EF-59C8-4DDD-B617-C2FE967EFCF4}"/>
    <cellStyle name="Comma 7 3 8 2 2" xfId="15217" xr:uid="{76DA3A53-6B76-49B5-82E5-AF7B162BEB4C}"/>
    <cellStyle name="Comma 7 3 8 2 2 2" xfId="32561" xr:uid="{0E08847D-B508-4F47-9DA9-AC9546FAABAF}"/>
    <cellStyle name="Comma 7 3 8 2 3" xfId="23889" xr:uid="{A42A9405-3872-40D6-8723-3E24C6EAB65A}"/>
    <cellStyle name="Comma 7 3 8 3" xfId="10881" xr:uid="{732182AE-E5CE-4FFE-8FBD-3FF379255ACA}"/>
    <cellStyle name="Comma 7 3 8 3 2" xfId="28225" xr:uid="{CB956F7F-E1EC-4586-AD77-C122D98F6EB8}"/>
    <cellStyle name="Comma 7 3 8 4" xfId="19553" xr:uid="{04640F1F-6914-4422-9B58-96BDB4C6F054}"/>
    <cellStyle name="Comma 7 3 9" xfId="4377" xr:uid="{9CDAF668-C6EB-47FB-A74A-A0976CE37BEF}"/>
    <cellStyle name="Comma 7 3 9 2" xfId="13049" xr:uid="{FAE68BCD-FBE3-45C2-8743-12BC01B36E2E}"/>
    <cellStyle name="Comma 7 3 9 2 2" xfId="30393" xr:uid="{FE49BAB4-0B2D-4FC6-9333-C4FEC1CA009F}"/>
    <cellStyle name="Comma 7 3 9 3" xfId="21721" xr:uid="{90A1888A-5889-4176-BFEB-F8CAFC3188FC}"/>
    <cellStyle name="Comma 7 4" xfId="62" xr:uid="{22781AD5-2196-4B37-840E-B765C516D688}"/>
    <cellStyle name="Comma 7 4 10" xfId="17406" xr:uid="{1E969AD2-00C7-4E91-AB3C-A0948354713A}"/>
    <cellStyle name="Comma 7 4 2" xfId="123" xr:uid="{572E45BC-5286-467A-9770-490AEEA0ABF7}"/>
    <cellStyle name="Comma 7 4 2 2" xfId="245" xr:uid="{C5933628-8650-491E-8552-82F157A70814}"/>
    <cellStyle name="Comma 7 4 2 2 2" xfId="515" xr:uid="{37FD4C7C-B959-4C33-AF78-1659E494A64D}"/>
    <cellStyle name="Comma 7 4 2 2 2 2" xfId="1056" xr:uid="{13ABA0C7-413C-4F38-AF8E-AAA32A8027F0}"/>
    <cellStyle name="Comma 7 4 2 2 2 2 2" xfId="2140" xr:uid="{91F5F578-0184-4E8E-8AD7-4DB6D197C858}"/>
    <cellStyle name="Comma 7 4 2 2 2 2 2 2" xfId="4308" xr:uid="{8E08D8DF-6ED2-4D78-A497-34296EB664E3}"/>
    <cellStyle name="Comma 7 4 2 2 2 2 2 2 2" xfId="8644" xr:uid="{ADE426F0-1692-41F9-80AA-0C1565A7930C}"/>
    <cellStyle name="Comma 7 4 2 2 2 2 2 2 2 2" xfId="17316" xr:uid="{3F762134-64F3-4AE2-8ED1-B1E8B11F56A1}"/>
    <cellStyle name="Comma 7 4 2 2 2 2 2 2 2 2 2" xfId="34660" xr:uid="{D2A09E09-F10E-4DEA-B2CF-3F3E129D7F2C}"/>
    <cellStyle name="Comma 7 4 2 2 2 2 2 2 2 3" xfId="25988" xr:uid="{2D9D03F0-B849-4368-AE4E-03D72F5E0280}"/>
    <cellStyle name="Comma 7 4 2 2 2 2 2 2 3" xfId="12980" xr:uid="{B2A9B5DA-08C7-4F20-9885-A173D243E275}"/>
    <cellStyle name="Comma 7 4 2 2 2 2 2 2 3 2" xfId="30324" xr:uid="{4D42C975-233D-4E72-8C81-69AA63228251}"/>
    <cellStyle name="Comma 7 4 2 2 2 2 2 2 4" xfId="21652" xr:uid="{ABC63462-C937-4DDA-8395-0D9B84E93772}"/>
    <cellStyle name="Comma 7 4 2 2 2 2 2 3" xfId="6476" xr:uid="{C9ACF68D-DC1C-4F87-8FC8-DF5481282200}"/>
    <cellStyle name="Comma 7 4 2 2 2 2 2 3 2" xfId="15148" xr:uid="{9CF916D1-6146-4599-887A-5320C3F68CB4}"/>
    <cellStyle name="Comma 7 4 2 2 2 2 2 3 2 2" xfId="32492" xr:uid="{C5CEB578-A9A8-4EF7-98CE-7B4916BB158E}"/>
    <cellStyle name="Comma 7 4 2 2 2 2 2 3 3" xfId="23820" xr:uid="{C7024118-7B1C-43ED-A570-EA72D4D8A1DA}"/>
    <cellStyle name="Comma 7 4 2 2 2 2 2 4" xfId="10812" xr:uid="{FBAEC542-38C8-4BF9-B891-EF3A23F052F6}"/>
    <cellStyle name="Comma 7 4 2 2 2 2 2 4 2" xfId="28156" xr:uid="{3DF38BEC-7FDE-4725-B454-4E41CAAABC4D}"/>
    <cellStyle name="Comma 7 4 2 2 2 2 2 5" xfId="19484" xr:uid="{623624DF-BDA6-45B2-ABC1-436E2338435A}"/>
    <cellStyle name="Comma 7 4 2 2 2 2 3" xfId="3224" xr:uid="{F86838FA-22EF-4AA8-8DC2-73E2CE28E528}"/>
    <cellStyle name="Comma 7 4 2 2 2 2 3 2" xfId="7560" xr:uid="{1D9E9D10-C32E-415F-AA7C-E4CC3A3D4633}"/>
    <cellStyle name="Comma 7 4 2 2 2 2 3 2 2" xfId="16232" xr:uid="{1021B1A8-A308-4B9F-9EAF-B6E9E3105F7F}"/>
    <cellStyle name="Comma 7 4 2 2 2 2 3 2 2 2" xfId="33576" xr:uid="{FBB1B3D0-DD57-4437-AD2E-20EB8596BB08}"/>
    <cellStyle name="Comma 7 4 2 2 2 2 3 2 3" xfId="24904" xr:uid="{05151D79-06CF-42CB-8425-536FCA66FD92}"/>
    <cellStyle name="Comma 7 4 2 2 2 2 3 3" xfId="11896" xr:uid="{FE09C04A-96AD-4627-AC38-16487B16C26F}"/>
    <cellStyle name="Comma 7 4 2 2 2 2 3 3 2" xfId="29240" xr:uid="{97D78B24-86EF-4838-B19B-8CA9DFF61CBD}"/>
    <cellStyle name="Comma 7 4 2 2 2 2 3 4" xfId="20568" xr:uid="{4A502284-5B01-46BB-B0AE-17CFC49DA1B3}"/>
    <cellStyle name="Comma 7 4 2 2 2 2 4" xfId="5392" xr:uid="{48C010D4-D377-418A-AB2F-2802EDD21A09}"/>
    <cellStyle name="Comma 7 4 2 2 2 2 4 2" xfId="14064" xr:uid="{3C39EB57-3973-4EBC-B583-5D48E4CD607A}"/>
    <cellStyle name="Comma 7 4 2 2 2 2 4 2 2" xfId="31408" xr:uid="{E1E04BC1-2E4E-42EE-ADAB-6451205CF9BF}"/>
    <cellStyle name="Comma 7 4 2 2 2 2 4 3" xfId="22736" xr:uid="{CC88961B-1EC3-41C6-A07B-5DEB1FC376F1}"/>
    <cellStyle name="Comma 7 4 2 2 2 2 5" xfId="9728" xr:uid="{588E1412-400A-4B50-A9DB-7B76EB4E4E1F}"/>
    <cellStyle name="Comma 7 4 2 2 2 2 5 2" xfId="27072" xr:uid="{006F157A-F6B5-49A4-950D-27758633BA8C}"/>
    <cellStyle name="Comma 7 4 2 2 2 2 6" xfId="18400" xr:uid="{3B5A6CF1-D4FB-4AB4-9389-194C456F4426}"/>
    <cellStyle name="Comma 7 4 2 2 2 3" xfId="1599" xr:uid="{EBBD1B3A-6F50-4EE6-AD9F-FD3B04C88B26}"/>
    <cellStyle name="Comma 7 4 2 2 2 3 2" xfId="3767" xr:uid="{995A9301-47FA-4A42-94DB-F4A196EE6F0E}"/>
    <cellStyle name="Comma 7 4 2 2 2 3 2 2" xfId="8103" xr:uid="{279C31D1-DBDD-4BEC-B7DC-13A5CBD8278A}"/>
    <cellStyle name="Comma 7 4 2 2 2 3 2 2 2" xfId="16775" xr:uid="{ED1C77BE-44D2-4370-A325-A4FCD745E813}"/>
    <cellStyle name="Comma 7 4 2 2 2 3 2 2 2 2" xfId="34119" xr:uid="{21FE33CA-0AAF-4A3A-91CE-4D3D517A29AB}"/>
    <cellStyle name="Comma 7 4 2 2 2 3 2 2 3" xfId="25447" xr:uid="{05C328C0-7166-414F-AB73-6A589CA642E2}"/>
    <cellStyle name="Comma 7 4 2 2 2 3 2 3" xfId="12439" xr:uid="{2F3C57B3-2629-4CEB-928B-E26D95469E79}"/>
    <cellStyle name="Comma 7 4 2 2 2 3 2 3 2" xfId="29783" xr:uid="{FAD61253-90AA-47B0-8820-31FC403B9CA1}"/>
    <cellStyle name="Comma 7 4 2 2 2 3 2 4" xfId="21111" xr:uid="{2FC1C76D-3548-4231-BC2D-A263E198E1E5}"/>
    <cellStyle name="Comma 7 4 2 2 2 3 3" xfId="5935" xr:uid="{99617FED-6C3D-4368-89A1-C702492AFF72}"/>
    <cellStyle name="Comma 7 4 2 2 2 3 3 2" xfId="14607" xr:uid="{8E4A5DB4-0B86-47C6-BA7D-82AADD8E0530}"/>
    <cellStyle name="Comma 7 4 2 2 2 3 3 2 2" xfId="31951" xr:uid="{82B23C57-2139-448C-9DFE-E3DA1909076E}"/>
    <cellStyle name="Comma 7 4 2 2 2 3 3 3" xfId="23279" xr:uid="{FFF5B6CA-E4E0-4263-B6A4-451B0D91D203}"/>
    <cellStyle name="Comma 7 4 2 2 2 3 4" xfId="10271" xr:uid="{675E2C4C-8B07-457F-A69C-DC4FAB8C6ACD}"/>
    <cellStyle name="Comma 7 4 2 2 2 3 4 2" xfId="27615" xr:uid="{F24DDBB1-72CC-40BE-96DA-E03A24D7D5C9}"/>
    <cellStyle name="Comma 7 4 2 2 2 3 5" xfId="18943" xr:uid="{F802465C-1124-4539-92B3-92BBB595CAB2}"/>
    <cellStyle name="Comma 7 4 2 2 2 4" xfId="2683" xr:uid="{5D5584BC-8F8F-4D8C-86DB-2A6EC73AF486}"/>
    <cellStyle name="Comma 7 4 2 2 2 4 2" xfId="7019" xr:uid="{A5609109-A604-49AF-A6BA-A93541F1EEE6}"/>
    <cellStyle name="Comma 7 4 2 2 2 4 2 2" xfId="15691" xr:uid="{E279E82B-4663-4997-8196-67689DB43BC2}"/>
    <cellStyle name="Comma 7 4 2 2 2 4 2 2 2" xfId="33035" xr:uid="{598F5891-AC54-4419-B6CC-38D34AF31F1F}"/>
    <cellStyle name="Comma 7 4 2 2 2 4 2 3" xfId="24363" xr:uid="{CCD05718-9015-49B0-958F-BB4AF89C44BC}"/>
    <cellStyle name="Comma 7 4 2 2 2 4 3" xfId="11355" xr:uid="{6C533B15-D66F-4719-8818-FD55BF293C17}"/>
    <cellStyle name="Comma 7 4 2 2 2 4 3 2" xfId="28699" xr:uid="{173CAD3D-D9E3-481C-AF25-029741167305}"/>
    <cellStyle name="Comma 7 4 2 2 2 4 4" xfId="20027" xr:uid="{64A50A3D-1A52-4956-8095-1BFE85680429}"/>
    <cellStyle name="Comma 7 4 2 2 2 5" xfId="4851" xr:uid="{DE55E5AC-9CA4-4BF6-8CDC-A950ED553FC0}"/>
    <cellStyle name="Comma 7 4 2 2 2 5 2" xfId="13523" xr:uid="{9DE52290-D462-4247-B9FD-6859F35A40DF}"/>
    <cellStyle name="Comma 7 4 2 2 2 5 2 2" xfId="30867" xr:uid="{B1E17DA0-078B-4B37-B0E5-7405770973AE}"/>
    <cellStyle name="Comma 7 4 2 2 2 5 3" xfId="22195" xr:uid="{CFD84F2F-416E-4268-8CF0-4BA48DE38D0E}"/>
    <cellStyle name="Comma 7 4 2 2 2 6" xfId="9187" xr:uid="{9B2C01F2-CA1F-4069-90DB-6B9F7B790400}"/>
    <cellStyle name="Comma 7 4 2 2 2 6 2" xfId="26531" xr:uid="{452F1C75-1B7B-4299-8C98-43289EA8F8AA}"/>
    <cellStyle name="Comma 7 4 2 2 2 7" xfId="17859" xr:uid="{B2DBA531-1CB3-4726-AD33-72783836C5BB}"/>
    <cellStyle name="Comma 7 4 2 2 3" xfId="786" xr:uid="{3BCA72FA-61B4-4E79-ADE9-76CDDEA7600D}"/>
    <cellStyle name="Comma 7 4 2 2 3 2" xfId="1870" xr:uid="{06084261-7985-483E-BCEB-7B768C372B61}"/>
    <cellStyle name="Comma 7 4 2 2 3 2 2" xfId="4038" xr:uid="{FCDBD6E0-F0C6-43C5-826A-35B8A89B6624}"/>
    <cellStyle name="Comma 7 4 2 2 3 2 2 2" xfId="8374" xr:uid="{D5362DED-C0D7-4943-870F-B829A9CB6DBC}"/>
    <cellStyle name="Comma 7 4 2 2 3 2 2 2 2" xfId="17046" xr:uid="{46604AD6-79C4-442F-8EBD-D84523C50D84}"/>
    <cellStyle name="Comma 7 4 2 2 3 2 2 2 2 2" xfId="34390" xr:uid="{9A269AFF-AD58-4AB3-901A-243496AB8132}"/>
    <cellStyle name="Comma 7 4 2 2 3 2 2 2 3" xfId="25718" xr:uid="{5FB92C32-A399-4D2A-917C-4BFA155A2FE9}"/>
    <cellStyle name="Comma 7 4 2 2 3 2 2 3" xfId="12710" xr:uid="{0B4961E1-E4DE-439E-BA24-714660226127}"/>
    <cellStyle name="Comma 7 4 2 2 3 2 2 3 2" xfId="30054" xr:uid="{80B9700B-2DAD-4B9C-8FB5-8C4F5BE32D21}"/>
    <cellStyle name="Comma 7 4 2 2 3 2 2 4" xfId="21382" xr:uid="{8131E66F-1C8C-48B9-865A-F580B03BAB02}"/>
    <cellStyle name="Comma 7 4 2 2 3 2 3" xfId="6206" xr:uid="{944681BA-92F2-4130-B3DC-A4BC7CFF149D}"/>
    <cellStyle name="Comma 7 4 2 2 3 2 3 2" xfId="14878" xr:uid="{C260E362-6E87-483A-870D-D98EFE350BA8}"/>
    <cellStyle name="Comma 7 4 2 2 3 2 3 2 2" xfId="32222" xr:uid="{FA771698-3F8A-42CB-B742-B23F7CE09443}"/>
    <cellStyle name="Comma 7 4 2 2 3 2 3 3" xfId="23550" xr:uid="{074C93B7-7227-4D7A-B7B8-320E884F894D}"/>
    <cellStyle name="Comma 7 4 2 2 3 2 4" xfId="10542" xr:uid="{FCC8E5D6-6144-404E-BEBD-795D3BCC3AE6}"/>
    <cellStyle name="Comma 7 4 2 2 3 2 4 2" xfId="27886" xr:uid="{DE7093DD-6647-4EB7-ABBA-DFD2D0DBA3DD}"/>
    <cellStyle name="Comma 7 4 2 2 3 2 5" xfId="19214" xr:uid="{33F0FE0F-88BC-4C11-9784-1BA5461BB92E}"/>
    <cellStyle name="Comma 7 4 2 2 3 3" xfId="2954" xr:uid="{30DC0C27-12E3-4F56-8F35-1ACC307F2415}"/>
    <cellStyle name="Comma 7 4 2 2 3 3 2" xfId="7290" xr:uid="{947AF9FD-C2C0-49AE-982B-6DC52384570E}"/>
    <cellStyle name="Comma 7 4 2 2 3 3 2 2" xfId="15962" xr:uid="{72F6F5AF-58E5-472E-8CA9-C86558A1F5BB}"/>
    <cellStyle name="Comma 7 4 2 2 3 3 2 2 2" xfId="33306" xr:uid="{3B602CB5-9BE8-4FEF-A8FE-BD879EEFF803}"/>
    <cellStyle name="Comma 7 4 2 2 3 3 2 3" xfId="24634" xr:uid="{468D9560-0337-4000-8197-744F6BCFCBE5}"/>
    <cellStyle name="Comma 7 4 2 2 3 3 3" xfId="11626" xr:uid="{6B874D2B-A4AB-4CA8-8242-ADE9850C4919}"/>
    <cellStyle name="Comma 7 4 2 2 3 3 3 2" xfId="28970" xr:uid="{652841E5-A2D6-4F9A-9181-DE62ECFD9537}"/>
    <cellStyle name="Comma 7 4 2 2 3 3 4" xfId="20298" xr:uid="{8297C329-EABD-4034-BBA0-C297C3356F4B}"/>
    <cellStyle name="Comma 7 4 2 2 3 4" xfId="5122" xr:uid="{50F7C576-5499-4694-ACDE-7B3FA805B571}"/>
    <cellStyle name="Comma 7 4 2 2 3 4 2" xfId="13794" xr:uid="{D8837DC9-99FA-484C-9926-BFC5D68472B0}"/>
    <cellStyle name="Comma 7 4 2 2 3 4 2 2" xfId="31138" xr:uid="{758D7BDC-D16E-47D1-B521-B754A99D92EF}"/>
    <cellStyle name="Comma 7 4 2 2 3 4 3" xfId="22466" xr:uid="{5106129C-0FEB-4C96-9356-D94BC7D4D595}"/>
    <cellStyle name="Comma 7 4 2 2 3 5" xfId="9458" xr:uid="{F28FB107-2D69-4DBF-808B-E637FD2E9130}"/>
    <cellStyle name="Comma 7 4 2 2 3 5 2" xfId="26802" xr:uid="{B3A10928-23D9-4E91-8156-53826A41D56F}"/>
    <cellStyle name="Comma 7 4 2 2 3 6" xfId="18130" xr:uid="{843CDAB3-5B61-401D-A225-3907B96394B6}"/>
    <cellStyle name="Comma 7 4 2 2 4" xfId="1329" xr:uid="{6AEB8410-FC63-424B-AB93-C3787344360A}"/>
    <cellStyle name="Comma 7 4 2 2 4 2" xfId="3497" xr:uid="{4DD2A606-9768-4B88-A0F4-33C2E4AAF884}"/>
    <cellStyle name="Comma 7 4 2 2 4 2 2" xfId="7833" xr:uid="{AD42CD83-D6E8-4078-B13A-B0E446773F76}"/>
    <cellStyle name="Comma 7 4 2 2 4 2 2 2" xfId="16505" xr:uid="{498721CF-64E5-4CFF-A5BF-831FCD6F9391}"/>
    <cellStyle name="Comma 7 4 2 2 4 2 2 2 2" xfId="33849" xr:uid="{BEDDAE22-8D27-4F03-A662-B49DB3B23106}"/>
    <cellStyle name="Comma 7 4 2 2 4 2 2 3" xfId="25177" xr:uid="{05D39F09-C35C-4326-A0FA-27AE6616259A}"/>
    <cellStyle name="Comma 7 4 2 2 4 2 3" xfId="12169" xr:uid="{56B03ABA-0911-49A4-B2F3-06E294BF4394}"/>
    <cellStyle name="Comma 7 4 2 2 4 2 3 2" xfId="29513" xr:uid="{7C23F277-56B7-45EC-85D2-86F249FF125E}"/>
    <cellStyle name="Comma 7 4 2 2 4 2 4" xfId="20841" xr:uid="{8FF7C537-93E2-43E8-850B-0CE1F97EB2AA}"/>
    <cellStyle name="Comma 7 4 2 2 4 3" xfId="5665" xr:uid="{BB7616A7-74E1-45B7-8FF6-42597DA1A28C}"/>
    <cellStyle name="Comma 7 4 2 2 4 3 2" xfId="14337" xr:uid="{8D84D1DF-5356-4A01-AACD-FC06A13326E7}"/>
    <cellStyle name="Comma 7 4 2 2 4 3 2 2" xfId="31681" xr:uid="{31A030C4-3D7B-4327-8611-FF1922BB0F9A}"/>
    <cellStyle name="Comma 7 4 2 2 4 3 3" xfId="23009" xr:uid="{00A28075-D9FE-487D-96AC-313F4E57E5DE}"/>
    <cellStyle name="Comma 7 4 2 2 4 4" xfId="10001" xr:uid="{C7D66458-6474-400D-8D2A-533F190147C2}"/>
    <cellStyle name="Comma 7 4 2 2 4 4 2" xfId="27345" xr:uid="{41255CDA-D1CE-4D1A-B57E-B3717545F07F}"/>
    <cellStyle name="Comma 7 4 2 2 4 5" xfId="18673" xr:uid="{CE8F4A55-A562-400C-8E5F-D47B0BCA7E19}"/>
    <cellStyle name="Comma 7 4 2 2 5" xfId="2413" xr:uid="{1C3A6BC4-5867-499F-8F5E-2FBCC7747C5C}"/>
    <cellStyle name="Comma 7 4 2 2 5 2" xfId="6749" xr:uid="{206497B0-AA75-459A-BE62-BCCDB026F74E}"/>
    <cellStyle name="Comma 7 4 2 2 5 2 2" xfId="15421" xr:uid="{A4918B82-B5A2-4132-8D2F-34580CE5C679}"/>
    <cellStyle name="Comma 7 4 2 2 5 2 2 2" xfId="32765" xr:uid="{0B491679-5CA6-4F98-8A00-5A559C004DA0}"/>
    <cellStyle name="Comma 7 4 2 2 5 2 3" xfId="24093" xr:uid="{0CC727D2-DAA5-4790-B8BA-0AFBCF0B820A}"/>
    <cellStyle name="Comma 7 4 2 2 5 3" xfId="11085" xr:uid="{143BC135-695E-4BA0-B243-8F24BE59CC0D}"/>
    <cellStyle name="Comma 7 4 2 2 5 3 2" xfId="28429" xr:uid="{7062FFEE-EC31-41D3-BDC1-9F669FD04325}"/>
    <cellStyle name="Comma 7 4 2 2 5 4" xfId="19757" xr:uid="{67CE7E14-2F79-46F0-A6F7-5A52ECA0A842}"/>
    <cellStyle name="Comma 7 4 2 2 6" xfId="4581" xr:uid="{62CB71B8-1F27-45B8-A03B-3F16787CF15F}"/>
    <cellStyle name="Comma 7 4 2 2 6 2" xfId="13253" xr:uid="{98D96C23-D5BB-43F8-B185-9A4CDC6EBD52}"/>
    <cellStyle name="Comma 7 4 2 2 6 2 2" xfId="30597" xr:uid="{B317E4E2-08B7-41D0-A648-64E643EB23F5}"/>
    <cellStyle name="Comma 7 4 2 2 6 3" xfId="21925" xr:uid="{2C2D4658-2ED8-407E-956B-D453B799384D}"/>
    <cellStyle name="Comma 7 4 2 2 7" xfId="8917" xr:uid="{88E779A3-27C5-4CC3-8FFC-CA4774EEDE37}"/>
    <cellStyle name="Comma 7 4 2 2 7 2" xfId="26261" xr:uid="{67CCA709-5F09-4E2B-B12F-78B7FD3A4AF3}"/>
    <cellStyle name="Comma 7 4 2 2 8" xfId="17589" xr:uid="{D8903B31-6D7E-4F75-B060-1530460FACE7}"/>
    <cellStyle name="Comma 7 4 2 3" xfId="393" xr:uid="{EC4FE9B8-73DE-40C2-AAD5-3F80FE640A9D}"/>
    <cellStyle name="Comma 7 4 2 3 2" xfId="934" xr:uid="{144221FD-75BA-4FE0-B6C1-BF60CE1E9CBE}"/>
    <cellStyle name="Comma 7 4 2 3 2 2" xfId="2018" xr:uid="{3041C3BF-6647-485B-A0DB-3BCF39AE9CB9}"/>
    <cellStyle name="Comma 7 4 2 3 2 2 2" xfId="4186" xr:uid="{807BFE97-3935-4330-AA4B-B78B9D8871AD}"/>
    <cellStyle name="Comma 7 4 2 3 2 2 2 2" xfId="8522" xr:uid="{883C12F0-CF58-43FE-BCEC-FD56DFB341E7}"/>
    <cellStyle name="Comma 7 4 2 3 2 2 2 2 2" xfId="17194" xr:uid="{302137A6-C350-4313-BC6F-F16E1C303D67}"/>
    <cellStyle name="Comma 7 4 2 3 2 2 2 2 2 2" xfId="34538" xr:uid="{0E1EAB14-611B-451D-9303-671782C15A2A}"/>
    <cellStyle name="Comma 7 4 2 3 2 2 2 2 3" xfId="25866" xr:uid="{868C436B-ED78-4F2B-875A-C8E70A0865E0}"/>
    <cellStyle name="Comma 7 4 2 3 2 2 2 3" xfId="12858" xr:uid="{329FA3EC-CECA-46BE-A432-2E6EC3B85AED}"/>
    <cellStyle name="Comma 7 4 2 3 2 2 2 3 2" xfId="30202" xr:uid="{239A8963-E85B-452A-A454-9187A2728635}"/>
    <cellStyle name="Comma 7 4 2 3 2 2 2 4" xfId="21530" xr:uid="{4155EC5F-F7CF-479A-ADD4-F34FB1DE1EAD}"/>
    <cellStyle name="Comma 7 4 2 3 2 2 3" xfId="6354" xr:uid="{7E954118-3549-44C1-91F7-B5A40CE2ECFA}"/>
    <cellStyle name="Comma 7 4 2 3 2 2 3 2" xfId="15026" xr:uid="{77DBF07D-65FC-49F6-8762-15E5F0BFCF7E}"/>
    <cellStyle name="Comma 7 4 2 3 2 2 3 2 2" xfId="32370" xr:uid="{47561208-988B-47F9-BFDB-35A35555E78F}"/>
    <cellStyle name="Comma 7 4 2 3 2 2 3 3" xfId="23698" xr:uid="{DDF8BC53-E836-42B4-978A-3E0654316239}"/>
    <cellStyle name="Comma 7 4 2 3 2 2 4" xfId="10690" xr:uid="{099FE43F-F7D5-47BA-BF46-CAD7E070541A}"/>
    <cellStyle name="Comma 7 4 2 3 2 2 4 2" xfId="28034" xr:uid="{877C2749-F36E-415F-B2FC-F420E92AE13E}"/>
    <cellStyle name="Comma 7 4 2 3 2 2 5" xfId="19362" xr:uid="{C52B3DE2-097B-4B35-964A-759AE158091B}"/>
    <cellStyle name="Comma 7 4 2 3 2 3" xfId="3102" xr:uid="{22F72A69-66D6-422C-8458-5A6E2120B82B}"/>
    <cellStyle name="Comma 7 4 2 3 2 3 2" xfId="7438" xr:uid="{5BF72DB0-2CE0-44AF-A705-733FE1C21CD9}"/>
    <cellStyle name="Comma 7 4 2 3 2 3 2 2" xfId="16110" xr:uid="{E117C842-0262-44A2-AD51-2BEA630C524E}"/>
    <cellStyle name="Comma 7 4 2 3 2 3 2 2 2" xfId="33454" xr:uid="{A32081F4-4B9F-4FC3-B50F-81BDA99414EC}"/>
    <cellStyle name="Comma 7 4 2 3 2 3 2 3" xfId="24782" xr:uid="{833C7D67-DB7C-47DC-990C-55BB74E745CD}"/>
    <cellStyle name="Comma 7 4 2 3 2 3 3" xfId="11774" xr:uid="{5A1AB378-DC9A-4FD4-AB0D-7EAF12506BAE}"/>
    <cellStyle name="Comma 7 4 2 3 2 3 3 2" xfId="29118" xr:uid="{D7899B7E-E6CF-4D0D-A5C2-82746991E746}"/>
    <cellStyle name="Comma 7 4 2 3 2 3 4" xfId="20446" xr:uid="{8284027C-442A-4D87-93DD-EBED52700E6E}"/>
    <cellStyle name="Comma 7 4 2 3 2 4" xfId="5270" xr:uid="{1E086B02-416A-4A75-9A46-6FE8EDE9BE51}"/>
    <cellStyle name="Comma 7 4 2 3 2 4 2" xfId="13942" xr:uid="{C5821CC1-5020-44DD-B063-D65FE930ACC9}"/>
    <cellStyle name="Comma 7 4 2 3 2 4 2 2" xfId="31286" xr:uid="{90689B45-4127-4386-AEA5-A18F55D23431}"/>
    <cellStyle name="Comma 7 4 2 3 2 4 3" xfId="22614" xr:uid="{7881AB39-28E1-4065-9B0C-74AF5EF27044}"/>
    <cellStyle name="Comma 7 4 2 3 2 5" xfId="9606" xr:uid="{2C80A151-65DE-439F-8D0A-43FE102B52A9}"/>
    <cellStyle name="Comma 7 4 2 3 2 5 2" xfId="26950" xr:uid="{C9A719C1-C533-41C4-A0C1-6033B8ED3995}"/>
    <cellStyle name="Comma 7 4 2 3 2 6" xfId="18278" xr:uid="{01333122-2C05-482B-9881-8029C2579E39}"/>
    <cellStyle name="Comma 7 4 2 3 3" xfId="1477" xr:uid="{3A730274-BBD2-4EC3-80C8-6BD02C0B9B33}"/>
    <cellStyle name="Comma 7 4 2 3 3 2" xfId="3645" xr:uid="{96B3C032-52E6-467A-B540-7F053610DCDD}"/>
    <cellStyle name="Comma 7 4 2 3 3 2 2" xfId="7981" xr:uid="{465F2229-610C-4017-9582-B9D072EF60C0}"/>
    <cellStyle name="Comma 7 4 2 3 3 2 2 2" xfId="16653" xr:uid="{8A103653-9C4C-4E78-B82B-CF27E067C0ED}"/>
    <cellStyle name="Comma 7 4 2 3 3 2 2 2 2" xfId="33997" xr:uid="{DA6B2FA0-40CD-477E-91C7-DA2FBE03D67D}"/>
    <cellStyle name="Comma 7 4 2 3 3 2 2 3" xfId="25325" xr:uid="{5F25BD73-7AAB-486D-BB84-4A11B6C9B2EE}"/>
    <cellStyle name="Comma 7 4 2 3 3 2 3" xfId="12317" xr:uid="{660F8CE3-3742-4477-AF05-6B13F81C0F0E}"/>
    <cellStyle name="Comma 7 4 2 3 3 2 3 2" xfId="29661" xr:uid="{CD0B4E35-192F-4223-9A18-250097A594B3}"/>
    <cellStyle name="Comma 7 4 2 3 3 2 4" xfId="20989" xr:uid="{9DAF9574-C1B0-45FB-B05B-7664F12FB52A}"/>
    <cellStyle name="Comma 7 4 2 3 3 3" xfId="5813" xr:uid="{35F55659-9137-4EEE-8AF3-B0167D40707F}"/>
    <cellStyle name="Comma 7 4 2 3 3 3 2" xfId="14485" xr:uid="{70BF7A2F-0AD9-43C1-8D17-E4A10E77CC64}"/>
    <cellStyle name="Comma 7 4 2 3 3 3 2 2" xfId="31829" xr:uid="{5AF25B97-9E22-453E-A28E-99820126E2BB}"/>
    <cellStyle name="Comma 7 4 2 3 3 3 3" xfId="23157" xr:uid="{146946A7-003F-4545-90B8-DCC24BACDCC8}"/>
    <cellStyle name="Comma 7 4 2 3 3 4" xfId="10149" xr:uid="{E9CBEAAC-293E-442F-945F-4D21EC10A2B5}"/>
    <cellStyle name="Comma 7 4 2 3 3 4 2" xfId="27493" xr:uid="{2A64CA33-1D01-433F-B818-107D5930B021}"/>
    <cellStyle name="Comma 7 4 2 3 3 5" xfId="18821" xr:uid="{B85926E1-898C-4410-9218-D1833D086ED8}"/>
    <cellStyle name="Comma 7 4 2 3 4" xfId="2561" xr:uid="{EDA4AD95-8F07-49C5-AB29-1F7D2BFE6458}"/>
    <cellStyle name="Comma 7 4 2 3 4 2" xfId="6897" xr:uid="{E4083C2D-6156-4855-9878-2777DF0B41BD}"/>
    <cellStyle name="Comma 7 4 2 3 4 2 2" xfId="15569" xr:uid="{29DA3748-37F5-4DD7-824A-9A942F28D4CC}"/>
    <cellStyle name="Comma 7 4 2 3 4 2 2 2" xfId="32913" xr:uid="{8F09C84C-53F6-4D1F-9A63-02E61BB420C4}"/>
    <cellStyle name="Comma 7 4 2 3 4 2 3" xfId="24241" xr:uid="{131D2652-4442-4A97-AD01-B6480D7149AF}"/>
    <cellStyle name="Comma 7 4 2 3 4 3" xfId="11233" xr:uid="{9E4A8BBF-AD87-4D0B-9E37-9AE733D343B7}"/>
    <cellStyle name="Comma 7 4 2 3 4 3 2" xfId="28577" xr:uid="{D733ACB0-7E61-4EA8-8694-C136A11CDD54}"/>
    <cellStyle name="Comma 7 4 2 3 4 4" xfId="19905" xr:uid="{E6BED578-4C16-4446-B03C-16E040EF3FE4}"/>
    <cellStyle name="Comma 7 4 2 3 5" xfId="4729" xr:uid="{7F476D68-8908-4D38-B8F8-CC24468DB510}"/>
    <cellStyle name="Comma 7 4 2 3 5 2" xfId="13401" xr:uid="{27D88AAE-86FD-4CDE-9778-EBAA89293179}"/>
    <cellStyle name="Comma 7 4 2 3 5 2 2" xfId="30745" xr:uid="{16C9BBC3-FE41-4A10-A571-AD6385048D6F}"/>
    <cellStyle name="Comma 7 4 2 3 5 3" xfId="22073" xr:uid="{F551EA75-4EEB-4B0E-B029-1200960599A5}"/>
    <cellStyle name="Comma 7 4 2 3 6" xfId="9065" xr:uid="{29429C83-1089-495C-85BD-7E8AA042E913}"/>
    <cellStyle name="Comma 7 4 2 3 6 2" xfId="26409" xr:uid="{90A8D98F-245A-4F76-9BFF-189840D91718}"/>
    <cellStyle name="Comma 7 4 2 3 7" xfId="17737" xr:uid="{D926293E-E3EA-4A0A-8BC7-19ADAB8225B4}"/>
    <cellStyle name="Comma 7 4 2 4" xfId="664" xr:uid="{53CD710E-76A4-42FD-B836-1A674898331B}"/>
    <cellStyle name="Comma 7 4 2 4 2" xfId="1748" xr:uid="{878FCE8B-10B3-412F-8E24-9730F6DBBF4D}"/>
    <cellStyle name="Comma 7 4 2 4 2 2" xfId="3916" xr:uid="{FAFF4CC3-1193-4D9F-AD7D-DB143D5C2AB8}"/>
    <cellStyle name="Comma 7 4 2 4 2 2 2" xfId="8252" xr:uid="{FA72AC76-D2CA-41EE-9EEC-82A017A5AFCF}"/>
    <cellStyle name="Comma 7 4 2 4 2 2 2 2" xfId="16924" xr:uid="{3F497005-BEAD-47DE-9339-4DDF8E5731E0}"/>
    <cellStyle name="Comma 7 4 2 4 2 2 2 2 2" xfId="34268" xr:uid="{F023121C-3564-43DA-AB52-32DF8D662F1B}"/>
    <cellStyle name="Comma 7 4 2 4 2 2 2 3" xfId="25596" xr:uid="{AC308E7B-8623-4B26-88DF-3DAE20391903}"/>
    <cellStyle name="Comma 7 4 2 4 2 2 3" xfId="12588" xr:uid="{749DDACC-60D1-497F-BD36-BC3E47C7D404}"/>
    <cellStyle name="Comma 7 4 2 4 2 2 3 2" xfId="29932" xr:uid="{5921CCE5-1212-4571-8A2A-57F0D6FFC73C}"/>
    <cellStyle name="Comma 7 4 2 4 2 2 4" xfId="21260" xr:uid="{47C90332-8670-41B7-9611-CA86E96E58B1}"/>
    <cellStyle name="Comma 7 4 2 4 2 3" xfId="6084" xr:uid="{151344D8-071B-4485-A3BC-908BBF66F1B2}"/>
    <cellStyle name="Comma 7 4 2 4 2 3 2" xfId="14756" xr:uid="{34B7D805-2391-4DC2-86CF-4F7A6A5F01F9}"/>
    <cellStyle name="Comma 7 4 2 4 2 3 2 2" xfId="32100" xr:uid="{C711AACC-6AEE-4204-9884-63CBAACF02D9}"/>
    <cellStyle name="Comma 7 4 2 4 2 3 3" xfId="23428" xr:uid="{F323D6EE-D9D2-4BCF-B6E7-8AEA43DEABC6}"/>
    <cellStyle name="Comma 7 4 2 4 2 4" xfId="10420" xr:uid="{7CC6028B-DC3A-4CCB-BEE0-F176C725CF7F}"/>
    <cellStyle name="Comma 7 4 2 4 2 4 2" xfId="27764" xr:uid="{3E88C39E-C9E0-4C6D-9B14-79C019A89C06}"/>
    <cellStyle name="Comma 7 4 2 4 2 5" xfId="19092" xr:uid="{E45F83E5-A699-4920-AC70-259C0948229D}"/>
    <cellStyle name="Comma 7 4 2 4 3" xfId="2832" xr:uid="{A5A93073-BB10-4E46-95FB-CE0E93F81260}"/>
    <cellStyle name="Comma 7 4 2 4 3 2" xfId="7168" xr:uid="{C8D9B66B-A879-4356-AE1D-E2C75D543D13}"/>
    <cellStyle name="Comma 7 4 2 4 3 2 2" xfId="15840" xr:uid="{2B297493-93D7-4806-A77E-8209221E2CFB}"/>
    <cellStyle name="Comma 7 4 2 4 3 2 2 2" xfId="33184" xr:uid="{03FC2B57-F318-466F-AC05-0EE784D835EB}"/>
    <cellStyle name="Comma 7 4 2 4 3 2 3" xfId="24512" xr:uid="{55FF9AA9-A1AF-401C-AC83-96432224C48F}"/>
    <cellStyle name="Comma 7 4 2 4 3 3" xfId="11504" xr:uid="{999F1042-AAC4-4656-B0D8-6A77BBEF170C}"/>
    <cellStyle name="Comma 7 4 2 4 3 3 2" xfId="28848" xr:uid="{6FAB3F04-FA5A-4AFE-8232-620EA41FBA13}"/>
    <cellStyle name="Comma 7 4 2 4 3 4" xfId="20176" xr:uid="{9031C063-76C3-45BF-8866-26DEB0BCA41D}"/>
    <cellStyle name="Comma 7 4 2 4 4" xfId="5000" xr:uid="{94EF84D3-7010-402D-AFBB-34BACA41BBA9}"/>
    <cellStyle name="Comma 7 4 2 4 4 2" xfId="13672" xr:uid="{280EC123-9667-4C8B-897A-704C04EE0014}"/>
    <cellStyle name="Comma 7 4 2 4 4 2 2" xfId="31016" xr:uid="{F1A6C5ED-7321-418E-A0CF-0FD5AEB38A71}"/>
    <cellStyle name="Comma 7 4 2 4 4 3" xfId="22344" xr:uid="{185B68FD-FE5F-45FA-AF29-39A8F90EB6FA}"/>
    <cellStyle name="Comma 7 4 2 4 5" xfId="9336" xr:uid="{3A3F9AA3-D180-4DB3-BBE2-2539BB47EDB2}"/>
    <cellStyle name="Comma 7 4 2 4 5 2" xfId="26680" xr:uid="{0FCD7B85-F2EA-4D45-B645-B664104FCAB0}"/>
    <cellStyle name="Comma 7 4 2 4 6" xfId="18008" xr:uid="{58708A06-0AF9-4AE1-8C91-A531D5FBA572}"/>
    <cellStyle name="Comma 7 4 2 5" xfId="1207" xr:uid="{5278CCE7-9D54-4FC1-A699-0613CD1B802A}"/>
    <cellStyle name="Comma 7 4 2 5 2" xfId="3375" xr:uid="{76944CC8-218B-4AB5-946A-9CB948B00421}"/>
    <cellStyle name="Comma 7 4 2 5 2 2" xfId="7711" xr:uid="{472F31E0-BB9C-48AD-8988-D4D92899E10D}"/>
    <cellStyle name="Comma 7 4 2 5 2 2 2" xfId="16383" xr:uid="{F1195513-83DF-464B-A2B6-94A827027BF0}"/>
    <cellStyle name="Comma 7 4 2 5 2 2 2 2" xfId="33727" xr:uid="{21F47AAA-8AB6-42F7-8B78-4D9B6DBA3ADC}"/>
    <cellStyle name="Comma 7 4 2 5 2 2 3" xfId="25055" xr:uid="{9FD85FE7-099B-45DA-8A9D-4FA7222DC087}"/>
    <cellStyle name="Comma 7 4 2 5 2 3" xfId="12047" xr:uid="{6C8D1F87-6055-4DE1-A3AB-9B1E115820D6}"/>
    <cellStyle name="Comma 7 4 2 5 2 3 2" xfId="29391" xr:uid="{CE71DB27-8E42-4E1B-A26E-EC06CFB87E04}"/>
    <cellStyle name="Comma 7 4 2 5 2 4" xfId="20719" xr:uid="{5D54A85D-C190-44D5-879E-5E2407600AAA}"/>
    <cellStyle name="Comma 7 4 2 5 3" xfId="5543" xr:uid="{060926F7-A21C-44BF-BE4B-5D13AC07E2E2}"/>
    <cellStyle name="Comma 7 4 2 5 3 2" xfId="14215" xr:uid="{BB09E414-F559-4D79-BD33-8F30609CDE4A}"/>
    <cellStyle name="Comma 7 4 2 5 3 2 2" xfId="31559" xr:uid="{C05C650B-5571-43FA-B422-14BC56700200}"/>
    <cellStyle name="Comma 7 4 2 5 3 3" xfId="22887" xr:uid="{FA0EC538-124D-4FF0-8CB8-A1D83A084597}"/>
    <cellStyle name="Comma 7 4 2 5 4" xfId="9879" xr:uid="{A4521142-126E-478C-9413-EA77DC938142}"/>
    <cellStyle name="Comma 7 4 2 5 4 2" xfId="27223" xr:uid="{6B6A5E06-5146-4632-A467-9754F3CE6385}"/>
    <cellStyle name="Comma 7 4 2 5 5" xfId="18551" xr:uid="{320A9D08-346A-4C92-9361-AC0CA14D95DB}"/>
    <cellStyle name="Comma 7 4 2 6" xfId="2291" xr:uid="{488A798E-2D88-45A1-9388-0730FCCF4286}"/>
    <cellStyle name="Comma 7 4 2 6 2" xfId="6627" xr:uid="{47310E41-2E4B-4DC1-828A-C2C59ECEA298}"/>
    <cellStyle name="Comma 7 4 2 6 2 2" xfId="15299" xr:uid="{1417D841-ED32-47FA-AE46-BB19DFF470AF}"/>
    <cellStyle name="Comma 7 4 2 6 2 2 2" xfId="32643" xr:uid="{49B88BBE-69C9-4CEA-8B3A-0A1A6F995A47}"/>
    <cellStyle name="Comma 7 4 2 6 2 3" xfId="23971" xr:uid="{6B07C4E4-FD8D-404B-A2EC-9546DEB0F098}"/>
    <cellStyle name="Comma 7 4 2 6 3" xfId="10963" xr:uid="{EA913E67-9E2C-46C9-98A5-27783BB54C98}"/>
    <cellStyle name="Comma 7 4 2 6 3 2" xfId="28307" xr:uid="{BD4FF3BB-25C8-4879-AC60-ECBFB80E1CFC}"/>
    <cellStyle name="Comma 7 4 2 6 4" xfId="19635" xr:uid="{19948CE3-8B7F-4B73-A3FA-47401D1348B0}"/>
    <cellStyle name="Comma 7 4 2 7" xfId="4459" xr:uid="{44211D39-7428-4F94-960F-71BDDB1C84AA}"/>
    <cellStyle name="Comma 7 4 2 7 2" xfId="13131" xr:uid="{9F55E216-1F2B-4AEB-9C89-F7FAF1112EA9}"/>
    <cellStyle name="Comma 7 4 2 7 2 2" xfId="30475" xr:uid="{6CE2CBB3-7623-4C39-915C-152056D5A9FC}"/>
    <cellStyle name="Comma 7 4 2 7 3" xfId="21803" xr:uid="{0BB3DC35-B758-4582-99FC-356EEBCA58C5}"/>
    <cellStyle name="Comma 7 4 2 8" xfId="8795" xr:uid="{8C971F08-B310-4379-A734-432C66CEF3C5}"/>
    <cellStyle name="Comma 7 4 2 8 2" xfId="26139" xr:uid="{6BEF2B46-9863-4190-A85C-B2D0AD96AC3C}"/>
    <cellStyle name="Comma 7 4 2 9" xfId="17467" xr:uid="{C011FF80-A574-419C-B0D7-1C1688993B1E}"/>
    <cellStyle name="Comma 7 4 3" xfId="184" xr:uid="{59CF906B-0FBD-4738-8398-6FEE1353C440}"/>
    <cellStyle name="Comma 7 4 3 2" xfId="454" xr:uid="{A8C4597B-D6AF-4857-9EB0-7760B7081ED1}"/>
    <cellStyle name="Comma 7 4 3 2 2" xfId="995" xr:uid="{C9545735-15CC-4997-BF26-BD12CF90A0F6}"/>
    <cellStyle name="Comma 7 4 3 2 2 2" xfId="2079" xr:uid="{5A0A1A84-529C-4A2E-8133-5EF96D4FB911}"/>
    <cellStyle name="Comma 7 4 3 2 2 2 2" xfId="4247" xr:uid="{D34B2123-338E-4641-9DB6-8A1A6F75F818}"/>
    <cellStyle name="Comma 7 4 3 2 2 2 2 2" xfId="8583" xr:uid="{FDD6DDC5-7DC7-4197-A45A-CDDE910D93E2}"/>
    <cellStyle name="Comma 7 4 3 2 2 2 2 2 2" xfId="17255" xr:uid="{7DC311CC-E991-41A3-866B-78EE1364D249}"/>
    <cellStyle name="Comma 7 4 3 2 2 2 2 2 2 2" xfId="34599" xr:uid="{B91CCF38-94B5-43BC-B75F-599CB2CA4352}"/>
    <cellStyle name="Comma 7 4 3 2 2 2 2 2 3" xfId="25927" xr:uid="{D7F18029-CDBD-425E-9979-AF4BF47D9E6E}"/>
    <cellStyle name="Comma 7 4 3 2 2 2 2 3" xfId="12919" xr:uid="{00E59507-AED7-4B4A-B1BE-B0C83C5BD958}"/>
    <cellStyle name="Comma 7 4 3 2 2 2 2 3 2" xfId="30263" xr:uid="{A87ED59B-D76B-417D-ABE2-5357A1E168AA}"/>
    <cellStyle name="Comma 7 4 3 2 2 2 2 4" xfId="21591" xr:uid="{3887698A-9CB4-4EF5-B2AE-6EEDAD79F9B2}"/>
    <cellStyle name="Comma 7 4 3 2 2 2 3" xfId="6415" xr:uid="{8FFD7EF2-201D-4C0D-80A4-58652AF01166}"/>
    <cellStyle name="Comma 7 4 3 2 2 2 3 2" xfId="15087" xr:uid="{EC11D9A4-185F-494C-B21D-D1A7FD99BE20}"/>
    <cellStyle name="Comma 7 4 3 2 2 2 3 2 2" xfId="32431" xr:uid="{3A08BCA0-CDAD-45CB-8959-D1466C295EAA}"/>
    <cellStyle name="Comma 7 4 3 2 2 2 3 3" xfId="23759" xr:uid="{966716A4-EF48-4560-8CF0-98C306FCF1DB}"/>
    <cellStyle name="Comma 7 4 3 2 2 2 4" xfId="10751" xr:uid="{92E5C06D-985C-4DB2-B000-F0FF8C168A3A}"/>
    <cellStyle name="Comma 7 4 3 2 2 2 4 2" xfId="28095" xr:uid="{2AC3CCCB-379D-4463-9315-A061D3A44046}"/>
    <cellStyle name="Comma 7 4 3 2 2 2 5" xfId="19423" xr:uid="{5E241662-30A3-4B59-B1E9-6CC5E5C77C99}"/>
    <cellStyle name="Comma 7 4 3 2 2 3" xfId="3163" xr:uid="{AFFDF408-1408-48D1-A841-FE4178734326}"/>
    <cellStyle name="Comma 7 4 3 2 2 3 2" xfId="7499" xr:uid="{9BD38C92-2217-4ADA-9C2F-8FA0A5AA7B9C}"/>
    <cellStyle name="Comma 7 4 3 2 2 3 2 2" xfId="16171" xr:uid="{1D96709E-6178-484A-A854-BD8597CFBAAA}"/>
    <cellStyle name="Comma 7 4 3 2 2 3 2 2 2" xfId="33515" xr:uid="{150BDA9C-6CEE-4A2C-A5CC-1823D5ECE5CD}"/>
    <cellStyle name="Comma 7 4 3 2 2 3 2 3" xfId="24843" xr:uid="{AD4699B1-3B0F-4B2A-8DC3-2020E5A7F6AC}"/>
    <cellStyle name="Comma 7 4 3 2 2 3 3" xfId="11835" xr:uid="{5C4C9F10-5F28-4CC9-905A-248D1BEAF624}"/>
    <cellStyle name="Comma 7 4 3 2 2 3 3 2" xfId="29179" xr:uid="{9345DE5A-6E3A-499E-8BB6-D517E4B4949F}"/>
    <cellStyle name="Comma 7 4 3 2 2 3 4" xfId="20507" xr:uid="{C2068CC4-A369-43A9-A363-E3C288C75306}"/>
    <cellStyle name="Comma 7 4 3 2 2 4" xfId="5331" xr:uid="{50163BD5-AA8A-4C40-A28C-FD2E75F9018A}"/>
    <cellStyle name="Comma 7 4 3 2 2 4 2" xfId="14003" xr:uid="{013AE5B2-2043-419C-9D63-1B0AF60336A4}"/>
    <cellStyle name="Comma 7 4 3 2 2 4 2 2" xfId="31347" xr:uid="{07B11713-280B-4A7B-8AC5-8AF5998EDB8E}"/>
    <cellStyle name="Comma 7 4 3 2 2 4 3" xfId="22675" xr:uid="{A42F0B3D-AE2A-4B28-B93B-D13384126366}"/>
    <cellStyle name="Comma 7 4 3 2 2 5" xfId="9667" xr:uid="{AE42D112-CF7A-4316-AA6D-E3A639D24A77}"/>
    <cellStyle name="Comma 7 4 3 2 2 5 2" xfId="27011" xr:uid="{9824884F-CE3B-4B9A-A48B-2CC526EAFACE}"/>
    <cellStyle name="Comma 7 4 3 2 2 6" xfId="18339" xr:uid="{30C3A54F-15BA-488A-A955-977C5EE225D4}"/>
    <cellStyle name="Comma 7 4 3 2 3" xfId="1538" xr:uid="{2AF20B90-949C-4FD0-BE0E-863D388725F0}"/>
    <cellStyle name="Comma 7 4 3 2 3 2" xfId="3706" xr:uid="{B051F244-A989-4A93-893A-EAB0DA4B878D}"/>
    <cellStyle name="Comma 7 4 3 2 3 2 2" xfId="8042" xr:uid="{5B1D54A9-D3EE-4FFB-ACAA-4F9C91749729}"/>
    <cellStyle name="Comma 7 4 3 2 3 2 2 2" xfId="16714" xr:uid="{4567E213-0850-4F3C-A80D-97E5BFDEAD8D}"/>
    <cellStyle name="Comma 7 4 3 2 3 2 2 2 2" xfId="34058" xr:uid="{6858B481-1853-4CA5-8594-CA090178C04E}"/>
    <cellStyle name="Comma 7 4 3 2 3 2 2 3" xfId="25386" xr:uid="{DA3E7399-29CE-4A26-B5E6-B9D09040EAED}"/>
    <cellStyle name="Comma 7 4 3 2 3 2 3" xfId="12378" xr:uid="{80D7C41F-A283-4E5B-9470-8F43270D4210}"/>
    <cellStyle name="Comma 7 4 3 2 3 2 3 2" xfId="29722" xr:uid="{5B7E8CD2-D5EE-4F05-98B5-421723595014}"/>
    <cellStyle name="Comma 7 4 3 2 3 2 4" xfId="21050" xr:uid="{4B2FF4C0-A358-40F2-AE7D-16F818E554E6}"/>
    <cellStyle name="Comma 7 4 3 2 3 3" xfId="5874" xr:uid="{2C11638B-F9AD-45B5-8D40-3BDC51509590}"/>
    <cellStyle name="Comma 7 4 3 2 3 3 2" xfId="14546" xr:uid="{F1A6D989-6F55-4BB4-8936-0F1E72FD4F60}"/>
    <cellStyle name="Comma 7 4 3 2 3 3 2 2" xfId="31890" xr:uid="{7B53430A-D818-406A-A996-E63DCEE65199}"/>
    <cellStyle name="Comma 7 4 3 2 3 3 3" xfId="23218" xr:uid="{87EA9C23-B8AE-47B9-8AB1-A808C68FE078}"/>
    <cellStyle name="Comma 7 4 3 2 3 4" xfId="10210" xr:uid="{FEB6AFE9-C9C4-4BFC-A5FA-3B5093EE0186}"/>
    <cellStyle name="Comma 7 4 3 2 3 4 2" xfId="27554" xr:uid="{A5C263C8-7175-451E-BFC5-01D95AF2B364}"/>
    <cellStyle name="Comma 7 4 3 2 3 5" xfId="18882" xr:uid="{5D711E8A-7B28-4A63-A5A6-CFB86E79200C}"/>
    <cellStyle name="Comma 7 4 3 2 4" xfId="2622" xr:uid="{27056AE1-31A2-420A-9F33-28EB0D1AF840}"/>
    <cellStyle name="Comma 7 4 3 2 4 2" xfId="6958" xr:uid="{EAD74266-FAB4-4151-A195-A988FE93BD74}"/>
    <cellStyle name="Comma 7 4 3 2 4 2 2" xfId="15630" xr:uid="{63B8CE6E-0D94-43FF-A4AE-F8F60BCB7A56}"/>
    <cellStyle name="Comma 7 4 3 2 4 2 2 2" xfId="32974" xr:uid="{5524D76D-BA3A-46E4-B860-9CBD37A7C74F}"/>
    <cellStyle name="Comma 7 4 3 2 4 2 3" xfId="24302" xr:uid="{1B6D3342-191B-4C99-B2AB-FFE5DA7236AC}"/>
    <cellStyle name="Comma 7 4 3 2 4 3" xfId="11294" xr:uid="{B80C668B-DAEF-413E-AED2-2E8573992355}"/>
    <cellStyle name="Comma 7 4 3 2 4 3 2" xfId="28638" xr:uid="{D470A2E4-99D5-4BC1-B500-AABC5380ECC7}"/>
    <cellStyle name="Comma 7 4 3 2 4 4" xfId="19966" xr:uid="{9C77EA9E-82D5-4039-AABF-F221E1F98FE4}"/>
    <cellStyle name="Comma 7 4 3 2 5" xfId="4790" xr:uid="{B37457E6-AAC3-44D5-8535-59A669BC7C69}"/>
    <cellStyle name="Comma 7 4 3 2 5 2" xfId="13462" xr:uid="{9D6BE62A-B9C0-45AF-AB04-5CEDF1E09E56}"/>
    <cellStyle name="Comma 7 4 3 2 5 2 2" xfId="30806" xr:uid="{A1FCE596-7846-4018-90DF-C368BD8E5543}"/>
    <cellStyle name="Comma 7 4 3 2 5 3" xfId="22134" xr:uid="{306467CC-8A65-468F-A5D9-6CE1E05CE792}"/>
    <cellStyle name="Comma 7 4 3 2 6" xfId="9126" xr:uid="{4CC3D10F-9350-4CF7-81A6-CDAD3CF3F680}"/>
    <cellStyle name="Comma 7 4 3 2 6 2" xfId="26470" xr:uid="{E0C7D123-5A17-4E4F-B964-C5AFD2FD1466}"/>
    <cellStyle name="Comma 7 4 3 2 7" xfId="17798" xr:uid="{0F9339CB-0467-4FB9-93A7-908E6319A0A1}"/>
    <cellStyle name="Comma 7 4 3 3" xfId="725" xr:uid="{F1BDAE56-2BEC-4785-A95B-047050AF8A45}"/>
    <cellStyle name="Comma 7 4 3 3 2" xfId="1809" xr:uid="{D3A006FC-22CA-4C61-8756-CEABD7F7CCD5}"/>
    <cellStyle name="Comma 7 4 3 3 2 2" xfId="3977" xr:uid="{DC42FDFA-0127-444A-8164-A8AA00AD910A}"/>
    <cellStyle name="Comma 7 4 3 3 2 2 2" xfId="8313" xr:uid="{459680A1-29C1-48DE-BC6C-A44928DA5142}"/>
    <cellStyle name="Comma 7 4 3 3 2 2 2 2" xfId="16985" xr:uid="{606505FA-250D-444F-A108-61154D640DE8}"/>
    <cellStyle name="Comma 7 4 3 3 2 2 2 2 2" xfId="34329" xr:uid="{7924358D-ABC6-408B-AC7A-32A4EBECEFC1}"/>
    <cellStyle name="Comma 7 4 3 3 2 2 2 3" xfId="25657" xr:uid="{5491F09D-B327-463A-B72A-7E92E61E5FD3}"/>
    <cellStyle name="Comma 7 4 3 3 2 2 3" xfId="12649" xr:uid="{EE060363-1BEA-4C73-A6E2-E8343C154258}"/>
    <cellStyle name="Comma 7 4 3 3 2 2 3 2" xfId="29993" xr:uid="{EE923EC1-AF0B-4583-B9BB-8E6A4B514F2F}"/>
    <cellStyle name="Comma 7 4 3 3 2 2 4" xfId="21321" xr:uid="{672C5AB7-3E76-47FB-8012-E82DF0D8701D}"/>
    <cellStyle name="Comma 7 4 3 3 2 3" xfId="6145" xr:uid="{EF4D342C-E0DA-4D0D-B0F1-46C4852EC7AA}"/>
    <cellStyle name="Comma 7 4 3 3 2 3 2" xfId="14817" xr:uid="{63EFD77A-C3BF-4E06-BCCB-6EA41865A07E}"/>
    <cellStyle name="Comma 7 4 3 3 2 3 2 2" xfId="32161" xr:uid="{41AE54DE-D310-479D-A4EB-3418C20AF1E0}"/>
    <cellStyle name="Comma 7 4 3 3 2 3 3" xfId="23489" xr:uid="{D652B03C-E56A-403B-AA9B-FED375F5B01E}"/>
    <cellStyle name="Comma 7 4 3 3 2 4" xfId="10481" xr:uid="{EAD2E63D-973A-43FF-A495-86FE192FE930}"/>
    <cellStyle name="Comma 7 4 3 3 2 4 2" xfId="27825" xr:uid="{A51F0114-6299-40B3-8053-D3CD241BCAF6}"/>
    <cellStyle name="Comma 7 4 3 3 2 5" xfId="19153" xr:uid="{A6C46CD0-3CCA-480A-B9B3-8685F818D42F}"/>
    <cellStyle name="Comma 7 4 3 3 3" xfId="2893" xr:uid="{1BF19E2F-462A-4A97-A570-D8A0084E6299}"/>
    <cellStyle name="Comma 7 4 3 3 3 2" xfId="7229" xr:uid="{CA04DDDF-ED7A-4F48-8B7F-F3A6457BC586}"/>
    <cellStyle name="Comma 7 4 3 3 3 2 2" xfId="15901" xr:uid="{2C7BF29A-48B5-4F83-BB9B-B2473B233793}"/>
    <cellStyle name="Comma 7 4 3 3 3 2 2 2" xfId="33245" xr:uid="{B23B8BA9-685F-47E9-AABF-E76115BEB8D2}"/>
    <cellStyle name="Comma 7 4 3 3 3 2 3" xfId="24573" xr:uid="{2ED12A0B-4608-4935-9942-80C7B98C396F}"/>
    <cellStyle name="Comma 7 4 3 3 3 3" xfId="11565" xr:uid="{29D52766-E426-4675-A7A8-59ECE4DFBC23}"/>
    <cellStyle name="Comma 7 4 3 3 3 3 2" xfId="28909" xr:uid="{D64DFB36-D2AD-4888-B614-30442F086E89}"/>
    <cellStyle name="Comma 7 4 3 3 3 4" xfId="20237" xr:uid="{4872413A-7DD0-4892-9DC7-6AD2233078DE}"/>
    <cellStyle name="Comma 7 4 3 3 4" xfId="5061" xr:uid="{34A53081-5868-4FDD-9085-3A39AC912A1F}"/>
    <cellStyle name="Comma 7 4 3 3 4 2" xfId="13733" xr:uid="{447ECE9B-B644-47AA-8479-9FA6ADA39E38}"/>
    <cellStyle name="Comma 7 4 3 3 4 2 2" xfId="31077" xr:uid="{A5EE009D-7A95-4042-B51B-3A9D40A21FE7}"/>
    <cellStyle name="Comma 7 4 3 3 4 3" xfId="22405" xr:uid="{888643C3-5ACF-48C2-B802-D3982CB37BD9}"/>
    <cellStyle name="Comma 7 4 3 3 5" xfId="9397" xr:uid="{37B1CEBA-77CA-42FA-BD51-85EFC66B11B1}"/>
    <cellStyle name="Comma 7 4 3 3 5 2" xfId="26741" xr:uid="{67E863BF-0204-4B0C-91DF-7BA0DD53D261}"/>
    <cellStyle name="Comma 7 4 3 3 6" xfId="18069" xr:uid="{10A95523-C10E-489F-9780-510CE62BCEEC}"/>
    <cellStyle name="Comma 7 4 3 4" xfId="1268" xr:uid="{229020FF-975C-4135-ADED-6CDD28AB85D5}"/>
    <cellStyle name="Comma 7 4 3 4 2" xfId="3436" xr:uid="{8DAF9960-A11D-461C-B2C4-C35F71DE1EB1}"/>
    <cellStyle name="Comma 7 4 3 4 2 2" xfId="7772" xr:uid="{7405DD27-C080-49AB-B11D-7D16643ADE50}"/>
    <cellStyle name="Comma 7 4 3 4 2 2 2" xfId="16444" xr:uid="{B2B6BFF2-08BF-4B41-AFF5-98D9504965C8}"/>
    <cellStyle name="Comma 7 4 3 4 2 2 2 2" xfId="33788" xr:uid="{DDD8F8C0-AEA1-46D4-92C1-27BFAF273F6D}"/>
    <cellStyle name="Comma 7 4 3 4 2 2 3" xfId="25116" xr:uid="{8E509A47-8ADC-4967-ACB4-04CDC7921163}"/>
    <cellStyle name="Comma 7 4 3 4 2 3" xfId="12108" xr:uid="{B499345D-A0BE-410C-9999-72797FAFC885}"/>
    <cellStyle name="Comma 7 4 3 4 2 3 2" xfId="29452" xr:uid="{3EBBE23E-C021-4CBD-8E1F-56B0095994F4}"/>
    <cellStyle name="Comma 7 4 3 4 2 4" xfId="20780" xr:uid="{DE4549A9-CD47-4534-BEDF-1976DF4AD24B}"/>
    <cellStyle name="Comma 7 4 3 4 3" xfId="5604" xr:uid="{C9049F00-14B2-43DB-B0FB-EBE4541DE56B}"/>
    <cellStyle name="Comma 7 4 3 4 3 2" xfId="14276" xr:uid="{147F6B96-CC3E-4AA6-89F5-56332198923B}"/>
    <cellStyle name="Comma 7 4 3 4 3 2 2" xfId="31620" xr:uid="{50FFC09A-2B67-4386-A131-CA2057644B22}"/>
    <cellStyle name="Comma 7 4 3 4 3 3" xfId="22948" xr:uid="{ADFB5226-D7D4-49D4-9E40-86EAD0E4F9D5}"/>
    <cellStyle name="Comma 7 4 3 4 4" xfId="9940" xr:uid="{9138514A-2F17-4B45-9379-10DBE62E9797}"/>
    <cellStyle name="Comma 7 4 3 4 4 2" xfId="27284" xr:uid="{DABD0193-EC2C-493E-AC38-95A54FEDBAAF}"/>
    <cellStyle name="Comma 7 4 3 4 5" xfId="18612" xr:uid="{63C73D6A-57F5-4356-9781-CDD16FD5D046}"/>
    <cellStyle name="Comma 7 4 3 5" xfId="2352" xr:uid="{DE823C21-6E4A-427E-9EDD-F0E20C46E928}"/>
    <cellStyle name="Comma 7 4 3 5 2" xfId="6688" xr:uid="{2A161913-7A97-4A4F-985A-DD39EFDC2D07}"/>
    <cellStyle name="Comma 7 4 3 5 2 2" xfId="15360" xr:uid="{FE9317BD-0B71-4B3A-8E72-A2B5AB477E8D}"/>
    <cellStyle name="Comma 7 4 3 5 2 2 2" xfId="32704" xr:uid="{435B9DD3-8EAD-4B6E-8821-114A3A62CF1C}"/>
    <cellStyle name="Comma 7 4 3 5 2 3" xfId="24032" xr:uid="{04F9DA14-BD4E-4253-9429-57C930FEAADC}"/>
    <cellStyle name="Comma 7 4 3 5 3" xfId="11024" xr:uid="{61D5A161-C962-40F7-81D5-4DD2A964A165}"/>
    <cellStyle name="Comma 7 4 3 5 3 2" xfId="28368" xr:uid="{07BEE8B4-36D9-44A5-97B7-1D3D5FDEDF59}"/>
    <cellStyle name="Comma 7 4 3 5 4" xfId="19696" xr:uid="{EE878390-19D5-4F5C-AE52-45E65251AEBE}"/>
    <cellStyle name="Comma 7 4 3 6" xfId="4520" xr:uid="{F1408FDD-4BFB-46FC-800C-46E115DB6A6C}"/>
    <cellStyle name="Comma 7 4 3 6 2" xfId="13192" xr:uid="{B4ABEE3B-A65B-4679-9FA2-6A43446A7A23}"/>
    <cellStyle name="Comma 7 4 3 6 2 2" xfId="30536" xr:uid="{15491705-B4A1-47E4-92E4-F1612FCC3A10}"/>
    <cellStyle name="Comma 7 4 3 6 3" xfId="21864" xr:uid="{5468216B-F3A4-44A6-AF97-6F8EF2A77DB6}"/>
    <cellStyle name="Comma 7 4 3 7" xfId="8856" xr:uid="{964DA978-D291-46F3-A660-97F604BCB850}"/>
    <cellStyle name="Comma 7 4 3 7 2" xfId="26200" xr:uid="{988CC255-FADF-4C80-B2C9-9AF241E0CEC0}"/>
    <cellStyle name="Comma 7 4 3 8" xfId="17528" xr:uid="{8B606C5E-0E60-49AE-B4D3-C4D44E17CDAE}"/>
    <cellStyle name="Comma 7 4 4" xfId="332" xr:uid="{6019FCAC-67B5-4DBF-A2BA-0F61BC4AEC1C}"/>
    <cellStyle name="Comma 7 4 4 2" xfId="873" xr:uid="{4FABF425-2794-471D-9279-4E4EEDE2B329}"/>
    <cellStyle name="Comma 7 4 4 2 2" xfId="1957" xr:uid="{19699102-B69C-4BF2-BC0E-7803FF6D402B}"/>
    <cellStyle name="Comma 7 4 4 2 2 2" xfId="4125" xr:uid="{45D4902F-5BE1-4534-A0B3-5D16ADBEE805}"/>
    <cellStyle name="Comma 7 4 4 2 2 2 2" xfId="8461" xr:uid="{1C1C6C08-9781-4567-9EBA-65CEB6EA454E}"/>
    <cellStyle name="Comma 7 4 4 2 2 2 2 2" xfId="17133" xr:uid="{8EE2C973-2851-4D30-8A98-BA437B292280}"/>
    <cellStyle name="Comma 7 4 4 2 2 2 2 2 2" xfId="34477" xr:uid="{150BF484-400F-4AC5-9DF1-5AF9474F1767}"/>
    <cellStyle name="Comma 7 4 4 2 2 2 2 3" xfId="25805" xr:uid="{06E37D58-0C93-46FD-8460-10F84B375B79}"/>
    <cellStyle name="Comma 7 4 4 2 2 2 3" xfId="12797" xr:uid="{E28DE8C0-87EC-4BC3-BC0A-B83292F020D1}"/>
    <cellStyle name="Comma 7 4 4 2 2 2 3 2" xfId="30141" xr:uid="{5CEB7B77-B659-445B-A7FE-7BA43287C157}"/>
    <cellStyle name="Comma 7 4 4 2 2 2 4" xfId="21469" xr:uid="{0E07AFD7-E2C3-45CB-8E37-A680B64D8193}"/>
    <cellStyle name="Comma 7 4 4 2 2 3" xfId="6293" xr:uid="{9C19BEBB-1262-4396-AEE0-BDB0B75ECE1B}"/>
    <cellStyle name="Comma 7 4 4 2 2 3 2" xfId="14965" xr:uid="{2823A875-5615-44E3-A3DE-16FF8D775AE5}"/>
    <cellStyle name="Comma 7 4 4 2 2 3 2 2" xfId="32309" xr:uid="{00A4D41A-28C1-4D64-B492-2F3E2E7F467E}"/>
    <cellStyle name="Comma 7 4 4 2 2 3 3" xfId="23637" xr:uid="{0127C6C0-BB97-42C5-B087-DAC697896838}"/>
    <cellStyle name="Comma 7 4 4 2 2 4" xfId="10629" xr:uid="{D6094B93-922A-47C9-902D-42BF1B7A79E0}"/>
    <cellStyle name="Comma 7 4 4 2 2 4 2" xfId="27973" xr:uid="{7524ECF4-147D-4267-8564-512EA11114E3}"/>
    <cellStyle name="Comma 7 4 4 2 2 5" xfId="19301" xr:uid="{E622BED2-28D3-495B-8A79-9F0BD5EB88A1}"/>
    <cellStyle name="Comma 7 4 4 2 3" xfId="3041" xr:uid="{422B6A4A-D75A-43DA-AE23-6D4C91418065}"/>
    <cellStyle name="Comma 7 4 4 2 3 2" xfId="7377" xr:uid="{4A66FF12-6963-43C6-B397-F4FD73A07301}"/>
    <cellStyle name="Comma 7 4 4 2 3 2 2" xfId="16049" xr:uid="{C293367A-6084-4CDE-A4F6-FD350D00331F}"/>
    <cellStyle name="Comma 7 4 4 2 3 2 2 2" xfId="33393" xr:uid="{841039BD-D9C4-46FD-98BE-C87497A91C61}"/>
    <cellStyle name="Comma 7 4 4 2 3 2 3" xfId="24721" xr:uid="{140124DB-E9E8-429F-BCD2-B569C7025F3E}"/>
    <cellStyle name="Comma 7 4 4 2 3 3" xfId="11713" xr:uid="{A3074ABD-E3AF-40E3-A49E-0A986D696FDB}"/>
    <cellStyle name="Comma 7 4 4 2 3 3 2" xfId="29057" xr:uid="{3E0B459D-5E76-4DAE-B99C-94E7C799713F}"/>
    <cellStyle name="Comma 7 4 4 2 3 4" xfId="20385" xr:uid="{6DEC9BB6-E1F7-454D-96FD-FE157454EB9F}"/>
    <cellStyle name="Comma 7 4 4 2 4" xfId="5209" xr:uid="{4F0BC6FC-0BF8-4AC5-AFAC-CEDB6F9F53F7}"/>
    <cellStyle name="Comma 7 4 4 2 4 2" xfId="13881" xr:uid="{3424147D-C0EA-4F90-95DF-37626B83EE67}"/>
    <cellStyle name="Comma 7 4 4 2 4 2 2" xfId="31225" xr:uid="{D260109D-B020-4897-A66A-0C734DE93C10}"/>
    <cellStyle name="Comma 7 4 4 2 4 3" xfId="22553" xr:uid="{20AAC9E2-85D0-41AE-A23E-0A4C1893DB2D}"/>
    <cellStyle name="Comma 7 4 4 2 5" xfId="9545" xr:uid="{A8C01E56-66D6-4B90-A80F-9E73127B4559}"/>
    <cellStyle name="Comma 7 4 4 2 5 2" xfId="26889" xr:uid="{8D78381D-74AA-4D52-B1A9-61AD9980C6F9}"/>
    <cellStyle name="Comma 7 4 4 2 6" xfId="18217" xr:uid="{AA52A250-4479-4A1A-8AB2-425090991218}"/>
    <cellStyle name="Comma 7 4 4 3" xfId="1416" xr:uid="{ADC45EF2-09E7-4E5C-AAF2-0F1097CF3F86}"/>
    <cellStyle name="Comma 7 4 4 3 2" xfId="3584" xr:uid="{F1B9BF0F-4F32-41A0-AC35-CC2B134EE233}"/>
    <cellStyle name="Comma 7 4 4 3 2 2" xfId="7920" xr:uid="{092568B6-43B5-448E-9B2D-D57ED3EA8BB3}"/>
    <cellStyle name="Comma 7 4 4 3 2 2 2" xfId="16592" xr:uid="{7712C905-1EA6-46BA-8968-93844188EE04}"/>
    <cellStyle name="Comma 7 4 4 3 2 2 2 2" xfId="33936" xr:uid="{7BA46F41-593B-4BC5-AD40-00034BF83DCC}"/>
    <cellStyle name="Comma 7 4 4 3 2 2 3" xfId="25264" xr:uid="{924E751E-99B5-4AB5-8341-94C33DF3BD1C}"/>
    <cellStyle name="Comma 7 4 4 3 2 3" xfId="12256" xr:uid="{C0859BF0-C1E3-43B0-B2C7-720440024202}"/>
    <cellStyle name="Comma 7 4 4 3 2 3 2" xfId="29600" xr:uid="{7884FDD5-7FAF-4862-AC56-8A4C9D35373B}"/>
    <cellStyle name="Comma 7 4 4 3 2 4" xfId="20928" xr:uid="{8C79441F-D4ED-4FAA-89FF-012B20F8F670}"/>
    <cellStyle name="Comma 7 4 4 3 3" xfId="5752" xr:uid="{188A0A0A-A259-42BC-800B-B964977E70C5}"/>
    <cellStyle name="Comma 7 4 4 3 3 2" xfId="14424" xr:uid="{124D048F-DA73-49C3-A50D-CCBBDA79B26A}"/>
    <cellStyle name="Comma 7 4 4 3 3 2 2" xfId="31768" xr:uid="{05ED1B9C-D7DC-42DB-9307-C170787ABA96}"/>
    <cellStyle name="Comma 7 4 4 3 3 3" xfId="23096" xr:uid="{2B3C860C-AE3B-4E46-B767-EC0573D020E0}"/>
    <cellStyle name="Comma 7 4 4 3 4" xfId="10088" xr:uid="{4E9349E8-FA48-48C6-9B9C-4D18B67F6AEB}"/>
    <cellStyle name="Comma 7 4 4 3 4 2" xfId="27432" xr:uid="{C45C9018-39B2-4302-B098-4D3B553DB715}"/>
    <cellStyle name="Comma 7 4 4 3 5" xfId="18760" xr:uid="{FA1401C5-C88D-4509-89EC-AB9E3F624487}"/>
    <cellStyle name="Comma 7 4 4 4" xfId="2500" xr:uid="{B0236098-3956-46A7-A1AD-B257FFCF8BF0}"/>
    <cellStyle name="Comma 7 4 4 4 2" xfId="6836" xr:uid="{B05F0925-92AA-4CE9-8CF8-C23FF8AB6DFC}"/>
    <cellStyle name="Comma 7 4 4 4 2 2" xfId="15508" xr:uid="{0550AB3D-290F-4373-8F27-9BD6DC44527D}"/>
    <cellStyle name="Comma 7 4 4 4 2 2 2" xfId="32852" xr:uid="{66D517B9-D72D-4DBA-A403-4809C283E29D}"/>
    <cellStyle name="Comma 7 4 4 4 2 3" xfId="24180" xr:uid="{43FCB82F-E3A7-40EB-8F62-DDB240C97596}"/>
    <cellStyle name="Comma 7 4 4 4 3" xfId="11172" xr:uid="{B91463D6-044E-4A37-91FD-83611FAF2C37}"/>
    <cellStyle name="Comma 7 4 4 4 3 2" xfId="28516" xr:uid="{64A78723-717C-4A5E-9883-248AC9C0A420}"/>
    <cellStyle name="Comma 7 4 4 4 4" xfId="19844" xr:uid="{6FCBFA92-328C-44BB-899A-E6064AE256D1}"/>
    <cellStyle name="Comma 7 4 4 5" xfId="4668" xr:uid="{69F5726B-D707-4EF4-9258-82DD2DEA2D04}"/>
    <cellStyle name="Comma 7 4 4 5 2" xfId="13340" xr:uid="{8030FF8F-C2B6-4D7E-A6EC-CBF2F51DA4AF}"/>
    <cellStyle name="Comma 7 4 4 5 2 2" xfId="30684" xr:uid="{AF8873B9-22BD-42EC-82B7-7BA3A81120AA}"/>
    <cellStyle name="Comma 7 4 4 5 3" xfId="22012" xr:uid="{8E7B9FD2-45BD-4660-8A20-1C09D821AF35}"/>
    <cellStyle name="Comma 7 4 4 6" xfId="9004" xr:uid="{07EE1CBE-E564-4A7A-A169-9C39BE1901EB}"/>
    <cellStyle name="Comma 7 4 4 6 2" xfId="26348" xr:uid="{9BB76737-2E15-43FB-B92A-2057B11618D6}"/>
    <cellStyle name="Comma 7 4 4 7" xfId="17676" xr:uid="{1DB44B51-54E8-47ED-8838-1C4EAE24D6C6}"/>
    <cellStyle name="Comma 7 4 5" xfId="603" xr:uid="{016F8EDE-2CB7-4927-BD17-5858685E2E97}"/>
    <cellStyle name="Comma 7 4 5 2" xfId="1687" xr:uid="{98D61737-BCA0-4967-9566-0FE58DCB203B}"/>
    <cellStyle name="Comma 7 4 5 2 2" xfId="3855" xr:uid="{1AB8D805-823E-4056-863F-F930A750E725}"/>
    <cellStyle name="Comma 7 4 5 2 2 2" xfId="8191" xr:uid="{30EA2F33-B4F7-41B1-AF8F-E28CE8409E59}"/>
    <cellStyle name="Comma 7 4 5 2 2 2 2" xfId="16863" xr:uid="{6BC4BC3E-CEFF-4CA6-8910-A33259B2075C}"/>
    <cellStyle name="Comma 7 4 5 2 2 2 2 2" xfId="34207" xr:uid="{D11FC89E-291F-4B52-B525-F901293BDAF8}"/>
    <cellStyle name="Comma 7 4 5 2 2 2 3" xfId="25535" xr:uid="{97118756-4E6F-4B54-978C-F004E249FFE3}"/>
    <cellStyle name="Comma 7 4 5 2 2 3" xfId="12527" xr:uid="{6513BB71-838C-4378-81B4-85B34CF51A7F}"/>
    <cellStyle name="Comma 7 4 5 2 2 3 2" xfId="29871" xr:uid="{4D41AC21-A881-40C2-963F-537397891F80}"/>
    <cellStyle name="Comma 7 4 5 2 2 4" xfId="21199" xr:uid="{E62B351E-0B6F-4351-B303-F1E11616D772}"/>
    <cellStyle name="Comma 7 4 5 2 3" xfId="6023" xr:uid="{8E467C50-78A1-4466-A5CA-50608A8B7A34}"/>
    <cellStyle name="Comma 7 4 5 2 3 2" xfId="14695" xr:uid="{7F65D579-263F-4AB6-ABBD-C41F8FF10A65}"/>
    <cellStyle name="Comma 7 4 5 2 3 2 2" xfId="32039" xr:uid="{4A1E30FA-762E-480F-9A83-12D60AB050A8}"/>
    <cellStyle name="Comma 7 4 5 2 3 3" xfId="23367" xr:uid="{BEB328EC-686D-4010-943B-B44B8FB8C7C7}"/>
    <cellStyle name="Comma 7 4 5 2 4" xfId="10359" xr:uid="{A78AAB09-B99F-4A3E-A636-2A3C39C5BDE3}"/>
    <cellStyle name="Comma 7 4 5 2 4 2" xfId="27703" xr:uid="{FAFAA15A-1D2B-402D-B9F6-5E83458B3F55}"/>
    <cellStyle name="Comma 7 4 5 2 5" xfId="19031" xr:uid="{94FCAE59-2FCC-413C-9EF9-424FF13B29F6}"/>
    <cellStyle name="Comma 7 4 5 3" xfId="2771" xr:uid="{E7FCE20A-009B-4345-9DCD-B6871F32ABA1}"/>
    <cellStyle name="Comma 7 4 5 3 2" xfId="7107" xr:uid="{3BAE7424-9DF3-4E06-9DAA-1EC9AE625EBC}"/>
    <cellStyle name="Comma 7 4 5 3 2 2" xfId="15779" xr:uid="{7427A8A9-4B1F-4FE1-843C-CAC0281B5014}"/>
    <cellStyle name="Comma 7 4 5 3 2 2 2" xfId="33123" xr:uid="{E357A011-B48D-48D6-9263-A5AF49F0BE0F}"/>
    <cellStyle name="Comma 7 4 5 3 2 3" xfId="24451" xr:uid="{84982AB4-7D0F-49DD-A8CB-3E7237ACB234}"/>
    <cellStyle name="Comma 7 4 5 3 3" xfId="11443" xr:uid="{8E9D671E-E4B5-4D77-BB9F-4CA5F7A206AD}"/>
    <cellStyle name="Comma 7 4 5 3 3 2" xfId="28787" xr:uid="{5DBB6449-B272-4A6F-BC92-C7DEBEE82DD8}"/>
    <cellStyle name="Comma 7 4 5 3 4" xfId="20115" xr:uid="{66F25A2E-8929-46F3-807B-9942A19F678F}"/>
    <cellStyle name="Comma 7 4 5 4" xfId="4939" xr:uid="{B2564CCB-2833-478D-8DB7-4A6B31EF7229}"/>
    <cellStyle name="Comma 7 4 5 4 2" xfId="13611" xr:uid="{34338E04-5098-4D9B-B07F-3961356C7856}"/>
    <cellStyle name="Comma 7 4 5 4 2 2" xfId="30955" xr:uid="{935DC9EB-E736-4A9F-B249-8CCB02FDD88F}"/>
    <cellStyle name="Comma 7 4 5 4 3" xfId="22283" xr:uid="{ECCD08FD-0F1B-432F-95BA-81A41886C906}"/>
    <cellStyle name="Comma 7 4 5 5" xfId="9275" xr:uid="{A384F68B-4173-48AD-A7F5-F67D8191944D}"/>
    <cellStyle name="Comma 7 4 5 5 2" xfId="26619" xr:uid="{8ED94EBB-1DD3-4511-9AB2-A7ADED1934FB}"/>
    <cellStyle name="Comma 7 4 5 6" xfId="17947" xr:uid="{A0F91A45-D413-452C-86F8-EE3A933E0763}"/>
    <cellStyle name="Comma 7 4 6" xfId="1146" xr:uid="{2CA00CB4-B71F-4A75-B0DE-BFB3CAA0831A}"/>
    <cellStyle name="Comma 7 4 6 2" xfId="3314" xr:uid="{B8BB3999-9FF7-43E0-92D6-72422A01F2D3}"/>
    <cellStyle name="Comma 7 4 6 2 2" xfId="7650" xr:uid="{53453892-6194-4CAB-A1EA-CB7E4F3D06D5}"/>
    <cellStyle name="Comma 7 4 6 2 2 2" xfId="16322" xr:uid="{A257677A-1300-451D-977E-9FB6E9590C82}"/>
    <cellStyle name="Comma 7 4 6 2 2 2 2" xfId="33666" xr:uid="{F4EBB559-557E-434F-B742-AD1391753D06}"/>
    <cellStyle name="Comma 7 4 6 2 2 3" xfId="24994" xr:uid="{7FE8CFE8-57B4-4540-AB7E-7D6DDC3D1DD0}"/>
    <cellStyle name="Comma 7 4 6 2 3" xfId="11986" xr:uid="{7E02EFF1-D692-477A-8E28-4FD8C477D888}"/>
    <cellStyle name="Comma 7 4 6 2 3 2" xfId="29330" xr:uid="{5B6A3E29-58BE-42E8-A4F8-BE5942AB71C9}"/>
    <cellStyle name="Comma 7 4 6 2 4" xfId="20658" xr:uid="{75A3C2C7-7CFF-469D-8D05-8774D8C9F025}"/>
    <cellStyle name="Comma 7 4 6 3" xfId="5482" xr:uid="{BF3B2FBF-2126-4D2E-A372-0E1728FB322F}"/>
    <cellStyle name="Comma 7 4 6 3 2" xfId="14154" xr:uid="{7B56DAA2-F7D8-4375-A2E9-892FE8D45ABE}"/>
    <cellStyle name="Comma 7 4 6 3 2 2" xfId="31498" xr:uid="{1DD3FB78-6498-4E52-9D8F-3D22D499C130}"/>
    <cellStyle name="Comma 7 4 6 3 3" xfId="22826" xr:uid="{3346E9E5-A5BA-4D9E-9A5D-68BAB6E2DB13}"/>
    <cellStyle name="Comma 7 4 6 4" xfId="9818" xr:uid="{F0BAA2D9-CE62-4C80-9984-BC0D852830E1}"/>
    <cellStyle name="Comma 7 4 6 4 2" xfId="27162" xr:uid="{E3197C73-6FE5-47C1-ADDA-FC1FA7349C3E}"/>
    <cellStyle name="Comma 7 4 6 5" xfId="18490" xr:uid="{953451F1-3120-490D-8BAE-603B750DBD81}"/>
    <cellStyle name="Comma 7 4 7" xfId="2230" xr:uid="{FE82DD4E-F868-4FF2-AB15-D6F609FCFB36}"/>
    <cellStyle name="Comma 7 4 7 2" xfId="6566" xr:uid="{5727E3E8-AF8B-45CB-8E7A-782AC13FA54F}"/>
    <cellStyle name="Comma 7 4 7 2 2" xfId="15238" xr:uid="{61CCB680-6A8C-408C-B8DB-D6FD5D2C641A}"/>
    <cellStyle name="Comma 7 4 7 2 2 2" xfId="32582" xr:uid="{DDDE2644-4A36-4C55-B47E-5F426F7A8F95}"/>
    <cellStyle name="Comma 7 4 7 2 3" xfId="23910" xr:uid="{12B10F71-FC72-4D4B-966F-5CDCEFD72650}"/>
    <cellStyle name="Comma 7 4 7 3" xfId="10902" xr:uid="{08A46220-5F3B-474F-A3FF-FD484A05974F}"/>
    <cellStyle name="Comma 7 4 7 3 2" xfId="28246" xr:uid="{8D08651F-9CDA-4CC4-826C-62BB480350A2}"/>
    <cellStyle name="Comma 7 4 7 4" xfId="19574" xr:uid="{AE4EFC6E-0505-432E-92BF-29652E02A04D}"/>
    <cellStyle name="Comma 7 4 8" xfId="4398" xr:uid="{C0029BE5-B7DC-45E0-847E-923E31A108F5}"/>
    <cellStyle name="Comma 7 4 8 2" xfId="13070" xr:uid="{4B343837-2AB9-4D4E-8CEA-9EE38E4C9AAF}"/>
    <cellStyle name="Comma 7 4 8 2 2" xfId="30414" xr:uid="{F82D98CD-74BF-46FD-BC4A-902E640C619E}"/>
    <cellStyle name="Comma 7 4 8 3" xfId="21742" xr:uid="{4613F2F3-B0A7-4E6C-B970-5EF719AA6E1C}"/>
    <cellStyle name="Comma 7 4 9" xfId="8734" xr:uid="{FF92B188-E33F-431E-9D54-A47A51C908DF}"/>
    <cellStyle name="Comma 7 4 9 2" xfId="26078" xr:uid="{53D44F92-94AC-4FC5-8EAC-92CCC0FE89FA}"/>
    <cellStyle name="Comma 7 5" xfId="75" xr:uid="{575F2078-4569-41B1-BE9B-BA05A386C8AC}"/>
    <cellStyle name="Comma 7 5 2" xfId="197" xr:uid="{0F5E60B6-CADC-480E-963D-B16774B19CA7}"/>
    <cellStyle name="Comma 7 5 2 2" xfId="467" xr:uid="{9740637A-C362-41BD-8478-0D2E8CDFA13C}"/>
    <cellStyle name="Comma 7 5 2 2 2" xfId="1008" xr:uid="{B0345FBB-2C71-4933-92D8-CD4A8ADD93C1}"/>
    <cellStyle name="Comma 7 5 2 2 2 2" xfId="2092" xr:uid="{4659DE73-E2F5-49E7-BB4D-0DB4F891CA75}"/>
    <cellStyle name="Comma 7 5 2 2 2 2 2" xfId="4260" xr:uid="{613A3CD4-EBDA-4771-9F52-EAA4F09B7D60}"/>
    <cellStyle name="Comma 7 5 2 2 2 2 2 2" xfId="8596" xr:uid="{EFE3FAE8-B391-4710-98ED-A3C634A8ED1F}"/>
    <cellStyle name="Comma 7 5 2 2 2 2 2 2 2" xfId="17268" xr:uid="{F79D3C1C-B15C-4B73-BCC9-0343A8D587EC}"/>
    <cellStyle name="Comma 7 5 2 2 2 2 2 2 2 2" xfId="34612" xr:uid="{11F84FC5-E606-4B5D-99A3-9D23B5217AD7}"/>
    <cellStyle name="Comma 7 5 2 2 2 2 2 2 3" xfId="25940" xr:uid="{D9BAAFC2-06A3-438F-A54E-D640C0080614}"/>
    <cellStyle name="Comma 7 5 2 2 2 2 2 3" xfId="12932" xr:uid="{26EA8763-DFC3-4C57-8EB8-D004A215DB6F}"/>
    <cellStyle name="Comma 7 5 2 2 2 2 2 3 2" xfId="30276" xr:uid="{785F1B6A-785E-427C-8A42-A70DAFA0C639}"/>
    <cellStyle name="Comma 7 5 2 2 2 2 2 4" xfId="21604" xr:uid="{59DC2131-B7B1-49B1-818D-87FC230704FA}"/>
    <cellStyle name="Comma 7 5 2 2 2 2 3" xfId="6428" xr:uid="{88813213-1E33-40CD-A85A-6CC479E4BD48}"/>
    <cellStyle name="Comma 7 5 2 2 2 2 3 2" xfId="15100" xr:uid="{37BFCE2F-1213-4167-8ED2-E5167D32B555}"/>
    <cellStyle name="Comma 7 5 2 2 2 2 3 2 2" xfId="32444" xr:uid="{8206790E-6ADE-423B-9A74-9A26A43CB414}"/>
    <cellStyle name="Comma 7 5 2 2 2 2 3 3" xfId="23772" xr:uid="{D089849A-3BD3-42FE-A346-3D2BB4931576}"/>
    <cellStyle name="Comma 7 5 2 2 2 2 4" xfId="10764" xr:uid="{DA6F9E6A-C610-4ABB-8E9B-D01AF24544DC}"/>
    <cellStyle name="Comma 7 5 2 2 2 2 4 2" xfId="28108" xr:uid="{052D1C0D-264F-499C-A8D6-40759EA2D5C2}"/>
    <cellStyle name="Comma 7 5 2 2 2 2 5" xfId="19436" xr:uid="{0786A479-58CE-46D9-B9F1-4A38E1301373}"/>
    <cellStyle name="Comma 7 5 2 2 2 3" xfId="3176" xr:uid="{00F3113B-B0F2-4DA1-B3FB-868241E73774}"/>
    <cellStyle name="Comma 7 5 2 2 2 3 2" xfId="7512" xr:uid="{C4543F54-21A0-42E6-A626-5C16B2869E52}"/>
    <cellStyle name="Comma 7 5 2 2 2 3 2 2" xfId="16184" xr:uid="{A54212BB-A85F-4694-A1E8-3408A645CAE8}"/>
    <cellStyle name="Comma 7 5 2 2 2 3 2 2 2" xfId="33528" xr:uid="{B0B5649A-E664-4705-B61C-335C91136E96}"/>
    <cellStyle name="Comma 7 5 2 2 2 3 2 3" xfId="24856" xr:uid="{73F85D60-700F-4FDF-965E-A23229D6052B}"/>
    <cellStyle name="Comma 7 5 2 2 2 3 3" xfId="11848" xr:uid="{81610F54-AD52-4CD8-8DE2-A08D344C5832}"/>
    <cellStyle name="Comma 7 5 2 2 2 3 3 2" xfId="29192" xr:uid="{D8BAF205-2515-4200-A91B-C78F6436720C}"/>
    <cellStyle name="Comma 7 5 2 2 2 3 4" xfId="20520" xr:uid="{AA044A2E-8DDE-4930-8E00-A6FBC93F7A75}"/>
    <cellStyle name="Comma 7 5 2 2 2 4" xfId="5344" xr:uid="{5A5C139C-8CBD-4BBC-95E3-6335892F0126}"/>
    <cellStyle name="Comma 7 5 2 2 2 4 2" xfId="14016" xr:uid="{D7752FAA-B108-46C1-92B4-B5D1A3BEA081}"/>
    <cellStyle name="Comma 7 5 2 2 2 4 2 2" xfId="31360" xr:uid="{D3DCCACF-C6F9-42AC-A125-258BE2E81389}"/>
    <cellStyle name="Comma 7 5 2 2 2 4 3" xfId="22688" xr:uid="{E8265B85-991F-475F-B5F7-4A45697340FC}"/>
    <cellStyle name="Comma 7 5 2 2 2 5" xfId="9680" xr:uid="{C8A8AD9D-54AA-4422-96E9-F00D53CCC07C}"/>
    <cellStyle name="Comma 7 5 2 2 2 5 2" xfId="27024" xr:uid="{A01A4870-25E1-434C-AF83-7D0E75E3AD26}"/>
    <cellStyle name="Comma 7 5 2 2 2 6" xfId="18352" xr:uid="{168B7394-1A81-4D49-9123-6A17228E5CED}"/>
    <cellStyle name="Comma 7 5 2 2 3" xfId="1551" xr:uid="{7EF65276-77BA-445A-9141-5046DBB599BE}"/>
    <cellStyle name="Comma 7 5 2 2 3 2" xfId="3719" xr:uid="{C4754B26-4C47-4710-B8F9-89F7EBE623FB}"/>
    <cellStyle name="Comma 7 5 2 2 3 2 2" xfId="8055" xr:uid="{07A741F7-9563-431A-ACE5-9B8F5523DC78}"/>
    <cellStyle name="Comma 7 5 2 2 3 2 2 2" xfId="16727" xr:uid="{33685CCB-8189-4E78-9F41-D81AE90F327D}"/>
    <cellStyle name="Comma 7 5 2 2 3 2 2 2 2" xfId="34071" xr:uid="{7C5A2875-5E7C-46C0-BDF6-C32209ECD292}"/>
    <cellStyle name="Comma 7 5 2 2 3 2 2 3" xfId="25399" xr:uid="{45F2DB1A-6008-4186-8B35-C540BAEBD380}"/>
    <cellStyle name="Comma 7 5 2 2 3 2 3" xfId="12391" xr:uid="{D128A330-37D6-4825-A1D6-7EF6D00C9050}"/>
    <cellStyle name="Comma 7 5 2 2 3 2 3 2" xfId="29735" xr:uid="{2778915D-CBA1-4EF7-93B0-86E61E5FCE3A}"/>
    <cellStyle name="Comma 7 5 2 2 3 2 4" xfId="21063" xr:uid="{22BE87EE-2108-4D42-9D54-D94946992256}"/>
    <cellStyle name="Comma 7 5 2 2 3 3" xfId="5887" xr:uid="{743403B1-2358-4222-A47F-50B932461EFD}"/>
    <cellStyle name="Comma 7 5 2 2 3 3 2" xfId="14559" xr:uid="{BA456575-E93F-4DCF-85C8-839D354EFAD3}"/>
    <cellStyle name="Comma 7 5 2 2 3 3 2 2" xfId="31903" xr:uid="{B735FADF-0547-4A16-A744-2C9954F6C923}"/>
    <cellStyle name="Comma 7 5 2 2 3 3 3" xfId="23231" xr:uid="{4B0D231E-45C2-49C4-A6F7-70289163A396}"/>
    <cellStyle name="Comma 7 5 2 2 3 4" xfId="10223" xr:uid="{FF7EFFE7-9C29-4374-85DA-F195F4F244A5}"/>
    <cellStyle name="Comma 7 5 2 2 3 4 2" xfId="27567" xr:uid="{1CD6DF93-B18A-4B53-B68E-9DB251679267}"/>
    <cellStyle name="Comma 7 5 2 2 3 5" xfId="18895" xr:uid="{559FD462-C393-4935-9C88-D51C7DDB3D69}"/>
    <cellStyle name="Comma 7 5 2 2 4" xfId="2635" xr:uid="{8AF27139-B7A1-4BFB-A444-00FA873279E6}"/>
    <cellStyle name="Comma 7 5 2 2 4 2" xfId="6971" xr:uid="{4807CEBF-E096-4680-AC9E-880AA4CD08A9}"/>
    <cellStyle name="Comma 7 5 2 2 4 2 2" xfId="15643" xr:uid="{163CA146-4171-4CDF-A2F7-5E32FE81B653}"/>
    <cellStyle name="Comma 7 5 2 2 4 2 2 2" xfId="32987" xr:uid="{AC19D31C-CABA-4877-A714-0E9A8808958F}"/>
    <cellStyle name="Comma 7 5 2 2 4 2 3" xfId="24315" xr:uid="{6E3E573E-C4A6-4D2F-8554-A02714717A16}"/>
    <cellStyle name="Comma 7 5 2 2 4 3" xfId="11307" xr:uid="{83713DFC-08A5-4C9E-9DAC-325DBD1C0E06}"/>
    <cellStyle name="Comma 7 5 2 2 4 3 2" xfId="28651" xr:uid="{67B6D4C5-0C74-4A93-AA3F-384F1B0B5594}"/>
    <cellStyle name="Comma 7 5 2 2 4 4" xfId="19979" xr:uid="{46456542-0BD3-42C0-AB74-6579DABD8B49}"/>
    <cellStyle name="Comma 7 5 2 2 5" xfId="4803" xr:uid="{CA41C5E5-73E5-4225-BCDA-3CAC9D4DDFFD}"/>
    <cellStyle name="Comma 7 5 2 2 5 2" xfId="13475" xr:uid="{7D39DF20-045F-4EC7-A1CD-5FF78FC04A1F}"/>
    <cellStyle name="Comma 7 5 2 2 5 2 2" xfId="30819" xr:uid="{97A4C2ED-BA1B-4B4B-A2D8-3775DA2E943A}"/>
    <cellStyle name="Comma 7 5 2 2 5 3" xfId="22147" xr:uid="{689D03BB-5A51-475C-8D63-7416579DEF7E}"/>
    <cellStyle name="Comma 7 5 2 2 6" xfId="9139" xr:uid="{C0EE9836-3B1D-4C98-82D1-279D83839578}"/>
    <cellStyle name="Comma 7 5 2 2 6 2" xfId="26483" xr:uid="{F7EF3A7A-BC6E-42C9-BF9F-C02C6A1B15E4}"/>
    <cellStyle name="Comma 7 5 2 2 7" xfId="17811" xr:uid="{34C82F2C-CDF6-4FB1-A384-8004BD2FE9BE}"/>
    <cellStyle name="Comma 7 5 2 3" xfId="738" xr:uid="{D43ECDAA-A0D4-4C3A-84AA-DB7FC160C4B6}"/>
    <cellStyle name="Comma 7 5 2 3 2" xfId="1822" xr:uid="{7E995470-A3DC-4C6B-8473-04B284E7C6D2}"/>
    <cellStyle name="Comma 7 5 2 3 2 2" xfId="3990" xr:uid="{7F3B5E78-8CBC-4906-8AD8-BFAD18ACA52A}"/>
    <cellStyle name="Comma 7 5 2 3 2 2 2" xfId="8326" xr:uid="{FD982F30-1379-4763-A4EC-E2806770BDD5}"/>
    <cellStyle name="Comma 7 5 2 3 2 2 2 2" xfId="16998" xr:uid="{17F845C2-E98B-4423-9162-83EA5255AE34}"/>
    <cellStyle name="Comma 7 5 2 3 2 2 2 2 2" xfId="34342" xr:uid="{CB254F04-205B-41ED-A256-857D11176AE0}"/>
    <cellStyle name="Comma 7 5 2 3 2 2 2 3" xfId="25670" xr:uid="{20513ED3-34D0-4044-9069-CF78179EFADC}"/>
    <cellStyle name="Comma 7 5 2 3 2 2 3" xfId="12662" xr:uid="{1F034438-5422-4836-96AB-A2BFB79804C3}"/>
    <cellStyle name="Comma 7 5 2 3 2 2 3 2" xfId="30006" xr:uid="{56A571EF-01EE-4EEE-8433-765A071D4B0F}"/>
    <cellStyle name="Comma 7 5 2 3 2 2 4" xfId="21334" xr:uid="{64976A41-8AE5-4F15-97B9-AB27FC821B70}"/>
    <cellStyle name="Comma 7 5 2 3 2 3" xfId="6158" xr:uid="{4E6DACB2-C854-4B58-8E2B-E3B983D98D0E}"/>
    <cellStyle name="Comma 7 5 2 3 2 3 2" xfId="14830" xr:uid="{4AC53864-8326-4B2B-A8E5-FE7E412A6383}"/>
    <cellStyle name="Comma 7 5 2 3 2 3 2 2" xfId="32174" xr:uid="{ECA840BA-FC1D-4ED2-93E2-3AE2C3C05FAC}"/>
    <cellStyle name="Comma 7 5 2 3 2 3 3" xfId="23502" xr:uid="{A5BB43F0-E14D-4DD3-B270-6F406E727C85}"/>
    <cellStyle name="Comma 7 5 2 3 2 4" xfId="10494" xr:uid="{07784A6C-B772-4F7E-A837-067893B57BEC}"/>
    <cellStyle name="Comma 7 5 2 3 2 4 2" xfId="27838" xr:uid="{A2071F36-E57C-4CA1-A5EF-55E8C78F2115}"/>
    <cellStyle name="Comma 7 5 2 3 2 5" xfId="19166" xr:uid="{C9D48936-AD03-461F-BDD1-61DF472277C0}"/>
    <cellStyle name="Comma 7 5 2 3 3" xfId="2906" xr:uid="{FCF8B30E-7256-4752-9E5D-490971ADC777}"/>
    <cellStyle name="Comma 7 5 2 3 3 2" xfId="7242" xr:uid="{36837BE6-AFC3-41BB-99C2-532ED3AA17FC}"/>
    <cellStyle name="Comma 7 5 2 3 3 2 2" xfId="15914" xr:uid="{1DC8EAEB-4C45-4F18-B60B-F2F638A2BC55}"/>
    <cellStyle name="Comma 7 5 2 3 3 2 2 2" xfId="33258" xr:uid="{9A3E73CE-D4E3-47B9-BDAC-CD2284CE5A9D}"/>
    <cellStyle name="Comma 7 5 2 3 3 2 3" xfId="24586" xr:uid="{CD6575FF-D0DC-4696-92C0-0E29CBD21581}"/>
    <cellStyle name="Comma 7 5 2 3 3 3" xfId="11578" xr:uid="{22F6BA33-4CF0-4D05-A85C-0F3DFCDEE32F}"/>
    <cellStyle name="Comma 7 5 2 3 3 3 2" xfId="28922" xr:uid="{EBC973F1-BB34-40C5-BF03-76C410B7C460}"/>
    <cellStyle name="Comma 7 5 2 3 3 4" xfId="20250" xr:uid="{684E43E0-42FE-4B60-8B09-35A80B052C0F}"/>
    <cellStyle name="Comma 7 5 2 3 4" xfId="5074" xr:uid="{67A70807-AC10-466C-AF15-574F2BC9E98A}"/>
    <cellStyle name="Comma 7 5 2 3 4 2" xfId="13746" xr:uid="{15012DB0-395A-406C-ACBE-4BE0A5DA93E0}"/>
    <cellStyle name="Comma 7 5 2 3 4 2 2" xfId="31090" xr:uid="{0FBE9FFF-1FFD-4EAD-8471-18815B37BA60}"/>
    <cellStyle name="Comma 7 5 2 3 4 3" xfId="22418" xr:uid="{B36FBE1D-1546-45FF-9595-DCC04FF7BBCE}"/>
    <cellStyle name="Comma 7 5 2 3 5" xfId="9410" xr:uid="{B08C7EB7-ED99-48F8-9175-611CD4BEFAC5}"/>
    <cellStyle name="Comma 7 5 2 3 5 2" xfId="26754" xr:uid="{8100952B-DC35-4805-BDBD-04E529746879}"/>
    <cellStyle name="Comma 7 5 2 3 6" xfId="18082" xr:uid="{A8CF3DEA-E776-4755-A994-A344C4AE13B2}"/>
    <cellStyle name="Comma 7 5 2 4" xfId="1281" xr:uid="{F8FD56CB-69AD-4E87-B89F-DE1DD28D4337}"/>
    <cellStyle name="Comma 7 5 2 4 2" xfId="3449" xr:uid="{372C96FF-DE68-4C38-B5C7-46940131514B}"/>
    <cellStyle name="Comma 7 5 2 4 2 2" xfId="7785" xr:uid="{7E537215-B873-45DE-90BB-D06C06A41BB8}"/>
    <cellStyle name="Comma 7 5 2 4 2 2 2" xfId="16457" xr:uid="{2D5BB01E-2D72-4860-9283-B36E93989254}"/>
    <cellStyle name="Comma 7 5 2 4 2 2 2 2" xfId="33801" xr:uid="{F0C6036E-F672-48B6-922C-07276FE2709E}"/>
    <cellStyle name="Comma 7 5 2 4 2 2 3" xfId="25129" xr:uid="{141C566C-5535-4BEA-A627-1ABB9C17E302}"/>
    <cellStyle name="Comma 7 5 2 4 2 3" xfId="12121" xr:uid="{611FA7C8-FF05-4A20-B703-0BE5C45F61F2}"/>
    <cellStyle name="Comma 7 5 2 4 2 3 2" xfId="29465" xr:uid="{AC1354E3-40C7-4916-8B7B-BB7608AD98E4}"/>
    <cellStyle name="Comma 7 5 2 4 2 4" xfId="20793" xr:uid="{7E0AD53B-7210-4BF6-9638-E90B6F76A111}"/>
    <cellStyle name="Comma 7 5 2 4 3" xfId="5617" xr:uid="{53F452B5-8B5A-4301-9D42-C552971F7BDD}"/>
    <cellStyle name="Comma 7 5 2 4 3 2" xfId="14289" xr:uid="{94A933B3-50AA-4585-A978-03EE7A68B591}"/>
    <cellStyle name="Comma 7 5 2 4 3 2 2" xfId="31633" xr:uid="{CA8ADC7C-4393-4068-AC92-6268C98F5404}"/>
    <cellStyle name="Comma 7 5 2 4 3 3" xfId="22961" xr:uid="{CA90169C-150F-4BED-B781-931D1A0452BA}"/>
    <cellStyle name="Comma 7 5 2 4 4" xfId="9953" xr:uid="{216C5E4D-76E3-4CBE-A97E-FAD37B195A9D}"/>
    <cellStyle name="Comma 7 5 2 4 4 2" xfId="27297" xr:uid="{9EDA6A44-423C-453F-9702-E89F9996CEA1}"/>
    <cellStyle name="Comma 7 5 2 4 5" xfId="18625" xr:uid="{D5B3EF4E-BFD1-453A-9634-52B970651D0A}"/>
    <cellStyle name="Comma 7 5 2 5" xfId="2365" xr:uid="{68680B20-29D9-499C-86B7-9C2AD04D094F}"/>
    <cellStyle name="Comma 7 5 2 5 2" xfId="6701" xr:uid="{BB3D1556-0CBC-4985-B6AC-9617A8D4451F}"/>
    <cellStyle name="Comma 7 5 2 5 2 2" xfId="15373" xr:uid="{EAFCEBD1-058A-46AC-8F4F-8BF8DE28ECF8}"/>
    <cellStyle name="Comma 7 5 2 5 2 2 2" xfId="32717" xr:uid="{8035F79E-8054-4D2D-8B8F-35C51CB66F6C}"/>
    <cellStyle name="Comma 7 5 2 5 2 3" xfId="24045" xr:uid="{EDAA528C-470A-4D93-9898-9ED2F7C32C1A}"/>
    <cellStyle name="Comma 7 5 2 5 3" xfId="11037" xr:uid="{E30E588B-7A38-4962-86BD-B28B9BB6F719}"/>
    <cellStyle name="Comma 7 5 2 5 3 2" xfId="28381" xr:uid="{6F90CEF6-319D-4B59-9D86-535E69588097}"/>
    <cellStyle name="Comma 7 5 2 5 4" xfId="19709" xr:uid="{89363CA2-516B-4052-B8A8-30ACAA95063F}"/>
    <cellStyle name="Comma 7 5 2 6" xfId="4533" xr:uid="{86FCEC07-03F0-4BB4-AFB9-C834CE0D8004}"/>
    <cellStyle name="Comma 7 5 2 6 2" xfId="13205" xr:uid="{90A86F68-A08E-4113-A793-1028F7238F7C}"/>
    <cellStyle name="Comma 7 5 2 6 2 2" xfId="30549" xr:uid="{682C9305-D995-4671-8A20-356CA5B286B0}"/>
    <cellStyle name="Comma 7 5 2 6 3" xfId="21877" xr:uid="{A8569ACE-D0B2-48AB-8AA8-24CD59539B32}"/>
    <cellStyle name="Comma 7 5 2 7" xfId="8869" xr:uid="{2BD745FB-8517-44EC-BAD3-4665CFBE7E4E}"/>
    <cellStyle name="Comma 7 5 2 7 2" xfId="26213" xr:uid="{3AAF11F1-A9A6-432B-A7FF-2B6ACA663EFD}"/>
    <cellStyle name="Comma 7 5 2 8" xfId="17541" xr:uid="{08332E1A-40DF-431C-AA8E-F10921CFEFE0}"/>
    <cellStyle name="Comma 7 5 3" xfId="345" xr:uid="{2C250470-9610-4980-8960-59990D6B452A}"/>
    <cellStyle name="Comma 7 5 3 2" xfId="886" xr:uid="{927A9517-1483-470E-9380-B34862077309}"/>
    <cellStyle name="Comma 7 5 3 2 2" xfId="1970" xr:uid="{B8AF6EB7-60C2-47AE-A3F6-64DB90183979}"/>
    <cellStyle name="Comma 7 5 3 2 2 2" xfId="4138" xr:uid="{354C200B-4D42-48F9-A1C1-8AB41FFD2ED4}"/>
    <cellStyle name="Comma 7 5 3 2 2 2 2" xfId="8474" xr:uid="{756B4F17-3FCF-4B0A-A887-6C171E8BD116}"/>
    <cellStyle name="Comma 7 5 3 2 2 2 2 2" xfId="17146" xr:uid="{70BE1C2D-9DBE-446C-A03C-96BEC79D13DA}"/>
    <cellStyle name="Comma 7 5 3 2 2 2 2 2 2" xfId="34490" xr:uid="{2159ED7E-7D97-4356-93B9-5D346CA558CF}"/>
    <cellStyle name="Comma 7 5 3 2 2 2 2 3" xfId="25818" xr:uid="{541B099E-2F6A-4AED-96A2-064D641A3BBF}"/>
    <cellStyle name="Comma 7 5 3 2 2 2 3" xfId="12810" xr:uid="{FD11F102-946F-432E-82C2-8FA9EA3E6BDB}"/>
    <cellStyle name="Comma 7 5 3 2 2 2 3 2" xfId="30154" xr:uid="{9DD82801-84FA-4F9F-9BA8-0165B0EDE86A}"/>
    <cellStyle name="Comma 7 5 3 2 2 2 4" xfId="21482" xr:uid="{56B86E2C-717E-4131-873B-D2970A097C0E}"/>
    <cellStyle name="Comma 7 5 3 2 2 3" xfId="6306" xr:uid="{22D07A1E-0542-428D-9208-77BDD9559B71}"/>
    <cellStyle name="Comma 7 5 3 2 2 3 2" xfId="14978" xr:uid="{A13FBBDD-D2B9-4E47-A461-F00AE842160D}"/>
    <cellStyle name="Comma 7 5 3 2 2 3 2 2" xfId="32322" xr:uid="{35DBD4A4-60D0-4920-88CC-C4C852B263F5}"/>
    <cellStyle name="Comma 7 5 3 2 2 3 3" xfId="23650" xr:uid="{38D448E4-E041-4DF6-88A6-95CF00311EA7}"/>
    <cellStyle name="Comma 7 5 3 2 2 4" xfId="10642" xr:uid="{D222CAE8-4E3F-4643-AB07-933ACCC1473D}"/>
    <cellStyle name="Comma 7 5 3 2 2 4 2" xfId="27986" xr:uid="{4DF12380-39DF-4777-8BF8-C9699E8D48D1}"/>
    <cellStyle name="Comma 7 5 3 2 2 5" xfId="19314" xr:uid="{0D26A24D-5295-4272-9913-ADDF359B4C3B}"/>
    <cellStyle name="Comma 7 5 3 2 3" xfId="3054" xr:uid="{8CB9F932-5793-48BF-9933-6C90061E4C40}"/>
    <cellStyle name="Comma 7 5 3 2 3 2" xfId="7390" xr:uid="{99AB7344-6DF4-4969-9518-E7E9F0E64C6D}"/>
    <cellStyle name="Comma 7 5 3 2 3 2 2" xfId="16062" xr:uid="{489EA800-0DF8-43A6-A535-B422AC9EF7A1}"/>
    <cellStyle name="Comma 7 5 3 2 3 2 2 2" xfId="33406" xr:uid="{746241A6-858D-4D9A-B58B-024979444183}"/>
    <cellStyle name="Comma 7 5 3 2 3 2 3" xfId="24734" xr:uid="{2F8FD4B4-94C7-4A53-ABE8-E85353BE3544}"/>
    <cellStyle name="Comma 7 5 3 2 3 3" xfId="11726" xr:uid="{B652484C-B07D-48DF-81F6-E6419F40959F}"/>
    <cellStyle name="Comma 7 5 3 2 3 3 2" xfId="29070" xr:uid="{F6094D72-3873-4D9F-A9A5-0CC295917B58}"/>
    <cellStyle name="Comma 7 5 3 2 3 4" xfId="20398" xr:uid="{577B47FA-0894-465F-921A-918201F9570C}"/>
    <cellStyle name="Comma 7 5 3 2 4" xfId="5222" xr:uid="{D395A875-097E-4DAB-929F-AA48AD855A4F}"/>
    <cellStyle name="Comma 7 5 3 2 4 2" xfId="13894" xr:uid="{1160900F-D372-4BEE-89E5-FC0A57CF62B3}"/>
    <cellStyle name="Comma 7 5 3 2 4 2 2" xfId="31238" xr:uid="{0751F991-1536-40B0-B088-B9589682ADFA}"/>
    <cellStyle name="Comma 7 5 3 2 4 3" xfId="22566" xr:uid="{10141674-88B7-4557-A14C-662B3C47B362}"/>
    <cellStyle name="Comma 7 5 3 2 5" xfId="9558" xr:uid="{7D331AB3-A81C-4027-9FE9-20B634805565}"/>
    <cellStyle name="Comma 7 5 3 2 5 2" xfId="26902" xr:uid="{2F841CBB-C515-4EB2-972C-E375A8F39D0E}"/>
    <cellStyle name="Comma 7 5 3 2 6" xfId="18230" xr:uid="{128514B3-5120-4999-8914-402E28045865}"/>
    <cellStyle name="Comma 7 5 3 3" xfId="1429" xr:uid="{A28A667F-D6E3-4E23-BB2F-B5CE2039E967}"/>
    <cellStyle name="Comma 7 5 3 3 2" xfId="3597" xr:uid="{BF776288-2301-45BB-A561-E085AE70F571}"/>
    <cellStyle name="Comma 7 5 3 3 2 2" xfId="7933" xr:uid="{38436837-2F77-4BFA-9875-21B8391495A7}"/>
    <cellStyle name="Comma 7 5 3 3 2 2 2" xfId="16605" xr:uid="{749971FD-945D-483E-A441-52AAA03454F9}"/>
    <cellStyle name="Comma 7 5 3 3 2 2 2 2" xfId="33949" xr:uid="{21004F69-7011-4FCB-B16F-D3C4FC9145E0}"/>
    <cellStyle name="Comma 7 5 3 3 2 2 3" xfId="25277" xr:uid="{1A138EF0-84A8-4470-9A4D-75172FAD44C2}"/>
    <cellStyle name="Comma 7 5 3 3 2 3" xfId="12269" xr:uid="{B61045F7-2D7F-4F88-85F6-C9935D1300C8}"/>
    <cellStyle name="Comma 7 5 3 3 2 3 2" xfId="29613" xr:uid="{7978604E-0DA8-4D71-B686-643E4F46AA2B}"/>
    <cellStyle name="Comma 7 5 3 3 2 4" xfId="20941" xr:uid="{0FFB3412-373B-478D-870D-A99D9C2893F7}"/>
    <cellStyle name="Comma 7 5 3 3 3" xfId="5765" xr:uid="{53F8BB17-AA40-4989-B432-7A1006EA0890}"/>
    <cellStyle name="Comma 7 5 3 3 3 2" xfId="14437" xr:uid="{46B17631-EE83-4CE3-9094-6BF3E62475E0}"/>
    <cellStyle name="Comma 7 5 3 3 3 2 2" xfId="31781" xr:uid="{DB56C0CC-D67D-44D2-8A07-6DE3D39CB804}"/>
    <cellStyle name="Comma 7 5 3 3 3 3" xfId="23109" xr:uid="{A8A4D2AF-A453-4C8A-8EFC-F7A24F38BFCA}"/>
    <cellStyle name="Comma 7 5 3 3 4" xfId="10101" xr:uid="{BFC897E9-203F-4B1A-9518-F61860CE45FF}"/>
    <cellStyle name="Comma 7 5 3 3 4 2" xfId="27445" xr:uid="{69927825-747D-46E9-8893-60E0DC9C0DDE}"/>
    <cellStyle name="Comma 7 5 3 3 5" xfId="18773" xr:uid="{B3502184-75EB-4D16-B47B-61D6895BAB90}"/>
    <cellStyle name="Comma 7 5 3 4" xfId="2513" xr:uid="{AC76E6FF-31BC-49BC-AABD-D8ABDAC82830}"/>
    <cellStyle name="Comma 7 5 3 4 2" xfId="6849" xr:uid="{588AB23E-1F77-43DE-8B4D-2F0FFF8D4A6C}"/>
    <cellStyle name="Comma 7 5 3 4 2 2" xfId="15521" xr:uid="{7B3878B8-7186-4C54-BEA9-72066E40898D}"/>
    <cellStyle name="Comma 7 5 3 4 2 2 2" xfId="32865" xr:uid="{962EC99C-2409-43ED-8015-E66DAB3564E9}"/>
    <cellStyle name="Comma 7 5 3 4 2 3" xfId="24193" xr:uid="{B9DCD422-6AC6-4064-9F2D-1A0A81B084F5}"/>
    <cellStyle name="Comma 7 5 3 4 3" xfId="11185" xr:uid="{694D90D5-4CAD-4107-B2EC-83476A542983}"/>
    <cellStyle name="Comma 7 5 3 4 3 2" xfId="28529" xr:uid="{B66DE3FB-FAEF-4195-8EA0-2103A54F6BA7}"/>
    <cellStyle name="Comma 7 5 3 4 4" xfId="19857" xr:uid="{FA684153-E8E6-47A2-A8C3-BCE197EA611B}"/>
    <cellStyle name="Comma 7 5 3 5" xfId="4681" xr:uid="{C5F3D117-8715-4192-B1E9-92F77899D258}"/>
    <cellStyle name="Comma 7 5 3 5 2" xfId="13353" xr:uid="{31F119B8-FE04-4880-B359-696B210D97AA}"/>
    <cellStyle name="Comma 7 5 3 5 2 2" xfId="30697" xr:uid="{7386167C-6483-45EC-ADAF-36230A38360B}"/>
    <cellStyle name="Comma 7 5 3 5 3" xfId="22025" xr:uid="{735BA13A-8762-4ED4-B271-93BB33DCB5F2}"/>
    <cellStyle name="Comma 7 5 3 6" xfId="9017" xr:uid="{11091968-B5DF-4BCF-A1DC-6983669FA36F}"/>
    <cellStyle name="Comma 7 5 3 6 2" xfId="26361" xr:uid="{E732CAE5-D919-4288-9051-13BA3F0CA614}"/>
    <cellStyle name="Comma 7 5 3 7" xfId="17689" xr:uid="{83442284-55F5-43E5-BC19-D8DD279B0A40}"/>
    <cellStyle name="Comma 7 5 4" xfId="616" xr:uid="{D6C3A22F-BB52-41B4-AEAA-C64706D739AE}"/>
    <cellStyle name="Comma 7 5 4 2" xfId="1700" xr:uid="{F0633A69-60FE-49D9-A339-C6AAED864A4D}"/>
    <cellStyle name="Comma 7 5 4 2 2" xfId="3868" xr:uid="{ED459234-A345-45BD-9D49-F6778BB39154}"/>
    <cellStyle name="Comma 7 5 4 2 2 2" xfId="8204" xr:uid="{11C2FFC5-A46B-40BE-B1D9-CC544D60CFC1}"/>
    <cellStyle name="Comma 7 5 4 2 2 2 2" xfId="16876" xr:uid="{F57F234B-2032-4FAC-B11D-5F4F3F1C2519}"/>
    <cellStyle name="Comma 7 5 4 2 2 2 2 2" xfId="34220" xr:uid="{1148BA3F-51EC-4B65-9DCB-0C6419EF2A24}"/>
    <cellStyle name="Comma 7 5 4 2 2 2 3" xfId="25548" xr:uid="{11119741-9666-4917-8633-B76FD0CEB952}"/>
    <cellStyle name="Comma 7 5 4 2 2 3" xfId="12540" xr:uid="{B3AFFDF4-12D1-45F7-BA85-B6BA3E60F352}"/>
    <cellStyle name="Comma 7 5 4 2 2 3 2" xfId="29884" xr:uid="{CE7CBFD1-4AC9-40F2-B863-05EFFE7F0B22}"/>
    <cellStyle name="Comma 7 5 4 2 2 4" xfId="21212" xr:uid="{D23B107A-AEB4-4178-A7E7-94B6C942BB03}"/>
    <cellStyle name="Comma 7 5 4 2 3" xfId="6036" xr:uid="{0B229037-34C7-4443-9CF1-66BDF5B31F3F}"/>
    <cellStyle name="Comma 7 5 4 2 3 2" xfId="14708" xr:uid="{3523FA0D-1ECB-49DD-8C6E-1F5D62C4BD3D}"/>
    <cellStyle name="Comma 7 5 4 2 3 2 2" xfId="32052" xr:uid="{32DE6C3F-8F0E-43BC-91EC-C5B038E461B3}"/>
    <cellStyle name="Comma 7 5 4 2 3 3" xfId="23380" xr:uid="{849E6429-B395-4CFF-B232-A2C9EC420D17}"/>
    <cellStyle name="Comma 7 5 4 2 4" xfId="10372" xr:uid="{7D9BFFBA-823A-4F4F-804F-A20DFFDF6C76}"/>
    <cellStyle name="Comma 7 5 4 2 4 2" xfId="27716" xr:uid="{35EEAE55-1559-4BB0-B734-2B712EBDA261}"/>
    <cellStyle name="Comma 7 5 4 2 5" xfId="19044" xr:uid="{733A413D-CB4F-4323-81EB-EC9BFBA8ADD5}"/>
    <cellStyle name="Comma 7 5 4 3" xfId="2784" xr:uid="{D4F745DF-3835-4E96-8C93-D0FAE8E47CFE}"/>
    <cellStyle name="Comma 7 5 4 3 2" xfId="7120" xr:uid="{1344C822-E499-4D4F-B36A-C108A28E0BD8}"/>
    <cellStyle name="Comma 7 5 4 3 2 2" xfId="15792" xr:uid="{A8FD57BD-377F-4BC4-B68C-A4761E37EBBE}"/>
    <cellStyle name="Comma 7 5 4 3 2 2 2" xfId="33136" xr:uid="{487FE3DB-5E86-48CA-BEA0-C85E32E25637}"/>
    <cellStyle name="Comma 7 5 4 3 2 3" xfId="24464" xr:uid="{F6161178-DCD5-4571-AF96-C613BDA1ABE6}"/>
    <cellStyle name="Comma 7 5 4 3 3" xfId="11456" xr:uid="{84EC8215-2D12-4F92-9968-90EF8FE7519A}"/>
    <cellStyle name="Comma 7 5 4 3 3 2" xfId="28800" xr:uid="{A2FBE3E1-AAAC-4EA7-9A57-F24C40085FA3}"/>
    <cellStyle name="Comma 7 5 4 3 4" xfId="20128" xr:uid="{0FCE9F98-1051-49BD-ACE5-27F497E72B6A}"/>
    <cellStyle name="Comma 7 5 4 4" xfId="4952" xr:uid="{BE6A40BB-ADAF-4A64-8B17-EAFA700C8E71}"/>
    <cellStyle name="Comma 7 5 4 4 2" xfId="13624" xr:uid="{6294B74B-6AE2-4802-A4AD-20C30D9B2C52}"/>
    <cellStyle name="Comma 7 5 4 4 2 2" xfId="30968" xr:uid="{5BC60E9F-799F-4E08-A8A8-0B78F3A65258}"/>
    <cellStyle name="Comma 7 5 4 4 3" xfId="22296" xr:uid="{4E914E34-CD0C-4110-A91F-C2BD4075914B}"/>
    <cellStyle name="Comma 7 5 4 5" xfId="9288" xr:uid="{3A64C59F-139E-48D7-865F-A2C7362FBD3A}"/>
    <cellStyle name="Comma 7 5 4 5 2" xfId="26632" xr:uid="{E1A8A458-A8C3-4F33-B956-15DC89CE7C8B}"/>
    <cellStyle name="Comma 7 5 4 6" xfId="17960" xr:uid="{4A6DC8D2-6A4B-432D-90EE-1E596E2BD65B}"/>
    <cellStyle name="Comma 7 5 5" xfId="1159" xr:uid="{3E14AE9C-FB35-4E85-B05A-33D0D66FF81D}"/>
    <cellStyle name="Comma 7 5 5 2" xfId="3327" xr:uid="{05C7AC0D-D4C7-4A13-8DDD-C1B4D20DD39B}"/>
    <cellStyle name="Comma 7 5 5 2 2" xfId="7663" xr:uid="{D66238C5-D572-4DEE-AEF6-65EBBFC67446}"/>
    <cellStyle name="Comma 7 5 5 2 2 2" xfId="16335" xr:uid="{F220C000-B35F-47A0-86D2-8135F97FEC0B}"/>
    <cellStyle name="Comma 7 5 5 2 2 2 2" xfId="33679" xr:uid="{C9476E15-DB16-42F1-B9DF-C71798A82462}"/>
    <cellStyle name="Comma 7 5 5 2 2 3" xfId="25007" xr:uid="{5D3CB618-3C3C-482B-8FC8-4BFE5C688E2D}"/>
    <cellStyle name="Comma 7 5 5 2 3" xfId="11999" xr:uid="{BD812CBC-88E9-44F7-AA1C-0EA0D80A7AB9}"/>
    <cellStyle name="Comma 7 5 5 2 3 2" xfId="29343" xr:uid="{9535E2D1-247D-426D-B05E-E64728BEB16C}"/>
    <cellStyle name="Comma 7 5 5 2 4" xfId="20671" xr:uid="{C62BF0F8-2619-4ABA-A49A-E65D03032F56}"/>
    <cellStyle name="Comma 7 5 5 3" xfId="5495" xr:uid="{E59DDDC3-207C-41AF-AAE9-828533FFC7DA}"/>
    <cellStyle name="Comma 7 5 5 3 2" xfId="14167" xr:uid="{05F9F836-9876-44FE-92CC-790FA873E07D}"/>
    <cellStyle name="Comma 7 5 5 3 2 2" xfId="31511" xr:uid="{CADE2CB7-A763-4A73-A418-EF30821419A0}"/>
    <cellStyle name="Comma 7 5 5 3 3" xfId="22839" xr:uid="{E075419B-F582-4CF6-8827-C3DE45924298}"/>
    <cellStyle name="Comma 7 5 5 4" xfId="9831" xr:uid="{5428F93C-7A36-4726-842C-3BD10D089C03}"/>
    <cellStyle name="Comma 7 5 5 4 2" xfId="27175" xr:uid="{F843B364-BEE2-4DD6-9919-B5475DBA5C6C}"/>
    <cellStyle name="Comma 7 5 5 5" xfId="18503" xr:uid="{9F1B63CE-D338-4499-9E7D-BFCD0A7EE7B0}"/>
    <cellStyle name="Comma 7 5 6" xfId="2243" xr:uid="{F5E76BF9-7270-4A46-A0B1-EFD159DB4100}"/>
    <cellStyle name="Comma 7 5 6 2" xfId="6579" xr:uid="{7062E03A-02D7-4FC4-A70A-3136EA5C38D7}"/>
    <cellStyle name="Comma 7 5 6 2 2" xfId="15251" xr:uid="{A6CD7B43-F2BD-4F11-81BD-F0496D31DD95}"/>
    <cellStyle name="Comma 7 5 6 2 2 2" xfId="32595" xr:uid="{3260D6D8-3F83-4D20-AC18-6125B042B709}"/>
    <cellStyle name="Comma 7 5 6 2 3" xfId="23923" xr:uid="{78E45725-A1B1-4292-948C-B44EC18B6912}"/>
    <cellStyle name="Comma 7 5 6 3" xfId="10915" xr:uid="{BBE1F317-BF36-4357-9A14-CA3FF9E003B8}"/>
    <cellStyle name="Comma 7 5 6 3 2" xfId="28259" xr:uid="{274EA000-17C9-4253-A6FF-47C2806A0477}"/>
    <cellStyle name="Comma 7 5 6 4" xfId="19587" xr:uid="{E753AB02-7987-4FFC-9994-089330B10DC1}"/>
    <cellStyle name="Comma 7 5 7" xfId="4411" xr:uid="{02EB1CE7-9182-47CB-AB20-108D20E28D80}"/>
    <cellStyle name="Comma 7 5 7 2" xfId="13083" xr:uid="{58BDA3BE-5F43-4847-8E2F-82BA6A4200A0}"/>
    <cellStyle name="Comma 7 5 7 2 2" xfId="30427" xr:uid="{BBCCE442-CD9D-420C-9ACC-6B16D9918BEF}"/>
    <cellStyle name="Comma 7 5 7 3" xfId="21755" xr:uid="{2C12C33A-2237-4115-8646-0F26FCDC030D}"/>
    <cellStyle name="Comma 7 5 8" xfId="8747" xr:uid="{C003B4CE-9950-461A-A7F6-54D9923EABD2}"/>
    <cellStyle name="Comma 7 5 8 2" xfId="26091" xr:uid="{D61984C6-423D-45F6-A842-8C3A03DAD164}"/>
    <cellStyle name="Comma 7 5 9" xfId="17419" xr:uid="{1BAEF2FE-BCD4-4E08-B5CF-0D19B8707DA2}"/>
    <cellStyle name="Comma 7 6" xfId="136" xr:uid="{C88A87B2-F3D7-488A-98AD-3245004BAF1C}"/>
    <cellStyle name="Comma 7 6 2" xfId="406" xr:uid="{4A2CDFEF-BEA4-4B08-90E6-4A58F76F54D6}"/>
    <cellStyle name="Comma 7 6 2 2" xfId="947" xr:uid="{8827E47A-0C24-47D6-84C2-A52BBD638E0E}"/>
    <cellStyle name="Comma 7 6 2 2 2" xfId="2031" xr:uid="{50433066-8C7B-4217-B255-8914FD92949F}"/>
    <cellStyle name="Comma 7 6 2 2 2 2" xfId="4199" xr:uid="{3051AD41-E176-4923-BED7-4849F4A7E6D1}"/>
    <cellStyle name="Comma 7 6 2 2 2 2 2" xfId="8535" xr:uid="{6190F1B8-0D82-4F5A-A1E3-690B138800E9}"/>
    <cellStyle name="Comma 7 6 2 2 2 2 2 2" xfId="17207" xr:uid="{5B82D704-6690-4AFB-BB78-C30AC82E5C51}"/>
    <cellStyle name="Comma 7 6 2 2 2 2 2 2 2" xfId="34551" xr:uid="{3E1EBB66-98FF-4C9C-879B-E302A24A6FE5}"/>
    <cellStyle name="Comma 7 6 2 2 2 2 2 3" xfId="25879" xr:uid="{C008089E-B3F5-4F9C-A273-5F10951066DE}"/>
    <cellStyle name="Comma 7 6 2 2 2 2 3" xfId="12871" xr:uid="{1BDDFF15-61B8-487A-A21B-87CB3620A2C1}"/>
    <cellStyle name="Comma 7 6 2 2 2 2 3 2" xfId="30215" xr:uid="{FF810DED-4EE3-4869-BF34-2ACEBB98E0F0}"/>
    <cellStyle name="Comma 7 6 2 2 2 2 4" xfId="21543" xr:uid="{E7E38344-1AB6-488F-86F6-608F2A44C5B3}"/>
    <cellStyle name="Comma 7 6 2 2 2 3" xfId="6367" xr:uid="{382E9FEF-626F-46C9-9070-7BBCC41EF7A5}"/>
    <cellStyle name="Comma 7 6 2 2 2 3 2" xfId="15039" xr:uid="{B37FF534-52F5-430B-87A4-53DEB647597A}"/>
    <cellStyle name="Comma 7 6 2 2 2 3 2 2" xfId="32383" xr:uid="{F80696B3-7951-473C-BC34-79E82F96C2E8}"/>
    <cellStyle name="Comma 7 6 2 2 2 3 3" xfId="23711" xr:uid="{C35999F4-1EF8-4F7E-B0A3-5691E0A9CF80}"/>
    <cellStyle name="Comma 7 6 2 2 2 4" xfId="10703" xr:uid="{43A3165B-959F-4B07-8F0D-172391B3EA4B}"/>
    <cellStyle name="Comma 7 6 2 2 2 4 2" xfId="28047" xr:uid="{1F5AAF8A-9B3D-4080-904B-D4AB0ADEC6D0}"/>
    <cellStyle name="Comma 7 6 2 2 2 5" xfId="19375" xr:uid="{A3B44726-1BD8-412D-9548-DFBA3323F15D}"/>
    <cellStyle name="Comma 7 6 2 2 3" xfId="3115" xr:uid="{80330F5F-98F7-4DC6-AA3A-6486BD0C20B8}"/>
    <cellStyle name="Comma 7 6 2 2 3 2" xfId="7451" xr:uid="{9EECF95B-F9F6-41E0-BBBB-9CFBBB0FE763}"/>
    <cellStyle name="Comma 7 6 2 2 3 2 2" xfId="16123" xr:uid="{1248A8F1-E464-479C-80C5-6BD5A95D5DDA}"/>
    <cellStyle name="Comma 7 6 2 2 3 2 2 2" xfId="33467" xr:uid="{2D91F1FB-556E-4475-B9ED-843B71F2276F}"/>
    <cellStyle name="Comma 7 6 2 2 3 2 3" xfId="24795" xr:uid="{AC678E10-6B6A-4E46-8F17-3790214C024C}"/>
    <cellStyle name="Comma 7 6 2 2 3 3" xfId="11787" xr:uid="{26FD795E-4279-4E28-9C57-8DB12C3EFBB0}"/>
    <cellStyle name="Comma 7 6 2 2 3 3 2" xfId="29131" xr:uid="{CB41E0A6-62DD-4952-9760-239DDD396126}"/>
    <cellStyle name="Comma 7 6 2 2 3 4" xfId="20459" xr:uid="{AC4A1AD4-9E23-4F11-BBDD-3C4E4E8C05B7}"/>
    <cellStyle name="Comma 7 6 2 2 4" xfId="5283" xr:uid="{C118A8F9-7AEA-4012-AE95-714C0A2AF2F1}"/>
    <cellStyle name="Comma 7 6 2 2 4 2" xfId="13955" xr:uid="{0B9B842E-CAC7-4E69-B8DC-BBA27C65A7B4}"/>
    <cellStyle name="Comma 7 6 2 2 4 2 2" xfId="31299" xr:uid="{CD99B0B1-7FC0-4264-AA24-76AB25CF8839}"/>
    <cellStyle name="Comma 7 6 2 2 4 3" xfId="22627" xr:uid="{B92D3272-09B6-4E85-A820-D21B0776566E}"/>
    <cellStyle name="Comma 7 6 2 2 5" xfId="9619" xr:uid="{378C6FD1-3548-487C-9798-893F4124605F}"/>
    <cellStyle name="Comma 7 6 2 2 5 2" xfId="26963" xr:uid="{C2705D04-8FDF-4461-A03A-3CFFB92C004A}"/>
    <cellStyle name="Comma 7 6 2 2 6" xfId="18291" xr:uid="{364D5BC7-FEEC-4498-B2CD-EA6FAE5787D2}"/>
    <cellStyle name="Comma 7 6 2 3" xfId="1490" xr:uid="{6990BDC0-97C4-4A50-A4E1-7E9F15DA88A3}"/>
    <cellStyle name="Comma 7 6 2 3 2" xfId="3658" xr:uid="{D8942059-D930-4790-A0CD-9AF4BCE75478}"/>
    <cellStyle name="Comma 7 6 2 3 2 2" xfId="7994" xr:uid="{B7008AB0-A032-41E9-AE46-9C563041D2C5}"/>
    <cellStyle name="Comma 7 6 2 3 2 2 2" xfId="16666" xr:uid="{9E7A8688-8F57-4BE5-A847-633FE3495B40}"/>
    <cellStyle name="Comma 7 6 2 3 2 2 2 2" xfId="34010" xr:uid="{5BD697A2-46C9-4442-AE8B-0C3A58209482}"/>
    <cellStyle name="Comma 7 6 2 3 2 2 3" xfId="25338" xr:uid="{13DD474D-67FF-4D18-A16C-4F79278E162D}"/>
    <cellStyle name="Comma 7 6 2 3 2 3" xfId="12330" xr:uid="{FD11357A-966D-40EE-9983-DA842BA94006}"/>
    <cellStyle name="Comma 7 6 2 3 2 3 2" xfId="29674" xr:uid="{A6A5EB58-6AB8-485E-84B1-D158C693096C}"/>
    <cellStyle name="Comma 7 6 2 3 2 4" xfId="21002" xr:uid="{C41624BF-15A2-4649-B4DF-B74853975989}"/>
    <cellStyle name="Comma 7 6 2 3 3" xfId="5826" xr:uid="{90AD01A8-54D7-47F4-B2AC-A984595089DB}"/>
    <cellStyle name="Comma 7 6 2 3 3 2" xfId="14498" xr:uid="{3D469202-0ED9-41B2-BAA3-D36DAF5D08D5}"/>
    <cellStyle name="Comma 7 6 2 3 3 2 2" xfId="31842" xr:uid="{0A70D66A-E48C-40F3-A0D7-E354CF5AEF02}"/>
    <cellStyle name="Comma 7 6 2 3 3 3" xfId="23170" xr:uid="{00E7AFCF-918E-4424-BE08-08B9D2916AA7}"/>
    <cellStyle name="Comma 7 6 2 3 4" xfId="10162" xr:uid="{389ACD38-B8B1-42A9-8BD4-BC60617674E1}"/>
    <cellStyle name="Comma 7 6 2 3 4 2" xfId="27506" xr:uid="{C8A94238-D951-4180-99A5-210DCAF04C2C}"/>
    <cellStyle name="Comma 7 6 2 3 5" xfId="18834" xr:uid="{E08313E8-03C5-4C92-98A7-906A55EF87F6}"/>
    <cellStyle name="Comma 7 6 2 4" xfId="2574" xr:uid="{E39EDE24-19BD-4BE4-AED1-84813D61987B}"/>
    <cellStyle name="Comma 7 6 2 4 2" xfId="6910" xr:uid="{E5B1094C-B40A-4B2A-BCC2-D2FADD4C738F}"/>
    <cellStyle name="Comma 7 6 2 4 2 2" xfId="15582" xr:uid="{09756957-5D04-4DA3-97FD-3555212376C2}"/>
    <cellStyle name="Comma 7 6 2 4 2 2 2" xfId="32926" xr:uid="{EC187B48-773A-4E25-BEB0-EE03F1709925}"/>
    <cellStyle name="Comma 7 6 2 4 2 3" xfId="24254" xr:uid="{DC5F902B-2558-4C10-8915-90D3FAB2E5CD}"/>
    <cellStyle name="Comma 7 6 2 4 3" xfId="11246" xr:uid="{06A59064-3563-4F0F-85C4-98158BCB9514}"/>
    <cellStyle name="Comma 7 6 2 4 3 2" xfId="28590" xr:uid="{14870A79-34A8-4625-AED4-C927E48510A7}"/>
    <cellStyle name="Comma 7 6 2 4 4" xfId="19918" xr:uid="{8FA66AB2-38BA-48D4-8E6A-8B00975F174A}"/>
    <cellStyle name="Comma 7 6 2 5" xfId="4742" xr:uid="{6BD69230-748C-4459-BF59-FB426E1B5694}"/>
    <cellStyle name="Comma 7 6 2 5 2" xfId="13414" xr:uid="{1ACBBAA9-64FD-4C5A-A93A-F0D97646AD8F}"/>
    <cellStyle name="Comma 7 6 2 5 2 2" xfId="30758" xr:uid="{50276910-C1E7-499F-9F16-77BA6886664F}"/>
    <cellStyle name="Comma 7 6 2 5 3" xfId="22086" xr:uid="{9F024EA6-8ADB-45AE-94F2-F1C484EF9E4C}"/>
    <cellStyle name="Comma 7 6 2 6" xfId="9078" xr:uid="{561FF9AA-37C8-4663-A651-307D0AF140CE}"/>
    <cellStyle name="Comma 7 6 2 6 2" xfId="26422" xr:uid="{6C7B19DE-838F-43E6-A0E9-59839A0229E7}"/>
    <cellStyle name="Comma 7 6 2 7" xfId="17750" xr:uid="{8D657F60-5C12-43B6-9CB6-B81AEE914158}"/>
    <cellStyle name="Comma 7 6 3" xfId="677" xr:uid="{EE15C787-5166-430F-9334-D23F79B5CEDE}"/>
    <cellStyle name="Comma 7 6 3 2" xfId="1761" xr:uid="{53C1DFD7-519B-47B2-81CD-0AC67822B048}"/>
    <cellStyle name="Comma 7 6 3 2 2" xfId="3929" xr:uid="{666617C8-3212-471D-AF5F-619EDD7F21F6}"/>
    <cellStyle name="Comma 7 6 3 2 2 2" xfId="8265" xr:uid="{985723AC-B436-418A-B00F-4AED79632A5E}"/>
    <cellStyle name="Comma 7 6 3 2 2 2 2" xfId="16937" xr:uid="{80E27F2A-5A61-40F3-972B-537718E82C59}"/>
    <cellStyle name="Comma 7 6 3 2 2 2 2 2" xfId="34281" xr:uid="{D5DFA376-9FEB-4F5F-90DC-7E76F11C6852}"/>
    <cellStyle name="Comma 7 6 3 2 2 2 3" xfId="25609" xr:uid="{2DA9BA85-C309-4DDA-B93E-5357C10CC4B8}"/>
    <cellStyle name="Comma 7 6 3 2 2 3" xfId="12601" xr:uid="{5B9EB43E-6D59-4128-8F86-37ACCA1F2488}"/>
    <cellStyle name="Comma 7 6 3 2 2 3 2" xfId="29945" xr:uid="{14EC14E5-2595-4526-B8FA-CCFE01320CD2}"/>
    <cellStyle name="Comma 7 6 3 2 2 4" xfId="21273" xr:uid="{41F18C0D-1EA1-4B8C-829A-6A07912CED41}"/>
    <cellStyle name="Comma 7 6 3 2 3" xfId="6097" xr:uid="{AD4FF364-22A3-4170-AC3F-7A58A0FD83F3}"/>
    <cellStyle name="Comma 7 6 3 2 3 2" xfId="14769" xr:uid="{CEB08D0E-5D67-41C6-AD12-5C1D58818B18}"/>
    <cellStyle name="Comma 7 6 3 2 3 2 2" xfId="32113" xr:uid="{14234B33-93E9-43E3-A445-47AFBA9EAF66}"/>
    <cellStyle name="Comma 7 6 3 2 3 3" xfId="23441" xr:uid="{B1649350-249B-438A-926A-E0CC90959B7A}"/>
    <cellStyle name="Comma 7 6 3 2 4" xfId="10433" xr:uid="{C05A337D-0496-4BB0-B5B2-C20CA771E5D2}"/>
    <cellStyle name="Comma 7 6 3 2 4 2" xfId="27777" xr:uid="{D7CA1509-D3E7-4780-A402-5859E670510F}"/>
    <cellStyle name="Comma 7 6 3 2 5" xfId="19105" xr:uid="{C264F0D8-95C2-45B8-B934-042FEA5ACE41}"/>
    <cellStyle name="Comma 7 6 3 3" xfId="2845" xr:uid="{78A0EFB4-7997-4306-9672-EB51BBDCFD37}"/>
    <cellStyle name="Comma 7 6 3 3 2" xfId="7181" xr:uid="{E190AD3C-C946-4A45-9548-DA151382E435}"/>
    <cellStyle name="Comma 7 6 3 3 2 2" xfId="15853" xr:uid="{659C2C39-0712-432C-9B60-72575CB6CD58}"/>
    <cellStyle name="Comma 7 6 3 3 2 2 2" xfId="33197" xr:uid="{0A88B9B0-5CA5-4FD3-BF11-49AF79BB9AA4}"/>
    <cellStyle name="Comma 7 6 3 3 2 3" xfId="24525" xr:uid="{ACAACEC0-074F-48BB-990B-EA01AA5ECDF8}"/>
    <cellStyle name="Comma 7 6 3 3 3" xfId="11517" xr:uid="{6F229DD8-B1CE-4473-95EA-46074E31AE14}"/>
    <cellStyle name="Comma 7 6 3 3 3 2" xfId="28861" xr:uid="{E91C18C4-CD4E-4597-87C7-24339270939E}"/>
    <cellStyle name="Comma 7 6 3 3 4" xfId="20189" xr:uid="{410C5520-4836-4C49-AAC8-13D61A2E090B}"/>
    <cellStyle name="Comma 7 6 3 4" xfId="5013" xr:uid="{9AE83E86-0EE9-4ED6-AA7D-1641652F30E3}"/>
    <cellStyle name="Comma 7 6 3 4 2" xfId="13685" xr:uid="{5FC043D5-96FE-4A38-AA93-25E548F680D4}"/>
    <cellStyle name="Comma 7 6 3 4 2 2" xfId="31029" xr:uid="{CB851357-E799-414D-920F-B0A200955B6C}"/>
    <cellStyle name="Comma 7 6 3 4 3" xfId="22357" xr:uid="{4F7BCD90-DA11-4022-8F3E-99E8E8C734B7}"/>
    <cellStyle name="Comma 7 6 3 5" xfId="9349" xr:uid="{CC53F4EA-BBAA-408C-B0DF-5B37E037CD3D}"/>
    <cellStyle name="Comma 7 6 3 5 2" xfId="26693" xr:uid="{BFED2775-D8CA-429B-A22D-B9586FB3F185}"/>
    <cellStyle name="Comma 7 6 3 6" xfId="18021" xr:uid="{7A2314AF-12EB-41FA-B3CD-11DDF36786C8}"/>
    <cellStyle name="Comma 7 6 4" xfId="1220" xr:uid="{55BCEA14-B87C-43A2-A89B-E94D3FA51AD8}"/>
    <cellStyle name="Comma 7 6 4 2" xfId="3388" xr:uid="{FFEC19ED-B3E5-4029-B5C0-E2DCD5F8E69C}"/>
    <cellStyle name="Comma 7 6 4 2 2" xfId="7724" xr:uid="{98D5C908-070B-44E0-B935-C55AAAB0FBFB}"/>
    <cellStyle name="Comma 7 6 4 2 2 2" xfId="16396" xr:uid="{57F24BAD-8C9C-49D7-89D0-127BCEBE0ACD}"/>
    <cellStyle name="Comma 7 6 4 2 2 2 2" xfId="33740" xr:uid="{817172B5-46D6-4BB2-A1F3-913745E02FAE}"/>
    <cellStyle name="Comma 7 6 4 2 2 3" xfId="25068" xr:uid="{B44D5087-2E11-4BD0-8CC9-075F5AC4418F}"/>
    <cellStyle name="Comma 7 6 4 2 3" xfId="12060" xr:uid="{D2C872DB-6D36-4F16-8AB8-F014CA08F95C}"/>
    <cellStyle name="Comma 7 6 4 2 3 2" xfId="29404" xr:uid="{4BB65B9D-54D1-4B41-98A7-C0505122FF07}"/>
    <cellStyle name="Comma 7 6 4 2 4" xfId="20732" xr:uid="{422FC368-D9D8-480A-8C6B-485FB52B4B3F}"/>
    <cellStyle name="Comma 7 6 4 3" xfId="5556" xr:uid="{3DB345DB-6CCD-4B98-B462-8912ABC0293B}"/>
    <cellStyle name="Comma 7 6 4 3 2" xfId="14228" xr:uid="{95FB54D8-F815-4339-BCD4-DC2898D53867}"/>
    <cellStyle name="Comma 7 6 4 3 2 2" xfId="31572" xr:uid="{D0CFB13A-D956-421D-B607-85B6C90D9475}"/>
    <cellStyle name="Comma 7 6 4 3 3" xfId="22900" xr:uid="{9C16C337-0A58-4B22-9592-7BEC2C642974}"/>
    <cellStyle name="Comma 7 6 4 4" xfId="9892" xr:uid="{3946DCAB-4799-4BDF-AC67-124541BD8CE7}"/>
    <cellStyle name="Comma 7 6 4 4 2" xfId="27236" xr:uid="{D76552AF-EE46-48C9-BEEC-57F858BF3A1D}"/>
    <cellStyle name="Comma 7 6 4 5" xfId="18564" xr:uid="{EE6B361E-F6D3-4773-8620-9BB2F8D45235}"/>
    <cellStyle name="Comma 7 6 5" xfId="2304" xr:uid="{666B2C9C-88C1-4A4D-AA4E-7C352A79E948}"/>
    <cellStyle name="Comma 7 6 5 2" xfId="6640" xr:uid="{027CB9AE-64EA-4EEE-8AEF-ADAF91A2DC26}"/>
    <cellStyle name="Comma 7 6 5 2 2" xfId="15312" xr:uid="{BBA36A3A-8F2B-4A62-B660-1676B1F36EA8}"/>
    <cellStyle name="Comma 7 6 5 2 2 2" xfId="32656" xr:uid="{BE52080A-B5A0-4746-BA75-EDA5B670AF8C}"/>
    <cellStyle name="Comma 7 6 5 2 3" xfId="23984" xr:uid="{5AE1F24C-B8DA-4B5A-8102-A1214F817AA6}"/>
    <cellStyle name="Comma 7 6 5 3" xfId="10976" xr:uid="{F4198DA6-B838-4D8D-9241-4DAD59538CDA}"/>
    <cellStyle name="Comma 7 6 5 3 2" xfId="28320" xr:uid="{DA7A56C8-2488-47B7-8E2C-008AAF887EF5}"/>
    <cellStyle name="Comma 7 6 5 4" xfId="19648" xr:uid="{636F8A72-7AC9-465A-95EB-3FD1FA2FEFCF}"/>
    <cellStyle name="Comma 7 6 6" xfId="4472" xr:uid="{DDB3061B-E9F7-45A0-9CA3-3DC8844EC3DF}"/>
    <cellStyle name="Comma 7 6 6 2" xfId="13144" xr:uid="{04A5620D-8098-4250-867D-60942726BF59}"/>
    <cellStyle name="Comma 7 6 6 2 2" xfId="30488" xr:uid="{8031387E-3695-427C-9806-3CCCBD6E2D54}"/>
    <cellStyle name="Comma 7 6 6 3" xfId="21816" xr:uid="{7BCE77EA-9C09-4FE8-B685-C0DA66DAEA72}"/>
    <cellStyle name="Comma 7 6 7" xfId="8808" xr:uid="{4A33DBE4-9441-4E7C-ACA0-825761816B00}"/>
    <cellStyle name="Comma 7 6 7 2" xfId="26152" xr:uid="{BDEBFB2A-EFBA-42ED-AC85-99BEEAE8BA27}"/>
    <cellStyle name="Comma 7 6 8" xfId="17480" xr:uid="{33FB75FE-C47E-4625-BF90-1DD18BA15F0A}"/>
    <cellStyle name="Comma 7 7" xfId="248" xr:uid="{D457C808-7411-42DA-A069-A4AF247D6573}"/>
    <cellStyle name="Comma 7 7 2" xfId="518" xr:uid="{873CA500-FF3B-4987-BF7F-9807F45A56AD}"/>
    <cellStyle name="Comma 7 7 2 2" xfId="1059" xr:uid="{58C8DF7F-B0D0-4644-910A-6453E57939AF}"/>
    <cellStyle name="Comma 7 7 2 2 2" xfId="2143" xr:uid="{37F3C34D-F6E5-4848-91BA-F570200727F7}"/>
    <cellStyle name="Comma 7 7 2 2 2 2" xfId="4311" xr:uid="{E57A38B0-A8D6-4B79-BC34-4D452C96AF0E}"/>
    <cellStyle name="Comma 7 7 2 2 2 2 2" xfId="8647" xr:uid="{5AE0AB93-AC52-4D33-A4B1-5AD7445074E5}"/>
    <cellStyle name="Comma 7 7 2 2 2 2 2 2" xfId="17319" xr:uid="{463B4A3D-4A40-4EA2-ABF9-C710FC0A0D9F}"/>
    <cellStyle name="Comma 7 7 2 2 2 2 2 2 2" xfId="34663" xr:uid="{EE01F99D-6271-4F39-A6ED-AF9ED157DD20}"/>
    <cellStyle name="Comma 7 7 2 2 2 2 2 3" xfId="25991" xr:uid="{3E8EA5DD-E2A6-4079-A374-65E89607EF7F}"/>
    <cellStyle name="Comma 7 7 2 2 2 2 3" xfId="12983" xr:uid="{0AFBA17F-E057-4618-A230-DD2BDFA9301E}"/>
    <cellStyle name="Comma 7 7 2 2 2 2 3 2" xfId="30327" xr:uid="{7ADFEE9C-1CA7-4E55-BD26-A649A49B53DA}"/>
    <cellStyle name="Comma 7 7 2 2 2 2 4" xfId="21655" xr:uid="{D6496112-2568-4368-AF84-83631B9DE80A}"/>
    <cellStyle name="Comma 7 7 2 2 2 3" xfId="6479" xr:uid="{C4468073-1653-40D8-BF3D-5ECF09A37C3B}"/>
    <cellStyle name="Comma 7 7 2 2 2 3 2" xfId="15151" xr:uid="{7F204298-BC31-443C-9D0E-8C3D0D8B2A2C}"/>
    <cellStyle name="Comma 7 7 2 2 2 3 2 2" xfId="32495" xr:uid="{B526EEE9-5044-427F-9664-771DF9032BF7}"/>
    <cellStyle name="Comma 7 7 2 2 2 3 3" xfId="23823" xr:uid="{F5CEB634-05DA-4507-A1D5-E0AD1755E394}"/>
    <cellStyle name="Comma 7 7 2 2 2 4" xfId="10815" xr:uid="{B79EAAED-5DA5-4D03-93F7-13794B410079}"/>
    <cellStyle name="Comma 7 7 2 2 2 4 2" xfId="28159" xr:uid="{4448AF81-0594-455D-92C9-9BCA8589344F}"/>
    <cellStyle name="Comma 7 7 2 2 2 5" xfId="19487" xr:uid="{40B40DFA-57C8-448C-8EDD-B45ECE501EBE}"/>
    <cellStyle name="Comma 7 7 2 2 3" xfId="3227" xr:uid="{6E92048A-B19E-470A-8168-FA38C4AAEEF2}"/>
    <cellStyle name="Comma 7 7 2 2 3 2" xfId="7563" xr:uid="{4DBFC452-6EC6-4678-8AC4-C4C5545CA0ED}"/>
    <cellStyle name="Comma 7 7 2 2 3 2 2" xfId="16235" xr:uid="{048A1B40-F18B-4C98-840C-0A08B69AAD95}"/>
    <cellStyle name="Comma 7 7 2 2 3 2 2 2" xfId="33579" xr:uid="{BC778CC0-D30D-4141-89E7-B04C40108F36}"/>
    <cellStyle name="Comma 7 7 2 2 3 2 3" xfId="24907" xr:uid="{B71D6D0A-C377-4AFD-B6F2-7ACB4E4EE33C}"/>
    <cellStyle name="Comma 7 7 2 2 3 3" xfId="11899" xr:uid="{83F40BCA-8CF1-4F5B-B685-C637AFC2D4A0}"/>
    <cellStyle name="Comma 7 7 2 2 3 3 2" xfId="29243" xr:uid="{3A73282F-F251-471D-9CBC-41AA79E0B8F6}"/>
    <cellStyle name="Comma 7 7 2 2 3 4" xfId="20571" xr:uid="{783D4F84-909B-4A17-B4E5-AF1593806EAF}"/>
    <cellStyle name="Comma 7 7 2 2 4" xfId="5395" xr:uid="{C6FA9A65-6D61-4D85-B9F9-91A76BB44959}"/>
    <cellStyle name="Comma 7 7 2 2 4 2" xfId="14067" xr:uid="{1916B211-46EF-48A9-A237-B23D8879AC99}"/>
    <cellStyle name="Comma 7 7 2 2 4 2 2" xfId="31411" xr:uid="{864CE926-5B81-4002-905C-532932FFAF90}"/>
    <cellStyle name="Comma 7 7 2 2 4 3" xfId="22739" xr:uid="{BE82ABAB-7F58-4445-8FDC-B37EA8424AF1}"/>
    <cellStyle name="Comma 7 7 2 2 5" xfId="9731" xr:uid="{A75A5BED-6D06-44DE-B663-4D88A287F633}"/>
    <cellStyle name="Comma 7 7 2 2 5 2" xfId="27075" xr:uid="{881A9A7F-E01E-45D1-BD7A-691EFDF918E6}"/>
    <cellStyle name="Comma 7 7 2 2 6" xfId="18403" xr:uid="{1081D82B-4ED9-45DD-ABEF-9CA359CDF4F0}"/>
    <cellStyle name="Comma 7 7 2 3" xfId="1602" xr:uid="{43D943EF-FDE5-4F71-9330-92A4A0A830DC}"/>
    <cellStyle name="Comma 7 7 2 3 2" xfId="3770" xr:uid="{18E80738-D80E-4B75-A7DC-EFBDA68B36C3}"/>
    <cellStyle name="Comma 7 7 2 3 2 2" xfId="8106" xr:uid="{A5B5B5AF-F52B-4E81-9B76-3401FF8220AA}"/>
    <cellStyle name="Comma 7 7 2 3 2 2 2" xfId="16778" xr:uid="{A8584090-380F-441D-97D2-BD75CD13646A}"/>
    <cellStyle name="Comma 7 7 2 3 2 2 2 2" xfId="34122" xr:uid="{9813E0AB-2B64-4783-8309-30B7AD66CF26}"/>
    <cellStyle name="Comma 7 7 2 3 2 2 3" xfId="25450" xr:uid="{144F7FA2-03DE-449E-8FDF-021B482C1891}"/>
    <cellStyle name="Comma 7 7 2 3 2 3" xfId="12442" xr:uid="{2F921D76-0FBC-4370-B746-0E3E39750900}"/>
    <cellStyle name="Comma 7 7 2 3 2 3 2" xfId="29786" xr:uid="{8C8DFE88-F32D-44FD-9F64-B2EC61001989}"/>
    <cellStyle name="Comma 7 7 2 3 2 4" xfId="21114" xr:uid="{4CB75E7F-5FF5-42A2-81C7-5F4410C75B26}"/>
    <cellStyle name="Comma 7 7 2 3 3" xfId="5938" xr:uid="{3305DD95-FE4F-4C51-B5A9-E5EBBA80EDAD}"/>
    <cellStyle name="Comma 7 7 2 3 3 2" xfId="14610" xr:uid="{87D8819A-DC6F-48B4-BE14-F395982884C0}"/>
    <cellStyle name="Comma 7 7 2 3 3 2 2" xfId="31954" xr:uid="{D115C1CB-6D28-4DC7-8700-F1C2C2D0B41B}"/>
    <cellStyle name="Comma 7 7 2 3 3 3" xfId="23282" xr:uid="{5011E8F7-5280-4171-ACE7-4E9379FDC729}"/>
    <cellStyle name="Comma 7 7 2 3 4" xfId="10274" xr:uid="{3CD2CBA2-33A8-4565-AB4F-3A7110206F62}"/>
    <cellStyle name="Comma 7 7 2 3 4 2" xfId="27618" xr:uid="{70BFCDF4-50BE-4FF5-8D00-F77CD0270D99}"/>
    <cellStyle name="Comma 7 7 2 3 5" xfId="18946" xr:uid="{86203D60-2424-4059-B57C-73B8C703AFC0}"/>
    <cellStyle name="Comma 7 7 2 4" xfId="2686" xr:uid="{97FCD68E-F3CA-488C-9474-D57E035F189B}"/>
    <cellStyle name="Comma 7 7 2 4 2" xfId="7022" xr:uid="{C4232F77-7D93-4E58-9F7D-3D97358B9FB6}"/>
    <cellStyle name="Comma 7 7 2 4 2 2" xfId="15694" xr:uid="{48C7F45D-5A86-4595-9D5A-DA95CC65BAAC}"/>
    <cellStyle name="Comma 7 7 2 4 2 2 2" xfId="33038" xr:uid="{49305FD2-AB20-4818-9D96-9546DCFA4299}"/>
    <cellStyle name="Comma 7 7 2 4 2 3" xfId="24366" xr:uid="{EA302878-14BC-4735-A22D-6D215D6144CE}"/>
    <cellStyle name="Comma 7 7 2 4 3" xfId="11358" xr:uid="{1AE63887-92C5-4E2B-8742-8D070126AFD0}"/>
    <cellStyle name="Comma 7 7 2 4 3 2" xfId="28702" xr:uid="{18DE8C80-C0FE-42A3-8955-F51F6CAD4DAE}"/>
    <cellStyle name="Comma 7 7 2 4 4" xfId="20030" xr:uid="{450F41A9-1651-491F-A8B6-D02E888F4D13}"/>
    <cellStyle name="Comma 7 7 2 5" xfId="4854" xr:uid="{83D56294-967F-4225-9A48-4BB3DA098B20}"/>
    <cellStyle name="Comma 7 7 2 5 2" xfId="13526" xr:uid="{7F971110-84E6-4975-9711-DB2F0F15758E}"/>
    <cellStyle name="Comma 7 7 2 5 2 2" xfId="30870" xr:uid="{CECDDA8F-2BEF-4399-9C01-1BE8B558CD12}"/>
    <cellStyle name="Comma 7 7 2 5 3" xfId="22198" xr:uid="{CF38B81F-9C1A-44C9-BBCA-60EEA1004717}"/>
    <cellStyle name="Comma 7 7 2 6" xfId="9190" xr:uid="{7AD988F9-7BFE-4F10-83DA-EA7DA27CD8D0}"/>
    <cellStyle name="Comma 7 7 2 6 2" xfId="26534" xr:uid="{89A82A95-2FDD-48FC-B8C4-7250FFDBA454}"/>
    <cellStyle name="Comma 7 7 2 7" xfId="17862" xr:uid="{A86EA34D-077A-4372-9E5B-16F52C60622A}"/>
    <cellStyle name="Comma 7 7 3" xfId="789" xr:uid="{BDAC09BC-325C-4C63-81D6-50555C6D468E}"/>
    <cellStyle name="Comma 7 7 3 2" xfId="1873" xr:uid="{F25DAE13-ED2C-45E2-976D-2DB323ECFF4E}"/>
    <cellStyle name="Comma 7 7 3 2 2" xfId="4041" xr:uid="{1FD9FE4C-D9FF-449A-BE50-970D69E78B8F}"/>
    <cellStyle name="Comma 7 7 3 2 2 2" xfId="8377" xr:uid="{9F6C72EF-8B15-4CAF-ADE3-EA393768ACC7}"/>
    <cellStyle name="Comma 7 7 3 2 2 2 2" xfId="17049" xr:uid="{F2409193-45EF-4BE5-A00F-5FFE6E36608B}"/>
    <cellStyle name="Comma 7 7 3 2 2 2 2 2" xfId="34393" xr:uid="{48C7C6FF-46FF-4DCE-B949-4E7B602A851E}"/>
    <cellStyle name="Comma 7 7 3 2 2 2 3" xfId="25721" xr:uid="{5732E8B8-6343-44CF-93E4-0E5CEF5C7C5D}"/>
    <cellStyle name="Comma 7 7 3 2 2 3" xfId="12713" xr:uid="{7A2AD27C-58A0-4FD6-AB42-66AC3804F13A}"/>
    <cellStyle name="Comma 7 7 3 2 2 3 2" xfId="30057" xr:uid="{B00697D8-333F-4F26-BE56-37476FD3D071}"/>
    <cellStyle name="Comma 7 7 3 2 2 4" xfId="21385" xr:uid="{B987CDD9-4DB3-4BB4-B488-B053BCD476F2}"/>
    <cellStyle name="Comma 7 7 3 2 3" xfId="6209" xr:uid="{9636C4C7-0A1F-400F-8E5F-5EE70E85B7CF}"/>
    <cellStyle name="Comma 7 7 3 2 3 2" xfId="14881" xr:uid="{DF19874F-3204-4144-AF3D-ECD0C0DF74AE}"/>
    <cellStyle name="Comma 7 7 3 2 3 2 2" xfId="32225" xr:uid="{7F3DCE39-473B-4962-A6C3-AA020DCFB3C0}"/>
    <cellStyle name="Comma 7 7 3 2 3 3" xfId="23553" xr:uid="{EBECB9E3-CAE6-4B9C-B3AB-C2A6F333523F}"/>
    <cellStyle name="Comma 7 7 3 2 4" xfId="10545" xr:uid="{4D715F35-C8EB-4C7F-A4DD-93AB82C6C3EC}"/>
    <cellStyle name="Comma 7 7 3 2 4 2" xfId="27889" xr:uid="{DA1C89DD-D2BD-4611-A1B6-A81933E7E31F}"/>
    <cellStyle name="Comma 7 7 3 2 5" xfId="19217" xr:uid="{F20A75D3-1ECA-41AA-A92D-D91D1C45DC10}"/>
    <cellStyle name="Comma 7 7 3 3" xfId="2957" xr:uid="{7150B7DB-AFE4-40BF-AD43-A2A78CE52E4C}"/>
    <cellStyle name="Comma 7 7 3 3 2" xfId="7293" xr:uid="{E005EF30-97A4-4E68-8546-867CC3FAA8A4}"/>
    <cellStyle name="Comma 7 7 3 3 2 2" xfId="15965" xr:uid="{93FA839A-02BD-4981-9B14-31BE488962B4}"/>
    <cellStyle name="Comma 7 7 3 3 2 2 2" xfId="33309" xr:uid="{6C5E2C3C-FAC2-4F2D-B51C-21EA83DB4286}"/>
    <cellStyle name="Comma 7 7 3 3 2 3" xfId="24637" xr:uid="{3F5F24CE-01B9-48FD-BAD8-055C3E87D63C}"/>
    <cellStyle name="Comma 7 7 3 3 3" xfId="11629" xr:uid="{B3187FB4-AC77-4232-A073-D9C1A874494E}"/>
    <cellStyle name="Comma 7 7 3 3 3 2" xfId="28973" xr:uid="{45E088DA-F4ED-484F-A5AE-ECB03A9DE9A0}"/>
    <cellStyle name="Comma 7 7 3 3 4" xfId="20301" xr:uid="{2C946430-B3AD-4756-A580-C1D7E4ED1253}"/>
    <cellStyle name="Comma 7 7 3 4" xfId="5125" xr:uid="{B2F26B32-7D93-4C3C-A2CD-3FD0661367F3}"/>
    <cellStyle name="Comma 7 7 3 4 2" xfId="13797" xr:uid="{48046A24-DED1-4936-99A2-050B84018461}"/>
    <cellStyle name="Comma 7 7 3 4 2 2" xfId="31141" xr:uid="{DF0A77A4-02D9-41AC-9EB6-33299C9EB0D5}"/>
    <cellStyle name="Comma 7 7 3 4 3" xfId="22469" xr:uid="{D6C7A6A9-13D7-4011-B064-434F920A6DA0}"/>
    <cellStyle name="Comma 7 7 3 5" xfId="9461" xr:uid="{8361AD67-27CE-4D07-A451-FD24645FC1EB}"/>
    <cellStyle name="Comma 7 7 3 5 2" xfId="26805" xr:uid="{D9D0044E-95F6-4D81-AB8B-40582254031C}"/>
    <cellStyle name="Comma 7 7 3 6" xfId="18133" xr:uid="{6982AFA1-8826-43AF-AED8-09CC5D6184D5}"/>
    <cellStyle name="Comma 7 7 4" xfId="1332" xr:uid="{7C7D3E7A-591C-4B86-B286-A3A015CA3354}"/>
    <cellStyle name="Comma 7 7 4 2" xfId="3500" xr:uid="{1EA721C4-6B2D-4354-916C-CB36896E5A8E}"/>
    <cellStyle name="Comma 7 7 4 2 2" xfId="7836" xr:uid="{C92049C8-0BC8-4F3A-8A4D-EC535AF38C52}"/>
    <cellStyle name="Comma 7 7 4 2 2 2" xfId="16508" xr:uid="{C9DB0206-7EE3-4084-B7BE-8E28EEDCDE20}"/>
    <cellStyle name="Comma 7 7 4 2 2 2 2" xfId="33852" xr:uid="{CA140139-56A7-4369-BE2D-E7613B6EDA92}"/>
    <cellStyle name="Comma 7 7 4 2 2 3" xfId="25180" xr:uid="{FAD184B2-4A42-4823-9053-ED4005ECC461}"/>
    <cellStyle name="Comma 7 7 4 2 3" xfId="12172" xr:uid="{10F37196-A8F3-4345-8B49-56EB001D5FE7}"/>
    <cellStyle name="Comma 7 7 4 2 3 2" xfId="29516" xr:uid="{4FAA8B38-735C-47DA-A2D9-283CDEF40EDE}"/>
    <cellStyle name="Comma 7 7 4 2 4" xfId="20844" xr:uid="{48CCC0B7-F9B7-4F3F-8A19-5513D83F7A0D}"/>
    <cellStyle name="Comma 7 7 4 3" xfId="5668" xr:uid="{EE7B60F8-639D-4D0E-9B96-2778BBADCD94}"/>
    <cellStyle name="Comma 7 7 4 3 2" xfId="14340" xr:uid="{52AF35F6-0D74-4E57-A426-37E8190EC07C}"/>
    <cellStyle name="Comma 7 7 4 3 2 2" xfId="31684" xr:uid="{76B6F069-860C-46F4-8E79-21FD1EE9889B}"/>
    <cellStyle name="Comma 7 7 4 3 3" xfId="23012" xr:uid="{8A43CB70-97FD-4BC6-B482-8A4A0EFB3C29}"/>
    <cellStyle name="Comma 7 7 4 4" xfId="10004" xr:uid="{AF4FE097-5E4B-4E6C-B284-309ABD7C71B9}"/>
    <cellStyle name="Comma 7 7 4 4 2" xfId="27348" xr:uid="{52662086-7AED-4016-B974-A41A81A41122}"/>
    <cellStyle name="Comma 7 7 4 5" xfId="18676" xr:uid="{E6ED7E05-3411-4143-A664-785873F59FB5}"/>
    <cellStyle name="Comma 7 7 5" xfId="2416" xr:uid="{95265381-3845-40D1-982B-63064042D299}"/>
    <cellStyle name="Comma 7 7 5 2" xfId="6752" xr:uid="{C2932E6F-2910-4C67-B0A1-C356AEA19076}"/>
    <cellStyle name="Comma 7 7 5 2 2" xfId="15424" xr:uid="{8CE43AB3-22F3-446E-9335-6C941B848AEE}"/>
    <cellStyle name="Comma 7 7 5 2 2 2" xfId="32768" xr:uid="{B02DB28C-9971-4767-8E53-AF4B52FF8633}"/>
    <cellStyle name="Comma 7 7 5 2 3" xfId="24096" xr:uid="{4E569AC9-E114-4128-A378-729D6E9C091F}"/>
    <cellStyle name="Comma 7 7 5 3" xfId="11088" xr:uid="{70D98D17-0FCF-4087-AE71-BF2C8C324510}"/>
    <cellStyle name="Comma 7 7 5 3 2" xfId="28432" xr:uid="{EFE7BCF2-8946-469E-883F-142F4A2EEB32}"/>
    <cellStyle name="Comma 7 7 5 4" xfId="19760" xr:uid="{7F99B46A-F7CD-4A24-8B1D-84C053214A4A}"/>
    <cellStyle name="Comma 7 7 6" xfId="4584" xr:uid="{7971A3B9-79AE-40AB-8922-FEC13BAAED70}"/>
    <cellStyle name="Comma 7 7 6 2" xfId="13256" xr:uid="{DC059770-9200-446A-90A0-B6A350DB8445}"/>
    <cellStyle name="Comma 7 7 6 2 2" xfId="30600" xr:uid="{7021FAD0-D7CA-4C0F-B198-BF1347CC3EE6}"/>
    <cellStyle name="Comma 7 7 6 3" xfId="21928" xr:uid="{94C3995A-CB09-40E3-8D7E-55E6F9AF7054}"/>
    <cellStyle name="Comma 7 7 7" xfId="8920" xr:uid="{24EC501A-CFCE-434B-B51D-E809BAEBA0EF}"/>
    <cellStyle name="Comma 7 7 7 2" xfId="26264" xr:uid="{A3A47642-EF72-49AD-97AE-9A1712206ED0}"/>
    <cellStyle name="Comma 7 7 8" xfId="17592" xr:uid="{30B000B2-A190-4BD0-A38A-96C2D447C135}"/>
    <cellStyle name="Comma 7 8" xfId="284" xr:uid="{C39A06CA-344F-4313-A1D6-850537EDB664}"/>
    <cellStyle name="Comma 7 8 2" xfId="825" xr:uid="{26EEFBF2-7F72-48AE-9D02-5F3F81FAEB10}"/>
    <cellStyle name="Comma 7 8 2 2" xfId="1909" xr:uid="{08395C6F-6783-4043-B3F3-EE7C9A7145E7}"/>
    <cellStyle name="Comma 7 8 2 2 2" xfId="4077" xr:uid="{5C24E548-FDDB-4EF8-9561-EC47C869F1DE}"/>
    <cellStyle name="Comma 7 8 2 2 2 2" xfId="8413" xr:uid="{AECA49AD-306E-4865-BEFB-6557B4A532F8}"/>
    <cellStyle name="Comma 7 8 2 2 2 2 2" xfId="17085" xr:uid="{120CE202-6B2B-4ACD-BD1B-436BACCEC4B3}"/>
    <cellStyle name="Comma 7 8 2 2 2 2 2 2" xfId="34429" xr:uid="{55DB2052-A5A6-42C9-920C-BCEB74A76ED9}"/>
    <cellStyle name="Comma 7 8 2 2 2 2 3" xfId="25757" xr:uid="{9EE1F93F-B0DC-4FFA-A987-16F286378A5E}"/>
    <cellStyle name="Comma 7 8 2 2 2 3" xfId="12749" xr:uid="{AF570C84-A8A5-4CA1-A380-ED1F6AD44726}"/>
    <cellStyle name="Comma 7 8 2 2 2 3 2" xfId="30093" xr:uid="{1E907EF1-B2F2-46B0-B485-6B19863DB31C}"/>
    <cellStyle name="Comma 7 8 2 2 2 4" xfId="21421" xr:uid="{357C5111-0E90-4781-825E-1645D79C09C2}"/>
    <cellStyle name="Comma 7 8 2 2 3" xfId="6245" xr:uid="{A41BCEDD-9C90-446A-92FF-3F434155FD75}"/>
    <cellStyle name="Comma 7 8 2 2 3 2" xfId="14917" xr:uid="{5EB75F18-583E-49EE-BF93-FD54802DCACE}"/>
    <cellStyle name="Comma 7 8 2 2 3 2 2" xfId="32261" xr:uid="{2EE96515-CEF6-47E9-B804-B1B3C7B4DF81}"/>
    <cellStyle name="Comma 7 8 2 2 3 3" xfId="23589" xr:uid="{14397CC0-BBA0-4C61-B595-52E0697E06EA}"/>
    <cellStyle name="Comma 7 8 2 2 4" xfId="10581" xr:uid="{B9DE86F3-4115-40A5-8915-6C4A66119511}"/>
    <cellStyle name="Comma 7 8 2 2 4 2" xfId="27925" xr:uid="{15F9BA15-FF1C-4268-AA1A-9A57C77C8590}"/>
    <cellStyle name="Comma 7 8 2 2 5" xfId="19253" xr:uid="{9D1828CD-17F1-43A0-BECD-2847EA3F46C0}"/>
    <cellStyle name="Comma 7 8 2 3" xfId="2993" xr:uid="{B22082E9-013A-44AD-83C0-F9743F347BB4}"/>
    <cellStyle name="Comma 7 8 2 3 2" xfId="7329" xr:uid="{F49E39B4-B113-4B06-BD63-9F0B24C664DC}"/>
    <cellStyle name="Comma 7 8 2 3 2 2" xfId="16001" xr:uid="{14EA96D2-E1B9-4371-AAA5-FA53C74CB0ED}"/>
    <cellStyle name="Comma 7 8 2 3 2 2 2" xfId="33345" xr:uid="{13F0FEBE-68DD-49B3-98D7-3B1F6467201B}"/>
    <cellStyle name="Comma 7 8 2 3 2 3" xfId="24673" xr:uid="{F5ADB21A-E930-4BC0-A398-C7C41FAB2CAD}"/>
    <cellStyle name="Comma 7 8 2 3 3" xfId="11665" xr:uid="{2AB4A417-177A-4518-9835-3B8B077E2BCE}"/>
    <cellStyle name="Comma 7 8 2 3 3 2" xfId="29009" xr:uid="{2C254188-DFF5-4268-806B-15C93BBDEBBB}"/>
    <cellStyle name="Comma 7 8 2 3 4" xfId="20337" xr:uid="{C8B2D789-FFEE-4EBE-9C9B-1F3CAEC42CC8}"/>
    <cellStyle name="Comma 7 8 2 4" xfId="5161" xr:uid="{E69A5F31-E120-47E6-BDDD-D53B2EA34B30}"/>
    <cellStyle name="Comma 7 8 2 4 2" xfId="13833" xr:uid="{C1B1E7F5-5365-41E2-BAA5-CDE3D282665F}"/>
    <cellStyle name="Comma 7 8 2 4 2 2" xfId="31177" xr:uid="{F7CA60C6-0A79-43FE-A5B4-A984DF9FDAA4}"/>
    <cellStyle name="Comma 7 8 2 4 3" xfId="22505" xr:uid="{6A330704-BFC6-4FA9-8E66-D33E970CD1F1}"/>
    <cellStyle name="Comma 7 8 2 5" xfId="9497" xr:uid="{134A6D30-4333-4E6C-B57B-09F633F57D14}"/>
    <cellStyle name="Comma 7 8 2 5 2" xfId="26841" xr:uid="{0C2AEE61-3989-4F75-B29D-97525571A245}"/>
    <cellStyle name="Comma 7 8 2 6" xfId="18169" xr:uid="{0BB58FE1-96E6-4B1C-BE81-97D5E5F022BB}"/>
    <cellStyle name="Comma 7 8 3" xfId="1368" xr:uid="{0302B9B7-24A2-40FC-84EC-85158E4DB84B}"/>
    <cellStyle name="Comma 7 8 3 2" xfId="3536" xr:uid="{BA5F75D0-F88B-496A-BB6E-53C163BF5C97}"/>
    <cellStyle name="Comma 7 8 3 2 2" xfId="7872" xr:uid="{7CCEB098-A578-4B30-9F76-6C0F85D969BD}"/>
    <cellStyle name="Comma 7 8 3 2 2 2" xfId="16544" xr:uid="{E4FD4505-CFC6-4DA8-A635-A0A99B016CCA}"/>
    <cellStyle name="Comma 7 8 3 2 2 2 2" xfId="33888" xr:uid="{752665CC-00CB-4FC2-89BA-ACD0D72FB86B}"/>
    <cellStyle name="Comma 7 8 3 2 2 3" xfId="25216" xr:uid="{DBCA6B5A-1A26-4EC8-A89A-68A0335AFDFD}"/>
    <cellStyle name="Comma 7 8 3 2 3" xfId="12208" xr:uid="{337E6EE8-0449-4C3B-AEA7-57B59EB56B3C}"/>
    <cellStyle name="Comma 7 8 3 2 3 2" xfId="29552" xr:uid="{A526C8E1-7948-4370-BC96-8708FF91D19D}"/>
    <cellStyle name="Comma 7 8 3 2 4" xfId="20880" xr:uid="{4F9B1968-3E72-48A2-8807-7703BEB438D9}"/>
    <cellStyle name="Comma 7 8 3 3" xfId="5704" xr:uid="{786DDB79-2052-4EEB-AB13-3982CF415C1F}"/>
    <cellStyle name="Comma 7 8 3 3 2" xfId="14376" xr:uid="{5711096A-64DB-454D-A9F8-DE4BC84F48E4}"/>
    <cellStyle name="Comma 7 8 3 3 2 2" xfId="31720" xr:uid="{92B28F65-6DAB-4746-9D56-5E3E54013A32}"/>
    <cellStyle name="Comma 7 8 3 3 3" xfId="23048" xr:uid="{1FF46802-606A-4BE5-9286-A26E041712B1}"/>
    <cellStyle name="Comma 7 8 3 4" xfId="10040" xr:uid="{3CEE6C7B-A5BF-4779-81F3-FFD17C6FDE3B}"/>
    <cellStyle name="Comma 7 8 3 4 2" xfId="27384" xr:uid="{30BC9A36-43D6-419D-9319-1F3E3EAE6F2E}"/>
    <cellStyle name="Comma 7 8 3 5" xfId="18712" xr:uid="{5244B1F7-7C3E-4AB6-97B6-5F7379B78BE8}"/>
    <cellStyle name="Comma 7 8 4" xfId="2452" xr:uid="{8B3EA9A0-C10D-4DA7-B567-F156ECBB9364}"/>
    <cellStyle name="Comma 7 8 4 2" xfId="6788" xr:uid="{28A2BD84-2A24-4F7C-8DEB-8E4C2776C008}"/>
    <cellStyle name="Comma 7 8 4 2 2" xfId="15460" xr:uid="{99FED58E-750D-4E61-ADF2-171598E56B8D}"/>
    <cellStyle name="Comma 7 8 4 2 2 2" xfId="32804" xr:uid="{C41EA067-7F8D-4A73-9C70-04859F57EA2E}"/>
    <cellStyle name="Comma 7 8 4 2 3" xfId="24132" xr:uid="{2F946D1E-DE40-4EE5-A256-0F6AC4CB38D9}"/>
    <cellStyle name="Comma 7 8 4 3" xfId="11124" xr:uid="{22AC87B2-AE65-42FB-90F5-6EAF1418F681}"/>
    <cellStyle name="Comma 7 8 4 3 2" xfId="28468" xr:uid="{AA0C990D-678B-448B-A03C-1A908DD09C79}"/>
    <cellStyle name="Comma 7 8 4 4" xfId="19796" xr:uid="{F3502C8D-62EC-4982-9084-86A82FB26E1E}"/>
    <cellStyle name="Comma 7 8 5" xfId="4620" xr:uid="{211E84A9-5F04-4B9E-9801-6A020C05F8D3}"/>
    <cellStyle name="Comma 7 8 5 2" xfId="13292" xr:uid="{F81C949B-1BD1-47B9-85C8-D4DEE721ACF3}"/>
    <cellStyle name="Comma 7 8 5 2 2" xfId="30636" xr:uid="{500CEAF2-01D3-4BCA-9E84-1B2FA367C677}"/>
    <cellStyle name="Comma 7 8 5 3" xfId="21964" xr:uid="{B73E2A4D-7A31-4613-A8AD-9989E1568A2F}"/>
    <cellStyle name="Comma 7 8 6" xfId="8956" xr:uid="{1DE8A24D-5B51-4B48-BFA1-87DDB23C2000}"/>
    <cellStyle name="Comma 7 8 6 2" xfId="26300" xr:uid="{787B4F08-C268-4C4F-BCCC-BE495D1F2A41}"/>
    <cellStyle name="Comma 7 8 7" xfId="17628" xr:uid="{DC9203B6-7F31-479A-AACE-7B07819F9AB6}"/>
    <cellStyle name="Comma 7 9" xfId="555" xr:uid="{CDF189EB-7E33-4D9C-B704-ABD0B16555E1}"/>
    <cellStyle name="Comma 7 9 2" xfId="1639" xr:uid="{6FF2446F-6ADC-4C78-B46B-6CECBDB9CD6A}"/>
    <cellStyle name="Comma 7 9 2 2" xfId="3807" xr:uid="{0F8A30E6-4AF4-485F-8BE9-916B91402497}"/>
    <cellStyle name="Comma 7 9 2 2 2" xfId="8143" xr:uid="{4D23B6A8-9FDD-45D3-8989-C45489FF855B}"/>
    <cellStyle name="Comma 7 9 2 2 2 2" xfId="16815" xr:uid="{9A7F1A37-4151-4A95-9CC4-D35DE8E8C4BF}"/>
    <cellStyle name="Comma 7 9 2 2 2 2 2" xfId="34159" xr:uid="{57E0A578-0381-41E4-8156-6239E83A2924}"/>
    <cellStyle name="Comma 7 9 2 2 2 3" xfId="25487" xr:uid="{37AA812C-9824-4636-BCF7-7DEBB50A555F}"/>
    <cellStyle name="Comma 7 9 2 2 3" xfId="12479" xr:uid="{26663231-A86A-4A8C-BC09-2507A6522552}"/>
    <cellStyle name="Comma 7 9 2 2 3 2" xfId="29823" xr:uid="{3912D54A-F7C6-4B21-90C3-61C59EE75E8E}"/>
    <cellStyle name="Comma 7 9 2 2 4" xfId="21151" xr:uid="{1AECAD8C-E0E1-4D90-90D2-5235ED1EAD77}"/>
    <cellStyle name="Comma 7 9 2 3" xfId="5975" xr:uid="{9CE19734-F0B8-4631-8915-D459C493C7E7}"/>
    <cellStyle name="Comma 7 9 2 3 2" xfId="14647" xr:uid="{F5C30B3E-2412-4DDA-9ED3-41208CFD53AE}"/>
    <cellStyle name="Comma 7 9 2 3 2 2" xfId="31991" xr:uid="{CF29F67D-3CE0-4105-89CC-C724C0224283}"/>
    <cellStyle name="Comma 7 9 2 3 3" xfId="23319" xr:uid="{C42E3F32-D06B-4BB5-99F0-0A0ED7CB3FBE}"/>
    <cellStyle name="Comma 7 9 2 4" xfId="10311" xr:uid="{CD3F2DE4-38AC-454A-8F09-99305D046467}"/>
    <cellStyle name="Comma 7 9 2 4 2" xfId="27655" xr:uid="{2857DDC3-0523-46D3-A829-77E5454363E3}"/>
    <cellStyle name="Comma 7 9 2 5" xfId="18983" xr:uid="{F928DFE7-4224-41D3-BD01-5971017B34BA}"/>
    <cellStyle name="Comma 7 9 3" xfId="2723" xr:uid="{3B2B1450-396E-4F30-B732-AB9B86DEAB48}"/>
    <cellStyle name="Comma 7 9 3 2" xfId="7059" xr:uid="{160AD4A0-2D13-411F-8CDB-A29495E1365A}"/>
    <cellStyle name="Comma 7 9 3 2 2" xfId="15731" xr:uid="{4FAE0560-CF0E-4885-9557-8FAED39EBC69}"/>
    <cellStyle name="Comma 7 9 3 2 2 2" xfId="33075" xr:uid="{E9BE776B-D608-4488-BBDB-F47982922D5F}"/>
    <cellStyle name="Comma 7 9 3 2 3" xfId="24403" xr:uid="{E9EA8E6A-ABAF-4A04-9A4A-0C9B4F4224A4}"/>
    <cellStyle name="Comma 7 9 3 3" xfId="11395" xr:uid="{A08044B1-1D90-489E-AEDF-0CE2DFE599BE}"/>
    <cellStyle name="Comma 7 9 3 3 2" xfId="28739" xr:uid="{16A42E36-0108-4E2C-AEC8-F73C250AC28F}"/>
    <cellStyle name="Comma 7 9 3 4" xfId="20067" xr:uid="{49243B00-838B-46D8-B3AC-EB28F07140BA}"/>
    <cellStyle name="Comma 7 9 4" xfId="4891" xr:uid="{72B09D88-FCA2-4C18-AFD6-04F7EDFB3026}"/>
    <cellStyle name="Comma 7 9 4 2" xfId="13563" xr:uid="{21F979AA-5DBA-4469-95D1-6C9832463019}"/>
    <cellStyle name="Comma 7 9 4 2 2" xfId="30907" xr:uid="{A4BC036A-FD9A-4AB4-9A8B-7BD8F9CAD2DE}"/>
    <cellStyle name="Comma 7 9 4 3" xfId="22235" xr:uid="{D11BAD21-4304-4511-B0A3-F2058B6398B0}"/>
    <cellStyle name="Comma 7 9 5" xfId="9227" xr:uid="{42DD2D8E-2328-4FEB-901F-0AA21F1CA0DD}"/>
    <cellStyle name="Comma 7 9 5 2" xfId="26571" xr:uid="{F4AF7B75-2A4D-403D-BAE9-2F31164F4161}"/>
    <cellStyle name="Comma 7 9 6" xfId="17899" xr:uid="{93EEE265-CFA2-4C03-8907-F94901645957}"/>
    <cellStyle name="Comma 8" xfId="15" xr:uid="{36A0FCEC-78ED-4D62-B79B-CACBD8145F71}"/>
    <cellStyle name="Comma 8 10" xfId="2183" xr:uid="{BC58811F-F7FA-4FB5-96B7-B2ADCE9E22CC}"/>
    <cellStyle name="Comma 8 10 2" xfId="6519" xr:uid="{0563457C-3E30-48AD-A50D-A7DFBC512ACA}"/>
    <cellStyle name="Comma 8 10 2 2" xfId="15191" xr:uid="{264B9463-F27B-401E-A051-A8D93C61799C}"/>
    <cellStyle name="Comma 8 10 2 2 2" xfId="32535" xr:uid="{E1DA79BA-1960-480C-8B39-5D4A65710C6E}"/>
    <cellStyle name="Comma 8 10 2 3" xfId="23863" xr:uid="{765F445D-66A9-4F5B-B101-D474A8284FC5}"/>
    <cellStyle name="Comma 8 10 3" xfId="10855" xr:uid="{033738D5-04BF-4345-A21C-1BB527173E59}"/>
    <cellStyle name="Comma 8 10 3 2" xfId="28199" xr:uid="{F3382B96-7515-4065-BE21-55BD22258239}"/>
    <cellStyle name="Comma 8 10 4" xfId="19527" xr:uid="{BFDAAB69-A69A-4C4B-A594-C42700B80A98}"/>
    <cellStyle name="Comma 8 11" xfId="4351" xr:uid="{DC743F3C-C40B-4C94-891E-93ED0D724713}"/>
    <cellStyle name="Comma 8 11 2" xfId="13023" xr:uid="{DA7519C3-D783-4F4C-B025-3670BB2350B5}"/>
    <cellStyle name="Comma 8 11 2 2" xfId="30367" xr:uid="{5AD492FF-F1BB-4216-853D-3AC85CA4FACB}"/>
    <cellStyle name="Comma 8 11 3" xfId="21695" xr:uid="{DA0B2386-6672-459C-8AB6-5486D29E2BF9}"/>
    <cellStyle name="Comma 8 12" xfId="8687" xr:uid="{F57BD3D3-882C-46EB-9BBE-497A982EA03E}"/>
    <cellStyle name="Comma 8 12 2" xfId="26031" xr:uid="{FC237BC4-0773-41ED-94EC-04383269EE44}"/>
    <cellStyle name="Comma 8 13" xfId="17359" xr:uid="{09627549-04AF-448F-8AB5-D6517BE92ED2}"/>
    <cellStyle name="Comma 8 2" xfId="31" xr:uid="{C46638D4-80B8-42FD-842B-EA86315814B9}"/>
    <cellStyle name="Comma 8 2 10" xfId="17375" xr:uid="{451298EA-3F67-4667-AD3B-431E49E88482}"/>
    <cellStyle name="Comma 8 2 2" xfId="92" xr:uid="{EEAED1CB-56D0-4528-B15D-C465CB77C4CD}"/>
    <cellStyle name="Comma 8 2 2 2" xfId="214" xr:uid="{0FF381CA-ADAB-45E9-8C7F-5F4B3F1F8A0D}"/>
    <cellStyle name="Comma 8 2 2 2 2" xfId="484" xr:uid="{B90B348E-59CB-4C53-B85A-770C52E1B7DA}"/>
    <cellStyle name="Comma 8 2 2 2 2 2" xfId="1025" xr:uid="{113AA2DC-1271-4F9E-9DAF-FD46543FDCF0}"/>
    <cellStyle name="Comma 8 2 2 2 2 2 2" xfId="2109" xr:uid="{463A9EBE-AF46-433C-A26C-7520749DF830}"/>
    <cellStyle name="Comma 8 2 2 2 2 2 2 2" xfId="4277" xr:uid="{95993F89-1619-4EB2-80B4-7D0E1DEBEF10}"/>
    <cellStyle name="Comma 8 2 2 2 2 2 2 2 2" xfId="8613" xr:uid="{88B3F004-D3A7-4A9E-9050-D5BACE6B9E56}"/>
    <cellStyle name="Comma 8 2 2 2 2 2 2 2 2 2" xfId="17285" xr:uid="{97E47D3F-7F8D-46F7-A8FA-B38DE3F9644B}"/>
    <cellStyle name="Comma 8 2 2 2 2 2 2 2 2 2 2" xfId="34629" xr:uid="{FBE7F85B-C393-4A0E-A236-A42161E18821}"/>
    <cellStyle name="Comma 8 2 2 2 2 2 2 2 2 3" xfId="25957" xr:uid="{B324C394-AF6A-4DE1-86E0-ED846C992A78}"/>
    <cellStyle name="Comma 8 2 2 2 2 2 2 2 3" xfId="12949" xr:uid="{0BCCF266-4ED8-47FD-9B5B-DDC3A5F3CF95}"/>
    <cellStyle name="Comma 8 2 2 2 2 2 2 2 3 2" xfId="30293" xr:uid="{14224EF6-A6D3-4723-9624-D0E38D46DA08}"/>
    <cellStyle name="Comma 8 2 2 2 2 2 2 2 4" xfId="21621" xr:uid="{B4771C05-30EE-47A5-92A6-7FB8F19A3D69}"/>
    <cellStyle name="Comma 8 2 2 2 2 2 2 3" xfId="6445" xr:uid="{CC3DCAF8-B411-4FE2-ACEA-D6D0075DF8DF}"/>
    <cellStyle name="Comma 8 2 2 2 2 2 2 3 2" xfId="15117" xr:uid="{60135FD2-D96F-4E0B-B424-CCF61072FCEB}"/>
    <cellStyle name="Comma 8 2 2 2 2 2 2 3 2 2" xfId="32461" xr:uid="{34286776-36F6-4B89-A01D-40D527CF6509}"/>
    <cellStyle name="Comma 8 2 2 2 2 2 2 3 3" xfId="23789" xr:uid="{672FB95B-127C-48EE-8FF2-208F9F5B5D94}"/>
    <cellStyle name="Comma 8 2 2 2 2 2 2 4" xfId="10781" xr:uid="{6C16F37E-9845-4AC2-AA3F-FE1E84C82A0F}"/>
    <cellStyle name="Comma 8 2 2 2 2 2 2 4 2" xfId="28125" xr:uid="{F3A38502-4D92-45E9-B38B-273855DEC27C}"/>
    <cellStyle name="Comma 8 2 2 2 2 2 2 5" xfId="19453" xr:uid="{ED3E7962-496E-4FE7-A38F-A04211F29D81}"/>
    <cellStyle name="Comma 8 2 2 2 2 2 3" xfId="3193" xr:uid="{C8BD4E30-1CFA-4C39-9FB6-C1948349A711}"/>
    <cellStyle name="Comma 8 2 2 2 2 2 3 2" xfId="7529" xr:uid="{1A28F667-D668-421B-9825-DF7C4DA3799A}"/>
    <cellStyle name="Comma 8 2 2 2 2 2 3 2 2" xfId="16201" xr:uid="{2BDA8C0A-3067-4959-9DE3-60A2E44B251D}"/>
    <cellStyle name="Comma 8 2 2 2 2 2 3 2 2 2" xfId="33545" xr:uid="{E6BD2BB0-2D79-4FA5-8874-0590ED862276}"/>
    <cellStyle name="Comma 8 2 2 2 2 2 3 2 3" xfId="24873" xr:uid="{39986721-7566-43FF-B44C-338ABA010005}"/>
    <cellStyle name="Comma 8 2 2 2 2 2 3 3" xfId="11865" xr:uid="{1A031D99-35C7-46C3-9D3F-3EF2B96302EF}"/>
    <cellStyle name="Comma 8 2 2 2 2 2 3 3 2" xfId="29209" xr:uid="{E504E3CD-E86E-4882-A906-EB7E8BCD7B4B}"/>
    <cellStyle name="Comma 8 2 2 2 2 2 3 4" xfId="20537" xr:uid="{449E6AC2-8452-435B-B69F-D871C87F8474}"/>
    <cellStyle name="Comma 8 2 2 2 2 2 4" xfId="5361" xr:uid="{5521B07E-BE67-4A9F-99D7-4571E8AA4BED}"/>
    <cellStyle name="Comma 8 2 2 2 2 2 4 2" xfId="14033" xr:uid="{00875A7F-95C6-4615-BA2F-3788926B9FE9}"/>
    <cellStyle name="Comma 8 2 2 2 2 2 4 2 2" xfId="31377" xr:uid="{BE241489-133C-4BA7-BFD0-B4D27BE33ADD}"/>
    <cellStyle name="Comma 8 2 2 2 2 2 4 3" xfId="22705" xr:uid="{EB3F5D17-EFE4-47D8-8F9F-26C0E854B19C}"/>
    <cellStyle name="Comma 8 2 2 2 2 2 5" xfId="9697" xr:uid="{4FD6830E-DB8B-4CFA-AA33-00599F156DDC}"/>
    <cellStyle name="Comma 8 2 2 2 2 2 5 2" xfId="27041" xr:uid="{7AB21EFC-1C73-4973-8A6E-4A606A56FF18}"/>
    <cellStyle name="Comma 8 2 2 2 2 2 6" xfId="18369" xr:uid="{DDE89641-0DFF-47EE-B5B0-0ACBE7834B33}"/>
    <cellStyle name="Comma 8 2 2 2 2 3" xfId="1568" xr:uid="{A342137E-B99A-44A9-AB14-2E3A296D1C09}"/>
    <cellStyle name="Comma 8 2 2 2 2 3 2" xfId="3736" xr:uid="{B3DF3992-D067-40E1-943A-60D735377AC2}"/>
    <cellStyle name="Comma 8 2 2 2 2 3 2 2" xfId="8072" xr:uid="{58934AC3-7135-449F-97F3-BC9A405A54DF}"/>
    <cellStyle name="Comma 8 2 2 2 2 3 2 2 2" xfId="16744" xr:uid="{3791454C-D0A6-4F60-A1B1-259CA3C93EA6}"/>
    <cellStyle name="Comma 8 2 2 2 2 3 2 2 2 2" xfId="34088" xr:uid="{47E053E6-4B2F-411C-8721-E513D8ECE7C2}"/>
    <cellStyle name="Comma 8 2 2 2 2 3 2 2 3" xfId="25416" xr:uid="{651E23B8-FD8A-40B4-82FC-3C581A3C1014}"/>
    <cellStyle name="Comma 8 2 2 2 2 3 2 3" xfId="12408" xr:uid="{D290AA92-C315-4F9F-A2F4-89123F068878}"/>
    <cellStyle name="Comma 8 2 2 2 2 3 2 3 2" xfId="29752" xr:uid="{E32CFBD9-E2DA-49D7-827F-7007DBADA780}"/>
    <cellStyle name="Comma 8 2 2 2 2 3 2 4" xfId="21080" xr:uid="{26042532-DCF5-4B47-96B8-93981BCC8F1A}"/>
    <cellStyle name="Comma 8 2 2 2 2 3 3" xfId="5904" xr:uid="{2A21CBB1-6F34-4F52-A597-E795D0D3556A}"/>
    <cellStyle name="Comma 8 2 2 2 2 3 3 2" xfId="14576" xr:uid="{E4565FC8-DBC3-4253-9F73-AF9FF72774A3}"/>
    <cellStyle name="Comma 8 2 2 2 2 3 3 2 2" xfId="31920" xr:uid="{FD294013-8507-49DE-B5AC-8282CB4E9177}"/>
    <cellStyle name="Comma 8 2 2 2 2 3 3 3" xfId="23248" xr:uid="{0E515F2A-D1F2-4668-8BE2-204895859ECA}"/>
    <cellStyle name="Comma 8 2 2 2 2 3 4" xfId="10240" xr:uid="{28DA9359-055B-4291-96AD-02C0DB2DF1BD}"/>
    <cellStyle name="Comma 8 2 2 2 2 3 4 2" xfId="27584" xr:uid="{3690987C-E5E5-4822-8987-5060050E92EA}"/>
    <cellStyle name="Comma 8 2 2 2 2 3 5" xfId="18912" xr:uid="{BCDDD399-A5A5-458C-B0A6-3AE42763D397}"/>
    <cellStyle name="Comma 8 2 2 2 2 4" xfId="2652" xr:uid="{3B2BDF7B-8E6E-41A3-955A-EBD6C6EBAA29}"/>
    <cellStyle name="Comma 8 2 2 2 2 4 2" xfId="6988" xr:uid="{CE79321C-155E-4F62-8473-BE2A10F14B7F}"/>
    <cellStyle name="Comma 8 2 2 2 2 4 2 2" xfId="15660" xr:uid="{9862ED43-5F2B-4F3C-B7F9-E65114F9368E}"/>
    <cellStyle name="Comma 8 2 2 2 2 4 2 2 2" xfId="33004" xr:uid="{75F58B59-57A2-411C-8D53-4C4E673EEB18}"/>
    <cellStyle name="Comma 8 2 2 2 2 4 2 3" xfId="24332" xr:uid="{92F2846A-5A37-4E4E-B2CA-A15FCD8D9E24}"/>
    <cellStyle name="Comma 8 2 2 2 2 4 3" xfId="11324" xr:uid="{C91675FD-4213-4E6D-A937-A5C2B49C6B1B}"/>
    <cellStyle name="Comma 8 2 2 2 2 4 3 2" xfId="28668" xr:uid="{BEAA58CC-F5C1-45C4-9950-B2466C57FA81}"/>
    <cellStyle name="Comma 8 2 2 2 2 4 4" xfId="19996" xr:uid="{6C9F8239-524F-4AAA-A91A-D1A0F7110817}"/>
    <cellStyle name="Comma 8 2 2 2 2 5" xfId="4820" xr:uid="{02B32908-0FE0-4D17-BAAA-B7F9E858E2A8}"/>
    <cellStyle name="Comma 8 2 2 2 2 5 2" xfId="13492" xr:uid="{E2C0BBE4-2EB6-4E73-84E8-21BC8DAC2863}"/>
    <cellStyle name="Comma 8 2 2 2 2 5 2 2" xfId="30836" xr:uid="{33B83788-5A15-4DB7-956B-8057A9CA548B}"/>
    <cellStyle name="Comma 8 2 2 2 2 5 3" xfId="22164" xr:uid="{D412FC81-9DE1-4BCA-A536-B88CF08C0D6E}"/>
    <cellStyle name="Comma 8 2 2 2 2 6" xfId="9156" xr:uid="{938E8970-2A97-491D-A013-C9ECF2E2F458}"/>
    <cellStyle name="Comma 8 2 2 2 2 6 2" xfId="26500" xr:uid="{AAC9A750-CF02-459D-9DBD-54B6BBA5B91E}"/>
    <cellStyle name="Comma 8 2 2 2 2 7" xfId="17828" xr:uid="{1567454E-C139-4A5C-B729-38F20C96A521}"/>
    <cellStyle name="Comma 8 2 2 2 3" xfId="755" xr:uid="{FCE0D374-3C16-4650-BA72-5F810315C71A}"/>
    <cellStyle name="Comma 8 2 2 2 3 2" xfId="1839" xr:uid="{167BBF19-3C5E-4AE2-910B-EB7B371ECB13}"/>
    <cellStyle name="Comma 8 2 2 2 3 2 2" xfId="4007" xr:uid="{6B3C3144-E6B8-4E31-8783-D14E8C7918AD}"/>
    <cellStyle name="Comma 8 2 2 2 3 2 2 2" xfId="8343" xr:uid="{B8E7C846-75D7-419A-9747-C23980A38798}"/>
    <cellStyle name="Comma 8 2 2 2 3 2 2 2 2" xfId="17015" xr:uid="{AF4957C9-1ECE-4270-A6B8-D4A5E62DF244}"/>
    <cellStyle name="Comma 8 2 2 2 3 2 2 2 2 2" xfId="34359" xr:uid="{84E22A09-3B55-4479-901A-8C527BBAD338}"/>
    <cellStyle name="Comma 8 2 2 2 3 2 2 2 3" xfId="25687" xr:uid="{42586C2A-1198-4587-9960-045AA49EE1DF}"/>
    <cellStyle name="Comma 8 2 2 2 3 2 2 3" xfId="12679" xr:uid="{247AACA2-CA66-4F6F-B5E9-7A7CBB77F792}"/>
    <cellStyle name="Comma 8 2 2 2 3 2 2 3 2" xfId="30023" xr:uid="{9ADD3ADB-869D-4809-9D94-880D84D6865A}"/>
    <cellStyle name="Comma 8 2 2 2 3 2 2 4" xfId="21351" xr:uid="{B1B6A8A1-6CEA-4E55-84D6-8865BEB27059}"/>
    <cellStyle name="Comma 8 2 2 2 3 2 3" xfId="6175" xr:uid="{E495A5E4-B08F-43C8-A392-B19529F39EEF}"/>
    <cellStyle name="Comma 8 2 2 2 3 2 3 2" xfId="14847" xr:uid="{E3F9BBF8-4998-43F8-8983-1E158D37AFF0}"/>
    <cellStyle name="Comma 8 2 2 2 3 2 3 2 2" xfId="32191" xr:uid="{762BFFFF-F772-49A7-AD53-D537B56995A6}"/>
    <cellStyle name="Comma 8 2 2 2 3 2 3 3" xfId="23519" xr:uid="{EF31C303-9F21-4724-BE87-06060797863B}"/>
    <cellStyle name="Comma 8 2 2 2 3 2 4" xfId="10511" xr:uid="{CC5AB008-D985-4E49-9128-7459CCB3FB14}"/>
    <cellStyle name="Comma 8 2 2 2 3 2 4 2" xfId="27855" xr:uid="{F3267578-EDE7-4707-9ED8-B9F74394AB4E}"/>
    <cellStyle name="Comma 8 2 2 2 3 2 5" xfId="19183" xr:uid="{DD841A53-C7A2-41A0-BDB3-465F847E0C58}"/>
    <cellStyle name="Comma 8 2 2 2 3 3" xfId="2923" xr:uid="{CD0F49C3-9171-4C69-AC6A-A4B1911382B8}"/>
    <cellStyle name="Comma 8 2 2 2 3 3 2" xfId="7259" xr:uid="{C07CFC37-A6B1-44EE-B385-C3F9133EDA13}"/>
    <cellStyle name="Comma 8 2 2 2 3 3 2 2" xfId="15931" xr:uid="{00C38093-3C66-491E-AB2F-1684D35468DE}"/>
    <cellStyle name="Comma 8 2 2 2 3 3 2 2 2" xfId="33275" xr:uid="{9E167CE8-158F-47FD-B760-CE4A28486179}"/>
    <cellStyle name="Comma 8 2 2 2 3 3 2 3" xfId="24603" xr:uid="{D3AF4BE0-6A1F-4011-B748-ABA79A49E3F6}"/>
    <cellStyle name="Comma 8 2 2 2 3 3 3" xfId="11595" xr:uid="{701F2918-F4AC-41A3-B466-6826C2BDC08A}"/>
    <cellStyle name="Comma 8 2 2 2 3 3 3 2" xfId="28939" xr:uid="{21B7420F-D526-43D5-A88B-F94A2C929148}"/>
    <cellStyle name="Comma 8 2 2 2 3 3 4" xfId="20267" xr:uid="{099FB530-98FF-421E-9939-C51D09E3D93A}"/>
    <cellStyle name="Comma 8 2 2 2 3 4" xfId="5091" xr:uid="{D00CDBC0-6D58-430F-9F25-725ADB68375D}"/>
    <cellStyle name="Comma 8 2 2 2 3 4 2" xfId="13763" xr:uid="{7FDC4E3D-6A13-4101-A602-BCE6931B9300}"/>
    <cellStyle name="Comma 8 2 2 2 3 4 2 2" xfId="31107" xr:uid="{D28F95AF-6BF3-41CB-B8AB-6DDCAD34B7A6}"/>
    <cellStyle name="Comma 8 2 2 2 3 4 3" xfId="22435" xr:uid="{2AE22AF0-9350-4619-A8DE-0F497EE3C5BD}"/>
    <cellStyle name="Comma 8 2 2 2 3 5" xfId="9427" xr:uid="{E27862DB-E896-47ED-BD88-A0B77DF453C6}"/>
    <cellStyle name="Comma 8 2 2 2 3 5 2" xfId="26771" xr:uid="{7AA21BDD-51E3-4B79-A1E2-110B452F2D8C}"/>
    <cellStyle name="Comma 8 2 2 2 3 6" xfId="18099" xr:uid="{FAAD6E5D-0F66-4A9B-9150-DC727F6CA1CD}"/>
    <cellStyle name="Comma 8 2 2 2 4" xfId="1298" xr:uid="{F858CBF5-FA95-44EE-8B89-3145104DD3C4}"/>
    <cellStyle name="Comma 8 2 2 2 4 2" xfId="3466" xr:uid="{E57243E7-1726-43DD-AD9D-F35F6AB6CD37}"/>
    <cellStyle name="Comma 8 2 2 2 4 2 2" xfId="7802" xr:uid="{9DE79510-FF94-495A-BF6F-763D3AF6DC8A}"/>
    <cellStyle name="Comma 8 2 2 2 4 2 2 2" xfId="16474" xr:uid="{4ED5B5CD-F7A8-4C4A-97A7-0BF6245908E5}"/>
    <cellStyle name="Comma 8 2 2 2 4 2 2 2 2" xfId="33818" xr:uid="{75B420B0-FF92-4962-9E32-B59A7B100E9A}"/>
    <cellStyle name="Comma 8 2 2 2 4 2 2 3" xfId="25146" xr:uid="{1D5C1D9A-C9F6-44CE-B033-216B4C49EC2A}"/>
    <cellStyle name="Comma 8 2 2 2 4 2 3" xfId="12138" xr:uid="{E03C96FA-6591-4463-AFE5-533ED58A6327}"/>
    <cellStyle name="Comma 8 2 2 2 4 2 3 2" xfId="29482" xr:uid="{CEB5CC5C-E67A-4E63-A505-3EC2F4536634}"/>
    <cellStyle name="Comma 8 2 2 2 4 2 4" xfId="20810" xr:uid="{4573CFDA-D6BE-4A91-9C3B-5F83E4ADBE5B}"/>
    <cellStyle name="Comma 8 2 2 2 4 3" xfId="5634" xr:uid="{4DB5AE3D-2A33-4D0E-9B05-7FC6FB28C618}"/>
    <cellStyle name="Comma 8 2 2 2 4 3 2" xfId="14306" xr:uid="{5926955C-F5BF-451B-9402-E9B3EAB08966}"/>
    <cellStyle name="Comma 8 2 2 2 4 3 2 2" xfId="31650" xr:uid="{02F81D99-D671-4965-B964-841C6BD9930A}"/>
    <cellStyle name="Comma 8 2 2 2 4 3 3" xfId="22978" xr:uid="{78AD3FF4-440F-49DE-A256-91F655D6BA4D}"/>
    <cellStyle name="Comma 8 2 2 2 4 4" xfId="9970" xr:uid="{2B7082AD-CAF4-4D66-8509-7229CC675B3B}"/>
    <cellStyle name="Comma 8 2 2 2 4 4 2" xfId="27314" xr:uid="{319D48CF-7197-4769-90D5-F9DBD8794D48}"/>
    <cellStyle name="Comma 8 2 2 2 4 5" xfId="18642" xr:uid="{0CC145E8-0D5D-49D9-B4A4-B931D63657BA}"/>
    <cellStyle name="Comma 8 2 2 2 5" xfId="2382" xr:uid="{64E4E26A-28F0-47E7-A973-C08798C89E7D}"/>
    <cellStyle name="Comma 8 2 2 2 5 2" xfId="6718" xr:uid="{5E3D9507-7ECB-4BA1-9763-5991CFD0F521}"/>
    <cellStyle name="Comma 8 2 2 2 5 2 2" xfId="15390" xr:uid="{72FDC682-BD7D-4BFA-92F7-822A841E6B09}"/>
    <cellStyle name="Comma 8 2 2 2 5 2 2 2" xfId="32734" xr:uid="{667E0EB8-42B9-4CDB-B1F0-BDA1FB3452A5}"/>
    <cellStyle name="Comma 8 2 2 2 5 2 3" xfId="24062" xr:uid="{9E8C8AAD-CE76-4FBE-8875-701B3B0A27B4}"/>
    <cellStyle name="Comma 8 2 2 2 5 3" xfId="11054" xr:uid="{AFBF3661-E279-4F1E-AF24-55F3302F68EF}"/>
    <cellStyle name="Comma 8 2 2 2 5 3 2" xfId="28398" xr:uid="{31631943-F867-4FA4-BEC3-A47CED7E73D4}"/>
    <cellStyle name="Comma 8 2 2 2 5 4" xfId="19726" xr:uid="{739DD028-5BFB-4A0C-BB69-186E4AE600A3}"/>
    <cellStyle name="Comma 8 2 2 2 6" xfId="4550" xr:uid="{A2E7F727-3793-4632-A7CD-7824FB5C014F}"/>
    <cellStyle name="Comma 8 2 2 2 6 2" xfId="13222" xr:uid="{803F08D1-8E2D-4F32-AA76-7513CC9CEAF8}"/>
    <cellStyle name="Comma 8 2 2 2 6 2 2" xfId="30566" xr:uid="{DABC2A32-80C8-4527-B60C-E8F3302DA071}"/>
    <cellStyle name="Comma 8 2 2 2 6 3" xfId="21894" xr:uid="{729EF6FB-560C-4556-8E88-087CDE3AA219}"/>
    <cellStyle name="Comma 8 2 2 2 7" xfId="8886" xr:uid="{89E8BB2C-707E-41B3-B0C7-772BFA759F3C}"/>
    <cellStyle name="Comma 8 2 2 2 7 2" xfId="26230" xr:uid="{CC7DD697-0F2B-40FA-80DB-2630ABDE8E78}"/>
    <cellStyle name="Comma 8 2 2 2 8" xfId="17558" xr:uid="{9BCE31CF-028F-4E98-89B2-11DEC0611BA4}"/>
    <cellStyle name="Comma 8 2 2 3" xfId="362" xr:uid="{E59E271C-0AA9-4C2B-8977-6EF082A529D3}"/>
    <cellStyle name="Comma 8 2 2 3 2" xfId="903" xr:uid="{7350204D-431B-48B6-A822-A1A956E1EF34}"/>
    <cellStyle name="Comma 8 2 2 3 2 2" xfId="1987" xr:uid="{B8B786DA-ED98-4244-9CE2-CBFF9AB55BCE}"/>
    <cellStyle name="Comma 8 2 2 3 2 2 2" xfId="4155" xr:uid="{EC26AF76-6600-434E-B403-66001CEB3E30}"/>
    <cellStyle name="Comma 8 2 2 3 2 2 2 2" xfId="8491" xr:uid="{B9052B78-1BD1-4614-8323-DC44E04A94E1}"/>
    <cellStyle name="Comma 8 2 2 3 2 2 2 2 2" xfId="17163" xr:uid="{736099D9-D7A4-4A0C-9FC4-D7244EC36F81}"/>
    <cellStyle name="Comma 8 2 2 3 2 2 2 2 2 2" xfId="34507" xr:uid="{DE2E0554-6117-4E8D-B290-2AB4D29BE784}"/>
    <cellStyle name="Comma 8 2 2 3 2 2 2 2 3" xfId="25835" xr:uid="{D92353D4-7386-40DF-B9B0-77587383CB36}"/>
    <cellStyle name="Comma 8 2 2 3 2 2 2 3" xfId="12827" xr:uid="{3A1AF552-1AB9-410D-BD50-44CEB4C0A866}"/>
    <cellStyle name="Comma 8 2 2 3 2 2 2 3 2" xfId="30171" xr:uid="{3E5A5F60-93EF-4571-A60E-01DE95E58973}"/>
    <cellStyle name="Comma 8 2 2 3 2 2 2 4" xfId="21499" xr:uid="{7E0EBA57-2D4F-4082-BF5E-C10B8AA78C78}"/>
    <cellStyle name="Comma 8 2 2 3 2 2 3" xfId="6323" xr:uid="{ECBB61F3-D2C7-42DB-9DC3-93FAC86501DA}"/>
    <cellStyle name="Comma 8 2 2 3 2 2 3 2" xfId="14995" xr:uid="{709E9F75-8630-44C5-B32F-3ABACC2F7B5B}"/>
    <cellStyle name="Comma 8 2 2 3 2 2 3 2 2" xfId="32339" xr:uid="{D2078D3E-5488-42BF-AB70-63D0E2E7F21E}"/>
    <cellStyle name="Comma 8 2 2 3 2 2 3 3" xfId="23667" xr:uid="{B8B2CB5F-E112-4F6D-B669-22EBA82078E6}"/>
    <cellStyle name="Comma 8 2 2 3 2 2 4" xfId="10659" xr:uid="{D7EDAEA3-0A47-48C8-AB2B-D013EE066E57}"/>
    <cellStyle name="Comma 8 2 2 3 2 2 4 2" xfId="28003" xr:uid="{8D03BC72-08EF-4F82-8E81-C78520555AB7}"/>
    <cellStyle name="Comma 8 2 2 3 2 2 5" xfId="19331" xr:uid="{E77023DE-3BB4-4A10-93F7-88EA31B50275}"/>
    <cellStyle name="Comma 8 2 2 3 2 3" xfId="3071" xr:uid="{83645FD3-E7E8-4390-BC39-83CF2610142F}"/>
    <cellStyle name="Comma 8 2 2 3 2 3 2" xfId="7407" xr:uid="{473836A5-5635-450C-8C1C-BD1F483F5CBB}"/>
    <cellStyle name="Comma 8 2 2 3 2 3 2 2" xfId="16079" xr:uid="{915178C8-D199-4810-8623-273AA1E99BD5}"/>
    <cellStyle name="Comma 8 2 2 3 2 3 2 2 2" xfId="33423" xr:uid="{80DBD3C2-72A5-4735-842B-58776D8AC8BE}"/>
    <cellStyle name="Comma 8 2 2 3 2 3 2 3" xfId="24751" xr:uid="{A6DACEF8-FF2C-4786-B887-E12D76B5D79B}"/>
    <cellStyle name="Comma 8 2 2 3 2 3 3" xfId="11743" xr:uid="{6D0CC27A-A547-4226-AB91-D007B4B0B812}"/>
    <cellStyle name="Comma 8 2 2 3 2 3 3 2" xfId="29087" xr:uid="{0385C654-D433-4EB9-A650-9FE218770968}"/>
    <cellStyle name="Comma 8 2 2 3 2 3 4" xfId="20415" xr:uid="{197B06A9-A634-4FCD-8188-DAF001CB6F3A}"/>
    <cellStyle name="Comma 8 2 2 3 2 4" xfId="5239" xr:uid="{93676D6C-BE71-4D43-B09D-66214ED1E60C}"/>
    <cellStyle name="Comma 8 2 2 3 2 4 2" xfId="13911" xr:uid="{3113142A-7BFB-439D-B921-EAB09930F96E}"/>
    <cellStyle name="Comma 8 2 2 3 2 4 2 2" xfId="31255" xr:uid="{1E6873CD-B4AC-4542-A680-C9994503E490}"/>
    <cellStyle name="Comma 8 2 2 3 2 4 3" xfId="22583" xr:uid="{1536C11C-BEF5-4851-81EE-480B1E874F36}"/>
    <cellStyle name="Comma 8 2 2 3 2 5" xfId="9575" xr:uid="{8C92599E-7D84-406D-8463-9F98C6AA942A}"/>
    <cellStyle name="Comma 8 2 2 3 2 5 2" xfId="26919" xr:uid="{E9C27637-F918-4A05-A8BE-3476B7BD8B3E}"/>
    <cellStyle name="Comma 8 2 2 3 2 6" xfId="18247" xr:uid="{B7C4BA0D-8D3E-4956-98EE-790903768654}"/>
    <cellStyle name="Comma 8 2 2 3 3" xfId="1446" xr:uid="{8DD697AF-BB23-498E-A085-2DAA6B70AE7C}"/>
    <cellStyle name="Comma 8 2 2 3 3 2" xfId="3614" xr:uid="{7163A362-82E4-4904-A372-FCAB531BC99C}"/>
    <cellStyle name="Comma 8 2 2 3 3 2 2" xfId="7950" xr:uid="{25FFB22E-C142-473B-9EEA-E460859FA4F6}"/>
    <cellStyle name="Comma 8 2 2 3 3 2 2 2" xfId="16622" xr:uid="{72C3B81B-2D2F-4116-84A2-33CFCACE66C5}"/>
    <cellStyle name="Comma 8 2 2 3 3 2 2 2 2" xfId="33966" xr:uid="{B59FB198-6DFD-4A4B-9F78-E2BEEF259FA1}"/>
    <cellStyle name="Comma 8 2 2 3 3 2 2 3" xfId="25294" xr:uid="{51A86EE1-2BB5-440F-91A8-1B38455D47C2}"/>
    <cellStyle name="Comma 8 2 2 3 3 2 3" xfId="12286" xr:uid="{588AD04E-3091-4A98-86D7-A9D6E06BFD82}"/>
    <cellStyle name="Comma 8 2 2 3 3 2 3 2" xfId="29630" xr:uid="{806BFB64-2B34-4808-B6EB-4F820996DBF5}"/>
    <cellStyle name="Comma 8 2 2 3 3 2 4" xfId="20958" xr:uid="{7210F097-8996-40F1-A453-2AC2FE6BB6B9}"/>
    <cellStyle name="Comma 8 2 2 3 3 3" xfId="5782" xr:uid="{8A59F995-2772-4C0F-A8C6-9A6246CF092A}"/>
    <cellStyle name="Comma 8 2 2 3 3 3 2" xfId="14454" xr:uid="{A3CD4A80-AD75-4AE6-BF25-9CA0B9E47F90}"/>
    <cellStyle name="Comma 8 2 2 3 3 3 2 2" xfId="31798" xr:uid="{AE717102-ACE0-4F0A-A578-71748B036495}"/>
    <cellStyle name="Comma 8 2 2 3 3 3 3" xfId="23126" xr:uid="{429D5EF8-4BB3-4C78-855F-5CED81F5B3B9}"/>
    <cellStyle name="Comma 8 2 2 3 3 4" xfId="10118" xr:uid="{364276FB-86AE-4572-9942-2068BB3994EA}"/>
    <cellStyle name="Comma 8 2 2 3 3 4 2" xfId="27462" xr:uid="{4D501720-E916-4EF9-BE09-34B98743BE25}"/>
    <cellStyle name="Comma 8 2 2 3 3 5" xfId="18790" xr:uid="{5C9E4D21-86B2-412E-8C5F-F5044AA5102A}"/>
    <cellStyle name="Comma 8 2 2 3 4" xfId="2530" xr:uid="{BB7B30DB-7364-4CAE-B172-3768D2E54BCD}"/>
    <cellStyle name="Comma 8 2 2 3 4 2" xfId="6866" xr:uid="{46F9D927-A2DB-4235-BAF7-8C25F5A2EA22}"/>
    <cellStyle name="Comma 8 2 2 3 4 2 2" xfId="15538" xr:uid="{EA0AD47C-7DA6-4CC7-96BA-5B7E05FE7741}"/>
    <cellStyle name="Comma 8 2 2 3 4 2 2 2" xfId="32882" xr:uid="{37477A03-78C7-4A39-B486-5F8B8D849604}"/>
    <cellStyle name="Comma 8 2 2 3 4 2 3" xfId="24210" xr:uid="{4C79BEDE-66F7-4572-8C62-753E265389E6}"/>
    <cellStyle name="Comma 8 2 2 3 4 3" xfId="11202" xr:uid="{60032DA1-1102-4B82-B1CA-4AA58FF7E28D}"/>
    <cellStyle name="Comma 8 2 2 3 4 3 2" xfId="28546" xr:uid="{2DCEC411-D99D-42E0-A4E7-0A18B5770FAF}"/>
    <cellStyle name="Comma 8 2 2 3 4 4" xfId="19874" xr:uid="{FF886DFA-C8F4-4DF8-A3F5-0AA3F05FB2F9}"/>
    <cellStyle name="Comma 8 2 2 3 5" xfId="4698" xr:uid="{37FE6008-BEE9-406D-870B-4525E11D7CC5}"/>
    <cellStyle name="Comma 8 2 2 3 5 2" xfId="13370" xr:uid="{69A87196-82CD-45DF-A72E-1316A19139EF}"/>
    <cellStyle name="Comma 8 2 2 3 5 2 2" xfId="30714" xr:uid="{16FB5DA4-1251-4BE6-861F-BA3CAE47FD04}"/>
    <cellStyle name="Comma 8 2 2 3 5 3" xfId="22042" xr:uid="{AA2B436A-0EE0-4D57-BAC4-8A892C581977}"/>
    <cellStyle name="Comma 8 2 2 3 6" xfId="9034" xr:uid="{6F772784-90EB-4EA4-BC08-210DFFD07CBE}"/>
    <cellStyle name="Comma 8 2 2 3 6 2" xfId="26378" xr:uid="{9A369F7A-2DCE-4192-A97D-A97CD648BDAE}"/>
    <cellStyle name="Comma 8 2 2 3 7" xfId="17706" xr:uid="{632C59EB-B1FF-4D20-8631-E463E928E34B}"/>
    <cellStyle name="Comma 8 2 2 4" xfId="633" xr:uid="{BA95BA93-452B-4203-B3B4-35C1C8511F23}"/>
    <cellStyle name="Comma 8 2 2 4 2" xfId="1717" xr:uid="{ABF4102B-CE05-45B3-97D9-7AA1F5F5991E}"/>
    <cellStyle name="Comma 8 2 2 4 2 2" xfId="3885" xr:uid="{F8CBC453-4600-4B73-8227-CC267C3B5981}"/>
    <cellStyle name="Comma 8 2 2 4 2 2 2" xfId="8221" xr:uid="{EBD981A5-9143-4179-B58F-447DE3DFBE8C}"/>
    <cellStyle name="Comma 8 2 2 4 2 2 2 2" xfId="16893" xr:uid="{CCDA7B4E-17D8-45C4-BF86-F71EF35B61B2}"/>
    <cellStyle name="Comma 8 2 2 4 2 2 2 2 2" xfId="34237" xr:uid="{5AEC442E-7269-4269-9205-901A63380F74}"/>
    <cellStyle name="Comma 8 2 2 4 2 2 2 3" xfId="25565" xr:uid="{3F6D8A99-3864-472D-B760-9A66BE792DDF}"/>
    <cellStyle name="Comma 8 2 2 4 2 2 3" xfId="12557" xr:uid="{B3BB8463-5F9C-4819-AAEF-B5E19D2FF13D}"/>
    <cellStyle name="Comma 8 2 2 4 2 2 3 2" xfId="29901" xr:uid="{E235349B-BC7C-46AC-884D-CC6F10594D1D}"/>
    <cellStyle name="Comma 8 2 2 4 2 2 4" xfId="21229" xr:uid="{FD832E6D-F274-4FEF-9E59-A77388D8A6F5}"/>
    <cellStyle name="Comma 8 2 2 4 2 3" xfId="6053" xr:uid="{EACEBD62-5283-443D-8EF3-323FA497C9CE}"/>
    <cellStyle name="Comma 8 2 2 4 2 3 2" xfId="14725" xr:uid="{931753A4-2F77-4384-9249-71AAF53F05F5}"/>
    <cellStyle name="Comma 8 2 2 4 2 3 2 2" xfId="32069" xr:uid="{254DA919-9C6B-4685-B4EB-E969F9CF1470}"/>
    <cellStyle name="Comma 8 2 2 4 2 3 3" xfId="23397" xr:uid="{F778DD81-345F-4EA9-8C1A-BD83EA697BB8}"/>
    <cellStyle name="Comma 8 2 2 4 2 4" xfId="10389" xr:uid="{FD96825C-0FB8-4F1A-A5C2-05E738296532}"/>
    <cellStyle name="Comma 8 2 2 4 2 4 2" xfId="27733" xr:uid="{4ACCC8E5-177B-48FE-8697-884188E46578}"/>
    <cellStyle name="Comma 8 2 2 4 2 5" xfId="19061" xr:uid="{A29C1F8A-35F7-4C16-8128-D3954F61A2A2}"/>
    <cellStyle name="Comma 8 2 2 4 3" xfId="2801" xr:uid="{5650B73E-6FF9-4AE3-B4A9-ACBA45D5ED53}"/>
    <cellStyle name="Comma 8 2 2 4 3 2" xfId="7137" xr:uid="{FF319972-744E-419A-B7FF-51B64D57907F}"/>
    <cellStyle name="Comma 8 2 2 4 3 2 2" xfId="15809" xr:uid="{58D84623-5257-4F8D-A6EB-6957B372CB2A}"/>
    <cellStyle name="Comma 8 2 2 4 3 2 2 2" xfId="33153" xr:uid="{54FEA27B-0D19-43D4-AB65-C1BDB46969E8}"/>
    <cellStyle name="Comma 8 2 2 4 3 2 3" xfId="24481" xr:uid="{F680EC2E-3222-4225-8CF3-79F0A5BAA780}"/>
    <cellStyle name="Comma 8 2 2 4 3 3" xfId="11473" xr:uid="{ED9D18AC-348C-4410-B61F-7EA3F89B3DB0}"/>
    <cellStyle name="Comma 8 2 2 4 3 3 2" xfId="28817" xr:uid="{D54593DE-6B3F-4631-837D-71E67533E5B3}"/>
    <cellStyle name="Comma 8 2 2 4 3 4" xfId="20145" xr:uid="{EC11737F-DC75-47D3-8194-0D1F96E38476}"/>
    <cellStyle name="Comma 8 2 2 4 4" xfId="4969" xr:uid="{6B99953C-488D-4D6A-9A1F-A493D2C13C1A}"/>
    <cellStyle name="Comma 8 2 2 4 4 2" xfId="13641" xr:uid="{35618792-CF40-4A30-A709-A439DC7CB52E}"/>
    <cellStyle name="Comma 8 2 2 4 4 2 2" xfId="30985" xr:uid="{08FA7E23-3075-488B-9002-88F9FEBA3ABC}"/>
    <cellStyle name="Comma 8 2 2 4 4 3" xfId="22313" xr:uid="{8EA9920E-62FE-499C-9068-F4CC40143E7A}"/>
    <cellStyle name="Comma 8 2 2 4 5" xfId="9305" xr:uid="{6AC347E8-09EE-4F5A-98F4-D79CFA8A521B}"/>
    <cellStyle name="Comma 8 2 2 4 5 2" xfId="26649" xr:uid="{9E418E4D-78B0-4415-9FA9-E60338ADA84F}"/>
    <cellStyle name="Comma 8 2 2 4 6" xfId="17977" xr:uid="{C4F9719F-F449-4805-9D46-20FF207B45E9}"/>
    <cellStyle name="Comma 8 2 2 5" xfId="1176" xr:uid="{37F5FF06-5B6F-458F-83CA-80E6B02AC182}"/>
    <cellStyle name="Comma 8 2 2 5 2" xfId="3344" xr:uid="{01E5A5A0-2077-4520-A5DA-549944A4DD46}"/>
    <cellStyle name="Comma 8 2 2 5 2 2" xfId="7680" xr:uid="{38BC638C-48F7-4071-8E4F-212AF80EEE42}"/>
    <cellStyle name="Comma 8 2 2 5 2 2 2" xfId="16352" xr:uid="{4F91C153-4E25-4F1B-B867-A11E168C32F6}"/>
    <cellStyle name="Comma 8 2 2 5 2 2 2 2" xfId="33696" xr:uid="{0F0B5CB5-4524-481E-BF8D-56DB8E68AB6F}"/>
    <cellStyle name="Comma 8 2 2 5 2 2 3" xfId="25024" xr:uid="{88368457-D340-4A63-A576-5B5F52B3EA1D}"/>
    <cellStyle name="Comma 8 2 2 5 2 3" xfId="12016" xr:uid="{E033601C-7AF0-4FDF-819D-2F54339D3784}"/>
    <cellStyle name="Comma 8 2 2 5 2 3 2" xfId="29360" xr:uid="{2AD74C24-4889-4021-9DAF-93491B7AE27D}"/>
    <cellStyle name="Comma 8 2 2 5 2 4" xfId="20688" xr:uid="{6775056F-451B-4380-B9CA-5619500B908B}"/>
    <cellStyle name="Comma 8 2 2 5 3" xfId="5512" xr:uid="{7567543F-FD4F-45B7-B5F9-C4BBCCC1834F}"/>
    <cellStyle name="Comma 8 2 2 5 3 2" xfId="14184" xr:uid="{116AC2BC-D1EB-4B70-A942-D71A7B76F324}"/>
    <cellStyle name="Comma 8 2 2 5 3 2 2" xfId="31528" xr:uid="{5F5B47FB-12D2-4B17-9B21-BC060E2E56BE}"/>
    <cellStyle name="Comma 8 2 2 5 3 3" xfId="22856" xr:uid="{97787CA6-3E95-45B9-B13F-647F74049BBC}"/>
    <cellStyle name="Comma 8 2 2 5 4" xfId="9848" xr:uid="{8739CD4B-D2E5-4D7D-A008-E829DDA39F05}"/>
    <cellStyle name="Comma 8 2 2 5 4 2" xfId="27192" xr:uid="{ABA0753C-4583-4A50-A781-EA1E80153B2C}"/>
    <cellStyle name="Comma 8 2 2 5 5" xfId="18520" xr:uid="{30636BE5-E4B6-4A5E-BFBA-CA4D099BD2E3}"/>
    <cellStyle name="Comma 8 2 2 6" xfId="2260" xr:uid="{D6F9F9C2-C6DF-4A68-8593-6D1A8A32BB7F}"/>
    <cellStyle name="Comma 8 2 2 6 2" xfId="6596" xr:uid="{7F9021C9-132B-414A-B491-2C34B4C733FA}"/>
    <cellStyle name="Comma 8 2 2 6 2 2" xfId="15268" xr:uid="{0B6A681D-FA4A-4D31-B892-55A1242CB6FF}"/>
    <cellStyle name="Comma 8 2 2 6 2 2 2" xfId="32612" xr:uid="{3DE6625E-E45A-42A3-8F66-250310CC8F62}"/>
    <cellStyle name="Comma 8 2 2 6 2 3" xfId="23940" xr:uid="{288FE44D-8B03-4DD9-A03C-63D3AC8944AD}"/>
    <cellStyle name="Comma 8 2 2 6 3" xfId="10932" xr:uid="{87864D63-D564-4E10-A403-234F658E6D02}"/>
    <cellStyle name="Comma 8 2 2 6 3 2" xfId="28276" xr:uid="{5F5A1DEE-3584-4BFB-B049-44A00FB0FF81}"/>
    <cellStyle name="Comma 8 2 2 6 4" xfId="19604" xr:uid="{F94BA3F1-1E9F-43F8-8063-6C7451A4988A}"/>
    <cellStyle name="Comma 8 2 2 7" xfId="4428" xr:uid="{56934EB8-2BCD-4F6E-B7FC-0542E9683A31}"/>
    <cellStyle name="Comma 8 2 2 7 2" xfId="13100" xr:uid="{6441C62E-0951-4F6D-9090-9FE81720C690}"/>
    <cellStyle name="Comma 8 2 2 7 2 2" xfId="30444" xr:uid="{385C667F-F43A-4E6D-A994-139765EB6A76}"/>
    <cellStyle name="Comma 8 2 2 7 3" xfId="21772" xr:uid="{90DB4E40-B679-4DED-9D22-043DBFE0C4FF}"/>
    <cellStyle name="Comma 8 2 2 8" xfId="8764" xr:uid="{09877047-6A3E-45BB-A511-B159F405D8BB}"/>
    <cellStyle name="Comma 8 2 2 8 2" xfId="26108" xr:uid="{244E7FEF-FF08-49CD-863C-1660C9AC4ED0}"/>
    <cellStyle name="Comma 8 2 2 9" xfId="17436" xr:uid="{090D1A60-B26A-47ED-9501-DBA754107CDD}"/>
    <cellStyle name="Comma 8 2 3" xfId="153" xr:uid="{A9B9D1EE-A934-47A4-A75E-4702E9738A64}"/>
    <cellStyle name="Comma 8 2 3 2" xfId="423" xr:uid="{71FB626E-55CC-40E3-B6F3-AB39AC008EE6}"/>
    <cellStyle name="Comma 8 2 3 2 2" xfId="964" xr:uid="{9E43C5F1-D769-4A44-9733-FFA18B384DDA}"/>
    <cellStyle name="Comma 8 2 3 2 2 2" xfId="2048" xr:uid="{80AF88E6-1A65-4BA1-996E-234D3AC21B03}"/>
    <cellStyle name="Comma 8 2 3 2 2 2 2" xfId="4216" xr:uid="{7710248E-8011-40FB-BB29-EBB9473CCDE9}"/>
    <cellStyle name="Comma 8 2 3 2 2 2 2 2" xfId="8552" xr:uid="{94063E84-D828-4721-BE9D-8559E55E3A67}"/>
    <cellStyle name="Comma 8 2 3 2 2 2 2 2 2" xfId="17224" xr:uid="{1F35BA36-A213-41F4-B357-CEF5B00FEC8B}"/>
    <cellStyle name="Comma 8 2 3 2 2 2 2 2 2 2" xfId="34568" xr:uid="{BC1AD2F4-831B-49B7-9D1C-207254FA14ED}"/>
    <cellStyle name="Comma 8 2 3 2 2 2 2 2 3" xfId="25896" xr:uid="{1A262277-4795-491F-BB2C-E05C563A2060}"/>
    <cellStyle name="Comma 8 2 3 2 2 2 2 3" xfId="12888" xr:uid="{90DC458E-D419-4CF8-940C-DBD349D209FC}"/>
    <cellStyle name="Comma 8 2 3 2 2 2 2 3 2" xfId="30232" xr:uid="{59B6710A-D0B6-4870-AD77-135593075B49}"/>
    <cellStyle name="Comma 8 2 3 2 2 2 2 4" xfId="21560" xr:uid="{016D2FEF-D001-4C59-AA43-4EC2367DC561}"/>
    <cellStyle name="Comma 8 2 3 2 2 2 3" xfId="6384" xr:uid="{373350FA-FC36-441A-B3E0-65D82087AE83}"/>
    <cellStyle name="Comma 8 2 3 2 2 2 3 2" xfId="15056" xr:uid="{586066B9-CA00-42E5-936B-A54DD1ADACB6}"/>
    <cellStyle name="Comma 8 2 3 2 2 2 3 2 2" xfId="32400" xr:uid="{477614B2-31A8-4208-99F1-CE7912751DEF}"/>
    <cellStyle name="Comma 8 2 3 2 2 2 3 3" xfId="23728" xr:uid="{4644D01C-1942-4507-B817-83949190B6F9}"/>
    <cellStyle name="Comma 8 2 3 2 2 2 4" xfId="10720" xr:uid="{4BE194CE-A9BA-4625-B9C4-1CADDDCF302F}"/>
    <cellStyle name="Comma 8 2 3 2 2 2 4 2" xfId="28064" xr:uid="{0AF473B1-295E-4C7F-B7F7-20AEC743A5EA}"/>
    <cellStyle name="Comma 8 2 3 2 2 2 5" xfId="19392" xr:uid="{529DF5F8-0F4B-4B95-AC29-6955D2D33051}"/>
    <cellStyle name="Comma 8 2 3 2 2 3" xfId="3132" xr:uid="{90D0A988-2CED-4211-8C15-1D80456E39A7}"/>
    <cellStyle name="Comma 8 2 3 2 2 3 2" xfId="7468" xr:uid="{2BAA2482-6814-4551-BC60-8341B98552FF}"/>
    <cellStyle name="Comma 8 2 3 2 2 3 2 2" xfId="16140" xr:uid="{12639F84-99A5-436A-9FEE-EA688FE8DC43}"/>
    <cellStyle name="Comma 8 2 3 2 2 3 2 2 2" xfId="33484" xr:uid="{1F758915-D37B-435E-9AFE-3F9B56D42954}"/>
    <cellStyle name="Comma 8 2 3 2 2 3 2 3" xfId="24812" xr:uid="{E0D9C56B-22EC-4037-B7E2-8EB568E1B758}"/>
    <cellStyle name="Comma 8 2 3 2 2 3 3" xfId="11804" xr:uid="{A2761798-08F8-426E-8A9D-6E0648D81B6F}"/>
    <cellStyle name="Comma 8 2 3 2 2 3 3 2" xfId="29148" xr:uid="{60501346-2723-45AD-82C6-2EA1C40824F5}"/>
    <cellStyle name="Comma 8 2 3 2 2 3 4" xfId="20476" xr:uid="{8306A2A9-4468-43D3-9306-2FD1720B83A4}"/>
    <cellStyle name="Comma 8 2 3 2 2 4" xfId="5300" xr:uid="{54D87D81-8209-4831-AA8F-7374BCF4A59F}"/>
    <cellStyle name="Comma 8 2 3 2 2 4 2" xfId="13972" xr:uid="{D2C564B8-D93A-4D6C-9DFE-9DCFFB232960}"/>
    <cellStyle name="Comma 8 2 3 2 2 4 2 2" xfId="31316" xr:uid="{D60359FF-3581-499A-8024-7C560D7CD689}"/>
    <cellStyle name="Comma 8 2 3 2 2 4 3" xfId="22644" xr:uid="{E94E1F12-3421-4630-B515-1D5069BD716A}"/>
    <cellStyle name="Comma 8 2 3 2 2 5" xfId="9636" xr:uid="{B0E9A755-A9AF-4566-AB2E-110F8870433E}"/>
    <cellStyle name="Comma 8 2 3 2 2 5 2" xfId="26980" xr:uid="{0239F2F2-0454-4AB8-8447-F196472CEEDB}"/>
    <cellStyle name="Comma 8 2 3 2 2 6" xfId="18308" xr:uid="{67861BB3-D9E2-484D-85F0-EC5CC75C981B}"/>
    <cellStyle name="Comma 8 2 3 2 3" xfId="1507" xr:uid="{38C7686A-C9C6-42AD-99E9-AB92CFE1606D}"/>
    <cellStyle name="Comma 8 2 3 2 3 2" xfId="3675" xr:uid="{C50BA61F-B045-43CB-8A6D-3372E9B7A7F7}"/>
    <cellStyle name="Comma 8 2 3 2 3 2 2" xfId="8011" xr:uid="{B7C3B9F3-48CA-4F92-A2D9-AAB3345B9242}"/>
    <cellStyle name="Comma 8 2 3 2 3 2 2 2" xfId="16683" xr:uid="{4FC10109-61B3-48AD-AF4F-A0CFEC9FBCC8}"/>
    <cellStyle name="Comma 8 2 3 2 3 2 2 2 2" xfId="34027" xr:uid="{801DA3F1-C92E-4492-B8E0-8FA73839488C}"/>
    <cellStyle name="Comma 8 2 3 2 3 2 2 3" xfId="25355" xr:uid="{4D921EC9-6223-4A7E-B6D4-E5F67BD4E341}"/>
    <cellStyle name="Comma 8 2 3 2 3 2 3" xfId="12347" xr:uid="{05FDC89F-3BBB-4B52-99BC-11551C6D4431}"/>
    <cellStyle name="Comma 8 2 3 2 3 2 3 2" xfId="29691" xr:uid="{4FE83809-8BFC-4E97-A73D-A0ABB947F1B6}"/>
    <cellStyle name="Comma 8 2 3 2 3 2 4" xfId="21019" xr:uid="{CCEC9BAF-1DCB-4E05-AA21-4EDB54B9E285}"/>
    <cellStyle name="Comma 8 2 3 2 3 3" xfId="5843" xr:uid="{D29121C2-8D72-49B9-BDAD-49967796FFA1}"/>
    <cellStyle name="Comma 8 2 3 2 3 3 2" xfId="14515" xr:uid="{87EA1767-40D0-4D3A-9FA6-EDE40D6E9695}"/>
    <cellStyle name="Comma 8 2 3 2 3 3 2 2" xfId="31859" xr:uid="{A16480D6-2459-4289-B77F-39F03CA6EE29}"/>
    <cellStyle name="Comma 8 2 3 2 3 3 3" xfId="23187" xr:uid="{6AF7B9AB-129A-4FF3-BA6E-918BB57892BA}"/>
    <cellStyle name="Comma 8 2 3 2 3 4" xfId="10179" xr:uid="{6A9888FB-A904-466C-AA63-4FFF4DF072E1}"/>
    <cellStyle name="Comma 8 2 3 2 3 4 2" xfId="27523" xr:uid="{17389E0D-A130-4EF5-83FC-A915B75ADF9A}"/>
    <cellStyle name="Comma 8 2 3 2 3 5" xfId="18851" xr:uid="{CC9A621E-37A6-40F7-92D8-B21FA2E35D3B}"/>
    <cellStyle name="Comma 8 2 3 2 4" xfId="2591" xr:uid="{02C9FD4C-25D6-4A3B-BB18-5F2A6D5B34AB}"/>
    <cellStyle name="Comma 8 2 3 2 4 2" xfId="6927" xr:uid="{A8F8EE1C-5445-4D57-A287-5138268BF9B5}"/>
    <cellStyle name="Comma 8 2 3 2 4 2 2" xfId="15599" xr:uid="{AC7C38FD-6312-4AF1-AFEA-9B644416642B}"/>
    <cellStyle name="Comma 8 2 3 2 4 2 2 2" xfId="32943" xr:uid="{177352CF-D5AF-45BB-BDAC-369B3AEBC6D2}"/>
    <cellStyle name="Comma 8 2 3 2 4 2 3" xfId="24271" xr:uid="{A279AB02-8C71-4E84-9BCC-BF3DCE2D9BC0}"/>
    <cellStyle name="Comma 8 2 3 2 4 3" xfId="11263" xr:uid="{D96FF34F-C726-42AA-B4E4-4C12C4528997}"/>
    <cellStyle name="Comma 8 2 3 2 4 3 2" xfId="28607" xr:uid="{3E21D4B0-0C64-4339-AE6E-5CA07996BA04}"/>
    <cellStyle name="Comma 8 2 3 2 4 4" xfId="19935" xr:uid="{77A18F71-4800-4C81-8F1A-79B3A5AD406C}"/>
    <cellStyle name="Comma 8 2 3 2 5" xfId="4759" xr:uid="{30CE2864-A8BA-494D-A5E1-E3CCBF3C3397}"/>
    <cellStyle name="Comma 8 2 3 2 5 2" xfId="13431" xr:uid="{65E56FC4-3612-4ADA-881A-D36E38AE49E9}"/>
    <cellStyle name="Comma 8 2 3 2 5 2 2" xfId="30775" xr:uid="{AC6A4AE7-3370-40D1-BF73-19B2A5443432}"/>
    <cellStyle name="Comma 8 2 3 2 5 3" xfId="22103" xr:uid="{CEC477B6-A49A-4125-84E1-D17A0D41CDA5}"/>
    <cellStyle name="Comma 8 2 3 2 6" xfId="9095" xr:uid="{BF573404-FD4E-4EC0-B6D1-29B99DF39094}"/>
    <cellStyle name="Comma 8 2 3 2 6 2" xfId="26439" xr:uid="{8D2A3E28-8BA9-43F4-9401-7E438BE6A780}"/>
    <cellStyle name="Comma 8 2 3 2 7" xfId="17767" xr:uid="{7DD5D5BC-C191-4749-945F-B8EB3E963AEF}"/>
    <cellStyle name="Comma 8 2 3 3" xfId="694" xr:uid="{2DE9B7B5-72CD-4C72-8166-0457B855888D}"/>
    <cellStyle name="Comma 8 2 3 3 2" xfId="1778" xr:uid="{FBB2F360-43CE-491E-90C0-1F728A65D23F}"/>
    <cellStyle name="Comma 8 2 3 3 2 2" xfId="3946" xr:uid="{3188D46D-E7C3-42F6-9109-B9FAE5D41C67}"/>
    <cellStyle name="Comma 8 2 3 3 2 2 2" xfId="8282" xr:uid="{EBFF98A7-0C3C-4563-B58F-40EA55F566DB}"/>
    <cellStyle name="Comma 8 2 3 3 2 2 2 2" xfId="16954" xr:uid="{7B3BB262-6FE4-4591-9235-60C22D0FD5AA}"/>
    <cellStyle name="Comma 8 2 3 3 2 2 2 2 2" xfId="34298" xr:uid="{1A1B5090-43D0-420A-B49D-66F3A3E9311D}"/>
    <cellStyle name="Comma 8 2 3 3 2 2 2 3" xfId="25626" xr:uid="{4B7993C8-1C7C-4EB6-9321-0E5352320DFF}"/>
    <cellStyle name="Comma 8 2 3 3 2 2 3" xfId="12618" xr:uid="{699B041C-B75E-4C04-933E-55BBD7A50068}"/>
    <cellStyle name="Comma 8 2 3 3 2 2 3 2" xfId="29962" xr:uid="{D6441FEC-746F-487B-B786-C1C6A6F97170}"/>
    <cellStyle name="Comma 8 2 3 3 2 2 4" xfId="21290" xr:uid="{C99D9A8B-D7C7-470B-8210-E978A367F803}"/>
    <cellStyle name="Comma 8 2 3 3 2 3" xfId="6114" xr:uid="{B9CE7F13-FDBD-4970-AD38-416C1D28C90F}"/>
    <cellStyle name="Comma 8 2 3 3 2 3 2" xfId="14786" xr:uid="{AA393637-52F3-453E-8B09-9663C4D698DD}"/>
    <cellStyle name="Comma 8 2 3 3 2 3 2 2" xfId="32130" xr:uid="{EAB65096-869A-4C99-85C2-450422EA6EA2}"/>
    <cellStyle name="Comma 8 2 3 3 2 3 3" xfId="23458" xr:uid="{3CA1E072-7075-4CDE-9F29-D73D2E4A069F}"/>
    <cellStyle name="Comma 8 2 3 3 2 4" xfId="10450" xr:uid="{7350410C-FC8F-4D8F-A9A0-00B09EEDA5F4}"/>
    <cellStyle name="Comma 8 2 3 3 2 4 2" xfId="27794" xr:uid="{2A33D50C-B973-4010-B27C-27DC6C362516}"/>
    <cellStyle name="Comma 8 2 3 3 2 5" xfId="19122" xr:uid="{A04537F7-22B1-4D21-A22E-64F11730284F}"/>
    <cellStyle name="Comma 8 2 3 3 3" xfId="2862" xr:uid="{CC9C1E67-3473-4228-AE34-1B710712AC0B}"/>
    <cellStyle name="Comma 8 2 3 3 3 2" xfId="7198" xr:uid="{E216B4E1-F68F-4B1F-ABBE-4311633EED5E}"/>
    <cellStyle name="Comma 8 2 3 3 3 2 2" xfId="15870" xr:uid="{107521A0-8236-439B-8472-59AF65B671D9}"/>
    <cellStyle name="Comma 8 2 3 3 3 2 2 2" xfId="33214" xr:uid="{4C33531A-8DFC-4698-A3A3-857D41EE08A5}"/>
    <cellStyle name="Comma 8 2 3 3 3 2 3" xfId="24542" xr:uid="{B9E11480-DF75-465A-98D7-D736811BAEF8}"/>
    <cellStyle name="Comma 8 2 3 3 3 3" xfId="11534" xr:uid="{1C7B9710-5B56-45EB-AF2D-526DC16BA395}"/>
    <cellStyle name="Comma 8 2 3 3 3 3 2" xfId="28878" xr:uid="{E0CB71F2-D9DB-485F-BEA4-973858D9B7F8}"/>
    <cellStyle name="Comma 8 2 3 3 3 4" xfId="20206" xr:uid="{E5B2281C-30EF-44D0-9691-0B8A08DA8D7B}"/>
    <cellStyle name="Comma 8 2 3 3 4" xfId="5030" xr:uid="{0FB263EB-9146-4A27-A0F1-0E523860B2A0}"/>
    <cellStyle name="Comma 8 2 3 3 4 2" xfId="13702" xr:uid="{16ECDBE2-ED57-41A8-BB99-3A95C646E84C}"/>
    <cellStyle name="Comma 8 2 3 3 4 2 2" xfId="31046" xr:uid="{DE5CC67F-F624-4C22-891E-33137CC12D43}"/>
    <cellStyle name="Comma 8 2 3 3 4 3" xfId="22374" xr:uid="{C2BE5B0A-7000-40C6-BF9B-4FFC0C0C48BB}"/>
    <cellStyle name="Comma 8 2 3 3 5" xfId="9366" xr:uid="{FFB14430-93D5-4E03-B56C-DEDDDED5C08E}"/>
    <cellStyle name="Comma 8 2 3 3 5 2" xfId="26710" xr:uid="{0A1B50D6-6AE0-43A2-9FF8-C93E807B8582}"/>
    <cellStyle name="Comma 8 2 3 3 6" xfId="18038" xr:uid="{580F763E-299C-44EC-8A57-A64D8D290E09}"/>
    <cellStyle name="Comma 8 2 3 4" xfId="1237" xr:uid="{EB957342-E2F2-4DD3-BDD6-81ED130EDBF6}"/>
    <cellStyle name="Comma 8 2 3 4 2" xfId="3405" xr:uid="{A0A67FB8-B301-4CC2-B584-64E0DE036F98}"/>
    <cellStyle name="Comma 8 2 3 4 2 2" xfId="7741" xr:uid="{D4773CC4-C560-4DD3-9BD5-7B762A1C1357}"/>
    <cellStyle name="Comma 8 2 3 4 2 2 2" xfId="16413" xr:uid="{28830A69-DDD0-4622-8E40-9A94898A8619}"/>
    <cellStyle name="Comma 8 2 3 4 2 2 2 2" xfId="33757" xr:uid="{29F2E987-A2C6-4DA6-8C8A-944F73452F9F}"/>
    <cellStyle name="Comma 8 2 3 4 2 2 3" xfId="25085" xr:uid="{CBF8B469-1C38-4028-B415-3AAB4983833D}"/>
    <cellStyle name="Comma 8 2 3 4 2 3" xfId="12077" xr:uid="{2995F675-3E30-4AA4-9053-EE34C07A9F0B}"/>
    <cellStyle name="Comma 8 2 3 4 2 3 2" xfId="29421" xr:uid="{664E24E0-C914-4D2C-8EE8-F90FBFB375D1}"/>
    <cellStyle name="Comma 8 2 3 4 2 4" xfId="20749" xr:uid="{C8348547-A248-469D-98DC-E52EB0E751E7}"/>
    <cellStyle name="Comma 8 2 3 4 3" xfId="5573" xr:uid="{F3AC96BD-09D0-4D64-9E85-CC9970D74C37}"/>
    <cellStyle name="Comma 8 2 3 4 3 2" xfId="14245" xr:uid="{9F3F3D08-C4DD-4BAF-A957-631B79333AFA}"/>
    <cellStyle name="Comma 8 2 3 4 3 2 2" xfId="31589" xr:uid="{05396138-9C8B-4E4F-AA84-309B1849DE6A}"/>
    <cellStyle name="Comma 8 2 3 4 3 3" xfId="22917" xr:uid="{5604F88F-D188-438E-92A7-6E7465AABEF3}"/>
    <cellStyle name="Comma 8 2 3 4 4" xfId="9909" xr:uid="{C0A0ACBF-D1B2-4473-9600-F373808B1665}"/>
    <cellStyle name="Comma 8 2 3 4 4 2" xfId="27253" xr:uid="{1EB401B3-A6FB-4E39-9BFC-D391093873A9}"/>
    <cellStyle name="Comma 8 2 3 4 5" xfId="18581" xr:uid="{5533D5D1-542B-4940-A7F9-2B3A569CBB92}"/>
    <cellStyle name="Comma 8 2 3 5" xfId="2321" xr:uid="{977D986F-CDDA-43E9-8604-761641D895DF}"/>
    <cellStyle name="Comma 8 2 3 5 2" xfId="6657" xr:uid="{E55BFAFF-DA2D-40BC-AF49-D69EE91BD749}"/>
    <cellStyle name="Comma 8 2 3 5 2 2" xfId="15329" xr:uid="{24007B6D-37CA-419A-834D-5A37979B69AF}"/>
    <cellStyle name="Comma 8 2 3 5 2 2 2" xfId="32673" xr:uid="{8F3A2CF7-31BD-41CC-AB7D-B29B5E276688}"/>
    <cellStyle name="Comma 8 2 3 5 2 3" xfId="24001" xr:uid="{312F399C-E79E-40F9-BA5C-6E73B289CF04}"/>
    <cellStyle name="Comma 8 2 3 5 3" xfId="10993" xr:uid="{E5B5B11B-CAC7-4723-8E3C-39D639EFBEB0}"/>
    <cellStyle name="Comma 8 2 3 5 3 2" xfId="28337" xr:uid="{7D88FD67-CC65-4F81-B407-CAB72133DFB0}"/>
    <cellStyle name="Comma 8 2 3 5 4" xfId="19665" xr:uid="{1F941385-186B-45A2-AF0B-215D9E6AC50C}"/>
    <cellStyle name="Comma 8 2 3 6" xfId="4489" xr:uid="{72150B18-14F6-4FAD-A76A-94E364E8659D}"/>
    <cellStyle name="Comma 8 2 3 6 2" xfId="13161" xr:uid="{1A35FC12-9A70-4D11-AF60-F37C804D7260}"/>
    <cellStyle name="Comma 8 2 3 6 2 2" xfId="30505" xr:uid="{8C15C5E4-34ED-49D7-BD1B-7632C752624A}"/>
    <cellStyle name="Comma 8 2 3 6 3" xfId="21833" xr:uid="{21E8E04C-69C0-4589-A161-1FFD567BD394}"/>
    <cellStyle name="Comma 8 2 3 7" xfId="8825" xr:uid="{786FC258-A6CB-4A4B-AB33-74B2C165A293}"/>
    <cellStyle name="Comma 8 2 3 7 2" xfId="26169" xr:uid="{FA0D6399-7355-4BA7-B82A-FEFF9DD8DD67}"/>
    <cellStyle name="Comma 8 2 3 8" xfId="17497" xr:uid="{EFD27B12-7A97-40F7-8A99-27DC2A91F345}"/>
    <cellStyle name="Comma 8 2 4" xfId="301" xr:uid="{0E3AFCC7-F2D8-421B-B17C-872441284445}"/>
    <cellStyle name="Comma 8 2 4 2" xfId="842" xr:uid="{284B9F47-6E97-43D0-90FF-F9FD47C1AF86}"/>
    <cellStyle name="Comma 8 2 4 2 2" xfId="1926" xr:uid="{B2C6D1D2-C81E-42BD-B52E-B5F5F55F3547}"/>
    <cellStyle name="Comma 8 2 4 2 2 2" xfId="4094" xr:uid="{E5E52D0D-F30C-4B69-A9C1-3023C2E306F0}"/>
    <cellStyle name="Comma 8 2 4 2 2 2 2" xfId="8430" xr:uid="{0FCC018F-900C-4479-A823-36BAFB49F175}"/>
    <cellStyle name="Comma 8 2 4 2 2 2 2 2" xfId="17102" xr:uid="{5FD6A1FE-2322-4DB6-BB94-1751F2D050CD}"/>
    <cellStyle name="Comma 8 2 4 2 2 2 2 2 2" xfId="34446" xr:uid="{9E7ACB2F-6FCD-4E67-A2A3-65B01132B62B}"/>
    <cellStyle name="Comma 8 2 4 2 2 2 2 3" xfId="25774" xr:uid="{4C70E2EB-FFB5-46D4-A366-CC5DB5ADD182}"/>
    <cellStyle name="Comma 8 2 4 2 2 2 3" xfId="12766" xr:uid="{3F23DB14-C674-4AFF-B79D-B0CB111D9BFA}"/>
    <cellStyle name="Comma 8 2 4 2 2 2 3 2" xfId="30110" xr:uid="{64E14DF5-59B5-4A46-A177-30E6D9445E2C}"/>
    <cellStyle name="Comma 8 2 4 2 2 2 4" xfId="21438" xr:uid="{E7C45F5F-E2F1-4B8F-9709-373ADEEC55E0}"/>
    <cellStyle name="Comma 8 2 4 2 2 3" xfId="6262" xr:uid="{72D37509-4647-4987-A497-335584775CD3}"/>
    <cellStyle name="Comma 8 2 4 2 2 3 2" xfId="14934" xr:uid="{01BCD08F-2F85-4EED-A14F-4742625AFB64}"/>
    <cellStyle name="Comma 8 2 4 2 2 3 2 2" xfId="32278" xr:uid="{A0AA473E-B5BE-4B42-90E9-330AA066F205}"/>
    <cellStyle name="Comma 8 2 4 2 2 3 3" xfId="23606" xr:uid="{12C86E05-F08E-4AA0-9382-AD7878AB5F33}"/>
    <cellStyle name="Comma 8 2 4 2 2 4" xfId="10598" xr:uid="{0CF746CA-71CD-459D-BF03-9CEC0F2B7879}"/>
    <cellStyle name="Comma 8 2 4 2 2 4 2" xfId="27942" xr:uid="{CDFC501C-0ACB-411A-AC5E-5B752AF80A22}"/>
    <cellStyle name="Comma 8 2 4 2 2 5" xfId="19270" xr:uid="{573EBFAD-0D66-40B0-BE6D-CA48FB53E652}"/>
    <cellStyle name="Comma 8 2 4 2 3" xfId="3010" xr:uid="{87C7509A-6C09-4F35-A9ED-32A7DC940FFD}"/>
    <cellStyle name="Comma 8 2 4 2 3 2" xfId="7346" xr:uid="{753436E6-060C-40C2-A84E-EFFA6351BF4E}"/>
    <cellStyle name="Comma 8 2 4 2 3 2 2" xfId="16018" xr:uid="{27E8371F-C31A-4EA6-BC73-B5D0B9A8F958}"/>
    <cellStyle name="Comma 8 2 4 2 3 2 2 2" xfId="33362" xr:uid="{75CC5D28-DDE8-4F44-A7C0-1C0BE5A241A3}"/>
    <cellStyle name="Comma 8 2 4 2 3 2 3" xfId="24690" xr:uid="{6744D4EB-21D8-4E49-930B-C0BEA8AD27F4}"/>
    <cellStyle name="Comma 8 2 4 2 3 3" xfId="11682" xr:uid="{55C448CA-88C0-4670-9263-B8E622BF2139}"/>
    <cellStyle name="Comma 8 2 4 2 3 3 2" xfId="29026" xr:uid="{15E319B2-530C-498E-9F1E-8B79F2206B10}"/>
    <cellStyle name="Comma 8 2 4 2 3 4" xfId="20354" xr:uid="{064B6DDA-DA14-45BE-98E8-57D7C9E5BE8D}"/>
    <cellStyle name="Comma 8 2 4 2 4" xfId="5178" xr:uid="{985AAA03-CD21-4FDD-9D17-B762763401E5}"/>
    <cellStyle name="Comma 8 2 4 2 4 2" xfId="13850" xr:uid="{E674D967-DE23-4634-B71B-FF7CD24749B4}"/>
    <cellStyle name="Comma 8 2 4 2 4 2 2" xfId="31194" xr:uid="{B7C57695-7998-4384-B795-7ED9D41F7022}"/>
    <cellStyle name="Comma 8 2 4 2 4 3" xfId="22522" xr:uid="{CA573BAF-CB92-49B7-8C99-445F97E6993D}"/>
    <cellStyle name="Comma 8 2 4 2 5" xfId="9514" xr:uid="{475B0594-3349-429B-88C8-42CD0AB9162B}"/>
    <cellStyle name="Comma 8 2 4 2 5 2" xfId="26858" xr:uid="{0FF9F6D9-30BE-463F-A3CD-73976B62E527}"/>
    <cellStyle name="Comma 8 2 4 2 6" xfId="18186" xr:uid="{B3171F94-1AA5-46CA-AA35-ACF2384C26AA}"/>
    <cellStyle name="Comma 8 2 4 3" xfId="1385" xr:uid="{584B105A-3E32-4D0B-832D-11B324D14713}"/>
    <cellStyle name="Comma 8 2 4 3 2" xfId="3553" xr:uid="{FEA1377C-E2CA-4C16-913E-12E5897300A1}"/>
    <cellStyle name="Comma 8 2 4 3 2 2" xfId="7889" xr:uid="{91730BCE-AABE-4ABE-BB4C-F5B1EF25F454}"/>
    <cellStyle name="Comma 8 2 4 3 2 2 2" xfId="16561" xr:uid="{D01EAC89-136D-43B7-91D2-60DBC3FDAEC1}"/>
    <cellStyle name="Comma 8 2 4 3 2 2 2 2" xfId="33905" xr:uid="{F8D373A3-EE61-43E0-886C-5BA554568632}"/>
    <cellStyle name="Comma 8 2 4 3 2 2 3" xfId="25233" xr:uid="{C9BAA708-0399-4A0E-B245-329489EE7612}"/>
    <cellStyle name="Comma 8 2 4 3 2 3" xfId="12225" xr:uid="{7B73FF5B-90D1-4793-9E2F-27358778DB58}"/>
    <cellStyle name="Comma 8 2 4 3 2 3 2" xfId="29569" xr:uid="{53A8061E-8662-4518-8D6D-20B864F566BD}"/>
    <cellStyle name="Comma 8 2 4 3 2 4" xfId="20897" xr:uid="{6FE21BAA-01CF-4ADD-8EB8-452820C455B4}"/>
    <cellStyle name="Comma 8 2 4 3 3" xfId="5721" xr:uid="{DF5B5E1A-C110-4C07-85B3-18BA1B3D3352}"/>
    <cellStyle name="Comma 8 2 4 3 3 2" xfId="14393" xr:uid="{9E0E5B2F-92A8-476B-A6B7-851A1543C95C}"/>
    <cellStyle name="Comma 8 2 4 3 3 2 2" xfId="31737" xr:uid="{C503F1E9-D308-489A-8F43-8828B378A445}"/>
    <cellStyle name="Comma 8 2 4 3 3 3" xfId="23065" xr:uid="{362131C1-E91F-4851-90FE-A5593AFAE469}"/>
    <cellStyle name="Comma 8 2 4 3 4" xfId="10057" xr:uid="{CAD95EAE-500F-435C-9AE9-4F724643D245}"/>
    <cellStyle name="Comma 8 2 4 3 4 2" xfId="27401" xr:uid="{A756FD46-14ED-4565-8E51-C78282DF5B68}"/>
    <cellStyle name="Comma 8 2 4 3 5" xfId="18729" xr:uid="{9D9D80A7-91E5-4AC0-ACC6-CCE262371692}"/>
    <cellStyle name="Comma 8 2 4 4" xfId="2469" xr:uid="{1BFB83F9-25AB-4C8A-91E6-B796A97479FA}"/>
    <cellStyle name="Comma 8 2 4 4 2" xfId="6805" xr:uid="{85F6DD59-14CC-4214-B271-08B4F4854FA1}"/>
    <cellStyle name="Comma 8 2 4 4 2 2" xfId="15477" xr:uid="{7751AF8C-F1DE-43E1-A674-8A83B11D2961}"/>
    <cellStyle name="Comma 8 2 4 4 2 2 2" xfId="32821" xr:uid="{C283A9B9-A522-417B-A2D6-0881996F6FDC}"/>
    <cellStyle name="Comma 8 2 4 4 2 3" xfId="24149" xr:uid="{01D0C402-8B56-4E23-9A04-048A8DA8A18C}"/>
    <cellStyle name="Comma 8 2 4 4 3" xfId="11141" xr:uid="{3DD36D3D-ED2C-4E31-B367-DA9CBB96638D}"/>
    <cellStyle name="Comma 8 2 4 4 3 2" xfId="28485" xr:uid="{68F461F1-76B0-4474-8265-B91B3F8E466C}"/>
    <cellStyle name="Comma 8 2 4 4 4" xfId="19813" xr:uid="{713BDC90-B0A9-4A6F-982D-D4BA5BBF647C}"/>
    <cellStyle name="Comma 8 2 4 5" xfId="4637" xr:uid="{F03B8C95-CB7E-4D67-A985-A6FD24DE3F90}"/>
    <cellStyle name="Comma 8 2 4 5 2" xfId="13309" xr:uid="{3F6936B2-A5F1-40CA-8453-FC1AD9EE42AD}"/>
    <cellStyle name="Comma 8 2 4 5 2 2" xfId="30653" xr:uid="{9FDC3903-27E7-46DC-A707-0F1A5FA8BAE7}"/>
    <cellStyle name="Comma 8 2 4 5 3" xfId="21981" xr:uid="{B5546702-63BF-4651-BEE3-2EFB32AEA908}"/>
    <cellStyle name="Comma 8 2 4 6" xfId="8973" xr:uid="{EB5F9AE7-EA6A-4B2F-BC52-E9B7EC7963A8}"/>
    <cellStyle name="Comma 8 2 4 6 2" xfId="26317" xr:uid="{F32F751D-DE27-4B12-AA88-C1D0EC9494DD}"/>
    <cellStyle name="Comma 8 2 4 7" xfId="17645" xr:uid="{CC0CBB54-8FE8-49D0-9145-B974F45E5CE9}"/>
    <cellStyle name="Comma 8 2 5" xfId="572" xr:uid="{C313811C-CA98-4B2F-B445-B2840D936E7C}"/>
    <cellStyle name="Comma 8 2 5 2" xfId="1656" xr:uid="{D3587BDA-8D19-4AAE-B936-0D18DCAD2D1E}"/>
    <cellStyle name="Comma 8 2 5 2 2" xfId="3824" xr:uid="{36C87D98-8763-4431-8E42-161CFA0ACEB6}"/>
    <cellStyle name="Comma 8 2 5 2 2 2" xfId="8160" xr:uid="{95D595B0-9631-4EFB-B762-E21B648F21CE}"/>
    <cellStyle name="Comma 8 2 5 2 2 2 2" xfId="16832" xr:uid="{EB71BB36-B9C8-4868-B6EC-8092F23D025C}"/>
    <cellStyle name="Comma 8 2 5 2 2 2 2 2" xfId="34176" xr:uid="{9F98CF82-A9D5-442D-B3E9-334A0FAB133F}"/>
    <cellStyle name="Comma 8 2 5 2 2 2 3" xfId="25504" xr:uid="{E88D67FD-0431-4B8F-ADC0-04CF8A42B48A}"/>
    <cellStyle name="Comma 8 2 5 2 2 3" xfId="12496" xr:uid="{F396379E-6CC0-4442-BB73-E9BC27B3C586}"/>
    <cellStyle name="Comma 8 2 5 2 2 3 2" xfId="29840" xr:uid="{29EB4220-EBBF-42A3-86D2-45A7E2536384}"/>
    <cellStyle name="Comma 8 2 5 2 2 4" xfId="21168" xr:uid="{853C42EF-C54C-4EE7-AFB4-8E0D0343A86E}"/>
    <cellStyle name="Comma 8 2 5 2 3" xfId="5992" xr:uid="{85CA9F6A-DD94-4821-AB87-38AB33CC0078}"/>
    <cellStyle name="Comma 8 2 5 2 3 2" xfId="14664" xr:uid="{67F674E6-C47E-4FE3-83CC-A3DA8550E124}"/>
    <cellStyle name="Comma 8 2 5 2 3 2 2" xfId="32008" xr:uid="{7C8C1B4F-D286-4DD6-8B67-27DFC1E99A67}"/>
    <cellStyle name="Comma 8 2 5 2 3 3" xfId="23336" xr:uid="{D2BFFE36-CE55-4D8A-A05D-905DEA6CDFCC}"/>
    <cellStyle name="Comma 8 2 5 2 4" xfId="10328" xr:uid="{39E0E3BE-DB9D-4345-816E-DF72F28CF15C}"/>
    <cellStyle name="Comma 8 2 5 2 4 2" xfId="27672" xr:uid="{4B9D443B-E261-4DB1-AAD2-6E67A09DA275}"/>
    <cellStyle name="Comma 8 2 5 2 5" xfId="19000" xr:uid="{825FBA25-26E4-450D-94C4-06FCDFF67F11}"/>
    <cellStyle name="Comma 8 2 5 3" xfId="2740" xr:uid="{0A1017B6-B049-4072-8DDF-97F272CC6332}"/>
    <cellStyle name="Comma 8 2 5 3 2" xfId="7076" xr:uid="{7C766F6E-ABC9-4578-AA6C-A60C3211591F}"/>
    <cellStyle name="Comma 8 2 5 3 2 2" xfId="15748" xr:uid="{FBBDACB8-CC36-477D-800B-8EA117073AD3}"/>
    <cellStyle name="Comma 8 2 5 3 2 2 2" xfId="33092" xr:uid="{A874581E-2710-4C60-8B74-F5E0D8253BC6}"/>
    <cellStyle name="Comma 8 2 5 3 2 3" xfId="24420" xr:uid="{7276C860-25EA-4C99-A661-CC1A8EBEC302}"/>
    <cellStyle name="Comma 8 2 5 3 3" xfId="11412" xr:uid="{15FCA8F6-3738-40C8-8F60-D596C0618FE5}"/>
    <cellStyle name="Comma 8 2 5 3 3 2" xfId="28756" xr:uid="{B6661EEC-4577-4B58-A525-3A42A3831363}"/>
    <cellStyle name="Comma 8 2 5 3 4" xfId="20084" xr:uid="{282C2C65-6521-46C6-A0AC-35D355380CEB}"/>
    <cellStyle name="Comma 8 2 5 4" xfId="4908" xr:uid="{4E3E4ADF-7E6F-42FD-9D57-E257393095AA}"/>
    <cellStyle name="Comma 8 2 5 4 2" xfId="13580" xr:uid="{7F1B7EB2-6A52-4676-9C67-E62C03F76A55}"/>
    <cellStyle name="Comma 8 2 5 4 2 2" xfId="30924" xr:uid="{C3363DD8-4752-4E00-90CC-CA20A54B2DC5}"/>
    <cellStyle name="Comma 8 2 5 4 3" xfId="22252" xr:uid="{F5EC82E3-6065-42EC-BD28-4D9FB14A902F}"/>
    <cellStyle name="Comma 8 2 5 5" xfId="9244" xr:uid="{F4A7DB29-5680-4D47-8FA3-5F989738EEBF}"/>
    <cellStyle name="Comma 8 2 5 5 2" xfId="26588" xr:uid="{82505139-7221-442C-9AA6-CD18DFEBCA9F}"/>
    <cellStyle name="Comma 8 2 5 6" xfId="17916" xr:uid="{02428EFA-FAF3-493F-98C3-F9A51C194E6B}"/>
    <cellStyle name="Comma 8 2 6" xfId="1115" xr:uid="{2C5E679E-C7F5-4365-8F68-AEA5948CFB91}"/>
    <cellStyle name="Comma 8 2 6 2" xfId="3283" xr:uid="{C144A671-2EF4-45A7-A3C4-400C1CBE5AE5}"/>
    <cellStyle name="Comma 8 2 6 2 2" xfId="7619" xr:uid="{4EB02A47-1E69-49DB-B7AD-6135059BD852}"/>
    <cellStyle name="Comma 8 2 6 2 2 2" xfId="16291" xr:uid="{5685703D-EE6E-461D-A189-434A55645ACF}"/>
    <cellStyle name="Comma 8 2 6 2 2 2 2" xfId="33635" xr:uid="{039BE81B-431D-4820-B7DD-1A2D35F97FA0}"/>
    <cellStyle name="Comma 8 2 6 2 2 3" xfId="24963" xr:uid="{48526CD8-CE8A-41D5-9072-2CFCE6107883}"/>
    <cellStyle name="Comma 8 2 6 2 3" xfId="11955" xr:uid="{1B439E13-8B63-4475-8032-C153BD8C6C27}"/>
    <cellStyle name="Comma 8 2 6 2 3 2" xfId="29299" xr:uid="{9B52597D-8495-4E12-9214-1EC8A086E3DC}"/>
    <cellStyle name="Comma 8 2 6 2 4" xfId="20627" xr:uid="{EAD1E64A-FBE1-4531-97E3-4423BBCA554E}"/>
    <cellStyle name="Comma 8 2 6 3" xfId="5451" xr:uid="{5E2CE912-2822-43F3-A72E-711DF9B587E3}"/>
    <cellStyle name="Comma 8 2 6 3 2" xfId="14123" xr:uid="{CC898D3E-F37A-40A6-8DB9-0792832A5B13}"/>
    <cellStyle name="Comma 8 2 6 3 2 2" xfId="31467" xr:uid="{49277D1F-642F-46D6-8FA3-28DBEDA7480D}"/>
    <cellStyle name="Comma 8 2 6 3 3" xfId="22795" xr:uid="{CA0ED0DC-6B39-4167-9880-172EBAE20B9C}"/>
    <cellStyle name="Comma 8 2 6 4" xfId="9787" xr:uid="{40462153-F4B9-4D2E-BF7E-3519EE9BF653}"/>
    <cellStyle name="Comma 8 2 6 4 2" xfId="27131" xr:uid="{A1DF94CC-8DC1-4ACF-9EAB-C5FF38FE6E23}"/>
    <cellStyle name="Comma 8 2 6 5" xfId="18459" xr:uid="{2897334A-EEE2-4EE7-BBCA-F9C08E753CD0}"/>
    <cellStyle name="Comma 8 2 7" xfId="2199" xr:uid="{00D733F9-2F4E-41D9-97A7-82E8F9F03974}"/>
    <cellStyle name="Comma 8 2 7 2" xfId="6535" xr:uid="{D5D81F61-3E10-444F-9635-91D53478D5EF}"/>
    <cellStyle name="Comma 8 2 7 2 2" xfId="15207" xr:uid="{E61C41A0-3A77-473E-B75E-E84E22C83521}"/>
    <cellStyle name="Comma 8 2 7 2 2 2" xfId="32551" xr:uid="{3B779C81-27DB-4B8A-8C8F-E0724E0804CA}"/>
    <cellStyle name="Comma 8 2 7 2 3" xfId="23879" xr:uid="{0291CBCE-8E0D-4B3A-93FE-D7C41B5DD794}"/>
    <cellStyle name="Comma 8 2 7 3" xfId="10871" xr:uid="{4650CF9F-97D3-4181-872A-11B62911D1D7}"/>
    <cellStyle name="Comma 8 2 7 3 2" xfId="28215" xr:uid="{9BB28768-6F4A-43D7-96CE-06941CACA81E}"/>
    <cellStyle name="Comma 8 2 7 4" xfId="19543" xr:uid="{1DA57C05-2165-4343-9376-6D7F735A312D}"/>
    <cellStyle name="Comma 8 2 8" xfId="4367" xr:uid="{C5533C46-E5CD-4A23-82D7-E3FC82EED9E7}"/>
    <cellStyle name="Comma 8 2 8 2" xfId="13039" xr:uid="{6DDAF4A7-18D9-408C-87B5-A555DD90C30B}"/>
    <cellStyle name="Comma 8 2 8 2 2" xfId="30383" xr:uid="{F648A216-01EE-4D92-B214-8B4FA7966BB5}"/>
    <cellStyle name="Comma 8 2 8 3" xfId="21711" xr:uid="{0C945C82-B86E-4F1F-8793-F359BE7973C2}"/>
    <cellStyle name="Comma 8 2 9" xfId="8703" xr:uid="{1BC79060-92AD-4FD1-B0C3-0E75352FD45B}"/>
    <cellStyle name="Comma 8 2 9 2" xfId="26047" xr:uid="{BC038425-B11C-41C9-AC8C-B5FB20A03D4D}"/>
    <cellStyle name="Comma 8 3" xfId="50" xr:uid="{F881D3FC-F980-47A3-9FC3-F7CA0E6DAF3F}"/>
    <cellStyle name="Comma 8 3 10" xfId="17394" xr:uid="{2E730868-76F0-4B62-866F-4F48692B8153}"/>
    <cellStyle name="Comma 8 3 2" xfId="111" xr:uid="{E954F9A5-41B1-48A4-B451-C6739FBEEADC}"/>
    <cellStyle name="Comma 8 3 2 2" xfId="233" xr:uid="{AC8650F6-127E-4FA5-957D-95020367CAD0}"/>
    <cellStyle name="Comma 8 3 2 2 2" xfId="503" xr:uid="{B1412CED-9DED-4F89-970D-E8155EC40107}"/>
    <cellStyle name="Comma 8 3 2 2 2 2" xfId="1044" xr:uid="{D5748B4C-1A04-4193-B1E6-91CC8BBB1EEB}"/>
    <cellStyle name="Comma 8 3 2 2 2 2 2" xfId="2128" xr:uid="{49FE6E95-09E3-49FB-86EC-78984CF359B8}"/>
    <cellStyle name="Comma 8 3 2 2 2 2 2 2" xfId="4296" xr:uid="{F3FE4923-58A9-4EC8-B467-8B09BED6A6B5}"/>
    <cellStyle name="Comma 8 3 2 2 2 2 2 2 2" xfId="8632" xr:uid="{9F9EC876-E923-4AA4-B857-87A8E1C069EB}"/>
    <cellStyle name="Comma 8 3 2 2 2 2 2 2 2 2" xfId="17304" xr:uid="{1FF51AC4-0C1F-451D-9CE7-F3D9A131158E}"/>
    <cellStyle name="Comma 8 3 2 2 2 2 2 2 2 2 2" xfId="34648" xr:uid="{0E7333EE-22DC-4E3B-821F-6B88C61D2E74}"/>
    <cellStyle name="Comma 8 3 2 2 2 2 2 2 2 3" xfId="25976" xr:uid="{9AEF6274-BE13-4D7F-AE99-9A5BE7C35A8C}"/>
    <cellStyle name="Comma 8 3 2 2 2 2 2 2 3" xfId="12968" xr:uid="{1EA41D6C-9165-4B3C-BE59-4EF2D40B7DA4}"/>
    <cellStyle name="Comma 8 3 2 2 2 2 2 2 3 2" xfId="30312" xr:uid="{504347E1-4523-4480-BB2A-3E2676C1FE28}"/>
    <cellStyle name="Comma 8 3 2 2 2 2 2 2 4" xfId="21640" xr:uid="{F5D6B0B1-4191-40B0-AD28-A294E755FB02}"/>
    <cellStyle name="Comma 8 3 2 2 2 2 2 3" xfId="6464" xr:uid="{59EE5576-BDA1-4452-B8AB-B90B2EC8CE17}"/>
    <cellStyle name="Comma 8 3 2 2 2 2 2 3 2" xfId="15136" xr:uid="{BF406752-5038-4FD1-8755-DC029FB2FE63}"/>
    <cellStyle name="Comma 8 3 2 2 2 2 2 3 2 2" xfId="32480" xr:uid="{57AEF9A9-0DD7-4327-B81C-16EA25B1127F}"/>
    <cellStyle name="Comma 8 3 2 2 2 2 2 3 3" xfId="23808" xr:uid="{7F1549B4-EED1-4EC5-98DC-4EF76CEB6418}"/>
    <cellStyle name="Comma 8 3 2 2 2 2 2 4" xfId="10800" xr:uid="{758A89AB-93A2-4056-A8D5-BAEB25819136}"/>
    <cellStyle name="Comma 8 3 2 2 2 2 2 4 2" xfId="28144" xr:uid="{909FF1AE-9A6C-4706-8CD9-1D19B0A069B5}"/>
    <cellStyle name="Comma 8 3 2 2 2 2 2 5" xfId="19472" xr:uid="{9A8B271C-8490-4736-8CA7-10BFD26E9B98}"/>
    <cellStyle name="Comma 8 3 2 2 2 2 3" xfId="3212" xr:uid="{C35D1391-452A-4939-9DC5-876675DFA76D}"/>
    <cellStyle name="Comma 8 3 2 2 2 2 3 2" xfId="7548" xr:uid="{A51804CE-2D33-41C2-B0D7-5F8F0E68566F}"/>
    <cellStyle name="Comma 8 3 2 2 2 2 3 2 2" xfId="16220" xr:uid="{0448DFC7-4BEC-454D-9BAC-9699BE1512EC}"/>
    <cellStyle name="Comma 8 3 2 2 2 2 3 2 2 2" xfId="33564" xr:uid="{B9A4FF4B-F887-4ED3-B5AC-64C7AF47B708}"/>
    <cellStyle name="Comma 8 3 2 2 2 2 3 2 3" xfId="24892" xr:uid="{6948FBE8-AC83-4B4C-B59E-0BA24237246A}"/>
    <cellStyle name="Comma 8 3 2 2 2 2 3 3" xfId="11884" xr:uid="{718BBE3B-BB89-4D52-B4FA-12DEE008C412}"/>
    <cellStyle name="Comma 8 3 2 2 2 2 3 3 2" xfId="29228" xr:uid="{2F804746-6AC8-45DE-A4CF-5F48A370FEF6}"/>
    <cellStyle name="Comma 8 3 2 2 2 2 3 4" xfId="20556" xr:uid="{6712A84B-3DB4-4B54-88B0-DFAA13DFB68D}"/>
    <cellStyle name="Comma 8 3 2 2 2 2 4" xfId="5380" xr:uid="{2D9F825A-33A1-45D2-8C9F-81CC4B7D35B0}"/>
    <cellStyle name="Comma 8 3 2 2 2 2 4 2" xfId="14052" xr:uid="{784B351B-29DC-40D1-818B-4CA52734E187}"/>
    <cellStyle name="Comma 8 3 2 2 2 2 4 2 2" xfId="31396" xr:uid="{F28E3A1C-F86A-415D-82D5-6163771CD696}"/>
    <cellStyle name="Comma 8 3 2 2 2 2 4 3" xfId="22724" xr:uid="{421FC8B7-52D2-4D9D-9C75-53F99EBE1B56}"/>
    <cellStyle name="Comma 8 3 2 2 2 2 5" xfId="9716" xr:uid="{FB8C4D0B-6915-46A0-AFA1-E70554646C39}"/>
    <cellStyle name="Comma 8 3 2 2 2 2 5 2" xfId="27060" xr:uid="{A1AF7290-B11F-4ACA-AEC6-D9C37AE77A92}"/>
    <cellStyle name="Comma 8 3 2 2 2 2 6" xfId="18388" xr:uid="{AC8EDDB4-B811-4C8F-BD63-910631531E61}"/>
    <cellStyle name="Comma 8 3 2 2 2 3" xfId="1587" xr:uid="{C3FA8A9C-43AD-47B1-8BFE-E64C21E2297A}"/>
    <cellStyle name="Comma 8 3 2 2 2 3 2" xfId="3755" xr:uid="{0CB0B4A7-3226-488F-A3AA-8679A64AF7F8}"/>
    <cellStyle name="Comma 8 3 2 2 2 3 2 2" xfId="8091" xr:uid="{E7AE3669-2DBB-40D0-AE02-F80F23E7CAD1}"/>
    <cellStyle name="Comma 8 3 2 2 2 3 2 2 2" xfId="16763" xr:uid="{6E93CC5C-44F3-4B67-B8FF-58193422DCA8}"/>
    <cellStyle name="Comma 8 3 2 2 2 3 2 2 2 2" xfId="34107" xr:uid="{D420D6D1-6673-4BAF-A804-74DC65A780B5}"/>
    <cellStyle name="Comma 8 3 2 2 2 3 2 2 3" xfId="25435" xr:uid="{ECFBA0D9-09C6-4E27-A8E3-129BB7BD8010}"/>
    <cellStyle name="Comma 8 3 2 2 2 3 2 3" xfId="12427" xr:uid="{D2810E83-0C81-4C9F-AE6C-A5F89A3F1390}"/>
    <cellStyle name="Comma 8 3 2 2 2 3 2 3 2" xfId="29771" xr:uid="{AC7DB972-1B3A-42EF-96CC-EF880A776D2A}"/>
    <cellStyle name="Comma 8 3 2 2 2 3 2 4" xfId="21099" xr:uid="{8FFD47ED-348B-4893-A8BE-A3AD922C5971}"/>
    <cellStyle name="Comma 8 3 2 2 2 3 3" xfId="5923" xr:uid="{04BC96C7-114D-4C3B-8BCD-412E8BC81723}"/>
    <cellStyle name="Comma 8 3 2 2 2 3 3 2" xfId="14595" xr:uid="{58B082DD-1574-4484-BEB3-6472FC13F601}"/>
    <cellStyle name="Comma 8 3 2 2 2 3 3 2 2" xfId="31939" xr:uid="{73656671-C1CD-4A09-8C50-C297604319AF}"/>
    <cellStyle name="Comma 8 3 2 2 2 3 3 3" xfId="23267" xr:uid="{968319E7-FC00-4467-9211-E86677E4A839}"/>
    <cellStyle name="Comma 8 3 2 2 2 3 4" xfId="10259" xr:uid="{8C254E3C-4C99-481F-AA9C-CA8BAF3829C1}"/>
    <cellStyle name="Comma 8 3 2 2 2 3 4 2" xfId="27603" xr:uid="{DDD5BD9D-A5B7-409F-A71D-6313DDDD6941}"/>
    <cellStyle name="Comma 8 3 2 2 2 3 5" xfId="18931" xr:uid="{48D2A94F-A564-4AD4-B17C-03508AFECF79}"/>
    <cellStyle name="Comma 8 3 2 2 2 4" xfId="2671" xr:uid="{994372E6-2634-4A13-B4EE-0F8AAC9C2C1D}"/>
    <cellStyle name="Comma 8 3 2 2 2 4 2" xfId="7007" xr:uid="{CE579EB4-3A92-4979-94FB-D94FFBA4C0A0}"/>
    <cellStyle name="Comma 8 3 2 2 2 4 2 2" xfId="15679" xr:uid="{D46898F5-794B-4483-8756-392BCC256BCD}"/>
    <cellStyle name="Comma 8 3 2 2 2 4 2 2 2" xfId="33023" xr:uid="{316458EB-4D3E-43AA-9239-FDFB00F26CD4}"/>
    <cellStyle name="Comma 8 3 2 2 2 4 2 3" xfId="24351" xr:uid="{740F24D2-A6BB-4767-AD70-A7D56AC625CE}"/>
    <cellStyle name="Comma 8 3 2 2 2 4 3" xfId="11343" xr:uid="{43112500-5A87-493D-B5A0-17F2253AE6D0}"/>
    <cellStyle name="Comma 8 3 2 2 2 4 3 2" xfId="28687" xr:uid="{4CF48FC4-A8DE-45E4-8E13-F2967942218E}"/>
    <cellStyle name="Comma 8 3 2 2 2 4 4" xfId="20015" xr:uid="{F99A4C0E-210E-4612-9EC7-945138EA72BC}"/>
    <cellStyle name="Comma 8 3 2 2 2 5" xfId="4839" xr:uid="{C3F3305F-94EF-4B40-A235-3CA3774F8562}"/>
    <cellStyle name="Comma 8 3 2 2 2 5 2" xfId="13511" xr:uid="{AF2FBB8B-936A-4BB2-9997-D783823F9BFD}"/>
    <cellStyle name="Comma 8 3 2 2 2 5 2 2" xfId="30855" xr:uid="{942C87A0-7ED4-4A4C-B84B-80AB419BACFE}"/>
    <cellStyle name="Comma 8 3 2 2 2 5 3" xfId="22183" xr:uid="{A24170FA-2335-45B4-8A31-90F77AA78E3B}"/>
    <cellStyle name="Comma 8 3 2 2 2 6" xfId="9175" xr:uid="{55CEEFAC-6572-451C-913F-A8096F486705}"/>
    <cellStyle name="Comma 8 3 2 2 2 6 2" xfId="26519" xr:uid="{68F13865-AAD1-4441-9AE3-07C5AA796DB3}"/>
    <cellStyle name="Comma 8 3 2 2 2 7" xfId="17847" xr:uid="{AD53C703-3135-4482-B1CE-695339EF7170}"/>
    <cellStyle name="Comma 8 3 2 2 3" xfId="774" xr:uid="{D51BF38E-0218-4352-AD16-563DA0168057}"/>
    <cellStyle name="Comma 8 3 2 2 3 2" xfId="1858" xr:uid="{E3EDB030-5959-451E-AF70-3C500179F3B5}"/>
    <cellStyle name="Comma 8 3 2 2 3 2 2" xfId="4026" xr:uid="{042CAF74-ABA8-4F81-A3E5-95E859B6189A}"/>
    <cellStyle name="Comma 8 3 2 2 3 2 2 2" xfId="8362" xr:uid="{2F4D7C64-4130-4D95-BB91-DA22FCD52690}"/>
    <cellStyle name="Comma 8 3 2 2 3 2 2 2 2" xfId="17034" xr:uid="{C417C09D-479A-4436-B06E-DADB7B321F3E}"/>
    <cellStyle name="Comma 8 3 2 2 3 2 2 2 2 2" xfId="34378" xr:uid="{7CF2B787-02D9-45B2-8DDE-F8CDBC8782F3}"/>
    <cellStyle name="Comma 8 3 2 2 3 2 2 2 3" xfId="25706" xr:uid="{891253D7-EE09-4481-BDB3-231FD9B98371}"/>
    <cellStyle name="Comma 8 3 2 2 3 2 2 3" xfId="12698" xr:uid="{A59E051D-1357-4C4C-A5E9-6A3663A5B3A4}"/>
    <cellStyle name="Comma 8 3 2 2 3 2 2 3 2" xfId="30042" xr:uid="{A7022EAA-4DE0-4524-9A49-AEFEC3CD5E3F}"/>
    <cellStyle name="Comma 8 3 2 2 3 2 2 4" xfId="21370" xr:uid="{E0E891D2-B791-4F8E-8549-900CFDC89E36}"/>
    <cellStyle name="Comma 8 3 2 2 3 2 3" xfId="6194" xr:uid="{38D3D767-E2BE-441C-AB4C-2546C32E6D17}"/>
    <cellStyle name="Comma 8 3 2 2 3 2 3 2" xfId="14866" xr:uid="{219AD14B-D2E1-43E6-82D4-3E1667068DB0}"/>
    <cellStyle name="Comma 8 3 2 2 3 2 3 2 2" xfId="32210" xr:uid="{5E24D484-A7F5-4B3C-BE3F-EFB23DF22DCD}"/>
    <cellStyle name="Comma 8 3 2 2 3 2 3 3" xfId="23538" xr:uid="{07FCA3F6-FA57-491A-81AC-3FE0968A45BE}"/>
    <cellStyle name="Comma 8 3 2 2 3 2 4" xfId="10530" xr:uid="{87DCD158-3FC4-40BA-BBF3-477C6F5C1981}"/>
    <cellStyle name="Comma 8 3 2 2 3 2 4 2" xfId="27874" xr:uid="{78DE7D5A-2A01-4C6E-88DA-1016DC5D464D}"/>
    <cellStyle name="Comma 8 3 2 2 3 2 5" xfId="19202" xr:uid="{ACB260E0-F21B-4713-B4B6-37E516577C3A}"/>
    <cellStyle name="Comma 8 3 2 2 3 3" xfId="2942" xr:uid="{0080D532-CE78-4193-A029-54A70ED7F866}"/>
    <cellStyle name="Comma 8 3 2 2 3 3 2" xfId="7278" xr:uid="{E8B9E6B9-3C27-4A1E-B5B4-E284C78D0A6B}"/>
    <cellStyle name="Comma 8 3 2 2 3 3 2 2" xfId="15950" xr:uid="{B32F094D-A96A-487C-9887-09C01255F352}"/>
    <cellStyle name="Comma 8 3 2 2 3 3 2 2 2" xfId="33294" xr:uid="{BC882A93-6DC6-4BAB-94C2-7C4B43FCC699}"/>
    <cellStyle name="Comma 8 3 2 2 3 3 2 3" xfId="24622" xr:uid="{555D2BB8-66AA-4FC7-B0C6-6EF426793CA7}"/>
    <cellStyle name="Comma 8 3 2 2 3 3 3" xfId="11614" xr:uid="{1C920489-DDB1-4399-9935-EC07A93038A8}"/>
    <cellStyle name="Comma 8 3 2 2 3 3 3 2" xfId="28958" xr:uid="{66D7B8CB-951D-4A16-8569-149ECD14E7B1}"/>
    <cellStyle name="Comma 8 3 2 2 3 3 4" xfId="20286" xr:uid="{9C8F097C-402C-4146-AFBF-C80D206DA6A3}"/>
    <cellStyle name="Comma 8 3 2 2 3 4" xfId="5110" xr:uid="{D6F45895-084B-4D1C-A157-1DF5875CE299}"/>
    <cellStyle name="Comma 8 3 2 2 3 4 2" xfId="13782" xr:uid="{E4F197BE-F4AA-46F7-9248-27F14893093A}"/>
    <cellStyle name="Comma 8 3 2 2 3 4 2 2" xfId="31126" xr:uid="{66748C6E-1ACB-4326-8BA4-E203A43D70C0}"/>
    <cellStyle name="Comma 8 3 2 2 3 4 3" xfId="22454" xr:uid="{BE177E1B-623B-4F47-A54C-661D3903C171}"/>
    <cellStyle name="Comma 8 3 2 2 3 5" xfId="9446" xr:uid="{20704377-017A-441E-A357-9BA35A4D104B}"/>
    <cellStyle name="Comma 8 3 2 2 3 5 2" xfId="26790" xr:uid="{2B7F1900-DAFE-440D-A034-6331B412AB96}"/>
    <cellStyle name="Comma 8 3 2 2 3 6" xfId="18118" xr:uid="{D645FFD2-642A-4E94-8D67-ED2BD632B4DB}"/>
    <cellStyle name="Comma 8 3 2 2 4" xfId="1317" xr:uid="{4F06657D-89BE-4B89-9935-88B70712443B}"/>
    <cellStyle name="Comma 8 3 2 2 4 2" xfId="3485" xr:uid="{D216365F-A057-417C-AD77-351D99725647}"/>
    <cellStyle name="Comma 8 3 2 2 4 2 2" xfId="7821" xr:uid="{0CDD4172-3536-493A-BF57-5F4C3CF672C3}"/>
    <cellStyle name="Comma 8 3 2 2 4 2 2 2" xfId="16493" xr:uid="{5CFB1AFD-CA39-41CE-8D03-2E89B02759E8}"/>
    <cellStyle name="Comma 8 3 2 2 4 2 2 2 2" xfId="33837" xr:uid="{F0300AA2-568A-4C34-A421-15CFD7D537B1}"/>
    <cellStyle name="Comma 8 3 2 2 4 2 2 3" xfId="25165" xr:uid="{C0645BEC-CECD-4D2D-85ED-311117DF33C9}"/>
    <cellStyle name="Comma 8 3 2 2 4 2 3" xfId="12157" xr:uid="{A7F3A04D-9BC2-4E2C-B422-F67F3906F7FC}"/>
    <cellStyle name="Comma 8 3 2 2 4 2 3 2" xfId="29501" xr:uid="{9F42A978-3D10-453D-8CA0-A57C78DA7383}"/>
    <cellStyle name="Comma 8 3 2 2 4 2 4" xfId="20829" xr:uid="{C583C376-DE2C-4135-AA47-5137655D9D2A}"/>
    <cellStyle name="Comma 8 3 2 2 4 3" xfId="5653" xr:uid="{6BF93AD1-9E9D-450C-8552-DFC95585D124}"/>
    <cellStyle name="Comma 8 3 2 2 4 3 2" xfId="14325" xr:uid="{4B4631DE-0919-44AE-9D21-76C3BF937149}"/>
    <cellStyle name="Comma 8 3 2 2 4 3 2 2" xfId="31669" xr:uid="{0E76076D-5ED5-4E10-A885-0DE163A878EC}"/>
    <cellStyle name="Comma 8 3 2 2 4 3 3" xfId="22997" xr:uid="{8F8FDB79-07DD-4EB0-8B90-D50C36217DC6}"/>
    <cellStyle name="Comma 8 3 2 2 4 4" xfId="9989" xr:uid="{57E90E6E-AD90-43FA-95E1-96D25938F366}"/>
    <cellStyle name="Comma 8 3 2 2 4 4 2" xfId="27333" xr:uid="{C2BB77B2-E41D-4B5C-9A84-634F86E0FBEB}"/>
    <cellStyle name="Comma 8 3 2 2 4 5" xfId="18661" xr:uid="{E81648F0-238E-447C-A347-8E48BC15A30C}"/>
    <cellStyle name="Comma 8 3 2 2 5" xfId="2401" xr:uid="{EFA675C9-A338-4BAF-98A2-3FA333748E3D}"/>
    <cellStyle name="Comma 8 3 2 2 5 2" xfId="6737" xr:uid="{D6BE58FA-26E3-45E3-8536-FA154A94916C}"/>
    <cellStyle name="Comma 8 3 2 2 5 2 2" xfId="15409" xr:uid="{C42F9222-202F-4220-B5E2-1479141ABC36}"/>
    <cellStyle name="Comma 8 3 2 2 5 2 2 2" xfId="32753" xr:uid="{0E66CB23-31A8-47ED-A473-87AE6B780128}"/>
    <cellStyle name="Comma 8 3 2 2 5 2 3" xfId="24081" xr:uid="{6541793A-D4C0-4603-B6F7-B89CA466892D}"/>
    <cellStyle name="Comma 8 3 2 2 5 3" xfId="11073" xr:uid="{ECDCA6B0-6A90-4AC5-AF91-2E8C54A1E2EA}"/>
    <cellStyle name="Comma 8 3 2 2 5 3 2" xfId="28417" xr:uid="{8D6EAF10-9352-42BE-9E3A-9EBEB5445F4F}"/>
    <cellStyle name="Comma 8 3 2 2 5 4" xfId="19745" xr:uid="{CC9FDCA9-509B-4F54-B7E1-7EEF99220F8B}"/>
    <cellStyle name="Comma 8 3 2 2 6" xfId="4569" xr:uid="{AA46C10D-45B7-4509-8F18-D932403E796E}"/>
    <cellStyle name="Comma 8 3 2 2 6 2" xfId="13241" xr:uid="{A0B7F518-1C63-4692-BE06-5DC7835F441A}"/>
    <cellStyle name="Comma 8 3 2 2 6 2 2" xfId="30585" xr:uid="{D9CDB3ED-A359-4664-8A32-05ED022B2484}"/>
    <cellStyle name="Comma 8 3 2 2 6 3" xfId="21913" xr:uid="{4839B45B-2BF9-4E30-9C2C-A09247A52F65}"/>
    <cellStyle name="Comma 8 3 2 2 7" xfId="8905" xr:uid="{CF7E57C3-263E-4439-808B-20F868A9555E}"/>
    <cellStyle name="Comma 8 3 2 2 7 2" xfId="26249" xr:uid="{98B994E1-F079-431F-91C8-269A16C47AB7}"/>
    <cellStyle name="Comma 8 3 2 2 8" xfId="17577" xr:uid="{A9EE881C-AD9B-46F3-8F45-1CD0AE9DD0F4}"/>
    <cellStyle name="Comma 8 3 2 3" xfId="381" xr:uid="{A43ADC3A-E62B-4520-8CEE-FD25984A5C40}"/>
    <cellStyle name="Comma 8 3 2 3 2" xfId="922" xr:uid="{A922C5C2-C122-4D7F-AB5B-36D70ED4235C}"/>
    <cellStyle name="Comma 8 3 2 3 2 2" xfId="2006" xr:uid="{497B4FAA-E655-48B3-9378-79F890A557EF}"/>
    <cellStyle name="Comma 8 3 2 3 2 2 2" xfId="4174" xr:uid="{34248378-02CA-40E3-8475-10E2FA92F924}"/>
    <cellStyle name="Comma 8 3 2 3 2 2 2 2" xfId="8510" xr:uid="{29FC82E9-71FA-4880-91DE-BE595ABE6250}"/>
    <cellStyle name="Comma 8 3 2 3 2 2 2 2 2" xfId="17182" xr:uid="{C2A08F34-334D-4BAF-BF5A-A93234C4DF7E}"/>
    <cellStyle name="Comma 8 3 2 3 2 2 2 2 2 2" xfId="34526" xr:uid="{4B953613-048C-48CC-AD13-E0C545CAB75E}"/>
    <cellStyle name="Comma 8 3 2 3 2 2 2 2 3" xfId="25854" xr:uid="{0DD3EC15-2093-4C8B-A765-0790BA4F4D66}"/>
    <cellStyle name="Comma 8 3 2 3 2 2 2 3" xfId="12846" xr:uid="{DFBDFC63-059A-477A-9E8E-7A5E48738B55}"/>
    <cellStyle name="Comma 8 3 2 3 2 2 2 3 2" xfId="30190" xr:uid="{D60542C2-385A-43B9-9239-A4060CC75BDD}"/>
    <cellStyle name="Comma 8 3 2 3 2 2 2 4" xfId="21518" xr:uid="{A2AB6310-AC69-4492-BF4C-E8C644BFCACA}"/>
    <cellStyle name="Comma 8 3 2 3 2 2 3" xfId="6342" xr:uid="{1B48FDB3-A613-4D26-9688-4EA1658711F7}"/>
    <cellStyle name="Comma 8 3 2 3 2 2 3 2" xfId="15014" xr:uid="{7D50630C-B49F-4EB0-987A-45DFF5BD860D}"/>
    <cellStyle name="Comma 8 3 2 3 2 2 3 2 2" xfId="32358" xr:uid="{E653745C-89A6-458B-B41E-9073911541E1}"/>
    <cellStyle name="Comma 8 3 2 3 2 2 3 3" xfId="23686" xr:uid="{3D4A29CA-5CC8-401E-BE2A-0CC4399AD204}"/>
    <cellStyle name="Comma 8 3 2 3 2 2 4" xfId="10678" xr:uid="{83327285-75A4-4FD9-A8A5-263060EA61FC}"/>
    <cellStyle name="Comma 8 3 2 3 2 2 4 2" xfId="28022" xr:uid="{71BF5F3E-34E2-44B3-BCDE-0F4995ECF85A}"/>
    <cellStyle name="Comma 8 3 2 3 2 2 5" xfId="19350" xr:uid="{2AF56C8C-AB97-496C-B453-56BE21DF717F}"/>
    <cellStyle name="Comma 8 3 2 3 2 3" xfId="3090" xr:uid="{410112B0-25E9-444C-96BB-326F420A93C1}"/>
    <cellStyle name="Comma 8 3 2 3 2 3 2" xfId="7426" xr:uid="{139034E8-A456-4D58-91BC-F6DA7DA4468D}"/>
    <cellStyle name="Comma 8 3 2 3 2 3 2 2" xfId="16098" xr:uid="{95A6C609-8959-43B0-A04E-F361DC7EDBC1}"/>
    <cellStyle name="Comma 8 3 2 3 2 3 2 2 2" xfId="33442" xr:uid="{2DC77E9E-7126-461F-9F99-24D35EFD1D02}"/>
    <cellStyle name="Comma 8 3 2 3 2 3 2 3" xfId="24770" xr:uid="{3EDFAB8B-A785-4A58-BDB8-5EE4E00EC462}"/>
    <cellStyle name="Comma 8 3 2 3 2 3 3" xfId="11762" xr:uid="{D22960DB-2BDE-40F0-99A6-43A1BCAD4C7D}"/>
    <cellStyle name="Comma 8 3 2 3 2 3 3 2" xfId="29106" xr:uid="{F853E2E9-8699-40E7-AAA0-9A545C1C7B26}"/>
    <cellStyle name="Comma 8 3 2 3 2 3 4" xfId="20434" xr:uid="{65F63701-A54D-49EE-B375-93AE09DFA143}"/>
    <cellStyle name="Comma 8 3 2 3 2 4" xfId="5258" xr:uid="{E2A757AD-C6E3-4F24-A2BF-929347928D45}"/>
    <cellStyle name="Comma 8 3 2 3 2 4 2" xfId="13930" xr:uid="{FBAFACBE-08EE-4FBE-A4FF-FAFC527AF15E}"/>
    <cellStyle name="Comma 8 3 2 3 2 4 2 2" xfId="31274" xr:uid="{B154268D-2FBA-4213-A388-F944433D9EDE}"/>
    <cellStyle name="Comma 8 3 2 3 2 4 3" xfId="22602" xr:uid="{EA47EA66-D700-4003-BB50-436CC00ECA65}"/>
    <cellStyle name="Comma 8 3 2 3 2 5" xfId="9594" xr:uid="{5956AF6E-A67A-4903-8A78-338C9A7B03AF}"/>
    <cellStyle name="Comma 8 3 2 3 2 5 2" xfId="26938" xr:uid="{D78F6253-8F93-491A-93F8-20F94017B87A}"/>
    <cellStyle name="Comma 8 3 2 3 2 6" xfId="18266" xr:uid="{DBCDA766-3BAB-4832-A032-096AEE8C4BDE}"/>
    <cellStyle name="Comma 8 3 2 3 3" xfId="1465" xr:uid="{FC9EF8D5-45FA-4CF9-AB28-00AA7C6012FE}"/>
    <cellStyle name="Comma 8 3 2 3 3 2" xfId="3633" xr:uid="{B6B10DE8-D697-46FE-AE13-9AEC7CF0E609}"/>
    <cellStyle name="Comma 8 3 2 3 3 2 2" xfId="7969" xr:uid="{53C3BB16-F1AC-45D6-8E8E-51CEB04DB9C5}"/>
    <cellStyle name="Comma 8 3 2 3 3 2 2 2" xfId="16641" xr:uid="{2C363A5B-70E4-4572-AE1E-3927CB832FF6}"/>
    <cellStyle name="Comma 8 3 2 3 3 2 2 2 2" xfId="33985" xr:uid="{2DCB9762-4953-430D-871B-8B0D85C34DB2}"/>
    <cellStyle name="Comma 8 3 2 3 3 2 2 3" xfId="25313" xr:uid="{C3741E28-E192-430B-84E6-0C5C6FCA1B28}"/>
    <cellStyle name="Comma 8 3 2 3 3 2 3" xfId="12305" xr:uid="{B0284025-C51E-4FF7-990B-85924B467BC5}"/>
    <cellStyle name="Comma 8 3 2 3 3 2 3 2" xfId="29649" xr:uid="{BC4BC48A-8155-42D9-AFCB-3DBD9060A456}"/>
    <cellStyle name="Comma 8 3 2 3 3 2 4" xfId="20977" xr:uid="{D75CFF15-E321-4FF6-93F8-397F4FECA775}"/>
    <cellStyle name="Comma 8 3 2 3 3 3" xfId="5801" xr:uid="{0E51E247-83B0-4556-877B-BDCAD4C82464}"/>
    <cellStyle name="Comma 8 3 2 3 3 3 2" xfId="14473" xr:uid="{1A503B66-7528-4DF7-A9F9-8AE6BE1D3A1D}"/>
    <cellStyle name="Comma 8 3 2 3 3 3 2 2" xfId="31817" xr:uid="{342F0BE1-8239-4A00-A029-ABA656B3DEA7}"/>
    <cellStyle name="Comma 8 3 2 3 3 3 3" xfId="23145" xr:uid="{D6B23700-2E80-444A-BDD0-BD7C2B26319D}"/>
    <cellStyle name="Comma 8 3 2 3 3 4" xfId="10137" xr:uid="{BD57A744-C5DA-4427-9A7A-51A7FD84730C}"/>
    <cellStyle name="Comma 8 3 2 3 3 4 2" xfId="27481" xr:uid="{F0E5F471-5BE4-415E-864E-652C85AD8E94}"/>
    <cellStyle name="Comma 8 3 2 3 3 5" xfId="18809" xr:uid="{7958BBB4-DDDB-439D-BAA2-5ABFAC5F8978}"/>
    <cellStyle name="Comma 8 3 2 3 4" xfId="2549" xr:uid="{59357104-1997-4A58-9B0A-C75B010FC0C4}"/>
    <cellStyle name="Comma 8 3 2 3 4 2" xfId="6885" xr:uid="{F377A857-3747-4DB2-A59C-FD5114D11462}"/>
    <cellStyle name="Comma 8 3 2 3 4 2 2" xfId="15557" xr:uid="{9EA7FC31-0779-4F27-86E3-CD42674CABFE}"/>
    <cellStyle name="Comma 8 3 2 3 4 2 2 2" xfId="32901" xr:uid="{50F4915F-1D27-4516-9970-692F85EE39F4}"/>
    <cellStyle name="Comma 8 3 2 3 4 2 3" xfId="24229" xr:uid="{A955E9C5-A4EC-4662-A6C6-B54E63DBC994}"/>
    <cellStyle name="Comma 8 3 2 3 4 3" xfId="11221" xr:uid="{C13FF09D-044D-4D2A-A5FA-7990D4D7E0BD}"/>
    <cellStyle name="Comma 8 3 2 3 4 3 2" xfId="28565" xr:uid="{8C50D577-1A74-48CA-802C-3D69CB9F9B1E}"/>
    <cellStyle name="Comma 8 3 2 3 4 4" xfId="19893" xr:uid="{EB5A57CE-23F5-4F0E-83CD-B7B0F1773418}"/>
    <cellStyle name="Comma 8 3 2 3 5" xfId="4717" xr:uid="{E18041A4-E1B6-4DC7-8601-92DB8CB8E161}"/>
    <cellStyle name="Comma 8 3 2 3 5 2" xfId="13389" xr:uid="{7F7CB9CF-1466-46FC-A261-D03D1675308B}"/>
    <cellStyle name="Comma 8 3 2 3 5 2 2" xfId="30733" xr:uid="{2BDDF3E9-E338-4CFC-81B0-7AECB68886DA}"/>
    <cellStyle name="Comma 8 3 2 3 5 3" xfId="22061" xr:uid="{32E4CE12-596A-40C5-982E-3B5F7178564F}"/>
    <cellStyle name="Comma 8 3 2 3 6" xfId="9053" xr:uid="{8F4FDB39-8BDF-4D75-B5A6-23B190457099}"/>
    <cellStyle name="Comma 8 3 2 3 6 2" xfId="26397" xr:uid="{7AE0AB5E-09A4-4977-9DE7-65D013DF166C}"/>
    <cellStyle name="Comma 8 3 2 3 7" xfId="17725" xr:uid="{08FF4DCA-4E67-453E-8943-7CCCD4228727}"/>
    <cellStyle name="Comma 8 3 2 4" xfId="652" xr:uid="{34B62DEC-CB69-4DCE-A163-2A2976B85041}"/>
    <cellStyle name="Comma 8 3 2 4 2" xfId="1736" xr:uid="{89DAA1FE-0333-4E5C-BA10-23A4FD2B4AD4}"/>
    <cellStyle name="Comma 8 3 2 4 2 2" xfId="3904" xr:uid="{D4741D9A-99F1-47DA-BCF8-BB4EFB61CD73}"/>
    <cellStyle name="Comma 8 3 2 4 2 2 2" xfId="8240" xr:uid="{3F5F69B0-233D-4A9F-AAA6-7548B67C91F4}"/>
    <cellStyle name="Comma 8 3 2 4 2 2 2 2" xfId="16912" xr:uid="{5723AF87-84D7-428A-9AA9-B1BDEAC9299E}"/>
    <cellStyle name="Comma 8 3 2 4 2 2 2 2 2" xfId="34256" xr:uid="{5932F52C-76D4-4C1F-A4C4-E563D26F4698}"/>
    <cellStyle name="Comma 8 3 2 4 2 2 2 3" xfId="25584" xr:uid="{03F8BDF2-4EC0-4699-8C8E-2ED9051896E2}"/>
    <cellStyle name="Comma 8 3 2 4 2 2 3" xfId="12576" xr:uid="{0A13B11C-C519-4848-B5CE-4A2AE4E2B3C4}"/>
    <cellStyle name="Comma 8 3 2 4 2 2 3 2" xfId="29920" xr:uid="{6923D8DA-5271-417B-B679-50D472E1FE16}"/>
    <cellStyle name="Comma 8 3 2 4 2 2 4" xfId="21248" xr:uid="{4997F411-23BD-41C0-8CA2-B5E1386161FF}"/>
    <cellStyle name="Comma 8 3 2 4 2 3" xfId="6072" xr:uid="{0DA282FD-96AD-4310-81F2-DBE7E1E348C2}"/>
    <cellStyle name="Comma 8 3 2 4 2 3 2" xfId="14744" xr:uid="{BD09E16C-79DC-4E97-A723-46D688690640}"/>
    <cellStyle name="Comma 8 3 2 4 2 3 2 2" xfId="32088" xr:uid="{9723387C-AB9A-4EFE-BCC3-454383D459D0}"/>
    <cellStyle name="Comma 8 3 2 4 2 3 3" xfId="23416" xr:uid="{7DF46DD7-8A8F-46F9-858B-8185AECA9133}"/>
    <cellStyle name="Comma 8 3 2 4 2 4" xfId="10408" xr:uid="{441006E4-E260-4E70-96A7-5BE8CA73A080}"/>
    <cellStyle name="Comma 8 3 2 4 2 4 2" xfId="27752" xr:uid="{9CD56401-14DF-46A4-B629-898FB94EC926}"/>
    <cellStyle name="Comma 8 3 2 4 2 5" xfId="19080" xr:uid="{CDBFFA6C-F3AA-4A66-915A-D85B45A6742D}"/>
    <cellStyle name="Comma 8 3 2 4 3" xfId="2820" xr:uid="{C65B6346-A751-44F6-A34D-AE51CAB55306}"/>
    <cellStyle name="Comma 8 3 2 4 3 2" xfId="7156" xr:uid="{DE748EF9-2FAB-42AC-BFFB-9A94B8D7D3AD}"/>
    <cellStyle name="Comma 8 3 2 4 3 2 2" xfId="15828" xr:uid="{17BA22F0-5941-4FAF-9604-AE265C18A7CF}"/>
    <cellStyle name="Comma 8 3 2 4 3 2 2 2" xfId="33172" xr:uid="{FEE10493-A625-406F-A4DB-15D775E1FF35}"/>
    <cellStyle name="Comma 8 3 2 4 3 2 3" xfId="24500" xr:uid="{64ACF9A2-2023-45FA-AC0A-654B9191C713}"/>
    <cellStyle name="Comma 8 3 2 4 3 3" xfId="11492" xr:uid="{52A8FB2D-9AE8-4DD3-A3F2-F99EC4498225}"/>
    <cellStyle name="Comma 8 3 2 4 3 3 2" xfId="28836" xr:uid="{F210292A-DDFD-4B96-9BBF-5CAC0FECD6F7}"/>
    <cellStyle name="Comma 8 3 2 4 3 4" xfId="20164" xr:uid="{2AA0BC4B-2C68-43A2-A624-AB460A07A556}"/>
    <cellStyle name="Comma 8 3 2 4 4" xfId="4988" xr:uid="{7D11DE04-6529-4FF4-8716-BBD80556E71B}"/>
    <cellStyle name="Comma 8 3 2 4 4 2" xfId="13660" xr:uid="{E20AFB32-DBD6-41CB-9670-4C3AA7216151}"/>
    <cellStyle name="Comma 8 3 2 4 4 2 2" xfId="31004" xr:uid="{84476011-9876-432E-AD13-F1440E6E1A80}"/>
    <cellStyle name="Comma 8 3 2 4 4 3" xfId="22332" xr:uid="{88BD3B2C-E7D7-4B6F-A76D-C99F979E2CF7}"/>
    <cellStyle name="Comma 8 3 2 4 5" xfId="9324" xr:uid="{FF71EFC9-859C-403A-8F94-89BABBB4F75B}"/>
    <cellStyle name="Comma 8 3 2 4 5 2" xfId="26668" xr:uid="{6AFB83D5-ABD3-4DD8-954D-0FAEAA31C674}"/>
    <cellStyle name="Comma 8 3 2 4 6" xfId="17996" xr:uid="{27B972C9-53FF-4BCF-BEBB-A01A736F8B9C}"/>
    <cellStyle name="Comma 8 3 2 5" xfId="1195" xr:uid="{1601EDBA-D004-4C6E-A2AC-641061DFE748}"/>
    <cellStyle name="Comma 8 3 2 5 2" xfId="3363" xr:uid="{61F166B3-C672-4C01-A836-C77CC414809E}"/>
    <cellStyle name="Comma 8 3 2 5 2 2" xfId="7699" xr:uid="{9EF237E4-82AF-4A9D-86B7-1A1E7E7786D6}"/>
    <cellStyle name="Comma 8 3 2 5 2 2 2" xfId="16371" xr:uid="{C66E2972-B0F5-4D74-A18A-6BE6C62D8EE2}"/>
    <cellStyle name="Comma 8 3 2 5 2 2 2 2" xfId="33715" xr:uid="{D92E830B-F3D7-417B-B3E3-75B368CD4086}"/>
    <cellStyle name="Comma 8 3 2 5 2 2 3" xfId="25043" xr:uid="{D254D15C-0A85-4F34-8A77-E920A5731833}"/>
    <cellStyle name="Comma 8 3 2 5 2 3" xfId="12035" xr:uid="{9DA5CCE7-BE1C-48F8-93DC-A476C6FD9007}"/>
    <cellStyle name="Comma 8 3 2 5 2 3 2" xfId="29379" xr:uid="{AB0F763B-2C29-4EA8-9F1F-ED07D4261C77}"/>
    <cellStyle name="Comma 8 3 2 5 2 4" xfId="20707" xr:uid="{E03DAE1A-4866-4A4E-AB37-30C1F79522EA}"/>
    <cellStyle name="Comma 8 3 2 5 3" xfId="5531" xr:uid="{8E995D28-91CB-4384-9366-FDF3E1EB110F}"/>
    <cellStyle name="Comma 8 3 2 5 3 2" xfId="14203" xr:uid="{374B50E7-04CB-4861-8B8C-80B4FB701117}"/>
    <cellStyle name="Comma 8 3 2 5 3 2 2" xfId="31547" xr:uid="{EFCDE174-7D09-453E-B13B-99F7FA1CFF67}"/>
    <cellStyle name="Comma 8 3 2 5 3 3" xfId="22875" xr:uid="{510CC865-2DB3-4951-8790-1500C2DD3C88}"/>
    <cellStyle name="Comma 8 3 2 5 4" xfId="9867" xr:uid="{CBE9247B-4030-49FF-A755-0AF41F394883}"/>
    <cellStyle name="Comma 8 3 2 5 4 2" xfId="27211" xr:uid="{49B82ABF-7F9D-4C3E-9CFE-95629EDB3348}"/>
    <cellStyle name="Comma 8 3 2 5 5" xfId="18539" xr:uid="{E5882950-942E-444F-8506-71EEE7BE759C}"/>
    <cellStyle name="Comma 8 3 2 6" xfId="2279" xr:uid="{24900A22-4A43-4CEC-B316-65AF1A8A5E12}"/>
    <cellStyle name="Comma 8 3 2 6 2" xfId="6615" xr:uid="{4EA180E4-DFCC-44E0-9EF2-455B17590FED}"/>
    <cellStyle name="Comma 8 3 2 6 2 2" xfId="15287" xr:uid="{EF22A315-19C0-4FAF-A42A-3ECE0DEFB36E}"/>
    <cellStyle name="Comma 8 3 2 6 2 2 2" xfId="32631" xr:uid="{14904E6C-5E0A-4B07-B50E-58BA74573787}"/>
    <cellStyle name="Comma 8 3 2 6 2 3" xfId="23959" xr:uid="{7FA1DFDF-EA95-4690-B22A-41ABA54B7949}"/>
    <cellStyle name="Comma 8 3 2 6 3" xfId="10951" xr:uid="{933A58F6-BB23-42F0-9A54-B159573BB3BD}"/>
    <cellStyle name="Comma 8 3 2 6 3 2" xfId="28295" xr:uid="{4A5FF1B9-5F57-408D-9512-48721E2BCAF6}"/>
    <cellStyle name="Comma 8 3 2 6 4" xfId="19623" xr:uid="{390AC10B-4859-4ABB-82F4-F659D5B50735}"/>
    <cellStyle name="Comma 8 3 2 7" xfId="4447" xr:uid="{B5FA4868-E0B0-4ACF-AE73-5169B245421C}"/>
    <cellStyle name="Comma 8 3 2 7 2" xfId="13119" xr:uid="{FCD0244B-EA41-47FF-A8EE-C50575142B91}"/>
    <cellStyle name="Comma 8 3 2 7 2 2" xfId="30463" xr:uid="{616B92BC-9F1F-4DDB-9734-629A27D84F08}"/>
    <cellStyle name="Comma 8 3 2 7 3" xfId="21791" xr:uid="{663EEF4C-C364-4B4B-AA54-D8D72CF40946}"/>
    <cellStyle name="Comma 8 3 2 8" xfId="8783" xr:uid="{BF842EAC-A89A-43C0-B6AD-1BD357D6ACFB}"/>
    <cellStyle name="Comma 8 3 2 8 2" xfId="26127" xr:uid="{83A78FFD-8C43-48D6-AA0E-41E96DBB1D9E}"/>
    <cellStyle name="Comma 8 3 2 9" xfId="17455" xr:uid="{A44DA9CF-FBA9-4525-ACFC-713C6A7BF000}"/>
    <cellStyle name="Comma 8 3 3" xfId="172" xr:uid="{0E6F07EC-07B7-4EE9-BB51-91FC5ECE5C8B}"/>
    <cellStyle name="Comma 8 3 3 2" xfId="442" xr:uid="{B0B93331-43B5-444D-B583-C3E9D71907D6}"/>
    <cellStyle name="Comma 8 3 3 2 2" xfId="983" xr:uid="{57041208-264C-4EB6-AD79-5482AE90A762}"/>
    <cellStyle name="Comma 8 3 3 2 2 2" xfId="2067" xr:uid="{380E6356-6374-40E6-A601-AFDA1088CC56}"/>
    <cellStyle name="Comma 8 3 3 2 2 2 2" xfId="4235" xr:uid="{07B414F5-8D03-47DC-816C-EC232CBC0BD3}"/>
    <cellStyle name="Comma 8 3 3 2 2 2 2 2" xfId="8571" xr:uid="{FE163EBA-6BAD-4A17-95F9-FA3D19000D54}"/>
    <cellStyle name="Comma 8 3 3 2 2 2 2 2 2" xfId="17243" xr:uid="{11C369DF-EAA0-4490-B456-8B8DCA63EFC8}"/>
    <cellStyle name="Comma 8 3 3 2 2 2 2 2 2 2" xfId="34587" xr:uid="{3C0B4F68-07EE-4020-9A1C-183E79C05C6F}"/>
    <cellStyle name="Comma 8 3 3 2 2 2 2 2 3" xfId="25915" xr:uid="{2F6D4CC2-1FEF-4B9B-85B3-2B3D3621295C}"/>
    <cellStyle name="Comma 8 3 3 2 2 2 2 3" xfId="12907" xr:uid="{48AA2F57-51E4-462F-9672-159C4AD1FCF0}"/>
    <cellStyle name="Comma 8 3 3 2 2 2 2 3 2" xfId="30251" xr:uid="{515946F8-9E68-4D4A-AD6B-3481EF222693}"/>
    <cellStyle name="Comma 8 3 3 2 2 2 2 4" xfId="21579" xr:uid="{87AC78EA-9344-4E75-9877-2AD270CBCC0C}"/>
    <cellStyle name="Comma 8 3 3 2 2 2 3" xfId="6403" xr:uid="{56B86BA2-3FBE-49E0-8B71-0C3CDE879635}"/>
    <cellStyle name="Comma 8 3 3 2 2 2 3 2" xfId="15075" xr:uid="{99FD27BE-1C86-43B5-8B9B-59C2D71721F4}"/>
    <cellStyle name="Comma 8 3 3 2 2 2 3 2 2" xfId="32419" xr:uid="{B32CF604-BE9A-4E2A-A694-9D3DC6EA914A}"/>
    <cellStyle name="Comma 8 3 3 2 2 2 3 3" xfId="23747" xr:uid="{BA938D71-A7AA-43A6-9DAD-55289E07845F}"/>
    <cellStyle name="Comma 8 3 3 2 2 2 4" xfId="10739" xr:uid="{1919901B-5E6C-4105-88B7-6BE63D44F7A2}"/>
    <cellStyle name="Comma 8 3 3 2 2 2 4 2" xfId="28083" xr:uid="{E726D991-E755-49CE-9422-7E187F1AE65C}"/>
    <cellStyle name="Comma 8 3 3 2 2 2 5" xfId="19411" xr:uid="{980F9604-5A88-4FD3-9951-340C2DC1C2D0}"/>
    <cellStyle name="Comma 8 3 3 2 2 3" xfId="3151" xr:uid="{1AB9DB8B-5769-4E36-82BE-BADBB384C91C}"/>
    <cellStyle name="Comma 8 3 3 2 2 3 2" xfId="7487" xr:uid="{3E56B32F-D670-41D9-8AFD-4E7C1C701BD8}"/>
    <cellStyle name="Comma 8 3 3 2 2 3 2 2" xfId="16159" xr:uid="{017F0645-F11D-4B54-9BF8-8EE9DBF3306E}"/>
    <cellStyle name="Comma 8 3 3 2 2 3 2 2 2" xfId="33503" xr:uid="{9F0438E8-7704-43F9-BA88-D964EF469DC3}"/>
    <cellStyle name="Comma 8 3 3 2 2 3 2 3" xfId="24831" xr:uid="{F9F65358-7FC7-4E26-BF1F-8A08DDA0FAB5}"/>
    <cellStyle name="Comma 8 3 3 2 2 3 3" xfId="11823" xr:uid="{0689EF7E-8CF7-4A7A-9CF6-7E4987BD0C35}"/>
    <cellStyle name="Comma 8 3 3 2 2 3 3 2" xfId="29167" xr:uid="{7DF8F3A5-8168-4072-81DA-AA1B1900C90C}"/>
    <cellStyle name="Comma 8 3 3 2 2 3 4" xfId="20495" xr:uid="{DFE48C6C-5E39-4A65-B592-D086E6E9891F}"/>
    <cellStyle name="Comma 8 3 3 2 2 4" xfId="5319" xr:uid="{142A3537-353F-4A24-91C2-D4ECE2DEA1D2}"/>
    <cellStyle name="Comma 8 3 3 2 2 4 2" xfId="13991" xr:uid="{C0256BB3-C0AB-4521-BC26-B5897A0C1397}"/>
    <cellStyle name="Comma 8 3 3 2 2 4 2 2" xfId="31335" xr:uid="{22AC34AF-3C66-4FEC-82E6-41764D79175A}"/>
    <cellStyle name="Comma 8 3 3 2 2 4 3" xfId="22663" xr:uid="{44E8E359-537B-4527-ABB2-EDAA085A2D12}"/>
    <cellStyle name="Comma 8 3 3 2 2 5" xfId="9655" xr:uid="{A774861A-A250-4BFB-9B23-95F9C91FC08B}"/>
    <cellStyle name="Comma 8 3 3 2 2 5 2" xfId="26999" xr:uid="{7FEE6827-FCCF-4675-B8B1-E30825356D9E}"/>
    <cellStyle name="Comma 8 3 3 2 2 6" xfId="18327" xr:uid="{DA1155BF-B088-4D27-99BF-2237F9B918E9}"/>
    <cellStyle name="Comma 8 3 3 2 3" xfId="1526" xr:uid="{898F6295-1831-4DFC-A1EA-1D63A60D56AA}"/>
    <cellStyle name="Comma 8 3 3 2 3 2" xfId="3694" xr:uid="{C1E2C039-AC68-47D7-B0BC-9DFF24972B47}"/>
    <cellStyle name="Comma 8 3 3 2 3 2 2" xfId="8030" xr:uid="{A6699865-272C-4D7C-9A05-3032A64639C3}"/>
    <cellStyle name="Comma 8 3 3 2 3 2 2 2" xfId="16702" xr:uid="{B8B48915-62C7-4F3E-9AE8-4B08BC1BBEC6}"/>
    <cellStyle name="Comma 8 3 3 2 3 2 2 2 2" xfId="34046" xr:uid="{22681172-6C29-4AC4-B36D-732E25516988}"/>
    <cellStyle name="Comma 8 3 3 2 3 2 2 3" xfId="25374" xr:uid="{2E6AE5FA-D15C-4FC2-868A-7CA774F16CFA}"/>
    <cellStyle name="Comma 8 3 3 2 3 2 3" xfId="12366" xr:uid="{E79DC4C1-9625-4AA5-A841-2F511B7DF98E}"/>
    <cellStyle name="Comma 8 3 3 2 3 2 3 2" xfId="29710" xr:uid="{14A5FD58-1E1B-4089-B937-E2A94FCE5CA1}"/>
    <cellStyle name="Comma 8 3 3 2 3 2 4" xfId="21038" xr:uid="{A9DFD42B-F6DB-451D-8445-75667EA751F4}"/>
    <cellStyle name="Comma 8 3 3 2 3 3" xfId="5862" xr:uid="{17361B2C-60E4-4257-AFD0-3A9DBDF6C637}"/>
    <cellStyle name="Comma 8 3 3 2 3 3 2" xfId="14534" xr:uid="{3A351CE8-0292-40F0-83C6-67C15FB75EA1}"/>
    <cellStyle name="Comma 8 3 3 2 3 3 2 2" xfId="31878" xr:uid="{FA781B36-64D7-4BFD-93E5-453C8A595603}"/>
    <cellStyle name="Comma 8 3 3 2 3 3 3" xfId="23206" xr:uid="{E9DF28A2-A2D5-465E-B451-973FA55C60BD}"/>
    <cellStyle name="Comma 8 3 3 2 3 4" xfId="10198" xr:uid="{83E00E6B-F451-4949-A97B-1451051A7CB7}"/>
    <cellStyle name="Comma 8 3 3 2 3 4 2" xfId="27542" xr:uid="{D96B8A88-A191-4046-BFDE-5DB46B382C84}"/>
    <cellStyle name="Comma 8 3 3 2 3 5" xfId="18870" xr:uid="{E64E43F9-AFA6-4843-8CF0-58F4B8E271BA}"/>
    <cellStyle name="Comma 8 3 3 2 4" xfId="2610" xr:uid="{6A7C0F6B-BDC2-474E-A3CC-251C25C2E3C8}"/>
    <cellStyle name="Comma 8 3 3 2 4 2" xfId="6946" xr:uid="{65ACE938-0A75-4464-AE53-C6F3F47A5B52}"/>
    <cellStyle name="Comma 8 3 3 2 4 2 2" xfId="15618" xr:uid="{43092812-087B-4159-BA1F-0B2DD77D8EBE}"/>
    <cellStyle name="Comma 8 3 3 2 4 2 2 2" xfId="32962" xr:uid="{D4701D07-253A-434F-8C52-43D65CA6295F}"/>
    <cellStyle name="Comma 8 3 3 2 4 2 3" xfId="24290" xr:uid="{72BC9A3A-0640-4ADD-9D5D-537BA95AD9C0}"/>
    <cellStyle name="Comma 8 3 3 2 4 3" xfId="11282" xr:uid="{EFF61F69-4EDC-4396-B67C-8B7AF89C9973}"/>
    <cellStyle name="Comma 8 3 3 2 4 3 2" xfId="28626" xr:uid="{73757240-35EF-4DD9-AF0F-60E712203252}"/>
    <cellStyle name="Comma 8 3 3 2 4 4" xfId="19954" xr:uid="{88158B4F-0784-4D69-85ED-F57273E528A1}"/>
    <cellStyle name="Comma 8 3 3 2 5" xfId="4778" xr:uid="{BB521AEA-A5E4-4D82-92FB-0DB4A0FEB30A}"/>
    <cellStyle name="Comma 8 3 3 2 5 2" xfId="13450" xr:uid="{5AD1F18E-B6DC-4B98-8318-A3A32852A37D}"/>
    <cellStyle name="Comma 8 3 3 2 5 2 2" xfId="30794" xr:uid="{432AE7C3-5902-4B76-9894-100A9BB17471}"/>
    <cellStyle name="Comma 8 3 3 2 5 3" xfId="22122" xr:uid="{8B1F7359-B046-448D-9042-9BD1E82D8A49}"/>
    <cellStyle name="Comma 8 3 3 2 6" xfId="9114" xr:uid="{FA406639-174A-4ACF-866B-1F9A932283CB}"/>
    <cellStyle name="Comma 8 3 3 2 6 2" xfId="26458" xr:uid="{CA93E7FD-9488-4742-87CB-C5E9814B40F4}"/>
    <cellStyle name="Comma 8 3 3 2 7" xfId="17786" xr:uid="{1480AFCF-DEB2-4BFF-8F9B-222CD3D31110}"/>
    <cellStyle name="Comma 8 3 3 3" xfId="713" xr:uid="{8AD0B838-98A7-4D1B-962D-3873DAC776D1}"/>
    <cellStyle name="Comma 8 3 3 3 2" xfId="1797" xr:uid="{8FB1203A-3600-4B5D-8039-E3F5E5BD9C2D}"/>
    <cellStyle name="Comma 8 3 3 3 2 2" xfId="3965" xr:uid="{24414ABC-A9A7-4B1D-BE3E-436275D34F05}"/>
    <cellStyle name="Comma 8 3 3 3 2 2 2" xfId="8301" xr:uid="{22BCC12A-E753-4806-9106-2CD6EF60D8A4}"/>
    <cellStyle name="Comma 8 3 3 3 2 2 2 2" xfId="16973" xr:uid="{9DC6D10A-AA89-458C-A64E-9EA65769C9AA}"/>
    <cellStyle name="Comma 8 3 3 3 2 2 2 2 2" xfId="34317" xr:uid="{B9B3EA61-ED77-48E4-9B0D-15E8CDA35A56}"/>
    <cellStyle name="Comma 8 3 3 3 2 2 2 3" xfId="25645" xr:uid="{4ABB034A-AF36-4639-8011-7190042F4F77}"/>
    <cellStyle name="Comma 8 3 3 3 2 2 3" xfId="12637" xr:uid="{C56E2388-D898-40A8-A6C3-FE10D66D2EB9}"/>
    <cellStyle name="Comma 8 3 3 3 2 2 3 2" xfId="29981" xr:uid="{46CE0BCE-5346-4F64-99DB-EC944DA7BCE6}"/>
    <cellStyle name="Comma 8 3 3 3 2 2 4" xfId="21309" xr:uid="{0861D2ED-DE22-4823-8692-3DC7BA404F8F}"/>
    <cellStyle name="Comma 8 3 3 3 2 3" xfId="6133" xr:uid="{6549BC99-682E-4F07-A7D0-3F525116A176}"/>
    <cellStyle name="Comma 8 3 3 3 2 3 2" xfId="14805" xr:uid="{A4E3F2E4-2747-4A49-B0FC-F08BF1C4EAD1}"/>
    <cellStyle name="Comma 8 3 3 3 2 3 2 2" xfId="32149" xr:uid="{1B13B140-4D1E-4A94-99A6-08169862D27F}"/>
    <cellStyle name="Comma 8 3 3 3 2 3 3" xfId="23477" xr:uid="{E94171C8-B7A0-4C0F-ACAD-BB42641486A3}"/>
    <cellStyle name="Comma 8 3 3 3 2 4" xfId="10469" xr:uid="{4A3AD203-8EE1-4966-B400-DE15F6D05E85}"/>
    <cellStyle name="Comma 8 3 3 3 2 4 2" xfId="27813" xr:uid="{F74FCF91-1958-4FF1-BE83-015CF4B4F295}"/>
    <cellStyle name="Comma 8 3 3 3 2 5" xfId="19141" xr:uid="{AD037AD2-2D13-48F5-9036-70FB5019612B}"/>
    <cellStyle name="Comma 8 3 3 3 3" xfId="2881" xr:uid="{3B584150-31CC-445C-B64A-CD33ABBD3D4F}"/>
    <cellStyle name="Comma 8 3 3 3 3 2" xfId="7217" xr:uid="{CC3E95AF-2500-4E3F-921D-3E80034F1176}"/>
    <cellStyle name="Comma 8 3 3 3 3 2 2" xfId="15889" xr:uid="{9C797F33-5169-4F96-824B-57AD64DAFF35}"/>
    <cellStyle name="Comma 8 3 3 3 3 2 2 2" xfId="33233" xr:uid="{3FC72E38-21B2-42D9-9339-5A0D44FD6403}"/>
    <cellStyle name="Comma 8 3 3 3 3 2 3" xfId="24561" xr:uid="{325783E9-417D-485B-8924-0C649D2A8578}"/>
    <cellStyle name="Comma 8 3 3 3 3 3" xfId="11553" xr:uid="{41C3914B-495C-473B-A192-455ABFA5CD3B}"/>
    <cellStyle name="Comma 8 3 3 3 3 3 2" xfId="28897" xr:uid="{5D6077CE-C5BD-44C6-BFAF-15A1F8780AD7}"/>
    <cellStyle name="Comma 8 3 3 3 3 4" xfId="20225" xr:uid="{34B62F4B-9800-47D2-A553-3447A75FF886}"/>
    <cellStyle name="Comma 8 3 3 3 4" xfId="5049" xr:uid="{3E37E85B-1DE7-452A-B1CC-39670F48A020}"/>
    <cellStyle name="Comma 8 3 3 3 4 2" xfId="13721" xr:uid="{DABEF58C-D7C3-4955-94E5-B8435DC494C4}"/>
    <cellStyle name="Comma 8 3 3 3 4 2 2" xfId="31065" xr:uid="{F18B66C1-AA85-4170-8621-6CF7039B623F}"/>
    <cellStyle name="Comma 8 3 3 3 4 3" xfId="22393" xr:uid="{153FB8B0-3E1F-4EC8-A9BB-36031B7A6408}"/>
    <cellStyle name="Comma 8 3 3 3 5" xfId="9385" xr:uid="{B59A1287-2AF5-487B-881D-DBFF3BA0B53A}"/>
    <cellStyle name="Comma 8 3 3 3 5 2" xfId="26729" xr:uid="{3B5B8A63-3593-49AD-98FF-EFA97FE9640D}"/>
    <cellStyle name="Comma 8 3 3 3 6" xfId="18057" xr:uid="{BA9477DE-34DF-451F-BD19-E7E28459705E}"/>
    <cellStyle name="Comma 8 3 3 4" xfId="1256" xr:uid="{90FC99FC-F6D9-4DF9-80A4-84D1FF2261BF}"/>
    <cellStyle name="Comma 8 3 3 4 2" xfId="3424" xr:uid="{4719C8FE-88CB-4449-B77C-73F47B4CEE1F}"/>
    <cellStyle name="Comma 8 3 3 4 2 2" xfId="7760" xr:uid="{E44F4C02-3A6B-4910-8D23-663F9DA44090}"/>
    <cellStyle name="Comma 8 3 3 4 2 2 2" xfId="16432" xr:uid="{CBD7F2AA-6755-4025-BB2C-EB8E90623EDC}"/>
    <cellStyle name="Comma 8 3 3 4 2 2 2 2" xfId="33776" xr:uid="{292A8B47-D939-4EB6-A6D3-C79B2BFD5999}"/>
    <cellStyle name="Comma 8 3 3 4 2 2 3" xfId="25104" xr:uid="{93BFF988-CE26-4FE5-A84D-78FE91B88771}"/>
    <cellStyle name="Comma 8 3 3 4 2 3" xfId="12096" xr:uid="{3E8EC50D-BE4D-4AD6-A11D-087E99CC1253}"/>
    <cellStyle name="Comma 8 3 3 4 2 3 2" xfId="29440" xr:uid="{401A09FD-C4BD-41EB-A8D2-24935D536F29}"/>
    <cellStyle name="Comma 8 3 3 4 2 4" xfId="20768" xr:uid="{F1A6015D-777A-45B8-8AF2-F3B603257486}"/>
    <cellStyle name="Comma 8 3 3 4 3" xfId="5592" xr:uid="{E50FE483-1049-4339-9ADB-6E12CF997026}"/>
    <cellStyle name="Comma 8 3 3 4 3 2" xfId="14264" xr:uid="{BA1B5D41-65AC-4D07-A9E2-85D78EA1A1F8}"/>
    <cellStyle name="Comma 8 3 3 4 3 2 2" xfId="31608" xr:uid="{8BF25399-DC31-471C-9CDA-893809AE54DB}"/>
    <cellStyle name="Comma 8 3 3 4 3 3" xfId="22936" xr:uid="{EC632E8C-AF6C-423C-9839-87561B453732}"/>
    <cellStyle name="Comma 8 3 3 4 4" xfId="9928" xr:uid="{02C30072-E0F2-4B61-8399-C8DCFDC608FF}"/>
    <cellStyle name="Comma 8 3 3 4 4 2" xfId="27272" xr:uid="{6C603F99-4411-4C44-A132-75BDA355A19B}"/>
    <cellStyle name="Comma 8 3 3 4 5" xfId="18600" xr:uid="{B81D62AB-926D-4166-BFA6-F8471D51C904}"/>
    <cellStyle name="Comma 8 3 3 5" xfId="2340" xr:uid="{590F5F12-54D1-4DCE-876B-DB785A4B373E}"/>
    <cellStyle name="Comma 8 3 3 5 2" xfId="6676" xr:uid="{BD682AB9-07F1-47A3-9CD7-EA2079C7F283}"/>
    <cellStyle name="Comma 8 3 3 5 2 2" xfId="15348" xr:uid="{382B9CC6-6677-47F9-9320-767CF9BD2AF3}"/>
    <cellStyle name="Comma 8 3 3 5 2 2 2" xfId="32692" xr:uid="{9194F6DD-A835-4CF3-9A69-B042459E4BBA}"/>
    <cellStyle name="Comma 8 3 3 5 2 3" xfId="24020" xr:uid="{7FDED6ED-6097-4B43-8FE8-10F1CC1509D6}"/>
    <cellStyle name="Comma 8 3 3 5 3" xfId="11012" xr:uid="{E612B831-F691-4D0B-9504-69A485DC1E09}"/>
    <cellStyle name="Comma 8 3 3 5 3 2" xfId="28356" xr:uid="{547DF37C-6514-4639-B17A-1B174DDEF798}"/>
    <cellStyle name="Comma 8 3 3 5 4" xfId="19684" xr:uid="{89FB0260-4DC4-42BB-99EC-7EE9A85B0FBE}"/>
    <cellStyle name="Comma 8 3 3 6" xfId="4508" xr:uid="{1B2972E6-882D-4653-B3D4-B0E0896F0D5F}"/>
    <cellStyle name="Comma 8 3 3 6 2" xfId="13180" xr:uid="{5573C50A-5C2A-458F-A3EE-08FAE469FCAA}"/>
    <cellStyle name="Comma 8 3 3 6 2 2" xfId="30524" xr:uid="{FAC2C3C4-693A-488D-9789-3C4D46A94078}"/>
    <cellStyle name="Comma 8 3 3 6 3" xfId="21852" xr:uid="{DD2ED228-EC3F-4625-B226-61F89084770A}"/>
    <cellStyle name="Comma 8 3 3 7" xfId="8844" xr:uid="{EACD4877-1763-413E-B48F-1FD445BA4197}"/>
    <cellStyle name="Comma 8 3 3 7 2" xfId="26188" xr:uid="{DB554272-9BD2-436A-B3D3-917B89F4AD6C}"/>
    <cellStyle name="Comma 8 3 3 8" xfId="17516" xr:uid="{0AA20B65-AB08-4630-8881-164CFD29646F}"/>
    <cellStyle name="Comma 8 3 4" xfId="320" xr:uid="{C41E62B1-09DE-428B-8A4E-2AA8705AB09C}"/>
    <cellStyle name="Comma 8 3 4 2" xfId="861" xr:uid="{AEF6FD8D-47C9-4B22-8419-4E2696DB77CF}"/>
    <cellStyle name="Comma 8 3 4 2 2" xfId="1945" xr:uid="{B64BF173-8148-4FB6-96AB-3B4243623E97}"/>
    <cellStyle name="Comma 8 3 4 2 2 2" xfId="4113" xr:uid="{4C21A653-0D05-43EE-AA36-F65DA6AD38CD}"/>
    <cellStyle name="Comma 8 3 4 2 2 2 2" xfId="8449" xr:uid="{BC196D3F-AB0F-42CB-9762-FCB014B4214A}"/>
    <cellStyle name="Comma 8 3 4 2 2 2 2 2" xfId="17121" xr:uid="{8222F71E-987C-4E59-97AE-83B4B46BF822}"/>
    <cellStyle name="Comma 8 3 4 2 2 2 2 2 2" xfId="34465" xr:uid="{FD2CEFC6-B200-4D5D-A115-65CE69BC9803}"/>
    <cellStyle name="Comma 8 3 4 2 2 2 2 3" xfId="25793" xr:uid="{41E918E3-BF56-4072-A43B-6D3F9F3CC499}"/>
    <cellStyle name="Comma 8 3 4 2 2 2 3" xfId="12785" xr:uid="{ADBC246E-5C4E-42E9-9F7F-CFFE4D4ECFCE}"/>
    <cellStyle name="Comma 8 3 4 2 2 2 3 2" xfId="30129" xr:uid="{677397E2-9CE9-4DB0-A518-109488C4E445}"/>
    <cellStyle name="Comma 8 3 4 2 2 2 4" xfId="21457" xr:uid="{7EB294BC-5916-4BC1-960A-7F55B2F3EFD2}"/>
    <cellStyle name="Comma 8 3 4 2 2 3" xfId="6281" xr:uid="{5D3D34A1-F13A-4276-BB0C-46F4BAEF4C0E}"/>
    <cellStyle name="Comma 8 3 4 2 2 3 2" xfId="14953" xr:uid="{F1F5C053-2334-4E9D-87B8-0B54C0933DCF}"/>
    <cellStyle name="Comma 8 3 4 2 2 3 2 2" xfId="32297" xr:uid="{EE824AE1-CEE2-4CDC-9879-0340C3850349}"/>
    <cellStyle name="Comma 8 3 4 2 2 3 3" xfId="23625" xr:uid="{ED6AE6C5-EB28-419A-9671-6E848ECA600E}"/>
    <cellStyle name="Comma 8 3 4 2 2 4" xfId="10617" xr:uid="{D0CCE813-D83C-4222-91C5-BBECC86EDFD5}"/>
    <cellStyle name="Comma 8 3 4 2 2 4 2" xfId="27961" xr:uid="{CCE96E2D-1611-41E3-B9D2-0B292322BC9D}"/>
    <cellStyle name="Comma 8 3 4 2 2 5" xfId="19289" xr:uid="{C960C2F2-BA41-45EB-9DAE-C6F7DCBD594E}"/>
    <cellStyle name="Comma 8 3 4 2 3" xfId="3029" xr:uid="{DDAB1A86-89A7-4AC3-B484-B7E256080C86}"/>
    <cellStyle name="Comma 8 3 4 2 3 2" xfId="7365" xr:uid="{B11B82F8-AEF9-40CC-B12D-50D2D685CBBE}"/>
    <cellStyle name="Comma 8 3 4 2 3 2 2" xfId="16037" xr:uid="{2BD429F9-8711-49E6-9578-A745D6E0E762}"/>
    <cellStyle name="Comma 8 3 4 2 3 2 2 2" xfId="33381" xr:uid="{E51FCBE2-41CC-4822-A67C-F596EED7AC67}"/>
    <cellStyle name="Comma 8 3 4 2 3 2 3" xfId="24709" xr:uid="{14A25672-DB21-460B-BC22-C2D252522D5F}"/>
    <cellStyle name="Comma 8 3 4 2 3 3" xfId="11701" xr:uid="{7881D65E-FF12-4994-B59E-FAD42FF6C42E}"/>
    <cellStyle name="Comma 8 3 4 2 3 3 2" xfId="29045" xr:uid="{095CE30C-9472-4929-A8B2-4E04D0483145}"/>
    <cellStyle name="Comma 8 3 4 2 3 4" xfId="20373" xr:uid="{473CAED8-856C-4CA0-8E39-27D703F9CB4D}"/>
    <cellStyle name="Comma 8 3 4 2 4" xfId="5197" xr:uid="{3574229C-981C-4DCE-BEDF-9DCE164D5B17}"/>
    <cellStyle name="Comma 8 3 4 2 4 2" xfId="13869" xr:uid="{6C7AFDDE-65FF-499D-9525-CEFB36E5774E}"/>
    <cellStyle name="Comma 8 3 4 2 4 2 2" xfId="31213" xr:uid="{9DB44B71-A3D5-4C8B-8444-E4BA377DE559}"/>
    <cellStyle name="Comma 8 3 4 2 4 3" xfId="22541" xr:uid="{CCBFFAF3-688E-4298-8661-F31E9577DE30}"/>
    <cellStyle name="Comma 8 3 4 2 5" xfId="9533" xr:uid="{550718F6-FF7A-4548-8E1D-EA708972D83F}"/>
    <cellStyle name="Comma 8 3 4 2 5 2" xfId="26877" xr:uid="{32E3DD99-0D3F-43E6-BBB7-8368AB6A2BEC}"/>
    <cellStyle name="Comma 8 3 4 2 6" xfId="18205" xr:uid="{6E5B4493-DE1B-4593-83EE-583A1A0A75C0}"/>
    <cellStyle name="Comma 8 3 4 3" xfId="1404" xr:uid="{7CCA544E-5A7E-4B88-9D7C-2D58F3E56224}"/>
    <cellStyle name="Comma 8 3 4 3 2" xfId="3572" xr:uid="{6CEFBCAA-EDE7-4B1F-910F-F9B3C07161BA}"/>
    <cellStyle name="Comma 8 3 4 3 2 2" xfId="7908" xr:uid="{024D2F0C-CEFB-4C87-A29A-930F8E3187F7}"/>
    <cellStyle name="Comma 8 3 4 3 2 2 2" xfId="16580" xr:uid="{8AB35AC8-B281-48CB-9F04-28AAA37101F8}"/>
    <cellStyle name="Comma 8 3 4 3 2 2 2 2" xfId="33924" xr:uid="{CD86D20C-7DD8-4CDF-9D7A-6B85A75EEF58}"/>
    <cellStyle name="Comma 8 3 4 3 2 2 3" xfId="25252" xr:uid="{2523DC44-ECDA-4382-B65B-FFE41FC07CB2}"/>
    <cellStyle name="Comma 8 3 4 3 2 3" xfId="12244" xr:uid="{F46AC3B1-EF2A-45DA-962A-7527592CA402}"/>
    <cellStyle name="Comma 8 3 4 3 2 3 2" xfId="29588" xr:uid="{66718C1A-2EB0-4B81-87A8-8E2F7AF3C8BC}"/>
    <cellStyle name="Comma 8 3 4 3 2 4" xfId="20916" xr:uid="{1DC71CFE-B2EE-4A52-B825-628F87451258}"/>
    <cellStyle name="Comma 8 3 4 3 3" xfId="5740" xr:uid="{AE380AD5-2BC3-4BF4-8AE3-A58E012AE298}"/>
    <cellStyle name="Comma 8 3 4 3 3 2" xfId="14412" xr:uid="{9AD62DD2-E43A-4DA7-B8C8-2D41CD9B61A9}"/>
    <cellStyle name="Comma 8 3 4 3 3 2 2" xfId="31756" xr:uid="{77080B01-0B6C-457F-9486-11D2B90F69C3}"/>
    <cellStyle name="Comma 8 3 4 3 3 3" xfId="23084" xr:uid="{8BEC16BF-8893-4416-A532-633173326717}"/>
    <cellStyle name="Comma 8 3 4 3 4" xfId="10076" xr:uid="{D2A8E0CC-94EB-4C5D-A892-84C5E4128A75}"/>
    <cellStyle name="Comma 8 3 4 3 4 2" xfId="27420" xr:uid="{C93176EB-2FEB-48A7-97A4-924B2AC6EEE0}"/>
    <cellStyle name="Comma 8 3 4 3 5" xfId="18748" xr:uid="{48E3B9A5-4B1D-4F8D-893B-BD8BC751EEFF}"/>
    <cellStyle name="Comma 8 3 4 4" xfId="2488" xr:uid="{BEF9D88F-F3F5-4AA7-99A9-B1401DED0C3E}"/>
    <cellStyle name="Comma 8 3 4 4 2" xfId="6824" xr:uid="{9C7A27B3-A41F-4C8D-BB78-830AE9B672D5}"/>
    <cellStyle name="Comma 8 3 4 4 2 2" xfId="15496" xr:uid="{BAB6F6A1-8F8A-4123-A162-67903FD5FAE3}"/>
    <cellStyle name="Comma 8 3 4 4 2 2 2" xfId="32840" xr:uid="{0060BE3A-314A-4353-81D3-E468206061AE}"/>
    <cellStyle name="Comma 8 3 4 4 2 3" xfId="24168" xr:uid="{07756630-A0C6-477E-81E3-FBAF626F0AC3}"/>
    <cellStyle name="Comma 8 3 4 4 3" xfId="11160" xr:uid="{C2961181-F3C0-4B81-A1E7-A96D4A191E2C}"/>
    <cellStyle name="Comma 8 3 4 4 3 2" xfId="28504" xr:uid="{7554D6F7-38C8-4D47-BBE2-E87E646045D2}"/>
    <cellStyle name="Comma 8 3 4 4 4" xfId="19832" xr:uid="{D6516851-7E4C-409B-B958-23E8FAD198AB}"/>
    <cellStyle name="Comma 8 3 4 5" xfId="4656" xr:uid="{31614848-8D41-4DF6-84BD-501FAC8F4F01}"/>
    <cellStyle name="Comma 8 3 4 5 2" xfId="13328" xr:uid="{82958E70-63EF-4D57-8A80-DE6F76EB0E5C}"/>
    <cellStyle name="Comma 8 3 4 5 2 2" xfId="30672" xr:uid="{BFEA25B7-4970-48A6-8F87-1381F4C44371}"/>
    <cellStyle name="Comma 8 3 4 5 3" xfId="22000" xr:uid="{17BAA8B3-3530-43A9-BDE9-109E7B0CE798}"/>
    <cellStyle name="Comma 8 3 4 6" xfId="8992" xr:uid="{0D6DDA36-9B2B-4ED0-B05F-C50DC940584E}"/>
    <cellStyle name="Comma 8 3 4 6 2" xfId="26336" xr:uid="{F48BE4D3-047E-4B2E-8FCA-B677ECCBDC35}"/>
    <cellStyle name="Comma 8 3 4 7" xfId="17664" xr:uid="{AAB7ED3B-B2C4-44A5-9A24-53D491F88DF2}"/>
    <cellStyle name="Comma 8 3 5" xfId="591" xr:uid="{47A501D4-FE84-4E4B-840F-C1C8F54A3434}"/>
    <cellStyle name="Comma 8 3 5 2" xfId="1675" xr:uid="{ADA9B02E-EB1C-45BB-8CBB-A8C1A156006B}"/>
    <cellStyle name="Comma 8 3 5 2 2" xfId="3843" xr:uid="{510FBF94-E4D5-4A91-8845-0E9E887983C0}"/>
    <cellStyle name="Comma 8 3 5 2 2 2" xfId="8179" xr:uid="{A780497F-BDBA-451A-A1A9-9C0BB2191200}"/>
    <cellStyle name="Comma 8 3 5 2 2 2 2" xfId="16851" xr:uid="{68D38EAA-0E91-47CE-9899-1278FD9291F9}"/>
    <cellStyle name="Comma 8 3 5 2 2 2 2 2" xfId="34195" xr:uid="{FAE32645-99BF-43A1-A1E0-5FEE8311E074}"/>
    <cellStyle name="Comma 8 3 5 2 2 2 3" xfId="25523" xr:uid="{A90F5B80-07E1-4079-B5CD-8563C56A2AEB}"/>
    <cellStyle name="Comma 8 3 5 2 2 3" xfId="12515" xr:uid="{BC32AB60-2A30-4D9D-8AC1-B8B0D0EF4676}"/>
    <cellStyle name="Comma 8 3 5 2 2 3 2" xfId="29859" xr:uid="{75E51F17-47B6-416D-98B7-41B921F4F63D}"/>
    <cellStyle name="Comma 8 3 5 2 2 4" xfId="21187" xr:uid="{01533A5C-F1FC-40C8-A96F-8C60CB4EB752}"/>
    <cellStyle name="Comma 8 3 5 2 3" xfId="6011" xr:uid="{24DBFD21-9997-426E-8196-7BAE132BD15F}"/>
    <cellStyle name="Comma 8 3 5 2 3 2" xfId="14683" xr:uid="{273BEBFD-CD25-4C53-A752-EC5FFD0C762E}"/>
    <cellStyle name="Comma 8 3 5 2 3 2 2" xfId="32027" xr:uid="{F1A66612-A5D3-4024-AA46-662107DBAC13}"/>
    <cellStyle name="Comma 8 3 5 2 3 3" xfId="23355" xr:uid="{7DCDE3AF-D3FA-444F-B2F3-2C0FE18FA2AA}"/>
    <cellStyle name="Comma 8 3 5 2 4" xfId="10347" xr:uid="{8C64B8F8-3108-4F04-9423-28992C0545F5}"/>
    <cellStyle name="Comma 8 3 5 2 4 2" xfId="27691" xr:uid="{A918559D-CEB5-45BB-AB39-F1127FB0A8C3}"/>
    <cellStyle name="Comma 8 3 5 2 5" xfId="19019" xr:uid="{CEE35136-03C9-4DC5-B97F-E66FEFED1EDB}"/>
    <cellStyle name="Comma 8 3 5 3" xfId="2759" xr:uid="{617F1B60-1A28-42C3-8F79-7207B8772221}"/>
    <cellStyle name="Comma 8 3 5 3 2" xfId="7095" xr:uid="{5C198CA0-E0A2-4710-BFFB-862B113D685C}"/>
    <cellStyle name="Comma 8 3 5 3 2 2" xfId="15767" xr:uid="{EF4407AC-54F0-4588-8A8C-3FAE93B89605}"/>
    <cellStyle name="Comma 8 3 5 3 2 2 2" xfId="33111" xr:uid="{AFC832D8-D6F5-4556-A247-BE7B91FB0D51}"/>
    <cellStyle name="Comma 8 3 5 3 2 3" xfId="24439" xr:uid="{032C2D4B-BC02-4620-A12A-FFE1E03627F3}"/>
    <cellStyle name="Comma 8 3 5 3 3" xfId="11431" xr:uid="{85C6F95F-E2EA-460E-A2CB-0C2B4D25D9AA}"/>
    <cellStyle name="Comma 8 3 5 3 3 2" xfId="28775" xr:uid="{674E1050-87A1-4E26-B1AE-72A24B243A96}"/>
    <cellStyle name="Comma 8 3 5 3 4" xfId="20103" xr:uid="{7A460C54-4894-432D-9945-B04EDFEC15E0}"/>
    <cellStyle name="Comma 8 3 5 4" xfId="4927" xr:uid="{62984AC0-79E8-40D5-8EE7-B18C0F1951C0}"/>
    <cellStyle name="Comma 8 3 5 4 2" xfId="13599" xr:uid="{0798C9E0-772E-49C4-BBFB-639992D8D82B}"/>
    <cellStyle name="Comma 8 3 5 4 2 2" xfId="30943" xr:uid="{DA9EB005-4C13-4E5F-813D-C75B13C1269B}"/>
    <cellStyle name="Comma 8 3 5 4 3" xfId="22271" xr:uid="{4C02FEB5-ED8C-4B72-8544-64DACB4C8D1F}"/>
    <cellStyle name="Comma 8 3 5 5" xfId="9263" xr:uid="{103FD3FC-A417-40D0-8CFB-E34091350FA8}"/>
    <cellStyle name="Comma 8 3 5 5 2" xfId="26607" xr:uid="{B0ABA870-8A95-45B0-8BC2-F64F3026CBAC}"/>
    <cellStyle name="Comma 8 3 5 6" xfId="17935" xr:uid="{A8E8E762-E904-40C3-876C-7CFE77B0CD63}"/>
    <cellStyle name="Comma 8 3 6" xfId="1134" xr:uid="{448DB424-8082-4E89-B623-ADC7376FD3FE}"/>
    <cellStyle name="Comma 8 3 6 2" xfId="3302" xr:uid="{4A92F69A-22AF-4FC1-ABC1-55586E8BFBD6}"/>
    <cellStyle name="Comma 8 3 6 2 2" xfId="7638" xr:uid="{1F3E442A-A22D-485B-A6A9-2DE7EC7C35FA}"/>
    <cellStyle name="Comma 8 3 6 2 2 2" xfId="16310" xr:uid="{75981442-8588-4B44-8136-6C0F99DCB3B9}"/>
    <cellStyle name="Comma 8 3 6 2 2 2 2" xfId="33654" xr:uid="{D38152F5-7C82-4156-951C-0E035BED8854}"/>
    <cellStyle name="Comma 8 3 6 2 2 3" xfId="24982" xr:uid="{09627983-C8A4-4B26-8C36-189D685EAC98}"/>
    <cellStyle name="Comma 8 3 6 2 3" xfId="11974" xr:uid="{8647A2A8-3AF6-4822-91E5-D438964CDC8A}"/>
    <cellStyle name="Comma 8 3 6 2 3 2" xfId="29318" xr:uid="{8BD14E8A-CC71-4B90-98BD-D1DD23053E4B}"/>
    <cellStyle name="Comma 8 3 6 2 4" xfId="20646" xr:uid="{7DD70B66-CA04-40D3-9046-DFB648A8E92D}"/>
    <cellStyle name="Comma 8 3 6 3" xfId="5470" xr:uid="{01842F46-0B80-4C4E-8A18-2ABAC922A286}"/>
    <cellStyle name="Comma 8 3 6 3 2" xfId="14142" xr:uid="{33040F13-3701-4ED6-ACB9-19AA40DF9A34}"/>
    <cellStyle name="Comma 8 3 6 3 2 2" xfId="31486" xr:uid="{2A3ACDA4-E079-4145-9D19-1089FE95F5A0}"/>
    <cellStyle name="Comma 8 3 6 3 3" xfId="22814" xr:uid="{2BE1E6E8-0ADD-4288-953D-444D659E84FD}"/>
    <cellStyle name="Comma 8 3 6 4" xfId="9806" xr:uid="{A1ACB2EC-FC62-4A6B-B785-C398274F6195}"/>
    <cellStyle name="Comma 8 3 6 4 2" xfId="27150" xr:uid="{CD93F0BB-9700-4D9C-8EA6-E8335F32CEEB}"/>
    <cellStyle name="Comma 8 3 6 5" xfId="18478" xr:uid="{AC954231-8CAA-4C82-A2EF-01FB3827E889}"/>
    <cellStyle name="Comma 8 3 7" xfId="2218" xr:uid="{5F05FFCC-D739-459D-A8D5-200711CE179C}"/>
    <cellStyle name="Comma 8 3 7 2" xfId="6554" xr:uid="{050E0757-E065-4928-8BC6-CCAF6D5CD57E}"/>
    <cellStyle name="Comma 8 3 7 2 2" xfId="15226" xr:uid="{AAAFAA46-683D-4492-B366-17BD5E1505FE}"/>
    <cellStyle name="Comma 8 3 7 2 2 2" xfId="32570" xr:uid="{912FF0FC-C92A-48BD-AD90-BF9AEA88BF29}"/>
    <cellStyle name="Comma 8 3 7 2 3" xfId="23898" xr:uid="{05601110-AEFB-4A71-A097-535D47260A32}"/>
    <cellStyle name="Comma 8 3 7 3" xfId="10890" xr:uid="{4CCDC31F-E11F-4BA8-94A7-87700B848D89}"/>
    <cellStyle name="Comma 8 3 7 3 2" xfId="28234" xr:uid="{29FA6BAF-D63B-4190-AF3D-C9694CAD4712}"/>
    <cellStyle name="Comma 8 3 7 4" xfId="19562" xr:uid="{1F93400A-A278-4084-A568-40ACD89061A5}"/>
    <cellStyle name="Comma 8 3 8" xfId="4386" xr:uid="{0D6167B7-58E7-4F68-A69D-8284994EA234}"/>
    <cellStyle name="Comma 8 3 8 2" xfId="13058" xr:uid="{05C6156E-CB90-47FB-B5AA-074A055EEDF2}"/>
    <cellStyle name="Comma 8 3 8 2 2" xfId="30402" xr:uid="{23CE8A11-40EE-4020-9675-BD5DE8473428}"/>
    <cellStyle name="Comma 8 3 8 3" xfId="21730" xr:uid="{E05BC860-BB43-4F4B-AD4F-2961493EBAAC}"/>
    <cellStyle name="Comma 8 3 9" xfId="8722" xr:uid="{466782FC-DF6E-4763-B520-E925388D1C4A}"/>
    <cellStyle name="Comma 8 3 9 2" xfId="26066" xr:uid="{EC8BBBD8-CEEE-42BD-90B0-77C51B29E35B}"/>
    <cellStyle name="Comma 8 4" xfId="76" xr:uid="{21DAA4FF-26D0-4DBA-901E-91B09E9C6E30}"/>
    <cellStyle name="Comma 8 4 2" xfId="198" xr:uid="{A8BEB33E-264A-4E65-AEAB-EBBD0E2A285B}"/>
    <cellStyle name="Comma 8 4 2 2" xfId="468" xr:uid="{9CDCBBF0-3792-4566-8D2A-9C2E180108BA}"/>
    <cellStyle name="Comma 8 4 2 2 2" xfId="1009" xr:uid="{FFA80B05-C4B9-4B85-8E28-13BFE12E8111}"/>
    <cellStyle name="Comma 8 4 2 2 2 2" xfId="2093" xr:uid="{BF822008-18B9-4B26-933A-7AC633EF0237}"/>
    <cellStyle name="Comma 8 4 2 2 2 2 2" xfId="4261" xr:uid="{9419EECA-7EBB-49DA-BC2C-158CD7397612}"/>
    <cellStyle name="Comma 8 4 2 2 2 2 2 2" xfId="8597" xr:uid="{6C367209-75A9-4FA7-8EBC-8D93080EE53E}"/>
    <cellStyle name="Comma 8 4 2 2 2 2 2 2 2" xfId="17269" xr:uid="{27DA06F0-941A-4F3D-A076-A03E349D2662}"/>
    <cellStyle name="Comma 8 4 2 2 2 2 2 2 2 2" xfId="34613" xr:uid="{2180BECD-60E5-4762-9BBD-776FFED63E7A}"/>
    <cellStyle name="Comma 8 4 2 2 2 2 2 2 3" xfId="25941" xr:uid="{AC6B9DA0-6C39-4F57-9156-B41CF9D39B97}"/>
    <cellStyle name="Comma 8 4 2 2 2 2 2 3" xfId="12933" xr:uid="{A8C716C7-B310-4181-95DC-CB5A58CA171A}"/>
    <cellStyle name="Comma 8 4 2 2 2 2 2 3 2" xfId="30277" xr:uid="{531169C5-7E34-4DCF-9670-B35EE50F92A6}"/>
    <cellStyle name="Comma 8 4 2 2 2 2 2 4" xfId="21605" xr:uid="{0742DBB2-2DE9-46C3-A71B-5B37DC32DCD7}"/>
    <cellStyle name="Comma 8 4 2 2 2 2 3" xfId="6429" xr:uid="{29A025B1-4C04-45FF-91ED-527957F5E9CB}"/>
    <cellStyle name="Comma 8 4 2 2 2 2 3 2" xfId="15101" xr:uid="{EB4EF04C-AF24-4D4B-8B50-97D0688D4A08}"/>
    <cellStyle name="Comma 8 4 2 2 2 2 3 2 2" xfId="32445" xr:uid="{C9C9D997-3845-4C1E-AB86-916CA3AF7F10}"/>
    <cellStyle name="Comma 8 4 2 2 2 2 3 3" xfId="23773" xr:uid="{9ADDDDBF-0F94-4B65-AE73-4E71603AA5D9}"/>
    <cellStyle name="Comma 8 4 2 2 2 2 4" xfId="10765" xr:uid="{DA67D178-9117-45EB-B2EE-E27BDE8C4BCF}"/>
    <cellStyle name="Comma 8 4 2 2 2 2 4 2" xfId="28109" xr:uid="{DFF6866D-D212-467E-A7FB-246E86C8EF8F}"/>
    <cellStyle name="Comma 8 4 2 2 2 2 5" xfId="19437" xr:uid="{9362279B-3BD5-4CEC-A069-3A8158DC297F}"/>
    <cellStyle name="Comma 8 4 2 2 2 3" xfId="3177" xr:uid="{1B741320-0025-498D-AEF0-7D44815D766B}"/>
    <cellStyle name="Comma 8 4 2 2 2 3 2" xfId="7513" xr:uid="{C772F76D-EE90-4598-B7B8-A7F17DFE559A}"/>
    <cellStyle name="Comma 8 4 2 2 2 3 2 2" xfId="16185" xr:uid="{C58DC8B0-864F-4A0D-8F56-CEC3FF85A046}"/>
    <cellStyle name="Comma 8 4 2 2 2 3 2 2 2" xfId="33529" xr:uid="{7B833762-DB52-47DD-BD9B-0EC230D0DCCA}"/>
    <cellStyle name="Comma 8 4 2 2 2 3 2 3" xfId="24857" xr:uid="{245E093C-11B6-42BE-A3E9-FDA488DDAB08}"/>
    <cellStyle name="Comma 8 4 2 2 2 3 3" xfId="11849" xr:uid="{53D110FB-35C4-41FD-AD4D-09277D46A3E3}"/>
    <cellStyle name="Comma 8 4 2 2 2 3 3 2" xfId="29193" xr:uid="{BCD38824-DCE9-4403-89A4-A254BE506AF1}"/>
    <cellStyle name="Comma 8 4 2 2 2 3 4" xfId="20521" xr:uid="{D26813CE-8D25-4B38-B693-542069539ED4}"/>
    <cellStyle name="Comma 8 4 2 2 2 4" xfId="5345" xr:uid="{28FE5BD6-88BF-48DB-89A4-884294FF7440}"/>
    <cellStyle name="Comma 8 4 2 2 2 4 2" xfId="14017" xr:uid="{53CE9883-BA50-4921-A5D6-6474EBE45291}"/>
    <cellStyle name="Comma 8 4 2 2 2 4 2 2" xfId="31361" xr:uid="{F65248D4-AB27-436F-8F13-6ACFBF474172}"/>
    <cellStyle name="Comma 8 4 2 2 2 4 3" xfId="22689" xr:uid="{628B5886-035D-42FA-9105-9F0733FBBE88}"/>
    <cellStyle name="Comma 8 4 2 2 2 5" xfId="9681" xr:uid="{EBE0924D-3DD4-47EE-8BE1-773EBA49A602}"/>
    <cellStyle name="Comma 8 4 2 2 2 5 2" xfId="27025" xr:uid="{C72DBF68-5008-4010-ABF2-509BE311150E}"/>
    <cellStyle name="Comma 8 4 2 2 2 6" xfId="18353" xr:uid="{09F342C2-B2E7-4C5A-96DA-320E50395478}"/>
    <cellStyle name="Comma 8 4 2 2 3" xfId="1552" xr:uid="{AD688D44-2FC9-4BA6-8E7A-16B379587CA8}"/>
    <cellStyle name="Comma 8 4 2 2 3 2" xfId="3720" xr:uid="{A112ED52-CF10-4C5B-B838-B2D0355E73B8}"/>
    <cellStyle name="Comma 8 4 2 2 3 2 2" xfId="8056" xr:uid="{33205AA3-08D1-4264-9864-458B96DF292F}"/>
    <cellStyle name="Comma 8 4 2 2 3 2 2 2" xfId="16728" xr:uid="{2B2D28EF-9521-4ADA-96DF-62505E5BFE62}"/>
    <cellStyle name="Comma 8 4 2 2 3 2 2 2 2" xfId="34072" xr:uid="{CCE1838F-EB22-480D-8014-54679B63E123}"/>
    <cellStyle name="Comma 8 4 2 2 3 2 2 3" xfId="25400" xr:uid="{21B42142-17F5-44B7-AAFC-6F95CAC8CAE4}"/>
    <cellStyle name="Comma 8 4 2 2 3 2 3" xfId="12392" xr:uid="{A3EEE8DF-BC63-42D7-935B-BEDE15FC6DDE}"/>
    <cellStyle name="Comma 8 4 2 2 3 2 3 2" xfId="29736" xr:uid="{2071C4E8-A563-4C19-A1A0-D65F04589C1D}"/>
    <cellStyle name="Comma 8 4 2 2 3 2 4" xfId="21064" xr:uid="{F19DA8B5-F62D-4765-9F41-EAA56747DD52}"/>
    <cellStyle name="Comma 8 4 2 2 3 3" xfId="5888" xr:uid="{F9BA673E-DD9F-4A3C-A143-93BF76FC0CC1}"/>
    <cellStyle name="Comma 8 4 2 2 3 3 2" xfId="14560" xr:uid="{D932A9A4-F116-4FEE-96F3-83200716DCA9}"/>
    <cellStyle name="Comma 8 4 2 2 3 3 2 2" xfId="31904" xr:uid="{83068685-B0CE-40B6-99AE-4945B4FD51FE}"/>
    <cellStyle name="Comma 8 4 2 2 3 3 3" xfId="23232" xr:uid="{E3ADED0E-55BE-419E-953A-77D222476420}"/>
    <cellStyle name="Comma 8 4 2 2 3 4" xfId="10224" xr:uid="{1CD17F8F-EF61-4981-9A76-159171CEC316}"/>
    <cellStyle name="Comma 8 4 2 2 3 4 2" xfId="27568" xr:uid="{CE0B609E-9441-41ED-B081-D40E89004B4F}"/>
    <cellStyle name="Comma 8 4 2 2 3 5" xfId="18896" xr:uid="{3BFEE71A-69B7-4533-84E1-784E89C2D84A}"/>
    <cellStyle name="Comma 8 4 2 2 4" xfId="2636" xr:uid="{F5AF3A59-738D-4DD1-973E-524489AA83C2}"/>
    <cellStyle name="Comma 8 4 2 2 4 2" xfId="6972" xr:uid="{E28C22AF-7CD1-40AB-BFB4-1852008170C5}"/>
    <cellStyle name="Comma 8 4 2 2 4 2 2" xfId="15644" xr:uid="{5679A345-31D5-4B8D-99B9-87CF252FB233}"/>
    <cellStyle name="Comma 8 4 2 2 4 2 2 2" xfId="32988" xr:uid="{6F82E49D-370A-4A92-9F5B-A64CB243A710}"/>
    <cellStyle name="Comma 8 4 2 2 4 2 3" xfId="24316" xr:uid="{535ADCED-C86B-4310-91FC-0291E741BC6A}"/>
    <cellStyle name="Comma 8 4 2 2 4 3" xfId="11308" xr:uid="{35571B5E-C36D-433C-AD1B-1872A3F45D48}"/>
    <cellStyle name="Comma 8 4 2 2 4 3 2" xfId="28652" xr:uid="{B4231770-8BC6-497D-BB1D-D95E4E345CF6}"/>
    <cellStyle name="Comma 8 4 2 2 4 4" xfId="19980" xr:uid="{D0A34029-CACC-4BB6-B600-A427848061A0}"/>
    <cellStyle name="Comma 8 4 2 2 5" xfId="4804" xr:uid="{B36A5F3C-0949-4366-A773-B3081ED0CA7B}"/>
    <cellStyle name="Comma 8 4 2 2 5 2" xfId="13476" xr:uid="{1ABAB381-F708-48C3-8384-035AF1244049}"/>
    <cellStyle name="Comma 8 4 2 2 5 2 2" xfId="30820" xr:uid="{C3925D28-6B80-4648-AEA5-BEA47A64A970}"/>
    <cellStyle name="Comma 8 4 2 2 5 3" xfId="22148" xr:uid="{CE69F367-7C46-47FC-AC31-270DC4952182}"/>
    <cellStyle name="Comma 8 4 2 2 6" xfId="9140" xr:uid="{F759DE2F-9BAA-44A7-8EFC-E2A44C63541F}"/>
    <cellStyle name="Comma 8 4 2 2 6 2" xfId="26484" xr:uid="{ADD28687-2B26-4A3D-8CF0-9EC597D58DC3}"/>
    <cellStyle name="Comma 8 4 2 2 7" xfId="17812" xr:uid="{7584BBC5-EE7F-4951-9228-9B47D01BCD59}"/>
    <cellStyle name="Comma 8 4 2 3" xfId="739" xr:uid="{66D2B2FA-7B5F-440E-8D9F-5A0322717EBD}"/>
    <cellStyle name="Comma 8 4 2 3 2" xfId="1823" xr:uid="{94212445-3BD6-4844-BCD9-8359E2360522}"/>
    <cellStyle name="Comma 8 4 2 3 2 2" xfId="3991" xr:uid="{ED65652E-FFA4-4B70-A32C-765AB3AA63E4}"/>
    <cellStyle name="Comma 8 4 2 3 2 2 2" xfId="8327" xr:uid="{D55A9103-08BA-4640-B3B9-DBB45906C092}"/>
    <cellStyle name="Comma 8 4 2 3 2 2 2 2" xfId="16999" xr:uid="{6562023A-7B3D-4273-AF38-59A02ADBC367}"/>
    <cellStyle name="Comma 8 4 2 3 2 2 2 2 2" xfId="34343" xr:uid="{B7D42357-98A8-42F4-9A94-3089B60873D0}"/>
    <cellStyle name="Comma 8 4 2 3 2 2 2 3" xfId="25671" xr:uid="{216E8174-321F-4117-9330-23B88530513D}"/>
    <cellStyle name="Comma 8 4 2 3 2 2 3" xfId="12663" xr:uid="{811CE5CF-1A49-4C92-82D2-C8AF98193751}"/>
    <cellStyle name="Comma 8 4 2 3 2 2 3 2" xfId="30007" xr:uid="{2397EF64-E4AD-4712-90C8-50FC930D58F0}"/>
    <cellStyle name="Comma 8 4 2 3 2 2 4" xfId="21335" xr:uid="{D3B8C87C-AAAC-4790-8D6B-CE272FA2DB66}"/>
    <cellStyle name="Comma 8 4 2 3 2 3" xfId="6159" xr:uid="{90CC550B-7073-4BE2-BE96-2C35FF6D0DF9}"/>
    <cellStyle name="Comma 8 4 2 3 2 3 2" xfId="14831" xr:uid="{474EDD75-5CB9-485D-94AE-0E401B02D8A7}"/>
    <cellStyle name="Comma 8 4 2 3 2 3 2 2" xfId="32175" xr:uid="{22DC6819-09FD-49C3-A88E-CFFEB0DD09F9}"/>
    <cellStyle name="Comma 8 4 2 3 2 3 3" xfId="23503" xr:uid="{74176705-B942-47A4-80CE-E467D2BCFC3C}"/>
    <cellStyle name="Comma 8 4 2 3 2 4" xfId="10495" xr:uid="{36DF572F-B4A9-465C-8495-DBCE429CCB6F}"/>
    <cellStyle name="Comma 8 4 2 3 2 4 2" xfId="27839" xr:uid="{B28EB364-AD47-485F-BF61-B8D448F3C4FB}"/>
    <cellStyle name="Comma 8 4 2 3 2 5" xfId="19167" xr:uid="{1A451817-6104-4500-88D4-6AE248657A73}"/>
    <cellStyle name="Comma 8 4 2 3 3" xfId="2907" xr:uid="{66837C55-54BA-4FBF-8A5B-5D72781D152B}"/>
    <cellStyle name="Comma 8 4 2 3 3 2" xfId="7243" xr:uid="{B152A4CC-448C-4D02-BA60-0407EABDFAD2}"/>
    <cellStyle name="Comma 8 4 2 3 3 2 2" xfId="15915" xr:uid="{23F1163B-F878-4CD3-9C0C-3EEF58F3BC38}"/>
    <cellStyle name="Comma 8 4 2 3 3 2 2 2" xfId="33259" xr:uid="{CE3B146C-CDD2-41B0-B40B-438EA3629E7D}"/>
    <cellStyle name="Comma 8 4 2 3 3 2 3" xfId="24587" xr:uid="{DA0A8B89-52C9-45F4-B31C-1EE705D8295E}"/>
    <cellStyle name="Comma 8 4 2 3 3 3" xfId="11579" xr:uid="{4D5C83D7-F2B9-44F2-A707-626A855EBBEF}"/>
    <cellStyle name="Comma 8 4 2 3 3 3 2" xfId="28923" xr:uid="{51E0A206-1995-4362-951B-D40D2640F96D}"/>
    <cellStyle name="Comma 8 4 2 3 3 4" xfId="20251" xr:uid="{72EBFB03-20CC-4141-811A-B0FEF19FCC43}"/>
    <cellStyle name="Comma 8 4 2 3 4" xfId="5075" xr:uid="{DB4E595A-7087-4E9A-B01D-35F50D76AAB6}"/>
    <cellStyle name="Comma 8 4 2 3 4 2" xfId="13747" xr:uid="{DF0A45D8-B6D9-4FC5-8A77-20D88D039FAD}"/>
    <cellStyle name="Comma 8 4 2 3 4 2 2" xfId="31091" xr:uid="{BC96BD65-A931-46E2-8976-3D3280ED3373}"/>
    <cellStyle name="Comma 8 4 2 3 4 3" xfId="22419" xr:uid="{C3FB4628-FC2B-417E-9212-E2E717B4DFDC}"/>
    <cellStyle name="Comma 8 4 2 3 5" xfId="9411" xr:uid="{805BD352-A943-4C18-AF7C-0662EB9EBE65}"/>
    <cellStyle name="Comma 8 4 2 3 5 2" xfId="26755" xr:uid="{7FC58F18-6774-45E0-BDE6-B71ABD561A5A}"/>
    <cellStyle name="Comma 8 4 2 3 6" xfId="18083" xr:uid="{2A1A00CE-C962-4D06-8EBA-7FCAD3B14D22}"/>
    <cellStyle name="Comma 8 4 2 4" xfId="1282" xr:uid="{CCBEB0A9-F2A3-49A5-8433-905DD6C11954}"/>
    <cellStyle name="Comma 8 4 2 4 2" xfId="3450" xr:uid="{0AD22616-F2DA-466F-9D21-AF0393BB6D2C}"/>
    <cellStyle name="Comma 8 4 2 4 2 2" xfId="7786" xr:uid="{F38F8378-5D46-475C-9BD7-A4B0D2568556}"/>
    <cellStyle name="Comma 8 4 2 4 2 2 2" xfId="16458" xr:uid="{5942B15D-D2D4-4C2E-BD42-8CD5B1E229AB}"/>
    <cellStyle name="Comma 8 4 2 4 2 2 2 2" xfId="33802" xr:uid="{7908D8F5-CB29-4A0A-8783-982CE954D179}"/>
    <cellStyle name="Comma 8 4 2 4 2 2 3" xfId="25130" xr:uid="{9646CBDF-A190-4144-B219-BE52E8948EED}"/>
    <cellStyle name="Comma 8 4 2 4 2 3" xfId="12122" xr:uid="{8270C491-6B7F-4D9D-AD82-3DFD82BB04E8}"/>
    <cellStyle name="Comma 8 4 2 4 2 3 2" xfId="29466" xr:uid="{4D69345E-5246-4ADA-B3A5-084BF4C65048}"/>
    <cellStyle name="Comma 8 4 2 4 2 4" xfId="20794" xr:uid="{8B0B870B-4A67-43B1-BBAC-7B4F376E125F}"/>
    <cellStyle name="Comma 8 4 2 4 3" xfId="5618" xr:uid="{F0CD1E93-3567-4A1C-92B6-6508AD51D183}"/>
    <cellStyle name="Comma 8 4 2 4 3 2" xfId="14290" xr:uid="{97A78726-323E-4436-8BE8-1FCE8EC19FA5}"/>
    <cellStyle name="Comma 8 4 2 4 3 2 2" xfId="31634" xr:uid="{A57B12BA-E7F1-4F45-9276-98EFF6552752}"/>
    <cellStyle name="Comma 8 4 2 4 3 3" xfId="22962" xr:uid="{5A738508-7CEF-4583-8419-FA71CEEDC844}"/>
    <cellStyle name="Comma 8 4 2 4 4" xfId="9954" xr:uid="{196DEFFA-2F0E-47FF-9732-1BACABEC94C8}"/>
    <cellStyle name="Comma 8 4 2 4 4 2" xfId="27298" xr:uid="{2F011C31-22BC-47CA-AC93-E6DFE2F54E07}"/>
    <cellStyle name="Comma 8 4 2 4 5" xfId="18626" xr:uid="{DB33A740-9EA7-4F20-81CB-23C23DFC3D33}"/>
    <cellStyle name="Comma 8 4 2 5" xfId="2366" xr:uid="{8A223096-1BA0-4409-994F-336F7A611A79}"/>
    <cellStyle name="Comma 8 4 2 5 2" xfId="6702" xr:uid="{3820639D-9364-431C-A488-00E2BD09170C}"/>
    <cellStyle name="Comma 8 4 2 5 2 2" xfId="15374" xr:uid="{519E5EB7-93C0-4B31-A057-A5B55D80F05B}"/>
    <cellStyle name="Comma 8 4 2 5 2 2 2" xfId="32718" xr:uid="{20E6BA5F-AB85-4355-830C-A5213925618C}"/>
    <cellStyle name="Comma 8 4 2 5 2 3" xfId="24046" xr:uid="{E15ADCB2-67EF-4D80-B728-98083B7962E7}"/>
    <cellStyle name="Comma 8 4 2 5 3" xfId="11038" xr:uid="{1340BF29-2298-4581-B881-21FA45EF2FA6}"/>
    <cellStyle name="Comma 8 4 2 5 3 2" xfId="28382" xr:uid="{BF752C1C-7DB5-41BC-938A-8EE5B6DCAE51}"/>
    <cellStyle name="Comma 8 4 2 5 4" xfId="19710" xr:uid="{861FDFFF-84A0-4A1D-BF58-E127502B24B8}"/>
    <cellStyle name="Comma 8 4 2 6" xfId="4534" xr:uid="{1C61776D-B7D2-4840-9767-EBD68DF6D11E}"/>
    <cellStyle name="Comma 8 4 2 6 2" xfId="13206" xr:uid="{49FD3FDC-7641-4B97-97BB-43A91D693C2A}"/>
    <cellStyle name="Comma 8 4 2 6 2 2" xfId="30550" xr:uid="{6A3182A4-4EE3-4744-9720-8720B8EE9F0C}"/>
    <cellStyle name="Comma 8 4 2 6 3" xfId="21878" xr:uid="{6A2F9587-F9D4-4C80-A8D5-6D37298872FF}"/>
    <cellStyle name="Comma 8 4 2 7" xfId="8870" xr:uid="{CEE23D57-8F7F-4AB5-872C-6AD4F7C096A4}"/>
    <cellStyle name="Comma 8 4 2 7 2" xfId="26214" xr:uid="{171C84D1-8E53-4F78-8344-45DE42479869}"/>
    <cellStyle name="Comma 8 4 2 8" xfId="17542" xr:uid="{BD82DC35-0028-4E24-B498-00DAD4886D4F}"/>
    <cellStyle name="Comma 8 4 3" xfId="346" xr:uid="{088FA07B-6057-440B-81A6-94FC59F8C6CD}"/>
    <cellStyle name="Comma 8 4 3 2" xfId="887" xr:uid="{533EFC7C-3FE7-4A3F-8626-6D4481731AEA}"/>
    <cellStyle name="Comma 8 4 3 2 2" xfId="1971" xr:uid="{A97FEDDF-556F-46E1-A932-D95A099BF5F6}"/>
    <cellStyle name="Comma 8 4 3 2 2 2" xfId="4139" xr:uid="{9025B812-D751-403F-A2B3-B5F26CACB96C}"/>
    <cellStyle name="Comma 8 4 3 2 2 2 2" xfId="8475" xr:uid="{8A40BF01-5887-4589-8207-89541A926626}"/>
    <cellStyle name="Comma 8 4 3 2 2 2 2 2" xfId="17147" xr:uid="{88AAA961-86ED-461C-B8E4-3C13673C4A44}"/>
    <cellStyle name="Comma 8 4 3 2 2 2 2 2 2" xfId="34491" xr:uid="{3FCF9936-011C-4580-A3DF-1CBE37DBBFCA}"/>
    <cellStyle name="Comma 8 4 3 2 2 2 2 3" xfId="25819" xr:uid="{AF954F81-8C44-4991-AC6E-0A03670E6E97}"/>
    <cellStyle name="Comma 8 4 3 2 2 2 3" xfId="12811" xr:uid="{6F9EDA92-7E40-4BBE-AEE4-0FD2A126AA5E}"/>
    <cellStyle name="Comma 8 4 3 2 2 2 3 2" xfId="30155" xr:uid="{85C6BEF7-0111-4FE7-8370-06A3501A9244}"/>
    <cellStyle name="Comma 8 4 3 2 2 2 4" xfId="21483" xr:uid="{6BBC636B-BB83-4C98-AA9D-18D1877F3547}"/>
    <cellStyle name="Comma 8 4 3 2 2 3" xfId="6307" xr:uid="{014BFC81-2882-44F7-BAFF-19EF92CD4EE8}"/>
    <cellStyle name="Comma 8 4 3 2 2 3 2" xfId="14979" xr:uid="{7E5E40B6-3FAF-46E5-9A6E-B7DC1B229241}"/>
    <cellStyle name="Comma 8 4 3 2 2 3 2 2" xfId="32323" xr:uid="{10638A53-FF77-43B6-ADA5-25572DBDD38F}"/>
    <cellStyle name="Comma 8 4 3 2 2 3 3" xfId="23651" xr:uid="{A0118223-C16F-4139-9BA9-B73488FE7C25}"/>
    <cellStyle name="Comma 8 4 3 2 2 4" xfId="10643" xr:uid="{D4FB1B27-6BF3-4D73-8C4B-03F521283334}"/>
    <cellStyle name="Comma 8 4 3 2 2 4 2" xfId="27987" xr:uid="{AE1FFA30-400C-4A05-837F-FCB52BAD20C1}"/>
    <cellStyle name="Comma 8 4 3 2 2 5" xfId="19315" xr:uid="{960EF2EA-9D59-4A66-87D6-C93F1FA3340C}"/>
    <cellStyle name="Comma 8 4 3 2 3" xfId="3055" xr:uid="{B2247BF3-AE70-4F9B-95D3-5FA9D7DCEEAD}"/>
    <cellStyle name="Comma 8 4 3 2 3 2" xfId="7391" xr:uid="{5923CD2C-6172-4F44-BEB4-0504F75113CA}"/>
    <cellStyle name="Comma 8 4 3 2 3 2 2" xfId="16063" xr:uid="{2051A21B-4321-4D3D-A955-1DF038255FE3}"/>
    <cellStyle name="Comma 8 4 3 2 3 2 2 2" xfId="33407" xr:uid="{7E9590A4-326D-4555-9D60-53A79E885688}"/>
    <cellStyle name="Comma 8 4 3 2 3 2 3" xfId="24735" xr:uid="{4707FB36-19BE-4B9C-B2A0-D5D927EDEE6C}"/>
    <cellStyle name="Comma 8 4 3 2 3 3" xfId="11727" xr:uid="{D695559C-7BAD-4178-A7F1-25A194B83942}"/>
    <cellStyle name="Comma 8 4 3 2 3 3 2" xfId="29071" xr:uid="{BEF66D55-3DCE-42A4-BCB1-90E8823B5B33}"/>
    <cellStyle name="Comma 8 4 3 2 3 4" xfId="20399" xr:uid="{65DE65F8-03FF-46A8-AD45-671E7E53F56E}"/>
    <cellStyle name="Comma 8 4 3 2 4" xfId="5223" xr:uid="{E01F397D-50D4-4C40-9B86-4EBC25499837}"/>
    <cellStyle name="Comma 8 4 3 2 4 2" xfId="13895" xr:uid="{A054E544-FC7F-4166-A2C2-820C329817B4}"/>
    <cellStyle name="Comma 8 4 3 2 4 2 2" xfId="31239" xr:uid="{B0078228-2566-4242-9643-89BB2702D7A7}"/>
    <cellStyle name="Comma 8 4 3 2 4 3" xfId="22567" xr:uid="{491F23E6-123F-46DE-9B69-85D10F680A86}"/>
    <cellStyle name="Comma 8 4 3 2 5" xfId="9559" xr:uid="{122E7EE0-005D-4681-8124-FD8B9F4EBF85}"/>
    <cellStyle name="Comma 8 4 3 2 5 2" xfId="26903" xr:uid="{5942C127-6EE0-4275-83C3-3949A6A6EFA8}"/>
    <cellStyle name="Comma 8 4 3 2 6" xfId="18231" xr:uid="{3C6B08AE-53E0-423C-BD45-C8ED787E8C4C}"/>
    <cellStyle name="Comma 8 4 3 3" xfId="1430" xr:uid="{7D83266F-9DC5-48F9-BED3-77E79AEE255D}"/>
    <cellStyle name="Comma 8 4 3 3 2" xfId="3598" xr:uid="{4472555A-3AE6-4EE1-96C0-31C5F9668ECF}"/>
    <cellStyle name="Comma 8 4 3 3 2 2" xfId="7934" xr:uid="{0E5FBA32-4C5A-45B9-B495-4FD1EC0C5AEE}"/>
    <cellStyle name="Comma 8 4 3 3 2 2 2" xfId="16606" xr:uid="{FA9AA955-1BB6-4894-87B2-590BF98F62B7}"/>
    <cellStyle name="Comma 8 4 3 3 2 2 2 2" xfId="33950" xr:uid="{3401BBCB-EE99-4EB0-8F85-FFC7368E9B2F}"/>
    <cellStyle name="Comma 8 4 3 3 2 2 3" xfId="25278" xr:uid="{371DC041-9D84-4FF7-A7AE-985506E5054F}"/>
    <cellStyle name="Comma 8 4 3 3 2 3" xfId="12270" xr:uid="{E2BE3185-C0B7-40AC-A39F-B887FC3ED13C}"/>
    <cellStyle name="Comma 8 4 3 3 2 3 2" xfId="29614" xr:uid="{BE4E02A2-5EA5-4BFA-8858-74829404E062}"/>
    <cellStyle name="Comma 8 4 3 3 2 4" xfId="20942" xr:uid="{E058652A-C445-436D-91A5-2D57C4DEE0D4}"/>
    <cellStyle name="Comma 8 4 3 3 3" xfId="5766" xr:uid="{717C9343-912C-4683-A385-7B86954BFF7B}"/>
    <cellStyle name="Comma 8 4 3 3 3 2" xfId="14438" xr:uid="{40762111-772F-4643-AB9F-E6EB75B85AE6}"/>
    <cellStyle name="Comma 8 4 3 3 3 2 2" xfId="31782" xr:uid="{F1DAC599-FC2F-4473-9A2A-0EE1CEA6445E}"/>
    <cellStyle name="Comma 8 4 3 3 3 3" xfId="23110" xr:uid="{FEACB0DD-98EB-46CE-AEA6-FD779D0148DF}"/>
    <cellStyle name="Comma 8 4 3 3 4" xfId="10102" xr:uid="{15EF58F2-3896-4F6F-B860-9138783457FF}"/>
    <cellStyle name="Comma 8 4 3 3 4 2" xfId="27446" xr:uid="{4F075973-D8BD-428D-8169-FBE79B4EC845}"/>
    <cellStyle name="Comma 8 4 3 3 5" xfId="18774" xr:uid="{C20FD812-EFB2-48AB-92E9-56EBA0056902}"/>
    <cellStyle name="Comma 8 4 3 4" xfId="2514" xr:uid="{E261A09E-8FE7-4EE9-9657-E37DBA1E4642}"/>
    <cellStyle name="Comma 8 4 3 4 2" xfId="6850" xr:uid="{683426FE-633F-4014-BC94-F30038919321}"/>
    <cellStyle name="Comma 8 4 3 4 2 2" xfId="15522" xr:uid="{73635CB0-27AE-4C0A-871D-9E0B221DD2CC}"/>
    <cellStyle name="Comma 8 4 3 4 2 2 2" xfId="32866" xr:uid="{C74A524E-5C03-4882-BB8D-F3DF1B33B8B0}"/>
    <cellStyle name="Comma 8 4 3 4 2 3" xfId="24194" xr:uid="{12DA7AF6-1184-4EB5-935F-AFE070096E7F}"/>
    <cellStyle name="Comma 8 4 3 4 3" xfId="11186" xr:uid="{7BDF89E5-B7D6-409C-994A-8ED22531B820}"/>
    <cellStyle name="Comma 8 4 3 4 3 2" xfId="28530" xr:uid="{80E9155C-92F7-491D-A162-A36A59F497ED}"/>
    <cellStyle name="Comma 8 4 3 4 4" xfId="19858" xr:uid="{FCD1ECB8-15C7-4325-8A2D-89250B687BBD}"/>
    <cellStyle name="Comma 8 4 3 5" xfId="4682" xr:uid="{CB58A60A-AD61-4015-BD7F-E4F5C193431A}"/>
    <cellStyle name="Comma 8 4 3 5 2" xfId="13354" xr:uid="{561CC36F-88F7-459B-B9EA-AA4D719F0757}"/>
    <cellStyle name="Comma 8 4 3 5 2 2" xfId="30698" xr:uid="{11A2EA90-C40D-468C-9876-FFD40A55CF38}"/>
    <cellStyle name="Comma 8 4 3 5 3" xfId="22026" xr:uid="{659B22E5-45C1-40C5-8BD8-E9BEA385843B}"/>
    <cellStyle name="Comma 8 4 3 6" xfId="9018" xr:uid="{F3CF2CB1-D309-49EA-83AF-EE82431D64E7}"/>
    <cellStyle name="Comma 8 4 3 6 2" xfId="26362" xr:uid="{6FDDA15E-D13D-4DA7-A545-76D39EC65539}"/>
    <cellStyle name="Comma 8 4 3 7" xfId="17690" xr:uid="{46E6BCBB-7730-4187-8BAD-F62481129477}"/>
    <cellStyle name="Comma 8 4 4" xfId="617" xr:uid="{E60BC0F8-3F05-4D77-BCCA-5CCEAEBEBD86}"/>
    <cellStyle name="Comma 8 4 4 2" xfId="1701" xr:uid="{64D0E8CA-BBF4-43B3-81D0-9217840EF6DF}"/>
    <cellStyle name="Comma 8 4 4 2 2" xfId="3869" xr:uid="{E9AF3153-8FD9-47EF-9E40-6EA057CD6705}"/>
    <cellStyle name="Comma 8 4 4 2 2 2" xfId="8205" xr:uid="{33A3257A-93EF-4E9A-A240-5FBD5D2956EA}"/>
    <cellStyle name="Comma 8 4 4 2 2 2 2" xfId="16877" xr:uid="{7AEC9544-16B6-4D47-A7E1-33DF509C0D35}"/>
    <cellStyle name="Comma 8 4 4 2 2 2 2 2" xfId="34221" xr:uid="{DFD205D1-535D-4A4B-8834-BE232C8F34D4}"/>
    <cellStyle name="Comma 8 4 4 2 2 2 3" xfId="25549" xr:uid="{B2B2522C-E2D4-4D0E-BC4B-3BC299795D0A}"/>
    <cellStyle name="Comma 8 4 4 2 2 3" xfId="12541" xr:uid="{87FA3EC5-1078-41A4-B198-C33520393F45}"/>
    <cellStyle name="Comma 8 4 4 2 2 3 2" xfId="29885" xr:uid="{F5051271-5E52-4854-AE8C-4AC49D740B19}"/>
    <cellStyle name="Comma 8 4 4 2 2 4" xfId="21213" xr:uid="{FA35F682-D7B7-446E-B9B5-B59C24A00712}"/>
    <cellStyle name="Comma 8 4 4 2 3" xfId="6037" xr:uid="{09F78646-D8C7-4050-888F-7C2EBB2BCC82}"/>
    <cellStyle name="Comma 8 4 4 2 3 2" xfId="14709" xr:uid="{022EE935-0B86-4EDA-B395-A4B75C07835F}"/>
    <cellStyle name="Comma 8 4 4 2 3 2 2" xfId="32053" xr:uid="{6C102C2D-03F1-43B9-8214-FDEB01B29569}"/>
    <cellStyle name="Comma 8 4 4 2 3 3" xfId="23381" xr:uid="{A1B6DB09-1968-4C5B-8165-6D19D641B26B}"/>
    <cellStyle name="Comma 8 4 4 2 4" xfId="10373" xr:uid="{30D6D867-1A7F-4ECA-A6B6-B81921C8F5BF}"/>
    <cellStyle name="Comma 8 4 4 2 4 2" xfId="27717" xr:uid="{FE275B7C-DDE7-4899-82D9-ED846CE373D7}"/>
    <cellStyle name="Comma 8 4 4 2 5" xfId="19045" xr:uid="{99F04BA2-65B0-42F8-A059-BDB71593D00B}"/>
    <cellStyle name="Comma 8 4 4 3" xfId="2785" xr:uid="{1AE2831E-491F-4FE6-BE79-E8CFBBB83BEC}"/>
    <cellStyle name="Comma 8 4 4 3 2" xfId="7121" xr:uid="{0F0EDEF4-E4DE-44B3-8A4B-1C60F707960B}"/>
    <cellStyle name="Comma 8 4 4 3 2 2" xfId="15793" xr:uid="{E5B46187-4F7B-41BC-A6E0-A79A4030C6CE}"/>
    <cellStyle name="Comma 8 4 4 3 2 2 2" xfId="33137" xr:uid="{0E605F2E-2306-4BBE-8EE1-519872DEC977}"/>
    <cellStyle name="Comma 8 4 4 3 2 3" xfId="24465" xr:uid="{4255FD80-5624-407A-B2AF-F28BA2C57701}"/>
    <cellStyle name="Comma 8 4 4 3 3" xfId="11457" xr:uid="{D9029E95-BF0A-476B-8C26-C77C508074BD}"/>
    <cellStyle name="Comma 8 4 4 3 3 2" xfId="28801" xr:uid="{861BA8F1-D129-42E4-9DF9-D3E563427904}"/>
    <cellStyle name="Comma 8 4 4 3 4" xfId="20129" xr:uid="{616B5D00-2AEA-43C0-9D48-A22B1F65BBBA}"/>
    <cellStyle name="Comma 8 4 4 4" xfId="4953" xr:uid="{DE9DB41B-A400-4958-9AC5-B8AD42577244}"/>
    <cellStyle name="Comma 8 4 4 4 2" xfId="13625" xr:uid="{558C3B5C-0C24-43C6-BF02-9DB4C2F61C02}"/>
    <cellStyle name="Comma 8 4 4 4 2 2" xfId="30969" xr:uid="{F645EBD7-BC55-4A13-BA4E-EF3E1918B4BD}"/>
    <cellStyle name="Comma 8 4 4 4 3" xfId="22297" xr:uid="{116D6998-0438-4E51-9A50-44572E57CC14}"/>
    <cellStyle name="Comma 8 4 4 5" xfId="9289" xr:uid="{B6E717DD-2177-43D6-85D2-34649B329E92}"/>
    <cellStyle name="Comma 8 4 4 5 2" xfId="26633" xr:uid="{4073A973-FFAB-4FD4-8433-D77E99C9DD60}"/>
    <cellStyle name="Comma 8 4 4 6" xfId="17961" xr:uid="{496C50F7-01A9-4DC2-83E7-B2D604765E4A}"/>
    <cellStyle name="Comma 8 4 5" xfId="1160" xr:uid="{68264AAF-C032-43B5-8F5B-75BC5922F60D}"/>
    <cellStyle name="Comma 8 4 5 2" xfId="3328" xr:uid="{515F2687-928E-4707-A662-1B328F786B8A}"/>
    <cellStyle name="Comma 8 4 5 2 2" xfId="7664" xr:uid="{B9A020E1-2C8E-4D00-83CD-240E127B6EF1}"/>
    <cellStyle name="Comma 8 4 5 2 2 2" xfId="16336" xr:uid="{671AFC01-FBD1-4C9D-ADE4-1E62CB50CBCF}"/>
    <cellStyle name="Comma 8 4 5 2 2 2 2" xfId="33680" xr:uid="{501D7E61-1D34-4E0B-8858-ADF2C6F52A30}"/>
    <cellStyle name="Comma 8 4 5 2 2 3" xfId="25008" xr:uid="{E049D672-468C-4818-8F8C-62EEBE784E48}"/>
    <cellStyle name="Comma 8 4 5 2 3" xfId="12000" xr:uid="{0E0DF1D5-874E-4B6A-9772-6CBB1A9743C6}"/>
    <cellStyle name="Comma 8 4 5 2 3 2" xfId="29344" xr:uid="{530A15F2-F094-42DC-B970-393A67B97B64}"/>
    <cellStyle name="Comma 8 4 5 2 4" xfId="20672" xr:uid="{D74F9BED-4074-4085-970F-96A2A0331DC5}"/>
    <cellStyle name="Comma 8 4 5 3" xfId="5496" xr:uid="{80998E50-27E5-4E22-9551-9755801E5392}"/>
    <cellStyle name="Comma 8 4 5 3 2" xfId="14168" xr:uid="{F93FC9BF-2594-4035-9FA4-51915FF5BFD6}"/>
    <cellStyle name="Comma 8 4 5 3 2 2" xfId="31512" xr:uid="{AAAA1B10-BD39-4E00-B20A-9740A4607970}"/>
    <cellStyle name="Comma 8 4 5 3 3" xfId="22840" xr:uid="{9D456A67-7FAE-418D-8B62-E247BE7DEEEA}"/>
    <cellStyle name="Comma 8 4 5 4" xfId="9832" xr:uid="{45C890D2-3D3E-4F4F-8B63-6C424E7800E1}"/>
    <cellStyle name="Comma 8 4 5 4 2" xfId="27176" xr:uid="{50573AAA-EA66-4412-92F4-CDFA461FF6CE}"/>
    <cellStyle name="Comma 8 4 5 5" xfId="18504" xr:uid="{6F9EEB17-25B4-4175-BB5A-FBB40FAA3B18}"/>
    <cellStyle name="Comma 8 4 6" xfId="2244" xr:uid="{0C62A3CD-8EDE-4D3E-ABAC-B95FBB463830}"/>
    <cellStyle name="Comma 8 4 6 2" xfId="6580" xr:uid="{68D867B2-752D-4D76-8DD3-7C39A823B7D3}"/>
    <cellStyle name="Comma 8 4 6 2 2" xfId="15252" xr:uid="{07318EF9-5AFE-49A3-9A0A-8B083CAE6E6F}"/>
    <cellStyle name="Comma 8 4 6 2 2 2" xfId="32596" xr:uid="{A6F7EF55-CA89-44E0-A831-20A8E09D797B}"/>
    <cellStyle name="Comma 8 4 6 2 3" xfId="23924" xr:uid="{73240EE6-DB1F-4C2A-A4EA-5380E47139DF}"/>
    <cellStyle name="Comma 8 4 6 3" xfId="10916" xr:uid="{78F0DD24-9A21-4F8A-A0EF-6F883F72C92F}"/>
    <cellStyle name="Comma 8 4 6 3 2" xfId="28260" xr:uid="{767347C2-1A1B-45B2-B2D1-12AF2B56CF99}"/>
    <cellStyle name="Comma 8 4 6 4" xfId="19588" xr:uid="{94D2B6FE-3FBD-43C8-AC9B-FA630819C260}"/>
    <cellStyle name="Comma 8 4 7" xfId="4412" xr:uid="{8E5E4ADC-02FE-4431-B93E-1D40EA69065E}"/>
    <cellStyle name="Comma 8 4 7 2" xfId="13084" xr:uid="{57E5684C-1C1E-4D07-8D17-C939FCF11A79}"/>
    <cellStyle name="Comma 8 4 7 2 2" xfId="30428" xr:uid="{0083BB53-6457-4E14-84E6-3CF818C255AE}"/>
    <cellStyle name="Comma 8 4 7 3" xfId="21756" xr:uid="{AB6796CA-E644-4B93-8D81-ED85FE441207}"/>
    <cellStyle name="Comma 8 4 8" xfId="8748" xr:uid="{3A2EA495-C77A-4814-9B2C-34A9749EFA2D}"/>
    <cellStyle name="Comma 8 4 8 2" xfId="26092" xr:uid="{3545111A-4FC5-4B13-AC8C-22C9E72CECBE}"/>
    <cellStyle name="Comma 8 4 9" xfId="17420" xr:uid="{ECBDA674-7B8B-493E-BCBC-1AB45D71DB36}"/>
    <cellStyle name="Comma 8 5" xfId="137" xr:uid="{646ECB70-5AC7-4A05-965A-4D84B262E8DD}"/>
    <cellStyle name="Comma 8 5 2" xfId="407" xr:uid="{2577A24F-AE97-478F-AFED-AE8BA2701F94}"/>
    <cellStyle name="Comma 8 5 2 2" xfId="948" xr:uid="{59B489C5-4D71-4EBB-9EAE-BB205863939F}"/>
    <cellStyle name="Comma 8 5 2 2 2" xfId="2032" xr:uid="{CEED3D2A-CFCF-4A63-8905-FB6573CFA9B9}"/>
    <cellStyle name="Comma 8 5 2 2 2 2" xfId="4200" xr:uid="{60D2BFD3-4319-4C9F-988D-952E1833DFA9}"/>
    <cellStyle name="Comma 8 5 2 2 2 2 2" xfId="8536" xr:uid="{2A2B7A90-EC95-4228-B5ED-17A4BB10E998}"/>
    <cellStyle name="Comma 8 5 2 2 2 2 2 2" xfId="17208" xr:uid="{FD25B2F4-8CFF-4006-B452-5E707ED60713}"/>
    <cellStyle name="Comma 8 5 2 2 2 2 2 2 2" xfId="34552" xr:uid="{0C0B2475-198C-4AB7-A599-BC7C02A9BDA7}"/>
    <cellStyle name="Comma 8 5 2 2 2 2 2 3" xfId="25880" xr:uid="{B8609F78-A1FF-4DC4-8523-A66818394708}"/>
    <cellStyle name="Comma 8 5 2 2 2 2 3" xfId="12872" xr:uid="{BC204F64-E063-4E8F-8EB2-D394BA46E02F}"/>
    <cellStyle name="Comma 8 5 2 2 2 2 3 2" xfId="30216" xr:uid="{A4B451EF-32E3-46C2-B39D-3A2AB2C6D92B}"/>
    <cellStyle name="Comma 8 5 2 2 2 2 4" xfId="21544" xr:uid="{E6761CD7-3866-49A3-96C5-FF3682D9114A}"/>
    <cellStyle name="Comma 8 5 2 2 2 3" xfId="6368" xr:uid="{066E45EC-AA07-440B-8CFA-42938AD96986}"/>
    <cellStyle name="Comma 8 5 2 2 2 3 2" xfId="15040" xr:uid="{3D8094E0-E1AE-4E4B-942F-6AB6FA4B9257}"/>
    <cellStyle name="Comma 8 5 2 2 2 3 2 2" xfId="32384" xr:uid="{8D329AC3-5C0D-4A3C-A96E-DAD7411E07C8}"/>
    <cellStyle name="Comma 8 5 2 2 2 3 3" xfId="23712" xr:uid="{94173607-FD93-4A9C-A0BA-0F39FC7E48A3}"/>
    <cellStyle name="Comma 8 5 2 2 2 4" xfId="10704" xr:uid="{0C4CAF39-8DEE-4D19-A1F9-B96AFB6A0C0E}"/>
    <cellStyle name="Comma 8 5 2 2 2 4 2" xfId="28048" xr:uid="{C86D72CE-618C-4BAA-936F-9785CB2B0AF7}"/>
    <cellStyle name="Comma 8 5 2 2 2 5" xfId="19376" xr:uid="{4CBDC3A4-46BA-4E26-AFEF-E1251CEA82AA}"/>
    <cellStyle name="Comma 8 5 2 2 3" xfId="3116" xr:uid="{BDEDA948-1CA3-475A-AF63-14CA169649EB}"/>
    <cellStyle name="Comma 8 5 2 2 3 2" xfId="7452" xr:uid="{5C460F94-DA5A-4890-8EC2-7F377409A03B}"/>
    <cellStyle name="Comma 8 5 2 2 3 2 2" xfId="16124" xr:uid="{9C811DB9-07AA-44A2-9A68-D8BD167A8EEA}"/>
    <cellStyle name="Comma 8 5 2 2 3 2 2 2" xfId="33468" xr:uid="{84C48587-6039-42A2-8F0E-2FAC2DE42868}"/>
    <cellStyle name="Comma 8 5 2 2 3 2 3" xfId="24796" xr:uid="{0947B1B2-815D-4DA5-9EE8-C0F5F90398FA}"/>
    <cellStyle name="Comma 8 5 2 2 3 3" xfId="11788" xr:uid="{16B1EAAD-D56E-4A8E-8FFA-D80947182EB2}"/>
    <cellStyle name="Comma 8 5 2 2 3 3 2" xfId="29132" xr:uid="{504BA1B7-F970-4069-A40F-F82631405448}"/>
    <cellStyle name="Comma 8 5 2 2 3 4" xfId="20460" xr:uid="{AFA0B23F-B617-4796-A4B6-81EFA6C7DBEB}"/>
    <cellStyle name="Comma 8 5 2 2 4" xfId="5284" xr:uid="{AD6C797E-0916-4CA0-A718-59C476F2E4BB}"/>
    <cellStyle name="Comma 8 5 2 2 4 2" xfId="13956" xr:uid="{7E37950A-EC10-4698-862D-F63343E76617}"/>
    <cellStyle name="Comma 8 5 2 2 4 2 2" xfId="31300" xr:uid="{46D78E34-932A-493C-9F5A-C7841B11C562}"/>
    <cellStyle name="Comma 8 5 2 2 4 3" xfId="22628" xr:uid="{91FD4CF9-B4BC-4A98-9035-0B4972F18A01}"/>
    <cellStyle name="Comma 8 5 2 2 5" xfId="9620" xr:uid="{3BC8F05F-74B3-4B6C-975B-AFAEFBECB754}"/>
    <cellStyle name="Comma 8 5 2 2 5 2" xfId="26964" xr:uid="{243126F7-A0FE-4191-9271-FF09F07DCFD0}"/>
    <cellStyle name="Comma 8 5 2 2 6" xfId="18292" xr:uid="{B1C8CA23-E3DF-43A2-A1A0-E1B59BFCA36F}"/>
    <cellStyle name="Comma 8 5 2 3" xfId="1491" xr:uid="{86C5209D-1400-403A-87CA-8E0D6275372F}"/>
    <cellStyle name="Comma 8 5 2 3 2" xfId="3659" xr:uid="{9558E416-39E1-44CE-AE7F-8B2415F91AAD}"/>
    <cellStyle name="Comma 8 5 2 3 2 2" xfId="7995" xr:uid="{9C76FB18-DA35-4912-9287-48BAA666C097}"/>
    <cellStyle name="Comma 8 5 2 3 2 2 2" xfId="16667" xr:uid="{33B511CC-FEE9-4730-B2EB-833E1D868F42}"/>
    <cellStyle name="Comma 8 5 2 3 2 2 2 2" xfId="34011" xr:uid="{751D3D41-7794-4077-9B29-45B32A47FAFC}"/>
    <cellStyle name="Comma 8 5 2 3 2 2 3" xfId="25339" xr:uid="{A76179DF-8B10-470D-B563-CB0BA34D1119}"/>
    <cellStyle name="Comma 8 5 2 3 2 3" xfId="12331" xr:uid="{147B2B5E-E83A-44C7-8B7C-CCE9FCA704CE}"/>
    <cellStyle name="Comma 8 5 2 3 2 3 2" xfId="29675" xr:uid="{98311325-9538-4DF7-8700-1995C681C515}"/>
    <cellStyle name="Comma 8 5 2 3 2 4" xfId="21003" xr:uid="{274C8F39-95E8-41A0-8B47-C11AD61F1373}"/>
    <cellStyle name="Comma 8 5 2 3 3" xfId="5827" xr:uid="{9CAC63CA-5CF1-4F1E-AFDF-3DF22BFEE9F2}"/>
    <cellStyle name="Comma 8 5 2 3 3 2" xfId="14499" xr:uid="{B8801254-514D-4FDD-9E7C-BE0ECB6FFA51}"/>
    <cellStyle name="Comma 8 5 2 3 3 2 2" xfId="31843" xr:uid="{8141C92D-3526-4078-99D7-83BDEDB23603}"/>
    <cellStyle name="Comma 8 5 2 3 3 3" xfId="23171" xr:uid="{6CCA0698-3B0C-422A-9882-2C43C19D2882}"/>
    <cellStyle name="Comma 8 5 2 3 4" xfId="10163" xr:uid="{5E1D1286-107D-4FF6-9C38-FDC6018DBF60}"/>
    <cellStyle name="Comma 8 5 2 3 4 2" xfId="27507" xr:uid="{66BF4302-7838-4DC6-8EC9-1A6FAAC4FAD8}"/>
    <cellStyle name="Comma 8 5 2 3 5" xfId="18835" xr:uid="{EBCE969B-FA19-4039-8ECD-3BB1BE964352}"/>
    <cellStyle name="Comma 8 5 2 4" xfId="2575" xr:uid="{DD6F7716-D61E-470D-AAA9-6340562E6D87}"/>
    <cellStyle name="Comma 8 5 2 4 2" xfId="6911" xr:uid="{FCA8C614-0E34-42E1-BA36-441936F99A5D}"/>
    <cellStyle name="Comma 8 5 2 4 2 2" xfId="15583" xr:uid="{FEAAB997-468D-4D59-8F1A-50B13E72F9AD}"/>
    <cellStyle name="Comma 8 5 2 4 2 2 2" xfId="32927" xr:uid="{71DF1DBD-1EEF-4249-BD00-771D33D92B38}"/>
    <cellStyle name="Comma 8 5 2 4 2 3" xfId="24255" xr:uid="{21711091-605E-4953-A1E5-AF22CB8B76C4}"/>
    <cellStyle name="Comma 8 5 2 4 3" xfId="11247" xr:uid="{C6594832-CEC9-4547-88EC-D7B042417D10}"/>
    <cellStyle name="Comma 8 5 2 4 3 2" xfId="28591" xr:uid="{55088450-0B3E-4779-82F2-4BBC5C42970F}"/>
    <cellStyle name="Comma 8 5 2 4 4" xfId="19919" xr:uid="{CC236A58-9883-46DD-9864-2BB10F750DFC}"/>
    <cellStyle name="Comma 8 5 2 5" xfId="4743" xr:uid="{70AB4B35-CEB2-4EA9-804D-51634302D78E}"/>
    <cellStyle name="Comma 8 5 2 5 2" xfId="13415" xr:uid="{249F4AEF-6CE7-452E-A6A6-D501F040CDBD}"/>
    <cellStyle name="Comma 8 5 2 5 2 2" xfId="30759" xr:uid="{AEB93F4D-D9FB-419F-A43A-218AB6F83DC5}"/>
    <cellStyle name="Comma 8 5 2 5 3" xfId="22087" xr:uid="{B5A816A4-07EF-4978-9371-68861CAD7214}"/>
    <cellStyle name="Comma 8 5 2 6" xfId="9079" xr:uid="{0CB8935C-AAE9-4402-806D-180609811EF8}"/>
    <cellStyle name="Comma 8 5 2 6 2" xfId="26423" xr:uid="{3367124F-5B17-4C5E-A866-BB250C22230C}"/>
    <cellStyle name="Comma 8 5 2 7" xfId="17751" xr:uid="{43538D7D-0DC0-43FA-8B66-270C064C3F43}"/>
    <cellStyle name="Comma 8 5 3" xfId="678" xr:uid="{6791FA15-30AD-41D2-8C02-CA7DA2034E10}"/>
    <cellStyle name="Comma 8 5 3 2" xfId="1762" xr:uid="{9AACEBE8-D92D-4F29-9561-64E16699A8C7}"/>
    <cellStyle name="Comma 8 5 3 2 2" xfId="3930" xr:uid="{E7F036D0-338C-428A-AE48-F66F20F52D94}"/>
    <cellStyle name="Comma 8 5 3 2 2 2" xfId="8266" xr:uid="{DFE92ED3-0107-4B66-8DB5-31DD067BEA4D}"/>
    <cellStyle name="Comma 8 5 3 2 2 2 2" xfId="16938" xr:uid="{780684F4-2817-4101-9963-CD9238232857}"/>
    <cellStyle name="Comma 8 5 3 2 2 2 2 2" xfId="34282" xr:uid="{288534CB-8C56-49E7-99A0-23E3FCC6C347}"/>
    <cellStyle name="Comma 8 5 3 2 2 2 3" xfId="25610" xr:uid="{DAEFD18F-3EAE-458D-BAB0-C6CBA5BB7834}"/>
    <cellStyle name="Comma 8 5 3 2 2 3" xfId="12602" xr:uid="{F8E006BA-EF09-42BF-98FC-FF05463C0DB1}"/>
    <cellStyle name="Comma 8 5 3 2 2 3 2" xfId="29946" xr:uid="{157ACBCD-8002-4785-84C9-FCB1F9EA6B98}"/>
    <cellStyle name="Comma 8 5 3 2 2 4" xfId="21274" xr:uid="{1B4EB2AE-FC6F-46B1-9089-D9FA6A782EAF}"/>
    <cellStyle name="Comma 8 5 3 2 3" xfId="6098" xr:uid="{0F8305EB-AEFE-4159-B367-6B6F34236358}"/>
    <cellStyle name="Comma 8 5 3 2 3 2" xfId="14770" xr:uid="{23650A5F-B386-4FAE-ACE8-57CBFF54EE80}"/>
    <cellStyle name="Comma 8 5 3 2 3 2 2" xfId="32114" xr:uid="{AA8630CB-4D4C-4BEA-9CAC-4C2FC55D5AB0}"/>
    <cellStyle name="Comma 8 5 3 2 3 3" xfId="23442" xr:uid="{F1A08310-5085-42C4-B818-1AE479F623E3}"/>
    <cellStyle name="Comma 8 5 3 2 4" xfId="10434" xr:uid="{1EF129B0-2712-486D-B143-84B83F11AB23}"/>
    <cellStyle name="Comma 8 5 3 2 4 2" xfId="27778" xr:uid="{B33EE432-BF06-4810-8C1F-97A433844C67}"/>
    <cellStyle name="Comma 8 5 3 2 5" xfId="19106" xr:uid="{D59DCCD3-A730-4920-BADD-8EA98B31A4FE}"/>
    <cellStyle name="Comma 8 5 3 3" xfId="2846" xr:uid="{21CE5199-2EC8-4DD4-906B-8EB234D2692C}"/>
    <cellStyle name="Comma 8 5 3 3 2" xfId="7182" xr:uid="{41249E34-6836-46D7-A9C7-081E8318D0FF}"/>
    <cellStyle name="Comma 8 5 3 3 2 2" xfId="15854" xr:uid="{71574866-0F8D-4BC9-BFBD-81A4FD3AACD0}"/>
    <cellStyle name="Comma 8 5 3 3 2 2 2" xfId="33198" xr:uid="{A6EC6637-6203-42EF-9BFF-91571A0E388E}"/>
    <cellStyle name="Comma 8 5 3 3 2 3" xfId="24526" xr:uid="{4DF24E86-19E6-4CFD-BFB2-0E85DD184E3E}"/>
    <cellStyle name="Comma 8 5 3 3 3" xfId="11518" xr:uid="{FD9EB3A7-FAF2-49C5-8C40-278BE4A49780}"/>
    <cellStyle name="Comma 8 5 3 3 3 2" xfId="28862" xr:uid="{ECDB720D-3A6C-4F9F-AC48-1D9AE004E002}"/>
    <cellStyle name="Comma 8 5 3 3 4" xfId="20190" xr:uid="{01A008DA-B7E4-4C38-950D-C3057A31153B}"/>
    <cellStyle name="Comma 8 5 3 4" xfId="5014" xr:uid="{CC8A5643-FB40-4323-A618-749CB5E7CE8C}"/>
    <cellStyle name="Comma 8 5 3 4 2" xfId="13686" xr:uid="{2E57CFB6-EF07-43AC-BD5D-CD19BC91A2A3}"/>
    <cellStyle name="Comma 8 5 3 4 2 2" xfId="31030" xr:uid="{EAEC61AD-F766-49B3-B335-2D67EAE46021}"/>
    <cellStyle name="Comma 8 5 3 4 3" xfId="22358" xr:uid="{745C92B7-F4D6-4ADE-B58C-C4C7D516998A}"/>
    <cellStyle name="Comma 8 5 3 5" xfId="9350" xr:uid="{5EC931D9-2CBF-4D3C-8C68-1331FC69E15D}"/>
    <cellStyle name="Comma 8 5 3 5 2" xfId="26694" xr:uid="{92110FC4-938E-4E61-A0CB-4D2B82CC3C7A}"/>
    <cellStyle name="Comma 8 5 3 6" xfId="18022" xr:uid="{A1DD7FD2-D483-459E-99E1-557DD6A61E55}"/>
    <cellStyle name="Comma 8 5 4" xfId="1221" xr:uid="{327FD025-1C05-4BC4-8EB8-1B7BB1C7EDE0}"/>
    <cellStyle name="Comma 8 5 4 2" xfId="3389" xr:uid="{E0BB68CA-BBE0-4D7E-B193-1580FF0153DF}"/>
    <cellStyle name="Comma 8 5 4 2 2" xfId="7725" xr:uid="{88C1F9CA-A873-4A61-844D-8E736ACEE4FC}"/>
    <cellStyle name="Comma 8 5 4 2 2 2" xfId="16397" xr:uid="{DA4874A8-5F00-477E-9FA9-84D181172F67}"/>
    <cellStyle name="Comma 8 5 4 2 2 2 2" xfId="33741" xr:uid="{4CA1E67C-FF87-4037-9701-0A85015160CD}"/>
    <cellStyle name="Comma 8 5 4 2 2 3" xfId="25069" xr:uid="{1AB5CDFD-AE20-441A-9E1B-8AB9169668AC}"/>
    <cellStyle name="Comma 8 5 4 2 3" xfId="12061" xr:uid="{CAB0E48F-EAE0-4B19-B46E-6835B12320B7}"/>
    <cellStyle name="Comma 8 5 4 2 3 2" xfId="29405" xr:uid="{924CF944-E672-40B8-962E-431B65F2EA03}"/>
    <cellStyle name="Comma 8 5 4 2 4" xfId="20733" xr:uid="{339F527E-F0E2-4161-8F55-FABFB43EA934}"/>
    <cellStyle name="Comma 8 5 4 3" xfId="5557" xr:uid="{80708FE2-2AE9-473E-9513-35F782707D0D}"/>
    <cellStyle name="Comma 8 5 4 3 2" xfId="14229" xr:uid="{4805CCAA-472E-4997-943D-F8EAF191C5D5}"/>
    <cellStyle name="Comma 8 5 4 3 2 2" xfId="31573" xr:uid="{BCD08CE4-68C6-44B7-BCC2-A68D5679C0B6}"/>
    <cellStyle name="Comma 8 5 4 3 3" xfId="22901" xr:uid="{98711370-76CD-4372-8A13-DBEC3ECA8548}"/>
    <cellStyle name="Comma 8 5 4 4" xfId="9893" xr:uid="{5D68536A-44DA-4697-A5EB-F1B92CA07CE7}"/>
    <cellStyle name="Comma 8 5 4 4 2" xfId="27237" xr:uid="{F40B1C2E-C320-47DD-B99C-66F4739C8639}"/>
    <cellStyle name="Comma 8 5 4 5" xfId="18565" xr:uid="{11FFD4CA-5C05-4005-980C-E753036772B2}"/>
    <cellStyle name="Comma 8 5 5" xfId="2305" xr:uid="{80DDF835-90BC-4676-98EB-DDDB1EC0F01B}"/>
    <cellStyle name="Comma 8 5 5 2" xfId="6641" xr:uid="{EF557F6C-ED37-4751-B6AF-9D2F9CC35221}"/>
    <cellStyle name="Comma 8 5 5 2 2" xfId="15313" xr:uid="{D8BD517C-D136-4848-8CFB-B15178C028E8}"/>
    <cellStyle name="Comma 8 5 5 2 2 2" xfId="32657" xr:uid="{A4E0A736-9544-4944-8929-8596559B4ADF}"/>
    <cellStyle name="Comma 8 5 5 2 3" xfId="23985" xr:uid="{7D8CE4D6-DCF6-4BD4-9807-DC6F4966403F}"/>
    <cellStyle name="Comma 8 5 5 3" xfId="10977" xr:uid="{625C7225-12D6-492F-9FC4-F66A27704145}"/>
    <cellStyle name="Comma 8 5 5 3 2" xfId="28321" xr:uid="{332162F1-DDAE-45D4-952B-C5F1718F001E}"/>
    <cellStyle name="Comma 8 5 5 4" xfId="19649" xr:uid="{E8170DE4-0F3E-4100-8F45-F120960C6CB3}"/>
    <cellStyle name="Comma 8 5 6" xfId="4473" xr:uid="{EE38D9A2-F9FF-4391-BC4F-8A0BFE355373}"/>
    <cellStyle name="Comma 8 5 6 2" xfId="13145" xr:uid="{51433FF2-BE8C-4FC6-B7C7-CB748F0DFFCB}"/>
    <cellStyle name="Comma 8 5 6 2 2" xfId="30489" xr:uid="{60EBDEB7-98C5-4F31-AB75-CC52E2899F90}"/>
    <cellStyle name="Comma 8 5 6 3" xfId="21817" xr:uid="{43318E6B-C562-43B5-96B2-B89CE997F53A}"/>
    <cellStyle name="Comma 8 5 7" xfId="8809" xr:uid="{B6F19751-A2CE-4019-9D57-0BA9BE5E6838}"/>
    <cellStyle name="Comma 8 5 7 2" xfId="26153" xr:uid="{5B0F018C-ACB9-46D5-896E-0251515BAF8F}"/>
    <cellStyle name="Comma 8 5 8" xfId="17481" xr:uid="{52829D51-62C7-411E-8A55-C278A3DF33EB}"/>
    <cellStyle name="Comma 8 6" xfId="255" xr:uid="{CB0C64C3-2058-4443-BF15-4BB455C7AC45}"/>
    <cellStyle name="Comma 8 6 2" xfId="525" xr:uid="{D4AD0B6E-84C3-4E01-8D64-69C5C5FB9B23}"/>
    <cellStyle name="Comma 8 6 2 2" xfId="1066" xr:uid="{1D7A187A-47A7-4172-8203-25FF68BC2608}"/>
    <cellStyle name="Comma 8 6 2 2 2" xfId="2150" xr:uid="{D28C6A03-4D4A-48AB-8DF9-5F5CE9002E3F}"/>
    <cellStyle name="Comma 8 6 2 2 2 2" xfId="4318" xr:uid="{50C4FE2C-3777-4807-B217-79E8028F6344}"/>
    <cellStyle name="Comma 8 6 2 2 2 2 2" xfId="8654" xr:uid="{1527FF74-F5DC-47FB-9C7C-5A21E585655D}"/>
    <cellStyle name="Comma 8 6 2 2 2 2 2 2" xfId="17326" xr:uid="{09436DFA-FB3A-48B5-BA1C-839E24164BF1}"/>
    <cellStyle name="Comma 8 6 2 2 2 2 2 2 2" xfId="34670" xr:uid="{A9222EA5-C774-4267-B470-E0360456152F}"/>
    <cellStyle name="Comma 8 6 2 2 2 2 2 3" xfId="25998" xr:uid="{72111716-EF2D-4D0E-928E-7A9969185A51}"/>
    <cellStyle name="Comma 8 6 2 2 2 2 3" xfId="12990" xr:uid="{08B1F66E-1779-496C-8A5F-3F0C91889585}"/>
    <cellStyle name="Comma 8 6 2 2 2 2 3 2" xfId="30334" xr:uid="{F43E82B2-433F-47CE-A76D-055AE4A2FF50}"/>
    <cellStyle name="Comma 8 6 2 2 2 2 4" xfId="21662" xr:uid="{325E4482-9426-478C-AA03-983E6CFD8919}"/>
    <cellStyle name="Comma 8 6 2 2 2 3" xfId="6486" xr:uid="{6B40C0C1-9EDE-486C-941A-A8B3B2FC584B}"/>
    <cellStyle name="Comma 8 6 2 2 2 3 2" xfId="15158" xr:uid="{D3EEBDEF-DF58-48F8-9DF5-95644930D18F}"/>
    <cellStyle name="Comma 8 6 2 2 2 3 2 2" xfId="32502" xr:uid="{12981EE7-3960-4C93-AC8B-DE16F140F41B}"/>
    <cellStyle name="Comma 8 6 2 2 2 3 3" xfId="23830" xr:uid="{A4A3AB32-479C-431B-AAA1-E3F0593F448F}"/>
    <cellStyle name="Comma 8 6 2 2 2 4" xfId="10822" xr:uid="{55355BA5-AEA7-4350-A044-8414116DB895}"/>
    <cellStyle name="Comma 8 6 2 2 2 4 2" xfId="28166" xr:uid="{59087181-D83E-4BE7-A000-8EFBD890BB5A}"/>
    <cellStyle name="Comma 8 6 2 2 2 5" xfId="19494" xr:uid="{83E01DA1-9480-4CA1-B3FB-75BEAC5D5103}"/>
    <cellStyle name="Comma 8 6 2 2 3" xfId="3234" xr:uid="{6BBA8B87-B8EE-4238-B14C-6A698F4BB9F2}"/>
    <cellStyle name="Comma 8 6 2 2 3 2" xfId="7570" xr:uid="{C88E2144-F490-4C4C-87B6-BC9E9DFFEAEF}"/>
    <cellStyle name="Comma 8 6 2 2 3 2 2" xfId="16242" xr:uid="{8D98DBDB-9E3E-47D6-8BEF-15D104251F3F}"/>
    <cellStyle name="Comma 8 6 2 2 3 2 2 2" xfId="33586" xr:uid="{495F81EC-2936-4C13-916A-5B9DA61628D3}"/>
    <cellStyle name="Comma 8 6 2 2 3 2 3" xfId="24914" xr:uid="{B03ABA16-177E-4FD0-B125-5DD8C5415224}"/>
    <cellStyle name="Comma 8 6 2 2 3 3" xfId="11906" xr:uid="{BD5515A6-839D-41E6-9AFE-383B23102099}"/>
    <cellStyle name="Comma 8 6 2 2 3 3 2" xfId="29250" xr:uid="{458E5229-636C-4874-A1AC-F693CDFF0A82}"/>
    <cellStyle name="Comma 8 6 2 2 3 4" xfId="20578" xr:uid="{F210B40E-5062-4F34-A6F6-4E18CC449D33}"/>
    <cellStyle name="Comma 8 6 2 2 4" xfId="5402" xr:uid="{B3DFB0B7-C99F-4C4C-B877-7D5A94D45708}"/>
    <cellStyle name="Comma 8 6 2 2 4 2" xfId="14074" xr:uid="{C67A56BD-AC4E-4C56-8968-78AD266F011B}"/>
    <cellStyle name="Comma 8 6 2 2 4 2 2" xfId="31418" xr:uid="{1052D1EC-9593-41AC-8EB7-7CF3B8E31953}"/>
    <cellStyle name="Comma 8 6 2 2 4 3" xfId="22746" xr:uid="{8450ADBC-1902-4C4E-888D-FB510DE80161}"/>
    <cellStyle name="Comma 8 6 2 2 5" xfId="9738" xr:uid="{59507511-78EF-4595-8427-2DB872EE643C}"/>
    <cellStyle name="Comma 8 6 2 2 5 2" xfId="27082" xr:uid="{FFB1C925-5C98-4637-AF55-BD88C5F4B1F1}"/>
    <cellStyle name="Comma 8 6 2 2 6" xfId="18410" xr:uid="{F7E03A10-6968-4B84-9112-7E042E2A078E}"/>
    <cellStyle name="Comma 8 6 2 3" xfId="1609" xr:uid="{BCB19AD9-35B4-4223-89C6-CEF725B4264D}"/>
    <cellStyle name="Comma 8 6 2 3 2" xfId="3777" xr:uid="{32EA3E71-9E0B-4022-B771-16F45DC327AF}"/>
    <cellStyle name="Comma 8 6 2 3 2 2" xfId="8113" xr:uid="{45F9E1F4-4AF0-4373-AA3C-402375762FFA}"/>
    <cellStyle name="Comma 8 6 2 3 2 2 2" xfId="16785" xr:uid="{D29E6AB2-FE77-4365-941A-471CDB916E81}"/>
    <cellStyle name="Comma 8 6 2 3 2 2 2 2" xfId="34129" xr:uid="{141B1055-3BFE-476D-87F5-529AB9703D15}"/>
    <cellStyle name="Comma 8 6 2 3 2 2 3" xfId="25457" xr:uid="{7F0FB154-1890-42F8-85A1-034BACCA2D19}"/>
    <cellStyle name="Comma 8 6 2 3 2 3" xfId="12449" xr:uid="{8011F18C-15BE-493C-8A87-239D5545F533}"/>
    <cellStyle name="Comma 8 6 2 3 2 3 2" xfId="29793" xr:uid="{22CC14B7-BB8C-44B3-95D8-23CFF6423FA4}"/>
    <cellStyle name="Comma 8 6 2 3 2 4" xfId="21121" xr:uid="{914C1E33-5055-4557-9B62-441D2A91C848}"/>
    <cellStyle name="Comma 8 6 2 3 3" xfId="5945" xr:uid="{8EC5C2D8-D996-4283-9ABC-C8245737C6CA}"/>
    <cellStyle name="Comma 8 6 2 3 3 2" xfId="14617" xr:uid="{1B015ABC-7B8F-4FCC-8076-8A5F844EAE57}"/>
    <cellStyle name="Comma 8 6 2 3 3 2 2" xfId="31961" xr:uid="{477D33BB-4894-448C-8B08-2C6A13E7ABE6}"/>
    <cellStyle name="Comma 8 6 2 3 3 3" xfId="23289" xr:uid="{56795FA1-1596-460A-B83E-10B423DB6526}"/>
    <cellStyle name="Comma 8 6 2 3 4" xfId="10281" xr:uid="{E20E6252-EBDC-4C2E-A3DF-8A25FB7913CB}"/>
    <cellStyle name="Comma 8 6 2 3 4 2" xfId="27625" xr:uid="{24A40B8B-2C3B-4D09-A133-2159E4B779AF}"/>
    <cellStyle name="Comma 8 6 2 3 5" xfId="18953" xr:uid="{863DAF51-3F31-4496-BC9A-2DD9D6EE789B}"/>
    <cellStyle name="Comma 8 6 2 4" xfId="2693" xr:uid="{4F077B02-EC31-40F1-B7CF-27E6B9CA2173}"/>
    <cellStyle name="Comma 8 6 2 4 2" xfId="7029" xr:uid="{C9691813-DD1A-4C3A-96FD-44B1C4DA0373}"/>
    <cellStyle name="Comma 8 6 2 4 2 2" xfId="15701" xr:uid="{639789C0-EB9D-4947-8498-E237F14B0FAC}"/>
    <cellStyle name="Comma 8 6 2 4 2 2 2" xfId="33045" xr:uid="{F36973A9-8AF6-49C6-9169-2805424DC102}"/>
    <cellStyle name="Comma 8 6 2 4 2 3" xfId="24373" xr:uid="{1CAF5CF3-9119-463C-ACB1-4523715C6916}"/>
    <cellStyle name="Comma 8 6 2 4 3" xfId="11365" xr:uid="{4450808D-31F6-465B-954C-61C468EFBA79}"/>
    <cellStyle name="Comma 8 6 2 4 3 2" xfId="28709" xr:uid="{C8D6BA4B-688C-4BC8-A009-930015215B17}"/>
    <cellStyle name="Comma 8 6 2 4 4" xfId="20037" xr:uid="{A9360035-6256-4FC1-9BBD-61E701A68C82}"/>
    <cellStyle name="Comma 8 6 2 5" xfId="4861" xr:uid="{A3848C9D-E439-46B4-99F9-EB1CB2FDFA8D}"/>
    <cellStyle name="Comma 8 6 2 5 2" xfId="13533" xr:uid="{9E955F9F-D2B5-456B-889C-992EA3FE22BA}"/>
    <cellStyle name="Comma 8 6 2 5 2 2" xfId="30877" xr:uid="{6A64F4B8-60EB-4E1D-947F-9759E51E30A0}"/>
    <cellStyle name="Comma 8 6 2 5 3" xfId="22205" xr:uid="{0BA9D850-434B-4440-B5F4-B536EC2C4808}"/>
    <cellStyle name="Comma 8 6 2 6" xfId="9197" xr:uid="{143806A9-0AB5-44D0-8C32-61AC9EF2F0AD}"/>
    <cellStyle name="Comma 8 6 2 6 2" xfId="26541" xr:uid="{A9E0345D-5A68-4807-BEEF-FB689123ECC9}"/>
    <cellStyle name="Comma 8 6 2 7" xfId="17869" xr:uid="{44946A8A-3615-4239-A102-D1B26877CF0C}"/>
    <cellStyle name="Comma 8 6 3" xfId="796" xr:uid="{0B4BA8E0-7B28-423B-A70A-B6F75F69952E}"/>
    <cellStyle name="Comma 8 6 3 2" xfId="1880" xr:uid="{9E8DFEE5-346D-4FB4-8967-ADAE4C70053C}"/>
    <cellStyle name="Comma 8 6 3 2 2" xfId="4048" xr:uid="{495297BB-A5A4-4869-92E9-99B1A86C71C1}"/>
    <cellStyle name="Comma 8 6 3 2 2 2" xfId="8384" xr:uid="{8B734CB7-4393-47EC-A473-7B187F2F821A}"/>
    <cellStyle name="Comma 8 6 3 2 2 2 2" xfId="17056" xr:uid="{72022060-F815-407C-B5C5-A37C2C77F9CE}"/>
    <cellStyle name="Comma 8 6 3 2 2 2 2 2" xfId="34400" xr:uid="{228F52AF-D5E1-42E7-BAAD-9682A13F6F2B}"/>
    <cellStyle name="Comma 8 6 3 2 2 2 3" xfId="25728" xr:uid="{4F7CDE68-EFF4-48CD-A8E7-57D6A449E176}"/>
    <cellStyle name="Comma 8 6 3 2 2 3" xfId="12720" xr:uid="{36A5D0B8-F54A-41D6-A7A9-7D4916402F24}"/>
    <cellStyle name="Comma 8 6 3 2 2 3 2" xfId="30064" xr:uid="{E567C0EA-2D44-487B-8515-A37093A46106}"/>
    <cellStyle name="Comma 8 6 3 2 2 4" xfId="21392" xr:uid="{702E2508-68B7-4309-8F07-3DF6A95C1BA1}"/>
    <cellStyle name="Comma 8 6 3 2 3" xfId="6216" xr:uid="{EB4D2CF5-F88B-4F72-B329-FF9D8DC86888}"/>
    <cellStyle name="Comma 8 6 3 2 3 2" xfId="14888" xr:uid="{D85B8BE6-5591-490E-960A-3165E7D64AD7}"/>
    <cellStyle name="Comma 8 6 3 2 3 2 2" xfId="32232" xr:uid="{F4CE5245-BC13-479E-B93E-55918FF98689}"/>
    <cellStyle name="Comma 8 6 3 2 3 3" xfId="23560" xr:uid="{DBF03305-62A0-4A07-B230-4D8E058E3FA1}"/>
    <cellStyle name="Comma 8 6 3 2 4" xfId="10552" xr:uid="{1815D672-0CB5-42A0-8D1C-4F9D1F313F56}"/>
    <cellStyle name="Comma 8 6 3 2 4 2" xfId="27896" xr:uid="{629CA9C8-26F4-440F-AFF5-125013EA09CC}"/>
    <cellStyle name="Comma 8 6 3 2 5" xfId="19224" xr:uid="{E441E7A1-D85D-4935-BD9D-427CA8944EE8}"/>
    <cellStyle name="Comma 8 6 3 3" xfId="2964" xr:uid="{95E8CDC1-607B-443C-9DDB-1728612639CA}"/>
    <cellStyle name="Comma 8 6 3 3 2" xfId="7300" xr:uid="{F6476839-13E5-49EF-B740-1E8937F2D032}"/>
    <cellStyle name="Comma 8 6 3 3 2 2" xfId="15972" xr:uid="{20538205-958B-4E15-807A-87730C683E51}"/>
    <cellStyle name="Comma 8 6 3 3 2 2 2" xfId="33316" xr:uid="{ADB2F13F-513A-42BF-B532-DBD500E6172B}"/>
    <cellStyle name="Comma 8 6 3 3 2 3" xfId="24644" xr:uid="{A77A1B87-74D1-4D6A-8C4F-46BDFF03496E}"/>
    <cellStyle name="Comma 8 6 3 3 3" xfId="11636" xr:uid="{21A84F2A-E154-48AA-A561-F745FD0C863E}"/>
    <cellStyle name="Comma 8 6 3 3 3 2" xfId="28980" xr:uid="{67FA40E0-449D-4690-9C1A-A0F99BB07742}"/>
    <cellStyle name="Comma 8 6 3 3 4" xfId="20308" xr:uid="{D5DE4CD1-7345-4999-A783-FF8BAB99F0D2}"/>
    <cellStyle name="Comma 8 6 3 4" xfId="5132" xr:uid="{2A692954-A03B-4583-B752-26CF07773B65}"/>
    <cellStyle name="Comma 8 6 3 4 2" xfId="13804" xr:uid="{4E2EABCE-982D-4AD5-BE8D-696F27C125C9}"/>
    <cellStyle name="Comma 8 6 3 4 2 2" xfId="31148" xr:uid="{58285017-5600-4880-86A2-90696582554D}"/>
    <cellStyle name="Comma 8 6 3 4 3" xfId="22476" xr:uid="{7049ACC9-B6B7-469B-8974-22BC144CC2F7}"/>
    <cellStyle name="Comma 8 6 3 5" xfId="9468" xr:uid="{846D816B-148A-49C4-A47A-43E581DB6227}"/>
    <cellStyle name="Comma 8 6 3 5 2" xfId="26812" xr:uid="{7CCD904C-EF24-44E3-A46D-BA3CC07981A9}"/>
    <cellStyle name="Comma 8 6 3 6" xfId="18140" xr:uid="{3030DE49-647D-41A2-B59E-2E2CAD5C9083}"/>
    <cellStyle name="Comma 8 6 4" xfId="1339" xr:uid="{3182D613-1C60-4E1C-8E81-FC1E13C6DC61}"/>
    <cellStyle name="Comma 8 6 4 2" xfId="3507" xr:uid="{5DAE252A-2DD4-4DB8-8483-3FAD7417F3FC}"/>
    <cellStyle name="Comma 8 6 4 2 2" xfId="7843" xr:uid="{0645ACEB-7B55-4534-B7CE-C161C5E9796D}"/>
    <cellStyle name="Comma 8 6 4 2 2 2" xfId="16515" xr:uid="{1A4C8842-09B1-4391-BDE7-7CDC7C5AEFD5}"/>
    <cellStyle name="Comma 8 6 4 2 2 2 2" xfId="33859" xr:uid="{ADB2B63B-B982-4637-ADAB-99E168C64EE7}"/>
    <cellStyle name="Comma 8 6 4 2 2 3" xfId="25187" xr:uid="{7E177A49-A108-40FE-952E-3D6EA1CBA9AB}"/>
    <cellStyle name="Comma 8 6 4 2 3" xfId="12179" xr:uid="{C51CBEE8-D021-40A0-81DC-EE95746E6F6A}"/>
    <cellStyle name="Comma 8 6 4 2 3 2" xfId="29523" xr:uid="{F9CA5672-F4BA-4410-A48C-755570C1A861}"/>
    <cellStyle name="Comma 8 6 4 2 4" xfId="20851" xr:uid="{1408BA78-EC19-4DBC-B93E-5FDDBB0979A6}"/>
    <cellStyle name="Comma 8 6 4 3" xfId="5675" xr:uid="{5A60A5F3-48D2-4672-8309-BAD951771284}"/>
    <cellStyle name="Comma 8 6 4 3 2" xfId="14347" xr:uid="{811D9279-268A-4A1C-8943-479891265B21}"/>
    <cellStyle name="Comma 8 6 4 3 2 2" xfId="31691" xr:uid="{1FEFC248-AE02-4E57-8B99-597B512ECE57}"/>
    <cellStyle name="Comma 8 6 4 3 3" xfId="23019" xr:uid="{0C5EF1BC-A3F6-4DD8-AA0B-B581F4CA509B}"/>
    <cellStyle name="Comma 8 6 4 4" xfId="10011" xr:uid="{35E55AAF-23EE-4ED0-9879-0DB92A21D56A}"/>
    <cellStyle name="Comma 8 6 4 4 2" xfId="27355" xr:uid="{3BBB4F2D-FC1F-4077-8A79-1F1734AD52BA}"/>
    <cellStyle name="Comma 8 6 4 5" xfId="18683" xr:uid="{D2DCC5DA-C8FC-4043-B40A-57C2A7EB87D9}"/>
    <cellStyle name="Comma 8 6 5" xfId="2423" xr:uid="{F7D04123-F348-4D47-886F-AF6E41B92206}"/>
    <cellStyle name="Comma 8 6 5 2" xfId="6759" xr:uid="{B8E45A05-E992-4138-B407-BBD50C290FA1}"/>
    <cellStyle name="Comma 8 6 5 2 2" xfId="15431" xr:uid="{5AC2B2C0-7CDC-4209-A494-C998FF086A9E}"/>
    <cellStyle name="Comma 8 6 5 2 2 2" xfId="32775" xr:uid="{09549176-01FC-47F0-BB4D-1BF9FADE9E09}"/>
    <cellStyle name="Comma 8 6 5 2 3" xfId="24103" xr:uid="{23DF0896-39A3-4A81-8E0F-6EEA17A04A1A}"/>
    <cellStyle name="Comma 8 6 5 3" xfId="11095" xr:uid="{E65C726D-33DA-4C40-82A1-A23E9A8D8FDA}"/>
    <cellStyle name="Comma 8 6 5 3 2" xfId="28439" xr:uid="{3E6BF39B-927C-466C-92BC-663988CAE1F0}"/>
    <cellStyle name="Comma 8 6 5 4" xfId="19767" xr:uid="{70EB1681-16AE-4194-8706-2291506A6463}"/>
    <cellStyle name="Comma 8 6 6" xfId="4591" xr:uid="{23ECE9CD-8154-4ABC-B599-763818E46CDB}"/>
    <cellStyle name="Comma 8 6 6 2" xfId="13263" xr:uid="{8B4DBC86-10EA-4770-B675-3D7829BFA735}"/>
    <cellStyle name="Comma 8 6 6 2 2" xfId="30607" xr:uid="{5B18FA2E-194C-4DDF-88E0-B5787DCE2AF3}"/>
    <cellStyle name="Comma 8 6 6 3" xfId="21935" xr:uid="{9BE7D66A-9A5A-4DDA-BDD1-2338D861D913}"/>
    <cellStyle name="Comma 8 6 7" xfId="8927" xr:uid="{2DEBD227-C9A1-4422-B84B-306AAE59080E}"/>
    <cellStyle name="Comma 8 6 7 2" xfId="26271" xr:uid="{D3FD9837-5CF3-4824-8435-ECD0A69B7448}"/>
    <cellStyle name="Comma 8 6 8" xfId="17599" xr:uid="{A0D56359-CBEE-4306-8198-5F8B8CCA0974}"/>
    <cellStyle name="Comma 8 7" xfId="285" xr:uid="{5B60652D-2DB0-4CA8-AD7D-1C4A6229A463}"/>
    <cellStyle name="Comma 8 7 2" xfId="826" xr:uid="{BE076216-36AC-4DF2-A4AA-3F142F4B8AA2}"/>
    <cellStyle name="Comma 8 7 2 2" xfId="1910" xr:uid="{B1BA69F6-1763-41B3-AC9C-59964DC330B4}"/>
    <cellStyle name="Comma 8 7 2 2 2" xfId="4078" xr:uid="{7B274B41-5751-4E4B-994D-66A70B22F4C1}"/>
    <cellStyle name="Comma 8 7 2 2 2 2" xfId="8414" xr:uid="{5B18CD76-ADAA-4BE4-BACA-4A91A6F16D21}"/>
    <cellStyle name="Comma 8 7 2 2 2 2 2" xfId="17086" xr:uid="{1C9182A4-1B57-4BB2-B914-885DE93F7CB1}"/>
    <cellStyle name="Comma 8 7 2 2 2 2 2 2" xfId="34430" xr:uid="{2338E8BB-85CD-4F2F-9ECF-71FFBF17427C}"/>
    <cellStyle name="Comma 8 7 2 2 2 2 3" xfId="25758" xr:uid="{F265A352-2328-464A-B445-788C253E6CBF}"/>
    <cellStyle name="Comma 8 7 2 2 2 3" xfId="12750" xr:uid="{FDD2ED3E-F48A-4C53-ACC1-D04765559240}"/>
    <cellStyle name="Comma 8 7 2 2 2 3 2" xfId="30094" xr:uid="{ACB639CA-6E58-44F6-963B-A2FF66BCCADB}"/>
    <cellStyle name="Comma 8 7 2 2 2 4" xfId="21422" xr:uid="{1DE5C935-EAE5-4813-B068-3543A9D2060E}"/>
    <cellStyle name="Comma 8 7 2 2 3" xfId="6246" xr:uid="{9813BBA8-B1A0-4E12-9FA5-0E509814995B}"/>
    <cellStyle name="Comma 8 7 2 2 3 2" xfId="14918" xr:uid="{F7CE3021-0DCD-49B7-BCDE-F632FE69C15E}"/>
    <cellStyle name="Comma 8 7 2 2 3 2 2" xfId="32262" xr:uid="{FFAE6553-5008-4A17-9058-64AE1D5C5735}"/>
    <cellStyle name="Comma 8 7 2 2 3 3" xfId="23590" xr:uid="{DA0A9690-9FFF-4F2A-83F8-8025A60E3ED8}"/>
    <cellStyle name="Comma 8 7 2 2 4" xfId="10582" xr:uid="{B76233BB-EEAB-4335-B707-C1D975C6545D}"/>
    <cellStyle name="Comma 8 7 2 2 4 2" xfId="27926" xr:uid="{3713F263-1D40-4265-9CB6-4A99C39C2046}"/>
    <cellStyle name="Comma 8 7 2 2 5" xfId="19254" xr:uid="{ECF7C77A-424E-4ACD-8BF3-A42EC4A5BC93}"/>
    <cellStyle name="Comma 8 7 2 3" xfId="2994" xr:uid="{A496C004-14B1-4992-AC16-45A651D06466}"/>
    <cellStyle name="Comma 8 7 2 3 2" xfId="7330" xr:uid="{025148BD-8C33-4F17-B9B9-030CBD893D57}"/>
    <cellStyle name="Comma 8 7 2 3 2 2" xfId="16002" xr:uid="{0A6EE751-9D25-4283-8CCD-A878679B3888}"/>
    <cellStyle name="Comma 8 7 2 3 2 2 2" xfId="33346" xr:uid="{A64B9E7F-6D5E-49E6-A977-D6F2DFF43011}"/>
    <cellStyle name="Comma 8 7 2 3 2 3" xfId="24674" xr:uid="{8F28C0C1-9638-46EE-A605-D84044F72EAB}"/>
    <cellStyle name="Comma 8 7 2 3 3" xfId="11666" xr:uid="{9A47B1C3-67E2-4113-AA4E-8545D44B0DA5}"/>
    <cellStyle name="Comma 8 7 2 3 3 2" xfId="29010" xr:uid="{7F0780B3-40E9-4C4B-9389-11F4602E41BD}"/>
    <cellStyle name="Comma 8 7 2 3 4" xfId="20338" xr:uid="{7EE4B953-1E7B-4EEB-B913-CC90784DF1CC}"/>
    <cellStyle name="Comma 8 7 2 4" xfId="5162" xr:uid="{5B51628E-B2EA-402E-9703-99689001D441}"/>
    <cellStyle name="Comma 8 7 2 4 2" xfId="13834" xr:uid="{8E8CAE1A-7062-42F6-9158-DEC796BE7D4F}"/>
    <cellStyle name="Comma 8 7 2 4 2 2" xfId="31178" xr:uid="{4984FECD-20DA-4241-BF36-6F2B187B4210}"/>
    <cellStyle name="Comma 8 7 2 4 3" xfId="22506" xr:uid="{ACCAC2C0-A338-4E13-9ED6-4E4529E940AC}"/>
    <cellStyle name="Comma 8 7 2 5" xfId="9498" xr:uid="{92D01DD7-F0F2-4213-B340-4A593ECF30B9}"/>
    <cellStyle name="Comma 8 7 2 5 2" xfId="26842" xr:uid="{9D8B41E2-79F8-4FF9-A147-88DB10344DF2}"/>
    <cellStyle name="Comma 8 7 2 6" xfId="18170" xr:uid="{458E342C-8DF5-49C6-95CB-FB10A4BE6403}"/>
    <cellStyle name="Comma 8 7 3" xfId="1369" xr:uid="{314EB910-98C6-474D-8617-40AFB9BA5A65}"/>
    <cellStyle name="Comma 8 7 3 2" xfId="3537" xr:uid="{ED75648B-DEC6-47B6-93D9-422A20ACEBB1}"/>
    <cellStyle name="Comma 8 7 3 2 2" xfId="7873" xr:uid="{B8469134-1BA8-4DC2-B0B4-D2F659BCB3E8}"/>
    <cellStyle name="Comma 8 7 3 2 2 2" xfId="16545" xr:uid="{649D3E1B-2428-4BAE-9FF1-69756B0B7FAE}"/>
    <cellStyle name="Comma 8 7 3 2 2 2 2" xfId="33889" xr:uid="{833C0EF2-8211-4CC5-A4A1-8D74EEB240E1}"/>
    <cellStyle name="Comma 8 7 3 2 2 3" xfId="25217" xr:uid="{663166E4-3BBA-4603-B170-732B76A61425}"/>
    <cellStyle name="Comma 8 7 3 2 3" xfId="12209" xr:uid="{5986B2E7-EC89-45F8-A843-117587AFD3F5}"/>
    <cellStyle name="Comma 8 7 3 2 3 2" xfId="29553" xr:uid="{71B1980C-0239-4EEE-9CD6-59C19556FC77}"/>
    <cellStyle name="Comma 8 7 3 2 4" xfId="20881" xr:uid="{FAC35E0B-4112-46B3-B93A-AD41CC98AA27}"/>
    <cellStyle name="Comma 8 7 3 3" xfId="5705" xr:uid="{04B0794F-ECA3-4A06-90E3-AADB0CF940F2}"/>
    <cellStyle name="Comma 8 7 3 3 2" xfId="14377" xr:uid="{AE36FBF7-CA46-4447-803D-E5C7DCE88A3B}"/>
    <cellStyle name="Comma 8 7 3 3 2 2" xfId="31721" xr:uid="{41942290-9D02-4E91-AB31-B0024C96E675}"/>
    <cellStyle name="Comma 8 7 3 3 3" xfId="23049" xr:uid="{760433E8-9615-4E01-9FF3-2366AF0638E5}"/>
    <cellStyle name="Comma 8 7 3 4" xfId="10041" xr:uid="{3887DCED-5687-4F14-A48E-71CB32BC8012}"/>
    <cellStyle name="Comma 8 7 3 4 2" xfId="27385" xr:uid="{05072B2F-5015-405B-BDCF-4944D9EED0BF}"/>
    <cellStyle name="Comma 8 7 3 5" xfId="18713" xr:uid="{243859CC-8B76-4935-8B8D-C82450453BB6}"/>
    <cellStyle name="Comma 8 7 4" xfId="2453" xr:uid="{53B6DECC-218D-42CE-AD8F-A982D8500321}"/>
    <cellStyle name="Comma 8 7 4 2" xfId="6789" xr:uid="{CD48CEA8-7FB7-48F7-B9CC-F5572BE47DA2}"/>
    <cellStyle name="Comma 8 7 4 2 2" xfId="15461" xr:uid="{279BE552-F6B3-4D35-AD38-6A58D9CB1765}"/>
    <cellStyle name="Comma 8 7 4 2 2 2" xfId="32805" xr:uid="{514F7C51-85B5-4EDA-A2F1-BAE5249C59C3}"/>
    <cellStyle name="Comma 8 7 4 2 3" xfId="24133" xr:uid="{2DFEE7D8-56D6-4F0D-AA57-35C63A6F35EC}"/>
    <cellStyle name="Comma 8 7 4 3" xfId="11125" xr:uid="{13351B57-4DD1-45C2-A147-DB7FC216358A}"/>
    <cellStyle name="Comma 8 7 4 3 2" xfId="28469" xr:uid="{D111EB41-A405-4A52-B5F2-D35DFA1F2182}"/>
    <cellStyle name="Comma 8 7 4 4" xfId="19797" xr:uid="{AE250573-B37A-4F79-A677-D51C9A4DE8C7}"/>
    <cellStyle name="Comma 8 7 5" xfId="4621" xr:uid="{56AB3DDE-DEC2-49B4-9187-2DB165F49C24}"/>
    <cellStyle name="Comma 8 7 5 2" xfId="13293" xr:uid="{0A8DAAF4-C0D7-4EFB-84AF-77C78C4A9C6A}"/>
    <cellStyle name="Comma 8 7 5 2 2" xfId="30637" xr:uid="{42A1795B-D7AC-4F0E-934E-E164C5DD873C}"/>
    <cellStyle name="Comma 8 7 5 3" xfId="21965" xr:uid="{27E5D0C3-9D18-420C-8F95-93040AB1499D}"/>
    <cellStyle name="Comma 8 7 6" xfId="8957" xr:uid="{25E354B0-E8E3-40C9-A422-531C48696AAF}"/>
    <cellStyle name="Comma 8 7 6 2" xfId="26301" xr:uid="{BEFF085C-5D49-4BDE-82BA-D79F68CF5478}"/>
    <cellStyle name="Comma 8 7 7" xfId="17629" xr:uid="{00EDD16E-E1F4-4D2F-AE62-1F3E26BE2ABE}"/>
    <cellStyle name="Comma 8 8" xfId="556" xr:uid="{0561F4D8-EE9C-4605-9B31-5DB54DA1C1ED}"/>
    <cellStyle name="Comma 8 8 2" xfId="1640" xr:uid="{AFF0C031-2CD1-4375-BFED-79075C66FAE9}"/>
    <cellStyle name="Comma 8 8 2 2" xfId="3808" xr:uid="{45B93CA9-D0E2-43F4-9ECB-53D6831F6629}"/>
    <cellStyle name="Comma 8 8 2 2 2" xfId="8144" xr:uid="{1A435F41-5C8E-42D8-80A2-D3A244F413EC}"/>
    <cellStyle name="Comma 8 8 2 2 2 2" xfId="16816" xr:uid="{3BBBF358-BFFF-447E-92DF-DDED55067C8D}"/>
    <cellStyle name="Comma 8 8 2 2 2 2 2" xfId="34160" xr:uid="{22018595-7117-4FD5-AAF4-2F9A70218B88}"/>
    <cellStyle name="Comma 8 8 2 2 2 3" xfId="25488" xr:uid="{710B7DCA-058D-42B4-8029-432D88F25DD7}"/>
    <cellStyle name="Comma 8 8 2 2 3" xfId="12480" xr:uid="{CF16F8AB-EA20-4E20-9A3A-002283EE556B}"/>
    <cellStyle name="Comma 8 8 2 2 3 2" xfId="29824" xr:uid="{1F901928-1FAF-41AB-82C3-D78C30DFE80D}"/>
    <cellStyle name="Comma 8 8 2 2 4" xfId="21152" xr:uid="{7A24B2F8-0E79-4718-B531-D13A7F6139AC}"/>
    <cellStyle name="Comma 8 8 2 3" xfId="5976" xr:uid="{460B2809-785C-47CC-BE39-11A7B03BA231}"/>
    <cellStyle name="Comma 8 8 2 3 2" xfId="14648" xr:uid="{56159466-53D8-4E0F-B459-70BD4D4A85FF}"/>
    <cellStyle name="Comma 8 8 2 3 2 2" xfId="31992" xr:uid="{A6FFA40F-F373-49F6-A0C0-C99D9A693EBA}"/>
    <cellStyle name="Comma 8 8 2 3 3" xfId="23320" xr:uid="{275B63C6-E7B0-4ABF-AC70-E8D1FD6EA974}"/>
    <cellStyle name="Comma 8 8 2 4" xfId="10312" xr:uid="{D45C94D5-50F3-49EA-851E-686525DDC57B}"/>
    <cellStyle name="Comma 8 8 2 4 2" xfId="27656" xr:uid="{3F3B20A0-4525-4A54-A360-EF880D20EDFD}"/>
    <cellStyle name="Comma 8 8 2 5" xfId="18984" xr:uid="{E2E57B74-978A-4F57-85FA-F81BBE652E65}"/>
    <cellStyle name="Comma 8 8 3" xfId="2724" xr:uid="{0210638A-7EBB-45CF-A1E5-FC07585174A7}"/>
    <cellStyle name="Comma 8 8 3 2" xfId="7060" xr:uid="{033007FD-A363-4D3A-BCC6-C8B9A6435122}"/>
    <cellStyle name="Comma 8 8 3 2 2" xfId="15732" xr:uid="{4917D3A5-4C53-40F4-9FC9-491D79E7EAE4}"/>
    <cellStyle name="Comma 8 8 3 2 2 2" xfId="33076" xr:uid="{B60F9E06-A6F4-402F-89A9-67A45DB30905}"/>
    <cellStyle name="Comma 8 8 3 2 3" xfId="24404" xr:uid="{929A4FBE-D4C6-4172-8A7F-FBAA9533D028}"/>
    <cellStyle name="Comma 8 8 3 3" xfId="11396" xr:uid="{AD341C01-DDF4-4544-8F29-A98850F0F48B}"/>
    <cellStyle name="Comma 8 8 3 3 2" xfId="28740" xr:uid="{548BDA06-1805-40CC-8E89-9555D3AC4376}"/>
    <cellStyle name="Comma 8 8 3 4" xfId="20068" xr:uid="{308CF73E-9757-4EA9-9BDA-1F5C12E91F8E}"/>
    <cellStyle name="Comma 8 8 4" xfId="4892" xr:uid="{E7F4B647-A66A-42A5-8934-7E5D2411A9B1}"/>
    <cellStyle name="Comma 8 8 4 2" xfId="13564" xr:uid="{FF9C4F24-8687-42D0-BF16-749597D040E4}"/>
    <cellStyle name="Comma 8 8 4 2 2" xfId="30908" xr:uid="{6F526F00-916A-404C-B257-3F83E97CF83D}"/>
    <cellStyle name="Comma 8 8 4 3" xfId="22236" xr:uid="{F4D52B60-DCB0-4BE3-8597-2BDA107D1463}"/>
    <cellStyle name="Comma 8 8 5" xfId="9228" xr:uid="{37D28EF1-3774-408F-815C-DC29DF72B3EF}"/>
    <cellStyle name="Comma 8 8 5 2" xfId="26572" xr:uid="{5DB30408-CE0D-4D25-AED2-0E0DF9BE2555}"/>
    <cellStyle name="Comma 8 8 6" xfId="17900" xr:uid="{CAD4A283-A735-4A9D-A44A-89DEE2015593}"/>
    <cellStyle name="Comma 8 9" xfId="1099" xr:uid="{D87488CB-1EEA-4F1D-9F0F-38C24F69EF21}"/>
    <cellStyle name="Comma 8 9 2" xfId="3267" xr:uid="{4EA06E26-7CDC-4956-B992-FE6EC8877311}"/>
    <cellStyle name="Comma 8 9 2 2" xfId="7603" xr:uid="{A93EC091-5DB2-4F2F-A569-9CA92C3D0927}"/>
    <cellStyle name="Comma 8 9 2 2 2" xfId="16275" xr:uid="{DCFF3256-1751-4A68-9793-75C91B00689F}"/>
    <cellStyle name="Comma 8 9 2 2 2 2" xfId="33619" xr:uid="{E9816C6D-785A-41E0-A23D-EC8A1A52341E}"/>
    <cellStyle name="Comma 8 9 2 2 3" xfId="24947" xr:uid="{5A9DA985-ED54-497E-B203-269FC706DECC}"/>
    <cellStyle name="Comma 8 9 2 3" xfId="11939" xr:uid="{29D7F2EA-1751-419B-B8E8-1092652DE20B}"/>
    <cellStyle name="Comma 8 9 2 3 2" xfId="29283" xr:uid="{DC720F3B-5850-4E7C-8FED-008CA33ADA6F}"/>
    <cellStyle name="Comma 8 9 2 4" xfId="20611" xr:uid="{8256F65E-07D6-46B6-9601-A8066B4F35C0}"/>
    <cellStyle name="Comma 8 9 3" xfId="5435" xr:uid="{60A41E21-69BA-40FC-88D8-7E4E2D85B124}"/>
    <cellStyle name="Comma 8 9 3 2" xfId="14107" xr:uid="{454CD1EA-FED6-464C-AF6E-381ECFAED49E}"/>
    <cellStyle name="Comma 8 9 3 2 2" xfId="31451" xr:uid="{8F7F495B-D2FC-45EF-825A-CE47EB97FC33}"/>
    <cellStyle name="Comma 8 9 3 3" xfId="22779" xr:uid="{9D1F9656-1993-4C3E-A077-537A36DD3EAF}"/>
    <cellStyle name="Comma 8 9 4" xfId="9771" xr:uid="{9C517298-7DC0-41BF-8858-32000F5A05DB}"/>
    <cellStyle name="Comma 8 9 4 2" xfId="27115" xr:uid="{85ECCA48-84F0-4DEF-ABF0-B9477A4D7A09}"/>
    <cellStyle name="Comma 8 9 5" xfId="18443" xr:uid="{5BADB8E9-4824-4C27-AAE9-16AC70CD72B0}"/>
    <cellStyle name="Comma 9" xfId="17" xr:uid="{4B42A826-178D-445F-8EF5-4F36D809D33A}"/>
    <cellStyle name="Comma 9 10" xfId="4353" xr:uid="{423E8FB8-5DB2-472B-B74B-CA084149644A}"/>
    <cellStyle name="Comma 9 10 2" xfId="13025" xr:uid="{1565A3FB-DFDA-4574-AACA-E504DBDA744A}"/>
    <cellStyle name="Comma 9 10 2 2" xfId="30369" xr:uid="{532AED5B-B81E-4D1F-8B64-06335247911D}"/>
    <cellStyle name="Comma 9 10 3" xfId="21697" xr:uid="{C19A2CC4-4C56-49F2-9DD2-EA646DC85EB5}"/>
    <cellStyle name="Comma 9 11" xfId="8689" xr:uid="{D11D6F2A-DEE9-4A1A-AC95-FFEDEDAC7D3D}"/>
    <cellStyle name="Comma 9 11 2" xfId="26033" xr:uid="{C02C63F7-CC68-4454-9531-7B80E6C1A973}"/>
    <cellStyle name="Comma 9 12" xfId="17361" xr:uid="{E90A2B26-1180-49AA-8AF9-9D204646CA41}"/>
    <cellStyle name="Comma 9 2" xfId="33" xr:uid="{176BF76B-888F-4878-B136-596E9A49BE50}"/>
    <cellStyle name="Comma 9 2 10" xfId="17377" xr:uid="{971E6B85-18B8-4179-BC9D-358E75EF4A87}"/>
    <cellStyle name="Comma 9 2 2" xfId="94" xr:uid="{7DC94CBD-39E1-41CC-8730-C837DBD89D53}"/>
    <cellStyle name="Comma 9 2 2 2" xfId="216" xr:uid="{EF88B186-35F4-4771-8569-37E4E42AF569}"/>
    <cellStyle name="Comma 9 2 2 2 2" xfId="486" xr:uid="{12EC4454-E2F8-4E36-9D46-D36394728B68}"/>
    <cellStyle name="Comma 9 2 2 2 2 2" xfId="1027" xr:uid="{3D163076-0247-4F34-851B-DE62E19FEE4E}"/>
    <cellStyle name="Comma 9 2 2 2 2 2 2" xfId="2111" xr:uid="{5990B03A-776C-4C20-8E86-B340D6787947}"/>
    <cellStyle name="Comma 9 2 2 2 2 2 2 2" xfId="4279" xr:uid="{8A77806E-F49C-4B8F-926F-D188101A7255}"/>
    <cellStyle name="Comma 9 2 2 2 2 2 2 2 2" xfId="8615" xr:uid="{64EB1C1E-F175-426C-B9CA-1C705B5BD3AA}"/>
    <cellStyle name="Comma 9 2 2 2 2 2 2 2 2 2" xfId="17287" xr:uid="{4AEDE6FF-169D-418B-AD76-E45702A1BA31}"/>
    <cellStyle name="Comma 9 2 2 2 2 2 2 2 2 2 2" xfId="34631" xr:uid="{E9DD961A-50EF-4A61-9A67-0BE09ED3C24B}"/>
    <cellStyle name="Comma 9 2 2 2 2 2 2 2 2 3" xfId="25959" xr:uid="{C4AE50EC-5D53-4C02-A964-830945F73518}"/>
    <cellStyle name="Comma 9 2 2 2 2 2 2 2 3" xfId="12951" xr:uid="{826F9869-62FF-4ECA-9513-432383A66779}"/>
    <cellStyle name="Comma 9 2 2 2 2 2 2 2 3 2" xfId="30295" xr:uid="{8B01797A-D642-45E8-BF82-78F366C797C9}"/>
    <cellStyle name="Comma 9 2 2 2 2 2 2 2 4" xfId="21623" xr:uid="{9AD661CF-5BE0-40F9-95E7-86719BF86EB5}"/>
    <cellStyle name="Comma 9 2 2 2 2 2 2 3" xfId="6447" xr:uid="{8779929A-63E3-47E6-9ABD-2543826105B0}"/>
    <cellStyle name="Comma 9 2 2 2 2 2 2 3 2" xfId="15119" xr:uid="{47865BAC-1BCD-432C-993F-806ED72445BB}"/>
    <cellStyle name="Comma 9 2 2 2 2 2 2 3 2 2" xfId="32463" xr:uid="{EB6228ED-62B4-472E-994B-AA34DB3EBE6B}"/>
    <cellStyle name="Comma 9 2 2 2 2 2 2 3 3" xfId="23791" xr:uid="{FEA786B7-29B3-43A6-9A96-560273C56F38}"/>
    <cellStyle name="Comma 9 2 2 2 2 2 2 4" xfId="10783" xr:uid="{B2DEC70B-E228-47C5-8284-B128CA956F62}"/>
    <cellStyle name="Comma 9 2 2 2 2 2 2 4 2" xfId="28127" xr:uid="{07081950-FBF9-46F9-BEEE-5581BF85E078}"/>
    <cellStyle name="Comma 9 2 2 2 2 2 2 5" xfId="19455" xr:uid="{64325ADA-F08C-4E3D-8C63-DF61E17BC216}"/>
    <cellStyle name="Comma 9 2 2 2 2 2 3" xfId="3195" xr:uid="{3B6CD148-0769-4089-A575-9918A6D51062}"/>
    <cellStyle name="Comma 9 2 2 2 2 2 3 2" xfId="7531" xr:uid="{7E8B7C74-B5CB-4C6A-B30A-9D76D004F3DE}"/>
    <cellStyle name="Comma 9 2 2 2 2 2 3 2 2" xfId="16203" xr:uid="{37984AF3-9070-40D8-B011-5DAF66F0CF27}"/>
    <cellStyle name="Comma 9 2 2 2 2 2 3 2 2 2" xfId="33547" xr:uid="{2DC49CB0-76DC-4D28-8257-4AC7006F6F2D}"/>
    <cellStyle name="Comma 9 2 2 2 2 2 3 2 3" xfId="24875" xr:uid="{C193BD0F-0B18-4EF6-9B60-01C9BAF4E607}"/>
    <cellStyle name="Comma 9 2 2 2 2 2 3 3" xfId="11867" xr:uid="{60B516DA-C123-4839-A50D-F92C77F3F3BD}"/>
    <cellStyle name="Comma 9 2 2 2 2 2 3 3 2" xfId="29211" xr:uid="{96314DE1-805C-4AF1-BA50-E2DAD4CECFBC}"/>
    <cellStyle name="Comma 9 2 2 2 2 2 3 4" xfId="20539" xr:uid="{D3E78898-38E0-4A1F-842A-4CD4CC077014}"/>
    <cellStyle name="Comma 9 2 2 2 2 2 4" xfId="5363" xr:uid="{1F555966-7914-4ECF-AE84-BE5BEC9CF363}"/>
    <cellStyle name="Comma 9 2 2 2 2 2 4 2" xfId="14035" xr:uid="{A0255DAC-B492-4756-971B-DAC1E7FF3839}"/>
    <cellStyle name="Comma 9 2 2 2 2 2 4 2 2" xfId="31379" xr:uid="{FA843E86-5A09-4918-A118-69A158C793E3}"/>
    <cellStyle name="Comma 9 2 2 2 2 2 4 3" xfId="22707" xr:uid="{DF623BB0-6B5D-4F77-A46C-06E37E2EF1A6}"/>
    <cellStyle name="Comma 9 2 2 2 2 2 5" xfId="9699" xr:uid="{C1D01490-1481-4052-A513-F5B8CEB30149}"/>
    <cellStyle name="Comma 9 2 2 2 2 2 5 2" xfId="27043" xr:uid="{7720075A-E156-4930-9CA2-B6E877A8B459}"/>
    <cellStyle name="Comma 9 2 2 2 2 2 6" xfId="18371" xr:uid="{700D3A89-341D-475D-80DA-31D979CB9D21}"/>
    <cellStyle name="Comma 9 2 2 2 2 3" xfId="1570" xr:uid="{08F98C98-8942-4617-993A-1A99665A474B}"/>
    <cellStyle name="Comma 9 2 2 2 2 3 2" xfId="3738" xr:uid="{886CE051-5D66-414E-A75E-AF12F7696D9A}"/>
    <cellStyle name="Comma 9 2 2 2 2 3 2 2" xfId="8074" xr:uid="{4DD9D618-21C6-4F1A-B852-B4FCE064A12D}"/>
    <cellStyle name="Comma 9 2 2 2 2 3 2 2 2" xfId="16746" xr:uid="{035075F7-18C1-440D-93B3-DD51ED54BF1F}"/>
    <cellStyle name="Comma 9 2 2 2 2 3 2 2 2 2" xfId="34090" xr:uid="{A557A6C6-C1E1-4BDF-BBC2-FD3D8A895287}"/>
    <cellStyle name="Comma 9 2 2 2 2 3 2 2 3" xfId="25418" xr:uid="{4C4B15E8-9A23-417B-8A77-F40751A82CDC}"/>
    <cellStyle name="Comma 9 2 2 2 2 3 2 3" xfId="12410" xr:uid="{A7788B33-F4B7-4B9D-AFA5-99D98E55702F}"/>
    <cellStyle name="Comma 9 2 2 2 2 3 2 3 2" xfId="29754" xr:uid="{31F49226-2B0B-4684-860D-F3537F649AE6}"/>
    <cellStyle name="Comma 9 2 2 2 2 3 2 4" xfId="21082" xr:uid="{721D394D-9056-47D5-8DB6-DE2E1729A9D9}"/>
    <cellStyle name="Comma 9 2 2 2 2 3 3" xfId="5906" xr:uid="{FB8976BC-7125-4EC7-A992-DAB98D08319B}"/>
    <cellStyle name="Comma 9 2 2 2 2 3 3 2" xfId="14578" xr:uid="{12799F06-13E9-45B0-9AC2-005DDB3F5EEE}"/>
    <cellStyle name="Comma 9 2 2 2 2 3 3 2 2" xfId="31922" xr:uid="{C9486168-636C-45EC-A657-50A2ECB56C06}"/>
    <cellStyle name="Comma 9 2 2 2 2 3 3 3" xfId="23250" xr:uid="{B7C32E80-1A4D-4C82-9BE9-A534A9ACFDA8}"/>
    <cellStyle name="Comma 9 2 2 2 2 3 4" xfId="10242" xr:uid="{E51F910C-1FE2-4EFA-92B5-753F634FEA95}"/>
    <cellStyle name="Comma 9 2 2 2 2 3 4 2" xfId="27586" xr:uid="{341AB334-4B48-4DFF-A6EC-B0B8573A1011}"/>
    <cellStyle name="Comma 9 2 2 2 2 3 5" xfId="18914" xr:uid="{3AD8BBCD-802B-4F2D-9461-F24A6CE5BA10}"/>
    <cellStyle name="Comma 9 2 2 2 2 4" xfId="2654" xr:uid="{EF731399-A8F4-4A90-BF62-D7824220E039}"/>
    <cellStyle name="Comma 9 2 2 2 2 4 2" xfId="6990" xr:uid="{5E83E0CC-1481-40F9-A791-0795935A24B0}"/>
    <cellStyle name="Comma 9 2 2 2 2 4 2 2" xfId="15662" xr:uid="{137E3320-5702-4671-9684-00678D2F765E}"/>
    <cellStyle name="Comma 9 2 2 2 2 4 2 2 2" xfId="33006" xr:uid="{97C50184-DD6C-4F9C-9B7B-402C3D752FE6}"/>
    <cellStyle name="Comma 9 2 2 2 2 4 2 3" xfId="24334" xr:uid="{C8575CE6-6900-4D19-AD1C-3C05136EA1B9}"/>
    <cellStyle name="Comma 9 2 2 2 2 4 3" xfId="11326" xr:uid="{601FD691-C065-4B55-B399-50CD1D19A3D8}"/>
    <cellStyle name="Comma 9 2 2 2 2 4 3 2" xfId="28670" xr:uid="{E6DACF99-9EEF-4A90-BE8C-79FB0A830F18}"/>
    <cellStyle name="Comma 9 2 2 2 2 4 4" xfId="19998" xr:uid="{F9F33FBF-7155-430A-B645-2205BA4FCB0E}"/>
    <cellStyle name="Comma 9 2 2 2 2 5" xfId="4822" xr:uid="{906021DD-2D48-49AD-81B1-15B84D0161C0}"/>
    <cellStyle name="Comma 9 2 2 2 2 5 2" xfId="13494" xr:uid="{5F093716-B76A-4DC3-BF29-F247D57E85AC}"/>
    <cellStyle name="Comma 9 2 2 2 2 5 2 2" xfId="30838" xr:uid="{80ADD723-2DC1-4A9B-AD3E-20CB1FA941EC}"/>
    <cellStyle name="Comma 9 2 2 2 2 5 3" xfId="22166" xr:uid="{8E3EAFAB-C2EC-476F-8840-0D2CE58F3833}"/>
    <cellStyle name="Comma 9 2 2 2 2 6" xfId="9158" xr:uid="{A7FA02C1-14F5-4F93-B1FE-C8DF7F70F219}"/>
    <cellStyle name="Comma 9 2 2 2 2 6 2" xfId="26502" xr:uid="{B5ED4AB0-52C7-49E7-B9ED-73F5BAB5DA38}"/>
    <cellStyle name="Comma 9 2 2 2 2 7" xfId="17830" xr:uid="{70952500-9459-438B-A131-B61A75D78A26}"/>
    <cellStyle name="Comma 9 2 2 2 3" xfId="757" xr:uid="{4A903CC3-6CF3-46F4-BE10-BC678613AF42}"/>
    <cellStyle name="Comma 9 2 2 2 3 2" xfId="1841" xr:uid="{748C08C0-8B21-4C49-B342-64C313C72215}"/>
    <cellStyle name="Comma 9 2 2 2 3 2 2" xfId="4009" xr:uid="{C8CEE2C0-88E5-4679-9696-A1E727D8DC2F}"/>
    <cellStyle name="Comma 9 2 2 2 3 2 2 2" xfId="8345" xr:uid="{73447EBC-CECB-4C3F-B2C3-8A533871598D}"/>
    <cellStyle name="Comma 9 2 2 2 3 2 2 2 2" xfId="17017" xr:uid="{21C04A78-DC0C-4A2C-82A8-3465573262A2}"/>
    <cellStyle name="Comma 9 2 2 2 3 2 2 2 2 2" xfId="34361" xr:uid="{465E212D-1931-4E24-8D15-AA0D74FE41D5}"/>
    <cellStyle name="Comma 9 2 2 2 3 2 2 2 3" xfId="25689" xr:uid="{BBD98229-DEFA-47D6-B2CD-D09D0490D106}"/>
    <cellStyle name="Comma 9 2 2 2 3 2 2 3" xfId="12681" xr:uid="{6B56E629-437B-4B4C-9B26-846336D2F6EF}"/>
    <cellStyle name="Comma 9 2 2 2 3 2 2 3 2" xfId="30025" xr:uid="{39564421-18D1-46F0-B661-E7BA698C0057}"/>
    <cellStyle name="Comma 9 2 2 2 3 2 2 4" xfId="21353" xr:uid="{2D5AC392-B4BE-4959-9D90-0EC6E916E9BC}"/>
    <cellStyle name="Comma 9 2 2 2 3 2 3" xfId="6177" xr:uid="{00135B58-0150-49D1-B684-E25E52755174}"/>
    <cellStyle name="Comma 9 2 2 2 3 2 3 2" xfId="14849" xr:uid="{28C10447-76F8-49D6-9D12-1B53411DE4C2}"/>
    <cellStyle name="Comma 9 2 2 2 3 2 3 2 2" xfId="32193" xr:uid="{2247EBF4-6B36-4B1F-9040-8FF9B150AA3A}"/>
    <cellStyle name="Comma 9 2 2 2 3 2 3 3" xfId="23521" xr:uid="{DFC07EB2-BDCA-46A0-8795-56D87ACDEA23}"/>
    <cellStyle name="Comma 9 2 2 2 3 2 4" xfId="10513" xr:uid="{54CED882-A789-406D-9709-234BAB06E60C}"/>
    <cellStyle name="Comma 9 2 2 2 3 2 4 2" xfId="27857" xr:uid="{98BD404A-998F-420D-859E-B48E8D10D9EE}"/>
    <cellStyle name="Comma 9 2 2 2 3 2 5" xfId="19185" xr:uid="{77117CE8-DD98-42D0-92B7-F555890365BD}"/>
    <cellStyle name="Comma 9 2 2 2 3 3" xfId="2925" xr:uid="{ECC3D319-CCBE-4AB5-A25B-D251050640F6}"/>
    <cellStyle name="Comma 9 2 2 2 3 3 2" xfId="7261" xr:uid="{029C5987-50C3-435B-8552-4F7B0F4366A1}"/>
    <cellStyle name="Comma 9 2 2 2 3 3 2 2" xfId="15933" xr:uid="{0CB9DE25-A846-45B4-A719-52FEE778CB7D}"/>
    <cellStyle name="Comma 9 2 2 2 3 3 2 2 2" xfId="33277" xr:uid="{D5023EB3-2B20-434C-8881-AAA5C4C13D98}"/>
    <cellStyle name="Comma 9 2 2 2 3 3 2 3" xfId="24605" xr:uid="{B2380194-6BC1-4BD4-B273-6866BBF8C3AE}"/>
    <cellStyle name="Comma 9 2 2 2 3 3 3" xfId="11597" xr:uid="{1CA43750-F8FD-4714-8694-CD74C8A64C3D}"/>
    <cellStyle name="Comma 9 2 2 2 3 3 3 2" xfId="28941" xr:uid="{58C2191C-B275-4696-9414-391177520E24}"/>
    <cellStyle name="Comma 9 2 2 2 3 3 4" xfId="20269" xr:uid="{435134D1-A393-46F6-8627-BFC306F5D595}"/>
    <cellStyle name="Comma 9 2 2 2 3 4" xfId="5093" xr:uid="{341860D9-0568-4FA1-835B-627D3D1EE81A}"/>
    <cellStyle name="Comma 9 2 2 2 3 4 2" xfId="13765" xr:uid="{F72A2DE4-89D9-4DAD-99BB-C1D9EBCF360E}"/>
    <cellStyle name="Comma 9 2 2 2 3 4 2 2" xfId="31109" xr:uid="{CA2F3AB4-4FBA-4E5C-BDF2-A4E2A397C9BE}"/>
    <cellStyle name="Comma 9 2 2 2 3 4 3" xfId="22437" xr:uid="{54F92285-0CF3-4456-959A-A15D48433F85}"/>
    <cellStyle name="Comma 9 2 2 2 3 5" xfId="9429" xr:uid="{475AA0A6-0B91-4A4B-BCF2-AC025D052662}"/>
    <cellStyle name="Comma 9 2 2 2 3 5 2" xfId="26773" xr:uid="{956FC113-1B94-4284-9BDA-E42D9C0A6E9D}"/>
    <cellStyle name="Comma 9 2 2 2 3 6" xfId="18101" xr:uid="{1ABE10F6-1DC3-4EA6-A0C7-2C1AE5602634}"/>
    <cellStyle name="Comma 9 2 2 2 4" xfId="1300" xr:uid="{417BC154-35C6-49EB-B537-8DBC9336D748}"/>
    <cellStyle name="Comma 9 2 2 2 4 2" xfId="3468" xr:uid="{E72A4FC0-08D6-4EE7-8281-9A066BAC835D}"/>
    <cellStyle name="Comma 9 2 2 2 4 2 2" xfId="7804" xr:uid="{91A245C4-C953-41D5-BCD0-3CF4990AE72F}"/>
    <cellStyle name="Comma 9 2 2 2 4 2 2 2" xfId="16476" xr:uid="{1B74B2E6-0F0E-4762-9D6C-A8198DC0C0DE}"/>
    <cellStyle name="Comma 9 2 2 2 4 2 2 2 2" xfId="33820" xr:uid="{2706FC12-9FC1-44FB-A5D5-E98C28438F8B}"/>
    <cellStyle name="Comma 9 2 2 2 4 2 2 3" xfId="25148" xr:uid="{B2F75551-90E3-46E3-989E-B63FBD4D04E3}"/>
    <cellStyle name="Comma 9 2 2 2 4 2 3" xfId="12140" xr:uid="{BF6A6CCC-DD1F-4ADC-A95D-91F98A9CE04F}"/>
    <cellStyle name="Comma 9 2 2 2 4 2 3 2" xfId="29484" xr:uid="{96F58BC7-3CD3-403C-AA50-56F1722804FB}"/>
    <cellStyle name="Comma 9 2 2 2 4 2 4" xfId="20812" xr:uid="{5BD948A3-0BC9-4D44-82DC-1ECD7A1BE417}"/>
    <cellStyle name="Comma 9 2 2 2 4 3" xfId="5636" xr:uid="{4E07CAFD-0221-47CE-B0CE-4B22FA81867D}"/>
    <cellStyle name="Comma 9 2 2 2 4 3 2" xfId="14308" xr:uid="{3B8143DE-CFEF-428D-9AF2-633D4B94B66E}"/>
    <cellStyle name="Comma 9 2 2 2 4 3 2 2" xfId="31652" xr:uid="{99D97C89-2260-4773-B872-127A9A7F8082}"/>
    <cellStyle name="Comma 9 2 2 2 4 3 3" xfId="22980" xr:uid="{BFFE6B79-5AE0-45D1-8A96-E7BF98E50D1C}"/>
    <cellStyle name="Comma 9 2 2 2 4 4" xfId="9972" xr:uid="{1FA4C455-9A6D-43C8-B0D2-56CBB8A280E7}"/>
    <cellStyle name="Comma 9 2 2 2 4 4 2" xfId="27316" xr:uid="{F56FB023-6F9E-483E-BD48-C7537B21A9C6}"/>
    <cellStyle name="Comma 9 2 2 2 4 5" xfId="18644" xr:uid="{0C51E79A-BEF0-4757-914A-BCCFC0EDFDFE}"/>
    <cellStyle name="Comma 9 2 2 2 5" xfId="2384" xr:uid="{C6C2DF8D-F355-4ABB-AA59-52D1E0C3D7F7}"/>
    <cellStyle name="Comma 9 2 2 2 5 2" xfId="6720" xr:uid="{1D35181B-ED90-4875-88D3-910CCDEFCDDC}"/>
    <cellStyle name="Comma 9 2 2 2 5 2 2" xfId="15392" xr:uid="{73340472-239D-4985-85D6-9F3C62F3A6FB}"/>
    <cellStyle name="Comma 9 2 2 2 5 2 2 2" xfId="32736" xr:uid="{B21A8C86-F03A-4C56-8D85-73C61E576D53}"/>
    <cellStyle name="Comma 9 2 2 2 5 2 3" xfId="24064" xr:uid="{9C6914AF-70B2-426E-A218-378B46928572}"/>
    <cellStyle name="Comma 9 2 2 2 5 3" xfId="11056" xr:uid="{FF96FC41-5ACC-4F8B-BCE5-A28D9025EDD2}"/>
    <cellStyle name="Comma 9 2 2 2 5 3 2" xfId="28400" xr:uid="{5371EF47-5361-4CE8-AFE0-911F2F878472}"/>
    <cellStyle name="Comma 9 2 2 2 5 4" xfId="19728" xr:uid="{29AE8D96-ED70-4787-81D6-1A1FB0522DA6}"/>
    <cellStyle name="Comma 9 2 2 2 6" xfId="4552" xr:uid="{F80E8FBA-EB2D-4094-9778-177EFF8C32FD}"/>
    <cellStyle name="Comma 9 2 2 2 6 2" xfId="13224" xr:uid="{2CEEF16E-B764-4FBF-BED3-501908875111}"/>
    <cellStyle name="Comma 9 2 2 2 6 2 2" xfId="30568" xr:uid="{E981D04A-3066-4ECA-A79F-B869FD69A9CE}"/>
    <cellStyle name="Comma 9 2 2 2 6 3" xfId="21896" xr:uid="{7D589989-58C4-433B-8730-6EBE9EE2A992}"/>
    <cellStyle name="Comma 9 2 2 2 7" xfId="8888" xr:uid="{7ED72146-C4CE-4F8C-B94A-C0044CFF8859}"/>
    <cellStyle name="Comma 9 2 2 2 7 2" xfId="26232" xr:uid="{1B6E0DEA-B7F0-4E75-81D0-405B993241C9}"/>
    <cellStyle name="Comma 9 2 2 2 8" xfId="17560" xr:uid="{342FC717-0D3D-4EE2-AD5F-02D3065977E3}"/>
    <cellStyle name="Comma 9 2 2 3" xfId="364" xr:uid="{7B765A40-DA4C-4DF1-B360-F06B9C5C87FE}"/>
    <cellStyle name="Comma 9 2 2 3 2" xfId="905" xr:uid="{A3D98910-9D9C-4A87-B11A-B1F3FE264BCE}"/>
    <cellStyle name="Comma 9 2 2 3 2 2" xfId="1989" xr:uid="{462DA7D5-69B8-40EA-A824-5F57108DAF98}"/>
    <cellStyle name="Comma 9 2 2 3 2 2 2" xfId="4157" xr:uid="{C8D8C23C-E1F6-4E46-B4F5-0E401E1CC5B9}"/>
    <cellStyle name="Comma 9 2 2 3 2 2 2 2" xfId="8493" xr:uid="{0B31EAD4-6F49-4913-A587-BA5BA9679A31}"/>
    <cellStyle name="Comma 9 2 2 3 2 2 2 2 2" xfId="17165" xr:uid="{B0DD77C7-AC71-4D19-B771-A5E059716FCD}"/>
    <cellStyle name="Comma 9 2 2 3 2 2 2 2 2 2" xfId="34509" xr:uid="{8632C85B-E135-45DA-89AA-9EBAD2877AB4}"/>
    <cellStyle name="Comma 9 2 2 3 2 2 2 2 3" xfId="25837" xr:uid="{70F1056E-D562-458B-BD75-E9EE8D5C6DB7}"/>
    <cellStyle name="Comma 9 2 2 3 2 2 2 3" xfId="12829" xr:uid="{75EE5F6A-A08B-40F5-81E6-12589C7B39F0}"/>
    <cellStyle name="Comma 9 2 2 3 2 2 2 3 2" xfId="30173" xr:uid="{45420979-0EC0-4660-9FAC-53CA9BAC9E4E}"/>
    <cellStyle name="Comma 9 2 2 3 2 2 2 4" xfId="21501" xr:uid="{CA5F1C39-7346-47A7-B8DF-BB472B71987F}"/>
    <cellStyle name="Comma 9 2 2 3 2 2 3" xfId="6325" xr:uid="{026E0D96-1CA9-4E34-9EB7-FD13757460C2}"/>
    <cellStyle name="Comma 9 2 2 3 2 2 3 2" xfId="14997" xr:uid="{F4A0E1BD-D60A-420B-AD33-C029457BFE8E}"/>
    <cellStyle name="Comma 9 2 2 3 2 2 3 2 2" xfId="32341" xr:uid="{05B3C73A-0A6A-421B-A587-E19E7FBD8385}"/>
    <cellStyle name="Comma 9 2 2 3 2 2 3 3" xfId="23669" xr:uid="{5D3C280B-B4D6-4CB2-9BB3-665ACEEB8C81}"/>
    <cellStyle name="Comma 9 2 2 3 2 2 4" xfId="10661" xr:uid="{FC7532F9-4039-4EB6-9756-17BE72495E47}"/>
    <cellStyle name="Comma 9 2 2 3 2 2 4 2" xfId="28005" xr:uid="{0F5B7F7E-764D-481A-A020-608F5C642B70}"/>
    <cellStyle name="Comma 9 2 2 3 2 2 5" xfId="19333" xr:uid="{EFE0EA71-47EA-43DF-AA21-1A1B0E52663D}"/>
    <cellStyle name="Comma 9 2 2 3 2 3" xfId="3073" xr:uid="{248182F7-7EA9-4576-A3C9-27A974932311}"/>
    <cellStyle name="Comma 9 2 2 3 2 3 2" xfId="7409" xr:uid="{65E46A43-E217-4CCB-9163-D11476C9F483}"/>
    <cellStyle name="Comma 9 2 2 3 2 3 2 2" xfId="16081" xr:uid="{EE7828A9-790F-4433-A11B-8F6B92760C20}"/>
    <cellStyle name="Comma 9 2 2 3 2 3 2 2 2" xfId="33425" xr:uid="{86C2661C-8DEF-48F4-9832-C07A22A03ACE}"/>
    <cellStyle name="Comma 9 2 2 3 2 3 2 3" xfId="24753" xr:uid="{85A591A0-F387-4C40-AA66-328EE7AAE6B6}"/>
    <cellStyle name="Comma 9 2 2 3 2 3 3" xfId="11745" xr:uid="{6C45BB35-CAA1-461F-939C-E96B5CA6C2C5}"/>
    <cellStyle name="Comma 9 2 2 3 2 3 3 2" xfId="29089" xr:uid="{6FB6F90C-E16A-4919-BE96-BEB0B5DAF3F5}"/>
    <cellStyle name="Comma 9 2 2 3 2 3 4" xfId="20417" xr:uid="{B30B0E26-71D2-4100-A3D0-F7A2468B0776}"/>
    <cellStyle name="Comma 9 2 2 3 2 4" xfId="5241" xr:uid="{56ABA1C0-D2B4-46EC-8A9C-C74FEF6A7B66}"/>
    <cellStyle name="Comma 9 2 2 3 2 4 2" xfId="13913" xr:uid="{095DEAF7-98E3-4D5A-AADF-C33CC227D398}"/>
    <cellStyle name="Comma 9 2 2 3 2 4 2 2" xfId="31257" xr:uid="{564CB5AB-78D2-426E-A677-30D27D90507D}"/>
    <cellStyle name="Comma 9 2 2 3 2 4 3" xfId="22585" xr:uid="{25763E8D-11F3-4D07-92F6-DF78215FFB6C}"/>
    <cellStyle name="Comma 9 2 2 3 2 5" xfId="9577" xr:uid="{E554CAEE-686C-4FE5-BAB4-17D2284B2CE5}"/>
    <cellStyle name="Comma 9 2 2 3 2 5 2" xfId="26921" xr:uid="{9EB98ED9-7AA3-49D0-8F4E-5BCBB9EAD22A}"/>
    <cellStyle name="Comma 9 2 2 3 2 6" xfId="18249" xr:uid="{6B40CAE4-DAE1-49B1-A5F5-0A7E0102C8EF}"/>
    <cellStyle name="Comma 9 2 2 3 3" xfId="1448" xr:uid="{A519F3EC-8F57-4A22-8862-15484D52F90C}"/>
    <cellStyle name="Comma 9 2 2 3 3 2" xfId="3616" xr:uid="{8887BACF-5D07-449B-8139-1083F938E83F}"/>
    <cellStyle name="Comma 9 2 2 3 3 2 2" xfId="7952" xr:uid="{BD0C1ACC-ACF9-4A85-82F8-89606DC4BA5E}"/>
    <cellStyle name="Comma 9 2 2 3 3 2 2 2" xfId="16624" xr:uid="{BDAC1563-B000-48AC-9E77-AED0D1562F09}"/>
    <cellStyle name="Comma 9 2 2 3 3 2 2 2 2" xfId="33968" xr:uid="{CEBA934D-4598-4B77-821B-64AF3F28B7D4}"/>
    <cellStyle name="Comma 9 2 2 3 3 2 2 3" xfId="25296" xr:uid="{B34C22B7-FE86-4ADA-BF3D-8F8EC8EB6361}"/>
    <cellStyle name="Comma 9 2 2 3 3 2 3" xfId="12288" xr:uid="{A2E3087A-AF07-4A62-AAE6-CE95CED47F3A}"/>
    <cellStyle name="Comma 9 2 2 3 3 2 3 2" xfId="29632" xr:uid="{DEC2A69C-507D-463D-B53D-91440E386214}"/>
    <cellStyle name="Comma 9 2 2 3 3 2 4" xfId="20960" xr:uid="{CEF0B30D-E305-4763-ADC2-EB692E529034}"/>
    <cellStyle name="Comma 9 2 2 3 3 3" xfId="5784" xr:uid="{F2897870-BEE2-414F-BE2D-5FDAAD8E441A}"/>
    <cellStyle name="Comma 9 2 2 3 3 3 2" xfId="14456" xr:uid="{3DE8C7F8-994A-4CAE-9307-5CFC02DBDF2D}"/>
    <cellStyle name="Comma 9 2 2 3 3 3 2 2" xfId="31800" xr:uid="{708A8332-CFC3-492C-93B5-F1822D7D2AD9}"/>
    <cellStyle name="Comma 9 2 2 3 3 3 3" xfId="23128" xr:uid="{63B6711E-12ED-439A-866F-7ACB0ACEAF82}"/>
    <cellStyle name="Comma 9 2 2 3 3 4" xfId="10120" xr:uid="{1727A4F4-611F-4579-92B9-43E84A366E34}"/>
    <cellStyle name="Comma 9 2 2 3 3 4 2" xfId="27464" xr:uid="{66D64D59-F504-4E53-B25F-CFCA86F05A4F}"/>
    <cellStyle name="Comma 9 2 2 3 3 5" xfId="18792" xr:uid="{A28EC5C2-C55B-4B73-8D8F-6A4FC2B437D0}"/>
    <cellStyle name="Comma 9 2 2 3 4" xfId="2532" xr:uid="{BF70393C-762B-4DD4-B218-226CF0ED0712}"/>
    <cellStyle name="Comma 9 2 2 3 4 2" xfId="6868" xr:uid="{CCDFEEF2-EA5D-4465-8A2C-62BC1EFE9D1F}"/>
    <cellStyle name="Comma 9 2 2 3 4 2 2" xfId="15540" xr:uid="{4D206315-DCD3-4DE9-9AA7-41113AF44B13}"/>
    <cellStyle name="Comma 9 2 2 3 4 2 2 2" xfId="32884" xr:uid="{30081011-E6F2-4989-A6B9-3FE70970F56A}"/>
    <cellStyle name="Comma 9 2 2 3 4 2 3" xfId="24212" xr:uid="{CB615DE4-C8D5-4F32-BE61-FBDFD3386037}"/>
    <cellStyle name="Comma 9 2 2 3 4 3" xfId="11204" xr:uid="{70D10C97-9354-4818-AC45-A2962F5899C1}"/>
    <cellStyle name="Comma 9 2 2 3 4 3 2" xfId="28548" xr:uid="{6D635306-0B36-45DA-BE76-2F6AD49EAE9E}"/>
    <cellStyle name="Comma 9 2 2 3 4 4" xfId="19876" xr:uid="{936D5618-0482-4DB8-AAB6-AF12C9420AA3}"/>
    <cellStyle name="Comma 9 2 2 3 5" xfId="4700" xr:uid="{94AB5D9C-6512-4B21-A04D-A4EE7159853C}"/>
    <cellStyle name="Comma 9 2 2 3 5 2" xfId="13372" xr:uid="{E3168D07-AF6C-444B-B753-8F9BAEC0D89B}"/>
    <cellStyle name="Comma 9 2 2 3 5 2 2" xfId="30716" xr:uid="{1A3FD2A1-FAC8-4B4A-A524-C6FEAD86CD5D}"/>
    <cellStyle name="Comma 9 2 2 3 5 3" xfId="22044" xr:uid="{A4992D81-A066-45CC-A88F-C49273E5FE4C}"/>
    <cellStyle name="Comma 9 2 2 3 6" xfId="9036" xr:uid="{FB8DB733-89BC-4952-AB26-28B1F4006419}"/>
    <cellStyle name="Comma 9 2 2 3 6 2" xfId="26380" xr:uid="{3A932FDA-164E-4377-BF24-9AEE895ED7F3}"/>
    <cellStyle name="Comma 9 2 2 3 7" xfId="17708" xr:uid="{84C4AE64-F50A-4927-B049-47C6AAC31B96}"/>
    <cellStyle name="Comma 9 2 2 4" xfId="635" xr:uid="{075ED44A-DC1F-4898-B954-8E035E38FBBB}"/>
    <cellStyle name="Comma 9 2 2 4 2" xfId="1719" xr:uid="{48A1F71F-52F2-4B67-B665-87697A1C306D}"/>
    <cellStyle name="Comma 9 2 2 4 2 2" xfId="3887" xr:uid="{BAD8591F-822C-433F-932D-E0351A580B7E}"/>
    <cellStyle name="Comma 9 2 2 4 2 2 2" xfId="8223" xr:uid="{06FA269F-6FB9-4B04-8242-8BAB3AF7FF9C}"/>
    <cellStyle name="Comma 9 2 2 4 2 2 2 2" xfId="16895" xr:uid="{EB07C826-218A-4C17-ADBB-C759EA055AF6}"/>
    <cellStyle name="Comma 9 2 2 4 2 2 2 2 2" xfId="34239" xr:uid="{62BEE082-614B-4B2E-A580-D0875DBEBD78}"/>
    <cellStyle name="Comma 9 2 2 4 2 2 2 3" xfId="25567" xr:uid="{9E6D30D2-2774-4449-A6C3-BBE7DEC2708F}"/>
    <cellStyle name="Comma 9 2 2 4 2 2 3" xfId="12559" xr:uid="{529527D2-5CBB-48DF-AF04-49127E91E6EA}"/>
    <cellStyle name="Comma 9 2 2 4 2 2 3 2" xfId="29903" xr:uid="{A534F51C-7CCE-4208-A707-E379615B8408}"/>
    <cellStyle name="Comma 9 2 2 4 2 2 4" xfId="21231" xr:uid="{18F344A3-20F7-4AB5-A453-BA385F98D273}"/>
    <cellStyle name="Comma 9 2 2 4 2 3" xfId="6055" xr:uid="{87C11734-C676-49DF-90DE-764BAB0DADCA}"/>
    <cellStyle name="Comma 9 2 2 4 2 3 2" xfId="14727" xr:uid="{0F19710F-9E10-4D1B-BDA5-50C0426D4BFD}"/>
    <cellStyle name="Comma 9 2 2 4 2 3 2 2" xfId="32071" xr:uid="{246FA3EE-394D-4171-A4A5-6B2131B6413A}"/>
    <cellStyle name="Comma 9 2 2 4 2 3 3" xfId="23399" xr:uid="{40A2767A-DF7F-4831-A04F-1BB92D27965B}"/>
    <cellStyle name="Comma 9 2 2 4 2 4" xfId="10391" xr:uid="{421E91FC-C0A9-45F8-B197-DAF12A51EB3F}"/>
    <cellStyle name="Comma 9 2 2 4 2 4 2" xfId="27735" xr:uid="{F96D474F-3C7F-4AFB-A042-5E67C95D0E33}"/>
    <cellStyle name="Comma 9 2 2 4 2 5" xfId="19063" xr:uid="{6A06B006-B6D4-40CD-AD8B-589C6A008C0B}"/>
    <cellStyle name="Comma 9 2 2 4 3" xfId="2803" xr:uid="{78A75F57-A6CD-4B80-ACB4-BF6628766C02}"/>
    <cellStyle name="Comma 9 2 2 4 3 2" xfId="7139" xr:uid="{2D3D74C9-E197-4D50-BF05-DFD1114FD246}"/>
    <cellStyle name="Comma 9 2 2 4 3 2 2" xfId="15811" xr:uid="{071AC12D-789D-4B48-A569-24BE0D32A6C8}"/>
    <cellStyle name="Comma 9 2 2 4 3 2 2 2" xfId="33155" xr:uid="{951EA514-04DF-4822-B47E-564706879A3B}"/>
    <cellStyle name="Comma 9 2 2 4 3 2 3" xfId="24483" xr:uid="{AB9B5309-30E3-48EC-85DF-1987BCEBEDEF}"/>
    <cellStyle name="Comma 9 2 2 4 3 3" xfId="11475" xr:uid="{F7CB5CBA-42B0-499D-B8FA-CB5447DBA38D}"/>
    <cellStyle name="Comma 9 2 2 4 3 3 2" xfId="28819" xr:uid="{1CEAD24D-48A6-415A-BD62-45A720C30F91}"/>
    <cellStyle name="Comma 9 2 2 4 3 4" xfId="20147" xr:uid="{0E090A55-8DC4-44BD-AAE3-D83CEDCC0700}"/>
    <cellStyle name="Comma 9 2 2 4 4" xfId="4971" xr:uid="{A54D6526-B888-4C54-84B7-5DA830170C70}"/>
    <cellStyle name="Comma 9 2 2 4 4 2" xfId="13643" xr:uid="{E49C1FCF-0D0D-40AE-AD02-30C8E6FFF6F4}"/>
    <cellStyle name="Comma 9 2 2 4 4 2 2" xfId="30987" xr:uid="{0353A0F0-7423-4D1E-83F2-AB26D5AC0AFF}"/>
    <cellStyle name="Comma 9 2 2 4 4 3" xfId="22315" xr:uid="{F273B421-E207-482C-8EE4-22F3746504F9}"/>
    <cellStyle name="Comma 9 2 2 4 5" xfId="9307" xr:uid="{E77E0E45-0324-4805-80A7-E6F86FD4A0F8}"/>
    <cellStyle name="Comma 9 2 2 4 5 2" xfId="26651" xr:uid="{E56624B4-F2C5-4A4D-AB67-B5068CA1A356}"/>
    <cellStyle name="Comma 9 2 2 4 6" xfId="17979" xr:uid="{1A7ED06B-BC53-43CF-A353-42CFC520C9EA}"/>
    <cellStyle name="Comma 9 2 2 5" xfId="1178" xr:uid="{4A81809B-07B0-4F3C-8D9E-E2BA33B53B9F}"/>
    <cellStyle name="Comma 9 2 2 5 2" xfId="3346" xr:uid="{2D55366A-DAB5-4F69-AA96-86829EDFF6E6}"/>
    <cellStyle name="Comma 9 2 2 5 2 2" xfId="7682" xr:uid="{42F1E66B-7232-418E-B2E0-AF6518E6B78E}"/>
    <cellStyle name="Comma 9 2 2 5 2 2 2" xfId="16354" xr:uid="{E81F3CFB-1D64-49C9-9F48-172CCD92061F}"/>
    <cellStyle name="Comma 9 2 2 5 2 2 2 2" xfId="33698" xr:uid="{C0B856F0-98E1-415F-B48E-D8C3F8DDF3E5}"/>
    <cellStyle name="Comma 9 2 2 5 2 2 3" xfId="25026" xr:uid="{E2E77026-1B2F-4F4F-94BA-9A7D022E829C}"/>
    <cellStyle name="Comma 9 2 2 5 2 3" xfId="12018" xr:uid="{53F6E453-35CF-493B-85C2-4429E79C0BF8}"/>
    <cellStyle name="Comma 9 2 2 5 2 3 2" xfId="29362" xr:uid="{7E8F6478-B4C3-4138-B70D-A2C264B277EA}"/>
    <cellStyle name="Comma 9 2 2 5 2 4" xfId="20690" xr:uid="{894A1F28-AF6E-47AD-92FE-74DFF4C8DC5A}"/>
    <cellStyle name="Comma 9 2 2 5 3" xfId="5514" xr:uid="{934C260C-54D0-4F0E-8C59-AB8E61D5426D}"/>
    <cellStyle name="Comma 9 2 2 5 3 2" xfId="14186" xr:uid="{64FE2CE0-8F17-4330-8DCD-32BBFA98E2CE}"/>
    <cellStyle name="Comma 9 2 2 5 3 2 2" xfId="31530" xr:uid="{78098A67-1236-420D-A0D2-A016CDBF8D13}"/>
    <cellStyle name="Comma 9 2 2 5 3 3" xfId="22858" xr:uid="{AC017B98-C751-4689-9328-A7663FBD261D}"/>
    <cellStyle name="Comma 9 2 2 5 4" xfId="9850" xr:uid="{508EDAEF-E075-4E3D-8374-53D5AB6B3F48}"/>
    <cellStyle name="Comma 9 2 2 5 4 2" xfId="27194" xr:uid="{C2BC73DE-8E2B-43FE-8AAE-8B96E8C5E03C}"/>
    <cellStyle name="Comma 9 2 2 5 5" xfId="18522" xr:uid="{09809A90-80E0-49CC-AA5F-9CF0E9AE5B53}"/>
    <cellStyle name="Comma 9 2 2 6" xfId="2262" xr:uid="{F106B910-A744-4F12-8B57-704B61B6013C}"/>
    <cellStyle name="Comma 9 2 2 6 2" xfId="6598" xr:uid="{5BE675EE-7C5B-4792-8504-87B4F12FA2DE}"/>
    <cellStyle name="Comma 9 2 2 6 2 2" xfId="15270" xr:uid="{EA8928C2-D93E-4D4F-9410-741E646ED7E5}"/>
    <cellStyle name="Comma 9 2 2 6 2 2 2" xfId="32614" xr:uid="{D9C03C12-43B5-4FC5-83EF-8FA421D3D7E2}"/>
    <cellStyle name="Comma 9 2 2 6 2 3" xfId="23942" xr:uid="{0B9C0D82-6ABC-4E33-B5D0-C02E54C2DE77}"/>
    <cellStyle name="Comma 9 2 2 6 3" xfId="10934" xr:uid="{2A3CB1AF-A9E7-4CFD-8E1B-FD92B9EEB40B}"/>
    <cellStyle name="Comma 9 2 2 6 3 2" xfId="28278" xr:uid="{068BA57B-A90C-40C2-91A7-C48FBB44F097}"/>
    <cellStyle name="Comma 9 2 2 6 4" xfId="19606" xr:uid="{74377C15-7947-44A8-843E-43D9299F6898}"/>
    <cellStyle name="Comma 9 2 2 7" xfId="4430" xr:uid="{B4F1C100-649E-4CAE-B1A3-CD79973C5131}"/>
    <cellStyle name="Comma 9 2 2 7 2" xfId="13102" xr:uid="{FB3FC0D9-AA16-4AD7-A8D7-226967E8BDFB}"/>
    <cellStyle name="Comma 9 2 2 7 2 2" xfId="30446" xr:uid="{77E571B5-2BD1-4949-BDCF-10D9C0A01E88}"/>
    <cellStyle name="Comma 9 2 2 7 3" xfId="21774" xr:uid="{AD005D5C-ED5F-4102-BAAF-29B6A2C8F18C}"/>
    <cellStyle name="Comma 9 2 2 8" xfId="8766" xr:uid="{258B957E-FCB4-4079-A471-D49C49E98E92}"/>
    <cellStyle name="Comma 9 2 2 8 2" xfId="26110" xr:uid="{40747EBE-5021-4AE4-90E9-F85C1719667C}"/>
    <cellStyle name="Comma 9 2 2 9" xfId="17438" xr:uid="{BA2E8FF8-AD4C-4F14-B276-4946BBEE3168}"/>
    <cellStyle name="Comma 9 2 3" xfId="155" xr:uid="{1E23A69C-A8CF-4F0B-BA5B-BE7A00048FFA}"/>
    <cellStyle name="Comma 9 2 3 2" xfId="425" xr:uid="{B8670036-8B26-46AC-8924-4FFADA0BD52C}"/>
    <cellStyle name="Comma 9 2 3 2 2" xfId="966" xr:uid="{27168351-FEAE-4771-89C7-5EA619A90005}"/>
    <cellStyle name="Comma 9 2 3 2 2 2" xfId="2050" xr:uid="{2221AB4D-14D8-4D43-9E13-FEBB969F9D97}"/>
    <cellStyle name="Comma 9 2 3 2 2 2 2" xfId="4218" xr:uid="{401F8785-FC09-4E0E-A65C-CA24B5237B51}"/>
    <cellStyle name="Comma 9 2 3 2 2 2 2 2" xfId="8554" xr:uid="{357C7A91-AE3B-48DA-AB67-026EFB29AA47}"/>
    <cellStyle name="Comma 9 2 3 2 2 2 2 2 2" xfId="17226" xr:uid="{EC05554F-B7F4-4F91-94CE-270B60D08987}"/>
    <cellStyle name="Comma 9 2 3 2 2 2 2 2 2 2" xfId="34570" xr:uid="{CC6C5FAE-BFD6-40D9-8583-C1A08855A388}"/>
    <cellStyle name="Comma 9 2 3 2 2 2 2 2 3" xfId="25898" xr:uid="{63D753BE-4C92-49A1-8BE1-67FAF255758E}"/>
    <cellStyle name="Comma 9 2 3 2 2 2 2 3" xfId="12890" xr:uid="{B0029A7A-FB34-4943-B466-FE282244028D}"/>
    <cellStyle name="Comma 9 2 3 2 2 2 2 3 2" xfId="30234" xr:uid="{F381088B-C1F4-4B5E-AE91-9DC33243226A}"/>
    <cellStyle name="Comma 9 2 3 2 2 2 2 4" xfId="21562" xr:uid="{1B3AA4F3-013C-404B-A270-63C87D99F675}"/>
    <cellStyle name="Comma 9 2 3 2 2 2 3" xfId="6386" xr:uid="{6D1EB4EB-EB90-4014-B844-FA16D06059D4}"/>
    <cellStyle name="Comma 9 2 3 2 2 2 3 2" xfId="15058" xr:uid="{37FEBBF6-8169-41B8-9E87-CAABC07A09D0}"/>
    <cellStyle name="Comma 9 2 3 2 2 2 3 2 2" xfId="32402" xr:uid="{272B7A79-C0D0-403C-B754-7F24FA8B7F67}"/>
    <cellStyle name="Comma 9 2 3 2 2 2 3 3" xfId="23730" xr:uid="{1B44D9C2-0AD7-4813-888B-39A1AE810B59}"/>
    <cellStyle name="Comma 9 2 3 2 2 2 4" xfId="10722" xr:uid="{3E146A73-6F60-43EF-BD88-A73A8017B034}"/>
    <cellStyle name="Comma 9 2 3 2 2 2 4 2" xfId="28066" xr:uid="{4B016B3A-5721-4B3E-8B6A-BC4D66ECC27D}"/>
    <cellStyle name="Comma 9 2 3 2 2 2 5" xfId="19394" xr:uid="{681770E0-F7AE-42B0-9010-732E26CBDFB4}"/>
    <cellStyle name="Comma 9 2 3 2 2 3" xfId="3134" xr:uid="{836FA547-2757-43E4-9C4D-BA0635DA89EF}"/>
    <cellStyle name="Comma 9 2 3 2 2 3 2" xfId="7470" xr:uid="{EF724456-A187-42AB-8496-2063BE26C7AC}"/>
    <cellStyle name="Comma 9 2 3 2 2 3 2 2" xfId="16142" xr:uid="{E9B72121-C57F-447A-8BD3-0F6B2A2F0979}"/>
    <cellStyle name="Comma 9 2 3 2 2 3 2 2 2" xfId="33486" xr:uid="{2DA4C214-293C-419D-9B65-C13A9A6EEC8F}"/>
    <cellStyle name="Comma 9 2 3 2 2 3 2 3" xfId="24814" xr:uid="{F2BB8244-DFAE-4AC2-904F-F8574BCA25EC}"/>
    <cellStyle name="Comma 9 2 3 2 2 3 3" xfId="11806" xr:uid="{E7D27D8C-23DC-429D-BF61-5716D81B2F92}"/>
    <cellStyle name="Comma 9 2 3 2 2 3 3 2" xfId="29150" xr:uid="{D6A6EB16-CF68-457D-B118-BA24B4B4D5E0}"/>
    <cellStyle name="Comma 9 2 3 2 2 3 4" xfId="20478" xr:uid="{E9AF086D-46C9-4501-959E-C3C04964059A}"/>
    <cellStyle name="Comma 9 2 3 2 2 4" xfId="5302" xr:uid="{0894E6E6-B5C9-482C-BB34-F4047F41F5EA}"/>
    <cellStyle name="Comma 9 2 3 2 2 4 2" xfId="13974" xr:uid="{5F818363-08F1-41CB-B52F-EB082890712F}"/>
    <cellStyle name="Comma 9 2 3 2 2 4 2 2" xfId="31318" xr:uid="{BD32C4D0-18CC-4596-88E1-CCFE273E288A}"/>
    <cellStyle name="Comma 9 2 3 2 2 4 3" xfId="22646" xr:uid="{FC4E10F9-BC3A-4118-801F-0CF0A37B9194}"/>
    <cellStyle name="Comma 9 2 3 2 2 5" xfId="9638" xr:uid="{A44A6E28-99F9-41D6-9304-AFB090B06DE1}"/>
    <cellStyle name="Comma 9 2 3 2 2 5 2" xfId="26982" xr:uid="{F68DD83C-A01F-42B0-94CA-809D30951B09}"/>
    <cellStyle name="Comma 9 2 3 2 2 6" xfId="18310" xr:uid="{0D690DCA-7D2F-45E8-BAC4-ACA51ACBDE24}"/>
    <cellStyle name="Comma 9 2 3 2 3" xfId="1509" xr:uid="{CD2340E1-A189-4A9A-BF07-F7AAF400448C}"/>
    <cellStyle name="Comma 9 2 3 2 3 2" xfId="3677" xr:uid="{03D103FF-DABC-4142-A4A7-1F1EDFC233F6}"/>
    <cellStyle name="Comma 9 2 3 2 3 2 2" xfId="8013" xr:uid="{18FC942E-E034-45B8-8897-372870D2E90A}"/>
    <cellStyle name="Comma 9 2 3 2 3 2 2 2" xfId="16685" xr:uid="{E5B27619-E5FC-4BE9-8079-042A04B53A2B}"/>
    <cellStyle name="Comma 9 2 3 2 3 2 2 2 2" xfId="34029" xr:uid="{86786034-D457-4567-BE4E-4445A52B5CF7}"/>
    <cellStyle name="Comma 9 2 3 2 3 2 2 3" xfId="25357" xr:uid="{A3A6B7A4-97C5-41DF-A780-5467CDB4D5BE}"/>
    <cellStyle name="Comma 9 2 3 2 3 2 3" xfId="12349" xr:uid="{ABCEA95B-84E2-4A1E-A254-CA49184F1E28}"/>
    <cellStyle name="Comma 9 2 3 2 3 2 3 2" xfId="29693" xr:uid="{241B1211-6141-40E7-A694-CE53D9200EC4}"/>
    <cellStyle name="Comma 9 2 3 2 3 2 4" xfId="21021" xr:uid="{DA81F201-1E00-4E35-8837-022ACD35AC97}"/>
    <cellStyle name="Comma 9 2 3 2 3 3" xfId="5845" xr:uid="{3CD23AC2-E635-4245-B7CD-6A7D7B7F7079}"/>
    <cellStyle name="Comma 9 2 3 2 3 3 2" xfId="14517" xr:uid="{1542B6EF-B98A-425F-8BF2-C1BE456DA6A6}"/>
    <cellStyle name="Comma 9 2 3 2 3 3 2 2" xfId="31861" xr:uid="{76A1D511-D7F7-4F6B-9114-E3542B2AE8C8}"/>
    <cellStyle name="Comma 9 2 3 2 3 3 3" xfId="23189" xr:uid="{38573724-BD6C-411E-A1E7-F2999DB5BC78}"/>
    <cellStyle name="Comma 9 2 3 2 3 4" xfId="10181" xr:uid="{B5D14299-984A-47D4-BBAC-74F68CD80151}"/>
    <cellStyle name="Comma 9 2 3 2 3 4 2" xfId="27525" xr:uid="{8BD4B1E1-96AE-42D3-8A31-DDD608F74363}"/>
    <cellStyle name="Comma 9 2 3 2 3 5" xfId="18853" xr:uid="{9D6B1030-7E2D-4A72-A979-57A3C7856AC7}"/>
    <cellStyle name="Comma 9 2 3 2 4" xfId="2593" xr:uid="{FC4B3786-7856-48E0-BAA0-5D2193124100}"/>
    <cellStyle name="Comma 9 2 3 2 4 2" xfId="6929" xr:uid="{1FF2B5AB-6104-4107-912B-035C8C1A8A54}"/>
    <cellStyle name="Comma 9 2 3 2 4 2 2" xfId="15601" xr:uid="{C3666AF4-FE57-4BF0-AE81-3733B1ED5179}"/>
    <cellStyle name="Comma 9 2 3 2 4 2 2 2" xfId="32945" xr:uid="{844FCAC4-76EB-4DF7-B432-A6E7E8632961}"/>
    <cellStyle name="Comma 9 2 3 2 4 2 3" xfId="24273" xr:uid="{A72A7902-E918-485B-9E0D-2FF8EC6C85BA}"/>
    <cellStyle name="Comma 9 2 3 2 4 3" xfId="11265" xr:uid="{ADE02DFE-D0AB-4C39-9D3E-166F7BD61D97}"/>
    <cellStyle name="Comma 9 2 3 2 4 3 2" xfId="28609" xr:uid="{19DC7ACB-73A0-4A53-A90B-1D962751C6BB}"/>
    <cellStyle name="Comma 9 2 3 2 4 4" xfId="19937" xr:uid="{CB3679C7-093A-4D50-9E75-DEBE31F9956F}"/>
    <cellStyle name="Comma 9 2 3 2 5" xfId="4761" xr:uid="{64B8E2C1-FAC3-44DE-AE12-9E1DF66D34A3}"/>
    <cellStyle name="Comma 9 2 3 2 5 2" xfId="13433" xr:uid="{5D83CF35-5C71-4274-B149-1AF9980330DB}"/>
    <cellStyle name="Comma 9 2 3 2 5 2 2" xfId="30777" xr:uid="{A6AE586A-9A8F-4E8D-A90C-4C315E4F0AE8}"/>
    <cellStyle name="Comma 9 2 3 2 5 3" xfId="22105" xr:uid="{310ED2BB-FEA2-47BC-984A-A9C4AE073382}"/>
    <cellStyle name="Comma 9 2 3 2 6" xfId="9097" xr:uid="{9C8F31E4-C3AA-4562-BCDB-452BAF2F1649}"/>
    <cellStyle name="Comma 9 2 3 2 6 2" xfId="26441" xr:uid="{59F61458-CDEE-4E88-9B57-CB19EA9DF34C}"/>
    <cellStyle name="Comma 9 2 3 2 7" xfId="17769" xr:uid="{20D48CC7-3694-4DC2-ACAD-821973A94D3D}"/>
    <cellStyle name="Comma 9 2 3 3" xfId="696" xr:uid="{137BD1F4-50B6-4346-9D06-C6EE2A112943}"/>
    <cellStyle name="Comma 9 2 3 3 2" xfId="1780" xr:uid="{11D775DA-017A-46AB-9800-119E3F54D9DA}"/>
    <cellStyle name="Comma 9 2 3 3 2 2" xfId="3948" xr:uid="{6EA0A2A8-7A16-4642-AAB0-BFCE61A634EC}"/>
    <cellStyle name="Comma 9 2 3 3 2 2 2" xfId="8284" xr:uid="{7665250C-BFDA-4F67-B3EA-78542A646D76}"/>
    <cellStyle name="Comma 9 2 3 3 2 2 2 2" xfId="16956" xr:uid="{5670109E-445A-4CB3-AA86-77E036D91BD5}"/>
    <cellStyle name="Comma 9 2 3 3 2 2 2 2 2" xfId="34300" xr:uid="{3B13A59D-0036-40E7-99AD-80398DB41CA0}"/>
    <cellStyle name="Comma 9 2 3 3 2 2 2 3" xfId="25628" xr:uid="{B23E996F-4E7F-43D7-AC13-865C9571C256}"/>
    <cellStyle name="Comma 9 2 3 3 2 2 3" xfId="12620" xr:uid="{D82E5798-9885-4767-8279-2E8097085120}"/>
    <cellStyle name="Comma 9 2 3 3 2 2 3 2" xfId="29964" xr:uid="{EDCBBDA6-9651-46A1-9981-B15299E327E2}"/>
    <cellStyle name="Comma 9 2 3 3 2 2 4" xfId="21292" xr:uid="{AE1EA7FD-28A0-41AD-91BE-42B9A053A384}"/>
    <cellStyle name="Comma 9 2 3 3 2 3" xfId="6116" xr:uid="{573A7386-4F69-4C59-B991-B264107037D2}"/>
    <cellStyle name="Comma 9 2 3 3 2 3 2" xfId="14788" xr:uid="{550C439C-5089-46B7-B1A9-38C4C3FBF339}"/>
    <cellStyle name="Comma 9 2 3 3 2 3 2 2" xfId="32132" xr:uid="{C07EBFE6-298B-4E09-9811-51E2D507B8E3}"/>
    <cellStyle name="Comma 9 2 3 3 2 3 3" xfId="23460" xr:uid="{EC1C00B7-753B-4D26-85BC-482EEBD5977F}"/>
    <cellStyle name="Comma 9 2 3 3 2 4" xfId="10452" xr:uid="{0A0888B9-25F6-4293-AD3E-7F890435CA76}"/>
    <cellStyle name="Comma 9 2 3 3 2 4 2" xfId="27796" xr:uid="{2F641A53-23B0-4572-B08B-FA4049FA6432}"/>
    <cellStyle name="Comma 9 2 3 3 2 5" xfId="19124" xr:uid="{63DE4D15-0226-4CB2-BD6E-887364C0DA47}"/>
    <cellStyle name="Comma 9 2 3 3 3" xfId="2864" xr:uid="{45BCF3C9-A842-4A3F-A6F6-FCF6215D9D61}"/>
    <cellStyle name="Comma 9 2 3 3 3 2" xfId="7200" xr:uid="{975D407E-1317-4460-B57D-4B886A973029}"/>
    <cellStyle name="Comma 9 2 3 3 3 2 2" xfId="15872" xr:uid="{BA25CCF9-DAD6-4600-A7D6-623AB088AAA5}"/>
    <cellStyle name="Comma 9 2 3 3 3 2 2 2" xfId="33216" xr:uid="{14121BE9-15F7-49FD-8147-7C41B510F7D9}"/>
    <cellStyle name="Comma 9 2 3 3 3 2 3" xfId="24544" xr:uid="{6CA30ABC-EEFD-47D0-A0AA-67F6750B0779}"/>
    <cellStyle name="Comma 9 2 3 3 3 3" xfId="11536" xr:uid="{858C56D6-C353-4253-839C-80344FD82DB3}"/>
    <cellStyle name="Comma 9 2 3 3 3 3 2" xfId="28880" xr:uid="{F69F0FCF-A5B2-4FF6-9D64-0203F3E1D256}"/>
    <cellStyle name="Comma 9 2 3 3 3 4" xfId="20208" xr:uid="{16899CC7-65B9-4305-B90C-3146DBFA258A}"/>
    <cellStyle name="Comma 9 2 3 3 4" xfId="5032" xr:uid="{9225BBB0-D933-4A6F-B760-25CA919DB460}"/>
    <cellStyle name="Comma 9 2 3 3 4 2" xfId="13704" xr:uid="{E88F4698-CE88-4914-874E-FB0DB38DE2E0}"/>
    <cellStyle name="Comma 9 2 3 3 4 2 2" xfId="31048" xr:uid="{AB5CC120-4A81-4E43-88FB-5090C082374C}"/>
    <cellStyle name="Comma 9 2 3 3 4 3" xfId="22376" xr:uid="{B85B78D6-603D-42DF-B9DE-63DF60C65E4A}"/>
    <cellStyle name="Comma 9 2 3 3 5" xfId="9368" xr:uid="{240C296D-5894-4564-81D2-0EE0DF1D38DF}"/>
    <cellStyle name="Comma 9 2 3 3 5 2" xfId="26712" xr:uid="{2EF0C8E3-AF27-4D48-A54C-39165AE2B644}"/>
    <cellStyle name="Comma 9 2 3 3 6" xfId="18040" xr:uid="{3AB57D6F-F921-4556-8EEE-4CAC13958F8C}"/>
    <cellStyle name="Comma 9 2 3 4" xfId="1239" xr:uid="{55DFC2FA-D694-46D1-8E82-9F7A95A9D5A1}"/>
    <cellStyle name="Comma 9 2 3 4 2" xfId="3407" xr:uid="{6F0CAA41-3CCA-40BD-8B18-A48241FAACB3}"/>
    <cellStyle name="Comma 9 2 3 4 2 2" xfId="7743" xr:uid="{0F5489D2-8939-4C50-9AE8-8494D8028053}"/>
    <cellStyle name="Comma 9 2 3 4 2 2 2" xfId="16415" xr:uid="{D7391FFA-CD06-4A57-A033-5BD1F552EE5A}"/>
    <cellStyle name="Comma 9 2 3 4 2 2 2 2" xfId="33759" xr:uid="{162AA708-1A0B-46C8-ACC6-623112565286}"/>
    <cellStyle name="Comma 9 2 3 4 2 2 3" xfId="25087" xr:uid="{80248601-1D55-4444-8633-626600C2134E}"/>
    <cellStyle name="Comma 9 2 3 4 2 3" xfId="12079" xr:uid="{CF40CCCB-4BDC-43AF-A399-BDD37F573133}"/>
    <cellStyle name="Comma 9 2 3 4 2 3 2" xfId="29423" xr:uid="{6B5BB8F0-3CFE-43C4-8B5D-E85A8465A13A}"/>
    <cellStyle name="Comma 9 2 3 4 2 4" xfId="20751" xr:uid="{EE0D4BCA-675F-4823-BC83-80E91BE2052A}"/>
    <cellStyle name="Comma 9 2 3 4 3" xfId="5575" xr:uid="{D297252E-B960-4713-AB34-9D881501CF45}"/>
    <cellStyle name="Comma 9 2 3 4 3 2" xfId="14247" xr:uid="{A4221A38-B87A-42DB-81BE-257460BAC96D}"/>
    <cellStyle name="Comma 9 2 3 4 3 2 2" xfId="31591" xr:uid="{90B65CFF-A105-4E64-B68C-91A734AFB14D}"/>
    <cellStyle name="Comma 9 2 3 4 3 3" xfId="22919" xr:uid="{61D8F675-731B-4E58-8591-090EBBB7EB52}"/>
    <cellStyle name="Comma 9 2 3 4 4" xfId="9911" xr:uid="{2BBB72FF-3306-4571-A73B-6126353C7483}"/>
    <cellStyle name="Comma 9 2 3 4 4 2" xfId="27255" xr:uid="{098B766F-D566-4462-BA1E-346561155ECC}"/>
    <cellStyle name="Comma 9 2 3 4 5" xfId="18583" xr:uid="{9ABB3F42-6BC1-40A7-8CC5-F5EC82B31940}"/>
    <cellStyle name="Comma 9 2 3 5" xfId="2323" xr:uid="{4F22408B-FC55-4124-AC88-42777866B3EC}"/>
    <cellStyle name="Comma 9 2 3 5 2" xfId="6659" xr:uid="{280C6A09-2443-4F4A-8427-2A2AA680549E}"/>
    <cellStyle name="Comma 9 2 3 5 2 2" xfId="15331" xr:uid="{8AB3AE2C-DFB1-4655-8CCB-A7E80D6A1926}"/>
    <cellStyle name="Comma 9 2 3 5 2 2 2" xfId="32675" xr:uid="{5079168D-0D8D-4957-81E2-1323C68993AB}"/>
    <cellStyle name="Comma 9 2 3 5 2 3" xfId="24003" xr:uid="{38DE8A58-4007-4FD3-AA8C-2B6C73DA5C2E}"/>
    <cellStyle name="Comma 9 2 3 5 3" xfId="10995" xr:uid="{5CAA3BF6-8BD1-4AA3-9830-EFC4E28FA5EB}"/>
    <cellStyle name="Comma 9 2 3 5 3 2" xfId="28339" xr:uid="{99419A7D-FD8E-446A-B55E-B0F8CB304989}"/>
    <cellStyle name="Comma 9 2 3 5 4" xfId="19667" xr:uid="{5288E2D7-64E6-4284-8745-026EF9722E10}"/>
    <cellStyle name="Comma 9 2 3 6" xfId="4491" xr:uid="{8EE041F3-5993-4DFE-A357-6CFC37469727}"/>
    <cellStyle name="Comma 9 2 3 6 2" xfId="13163" xr:uid="{144DEFCA-F836-4985-BFAE-6B6F80A7E278}"/>
    <cellStyle name="Comma 9 2 3 6 2 2" xfId="30507" xr:uid="{20260A31-4352-48D4-9FE5-179F46F71E1C}"/>
    <cellStyle name="Comma 9 2 3 6 3" xfId="21835" xr:uid="{442678AD-13DE-4AA3-B840-DC6C4586DBD8}"/>
    <cellStyle name="Comma 9 2 3 7" xfId="8827" xr:uid="{DFCC36D4-7800-4318-8F56-DBE9C4CA2D9A}"/>
    <cellStyle name="Comma 9 2 3 7 2" xfId="26171" xr:uid="{095BC9FC-1709-4064-8D58-B5F29B782CA3}"/>
    <cellStyle name="Comma 9 2 3 8" xfId="17499" xr:uid="{C26CDA3A-27A5-49A3-B599-F9B494BCBE5E}"/>
    <cellStyle name="Comma 9 2 4" xfId="303" xr:uid="{10781597-760B-4E83-B9B7-4BC5A5845454}"/>
    <cellStyle name="Comma 9 2 4 2" xfId="844" xr:uid="{C736F391-9671-4796-8B5C-2857E7CBB750}"/>
    <cellStyle name="Comma 9 2 4 2 2" xfId="1928" xr:uid="{7FC7D7B7-074F-42EC-BCD9-B25556DD3439}"/>
    <cellStyle name="Comma 9 2 4 2 2 2" xfId="4096" xr:uid="{F504981C-5E1B-43AA-BA1D-C48A5EFF3130}"/>
    <cellStyle name="Comma 9 2 4 2 2 2 2" xfId="8432" xr:uid="{BEF21B31-C7B1-4F8B-A0FA-82D5B7F16432}"/>
    <cellStyle name="Comma 9 2 4 2 2 2 2 2" xfId="17104" xr:uid="{5E72B196-C375-486F-9CC4-AA9703816DF2}"/>
    <cellStyle name="Comma 9 2 4 2 2 2 2 2 2" xfId="34448" xr:uid="{4EDAD77D-CD22-4BE8-AF83-67FA52578460}"/>
    <cellStyle name="Comma 9 2 4 2 2 2 2 3" xfId="25776" xr:uid="{8C7D4DF3-FBA6-423D-ACCB-3CCA5E7D3467}"/>
    <cellStyle name="Comma 9 2 4 2 2 2 3" xfId="12768" xr:uid="{EB0278E1-058F-46D1-A530-6638DAC4D269}"/>
    <cellStyle name="Comma 9 2 4 2 2 2 3 2" xfId="30112" xr:uid="{C69934E8-F940-481D-A691-95A9B3F91DF6}"/>
    <cellStyle name="Comma 9 2 4 2 2 2 4" xfId="21440" xr:uid="{19CE5B8A-7B1A-4EE5-B968-EC6DA7C3339D}"/>
    <cellStyle name="Comma 9 2 4 2 2 3" xfId="6264" xr:uid="{F4454D81-AA42-40C2-A9BA-87FBB345CC3C}"/>
    <cellStyle name="Comma 9 2 4 2 2 3 2" xfId="14936" xr:uid="{0E7981B9-1307-4D87-B0DB-F88319D9A306}"/>
    <cellStyle name="Comma 9 2 4 2 2 3 2 2" xfId="32280" xr:uid="{E7C50F38-63D6-4FC4-807A-0651D87771A0}"/>
    <cellStyle name="Comma 9 2 4 2 2 3 3" xfId="23608" xr:uid="{EA108E62-2FBC-42F8-BD3C-39AAB8DAF1C3}"/>
    <cellStyle name="Comma 9 2 4 2 2 4" xfId="10600" xr:uid="{3F9D8AC6-2550-48C5-840C-14CFF8BF258B}"/>
    <cellStyle name="Comma 9 2 4 2 2 4 2" xfId="27944" xr:uid="{9BBFD1AC-E606-4908-A1AF-65D4CD79D3FB}"/>
    <cellStyle name="Comma 9 2 4 2 2 5" xfId="19272" xr:uid="{180A4884-2233-4A76-BA84-5D28344976BF}"/>
    <cellStyle name="Comma 9 2 4 2 3" xfId="3012" xr:uid="{8F3E3ECC-79C9-497E-B1B5-701E88ACAA0F}"/>
    <cellStyle name="Comma 9 2 4 2 3 2" xfId="7348" xr:uid="{2221ACD3-0119-4354-A63B-CDCDFE06A1CC}"/>
    <cellStyle name="Comma 9 2 4 2 3 2 2" xfId="16020" xr:uid="{DA65717A-0407-44A6-BD66-4B6514466258}"/>
    <cellStyle name="Comma 9 2 4 2 3 2 2 2" xfId="33364" xr:uid="{5539FF34-ED3B-4E68-AF0B-4E717D66289F}"/>
    <cellStyle name="Comma 9 2 4 2 3 2 3" xfId="24692" xr:uid="{987C6A5E-CED3-4704-B0B1-BA49771D0F37}"/>
    <cellStyle name="Comma 9 2 4 2 3 3" xfId="11684" xr:uid="{EA5F875B-707B-4915-8799-B289F0B6E78E}"/>
    <cellStyle name="Comma 9 2 4 2 3 3 2" xfId="29028" xr:uid="{353888C9-CD53-488F-9FFA-1E219EE1FF9D}"/>
    <cellStyle name="Comma 9 2 4 2 3 4" xfId="20356" xr:uid="{CD027E64-8710-4AC8-BCED-533E5A98D915}"/>
    <cellStyle name="Comma 9 2 4 2 4" xfId="5180" xr:uid="{B553EE6A-6E26-4297-94CD-E65EF72AD971}"/>
    <cellStyle name="Comma 9 2 4 2 4 2" xfId="13852" xr:uid="{64A02219-ED18-47F4-AD51-9687FE12995A}"/>
    <cellStyle name="Comma 9 2 4 2 4 2 2" xfId="31196" xr:uid="{2456D208-2251-4420-BF9F-FD555EC2635E}"/>
    <cellStyle name="Comma 9 2 4 2 4 3" xfId="22524" xr:uid="{82028D95-46BE-4B5F-99F9-CCD57E85E75D}"/>
    <cellStyle name="Comma 9 2 4 2 5" xfId="9516" xr:uid="{55153D4E-4C46-4323-BF80-7FE43DB69491}"/>
    <cellStyle name="Comma 9 2 4 2 5 2" xfId="26860" xr:uid="{4E132991-7CF6-4BF7-AD97-ACAC6E8E463C}"/>
    <cellStyle name="Comma 9 2 4 2 6" xfId="18188" xr:uid="{6D559E27-DD80-4500-B350-40D6A9F7F64F}"/>
    <cellStyle name="Comma 9 2 4 3" xfId="1387" xr:uid="{27F9D172-2A5A-49F0-9E18-AFCC8A064928}"/>
    <cellStyle name="Comma 9 2 4 3 2" xfId="3555" xr:uid="{758C7EDA-C6D8-4F5E-808F-F37B1B8F2E7F}"/>
    <cellStyle name="Comma 9 2 4 3 2 2" xfId="7891" xr:uid="{CDC191B8-4E34-4C2A-8D38-629D7F9E4E20}"/>
    <cellStyle name="Comma 9 2 4 3 2 2 2" xfId="16563" xr:uid="{B6D391C7-282E-4CE3-A321-626528D9107A}"/>
    <cellStyle name="Comma 9 2 4 3 2 2 2 2" xfId="33907" xr:uid="{A277EA51-CE9E-46AC-A4E1-9F5F869078D0}"/>
    <cellStyle name="Comma 9 2 4 3 2 2 3" xfId="25235" xr:uid="{6CE97CBD-9138-4D5B-AB57-305D61280FEB}"/>
    <cellStyle name="Comma 9 2 4 3 2 3" xfId="12227" xr:uid="{89EC2F1C-EDCF-4E59-B91D-2099725FB091}"/>
    <cellStyle name="Comma 9 2 4 3 2 3 2" xfId="29571" xr:uid="{6B0D2FC1-3617-4C7F-803B-932686E89D06}"/>
    <cellStyle name="Comma 9 2 4 3 2 4" xfId="20899" xr:uid="{C423B016-8E88-43B9-96F4-F8A7DB164A18}"/>
    <cellStyle name="Comma 9 2 4 3 3" xfId="5723" xr:uid="{E97DA4F4-DE12-4E5A-9FFB-5FFE536B911F}"/>
    <cellStyle name="Comma 9 2 4 3 3 2" xfId="14395" xr:uid="{A581C4F8-A7C6-4860-B0D3-BF8668043B7E}"/>
    <cellStyle name="Comma 9 2 4 3 3 2 2" xfId="31739" xr:uid="{6A489C40-22F0-4559-9107-4322EB4359D7}"/>
    <cellStyle name="Comma 9 2 4 3 3 3" xfId="23067" xr:uid="{99CCE442-D1AD-4F1B-91D4-BB7F11070F60}"/>
    <cellStyle name="Comma 9 2 4 3 4" xfId="10059" xr:uid="{1C086F48-19CE-4AF6-818C-8D9A58FCC635}"/>
    <cellStyle name="Comma 9 2 4 3 4 2" xfId="27403" xr:uid="{C02C04FC-526B-4798-A527-247ED95E6602}"/>
    <cellStyle name="Comma 9 2 4 3 5" xfId="18731" xr:uid="{8938D568-C0E8-40DD-9E07-F34E62ED103B}"/>
    <cellStyle name="Comma 9 2 4 4" xfId="2471" xr:uid="{727CEB7E-DE6C-4FE7-BAD2-96BEC365D742}"/>
    <cellStyle name="Comma 9 2 4 4 2" xfId="6807" xr:uid="{CB9A43C5-E58F-4525-A300-FEA9124E5C28}"/>
    <cellStyle name="Comma 9 2 4 4 2 2" xfId="15479" xr:uid="{3640870F-281A-4FAF-8F8E-E78E0C6EA36A}"/>
    <cellStyle name="Comma 9 2 4 4 2 2 2" xfId="32823" xr:uid="{71EFD6C2-1228-487E-A264-7FABD8923BF1}"/>
    <cellStyle name="Comma 9 2 4 4 2 3" xfId="24151" xr:uid="{683CB1C6-B287-455D-871A-3A695FF240CA}"/>
    <cellStyle name="Comma 9 2 4 4 3" xfId="11143" xr:uid="{DFA8CBB9-5246-4493-AED8-25E891F2F3A4}"/>
    <cellStyle name="Comma 9 2 4 4 3 2" xfId="28487" xr:uid="{111B7C02-AF18-41ED-8D2B-D758B3AD42A4}"/>
    <cellStyle name="Comma 9 2 4 4 4" xfId="19815" xr:uid="{E3ED205F-82E3-40C3-B001-F2070210BEEF}"/>
    <cellStyle name="Comma 9 2 4 5" xfId="4639" xr:uid="{8397DBE1-96AA-48E5-90A8-40C94857F2CE}"/>
    <cellStyle name="Comma 9 2 4 5 2" xfId="13311" xr:uid="{14E892A5-3246-4834-B6A8-A9A5ED9C68F2}"/>
    <cellStyle name="Comma 9 2 4 5 2 2" xfId="30655" xr:uid="{E4002A20-EE30-4DA2-A0DC-BEEC274853EF}"/>
    <cellStyle name="Comma 9 2 4 5 3" xfId="21983" xr:uid="{D50DD02C-867C-49C3-83A5-FD39064457C3}"/>
    <cellStyle name="Comma 9 2 4 6" xfId="8975" xr:uid="{F4DE0A67-4652-4838-8DB7-089F220459E4}"/>
    <cellStyle name="Comma 9 2 4 6 2" xfId="26319" xr:uid="{DEAD6182-6E3E-4444-BBC3-A7DFA05A6B80}"/>
    <cellStyle name="Comma 9 2 4 7" xfId="17647" xr:uid="{3EDCC800-055C-4FD3-8A01-8EDF3022EF01}"/>
    <cellStyle name="Comma 9 2 5" xfId="574" xr:uid="{470428A7-1AA4-453F-8340-402E4F9D139C}"/>
    <cellStyle name="Comma 9 2 5 2" xfId="1658" xr:uid="{AC11EF79-DAC2-4492-9975-12B14767ADDE}"/>
    <cellStyle name="Comma 9 2 5 2 2" xfId="3826" xr:uid="{333EF4BF-D2F7-4AF3-89F3-7E628855C299}"/>
    <cellStyle name="Comma 9 2 5 2 2 2" xfId="8162" xr:uid="{17D91F20-7EE3-4F18-A014-AA0624F37949}"/>
    <cellStyle name="Comma 9 2 5 2 2 2 2" xfId="16834" xr:uid="{4F58B727-08CB-4EC1-8D68-BCDBEE14F490}"/>
    <cellStyle name="Comma 9 2 5 2 2 2 2 2" xfId="34178" xr:uid="{B1557C9B-B0EF-405C-896F-447BBF6FFB03}"/>
    <cellStyle name="Comma 9 2 5 2 2 2 3" xfId="25506" xr:uid="{4C377D7B-7032-442E-A47D-B14ADD77F012}"/>
    <cellStyle name="Comma 9 2 5 2 2 3" xfId="12498" xr:uid="{BEDFB782-EE0E-471D-A78B-2644B1279E20}"/>
    <cellStyle name="Comma 9 2 5 2 2 3 2" xfId="29842" xr:uid="{C9F49195-3B4D-48DB-9B22-AE82CA401724}"/>
    <cellStyle name="Comma 9 2 5 2 2 4" xfId="21170" xr:uid="{4081B48E-350E-4781-A539-7632D9768B32}"/>
    <cellStyle name="Comma 9 2 5 2 3" xfId="5994" xr:uid="{3DE00D9D-16CD-4B1F-B96E-71ACB8637888}"/>
    <cellStyle name="Comma 9 2 5 2 3 2" xfId="14666" xr:uid="{CCB573B8-BCE0-4FFE-9977-EEAB03733A42}"/>
    <cellStyle name="Comma 9 2 5 2 3 2 2" xfId="32010" xr:uid="{DC170A42-DFFB-4E35-94D1-17F9839204A6}"/>
    <cellStyle name="Comma 9 2 5 2 3 3" xfId="23338" xr:uid="{A2488EF6-9A57-4180-98CA-2FB6D5BCBB2C}"/>
    <cellStyle name="Comma 9 2 5 2 4" xfId="10330" xr:uid="{D1944D1B-E4CC-4E1F-9F7F-E1DE1D9A2212}"/>
    <cellStyle name="Comma 9 2 5 2 4 2" xfId="27674" xr:uid="{B3718F2C-5AA8-4EA9-83FD-94794259DE5D}"/>
    <cellStyle name="Comma 9 2 5 2 5" xfId="19002" xr:uid="{B343C60F-8299-4FE6-BF63-7F6350F60D65}"/>
    <cellStyle name="Comma 9 2 5 3" xfId="2742" xr:uid="{D7E9693E-C879-4A12-B2CE-4BAD836D850D}"/>
    <cellStyle name="Comma 9 2 5 3 2" xfId="7078" xr:uid="{32F84402-C88F-4BC0-B002-6813BF87D08A}"/>
    <cellStyle name="Comma 9 2 5 3 2 2" xfId="15750" xr:uid="{C45032CE-C471-45A2-B6F0-68286BCFF80A}"/>
    <cellStyle name="Comma 9 2 5 3 2 2 2" xfId="33094" xr:uid="{BB11E1A3-CF86-489B-A0AF-799906859915}"/>
    <cellStyle name="Comma 9 2 5 3 2 3" xfId="24422" xr:uid="{F3965AA2-E4AA-4D14-8864-0F9B93B9D73B}"/>
    <cellStyle name="Comma 9 2 5 3 3" xfId="11414" xr:uid="{914940AD-D798-47DA-A77A-E691D1BC8F1C}"/>
    <cellStyle name="Comma 9 2 5 3 3 2" xfId="28758" xr:uid="{E1B884D1-1F9A-4A0F-9EFC-E1A3391CD780}"/>
    <cellStyle name="Comma 9 2 5 3 4" xfId="20086" xr:uid="{877D3484-9B62-456C-A156-194E067FE9B2}"/>
    <cellStyle name="Comma 9 2 5 4" xfId="4910" xr:uid="{E408E864-9153-42B1-AD7E-AF1791EC0194}"/>
    <cellStyle name="Comma 9 2 5 4 2" xfId="13582" xr:uid="{2B14B3A4-DC80-44EA-B653-9B103A8789F7}"/>
    <cellStyle name="Comma 9 2 5 4 2 2" xfId="30926" xr:uid="{4FAE7541-5409-45D3-AA60-522E73095DE1}"/>
    <cellStyle name="Comma 9 2 5 4 3" xfId="22254" xr:uid="{13BEC6A4-5A6D-4150-B839-7AF3A7AF548A}"/>
    <cellStyle name="Comma 9 2 5 5" xfId="9246" xr:uid="{FE3A9AEF-81F6-4808-B4EF-5C7ECC07457D}"/>
    <cellStyle name="Comma 9 2 5 5 2" xfId="26590" xr:uid="{55F76E91-49C2-4625-A6E1-698D009C809B}"/>
    <cellStyle name="Comma 9 2 5 6" xfId="17918" xr:uid="{A066EA3C-555E-4C4A-9097-96B881AF4AAF}"/>
    <cellStyle name="Comma 9 2 6" xfId="1117" xr:uid="{E5E0B0E0-496D-4E70-8A95-9F7E805B08E8}"/>
    <cellStyle name="Comma 9 2 6 2" xfId="3285" xr:uid="{AD428A76-0A90-460A-AA89-20C20A605BF9}"/>
    <cellStyle name="Comma 9 2 6 2 2" xfId="7621" xr:uid="{BA112E7F-2032-46B0-93B2-288A7294E7DD}"/>
    <cellStyle name="Comma 9 2 6 2 2 2" xfId="16293" xr:uid="{19703AAC-7390-4325-B683-BF12CAF1619E}"/>
    <cellStyle name="Comma 9 2 6 2 2 2 2" xfId="33637" xr:uid="{4AD92768-CC2C-4461-AAD2-2D7D9CC765E8}"/>
    <cellStyle name="Comma 9 2 6 2 2 3" xfId="24965" xr:uid="{21B0DD4F-0B1A-4D28-9823-A650E4FA55DA}"/>
    <cellStyle name="Comma 9 2 6 2 3" xfId="11957" xr:uid="{1A1EFCEA-776D-4DBE-9874-BD9C5DA16D94}"/>
    <cellStyle name="Comma 9 2 6 2 3 2" xfId="29301" xr:uid="{B6B4343C-859D-4B3E-BD0D-CBD6304A2EC0}"/>
    <cellStyle name="Comma 9 2 6 2 4" xfId="20629" xr:uid="{89D435F1-9B82-444F-BD4E-8B29BE3FE344}"/>
    <cellStyle name="Comma 9 2 6 3" xfId="5453" xr:uid="{FBD75054-1208-4F36-AB62-0475065FAEBD}"/>
    <cellStyle name="Comma 9 2 6 3 2" xfId="14125" xr:uid="{F59BB1C0-14D1-42CE-ADF2-9E47344A3279}"/>
    <cellStyle name="Comma 9 2 6 3 2 2" xfId="31469" xr:uid="{690A3DFE-6CE6-4050-A8CC-C625E3EDA110}"/>
    <cellStyle name="Comma 9 2 6 3 3" xfId="22797" xr:uid="{57C9BB20-7295-40A8-8D21-9AC8FFF07EDA}"/>
    <cellStyle name="Comma 9 2 6 4" xfId="9789" xr:uid="{2F26777A-8932-4BA0-88CC-BE3A491CF6A7}"/>
    <cellStyle name="Comma 9 2 6 4 2" xfId="27133" xr:uid="{3AA09483-FA75-4E14-85AF-A49D2956F198}"/>
    <cellStyle name="Comma 9 2 6 5" xfId="18461" xr:uid="{3855BBB0-281E-4FE9-97D4-A12D7CFF6FB2}"/>
    <cellStyle name="Comma 9 2 7" xfId="2201" xr:uid="{F9713AA1-408B-472F-8276-B4FCFDE46774}"/>
    <cellStyle name="Comma 9 2 7 2" xfId="6537" xr:uid="{D8202352-2791-4257-8D9A-A779580C63F0}"/>
    <cellStyle name="Comma 9 2 7 2 2" xfId="15209" xr:uid="{65B7D908-EE89-4835-8A41-DBDDF47D3E05}"/>
    <cellStyle name="Comma 9 2 7 2 2 2" xfId="32553" xr:uid="{17EEE308-28CB-4F63-8D3B-4B8A51F17BE3}"/>
    <cellStyle name="Comma 9 2 7 2 3" xfId="23881" xr:uid="{65A17795-18B7-4BB2-A0CF-436BF7AF0176}"/>
    <cellStyle name="Comma 9 2 7 3" xfId="10873" xr:uid="{5165693F-440C-4B1A-A043-70E005087E32}"/>
    <cellStyle name="Comma 9 2 7 3 2" xfId="28217" xr:uid="{B5B9243A-8ABD-4A7A-9F9F-BF8E7D31B908}"/>
    <cellStyle name="Comma 9 2 7 4" xfId="19545" xr:uid="{27071BD1-E1C5-42A7-B149-31C0752FE2F5}"/>
    <cellStyle name="Comma 9 2 8" xfId="4369" xr:uid="{6C759570-2895-4CE1-A06F-269D27997264}"/>
    <cellStyle name="Comma 9 2 8 2" xfId="13041" xr:uid="{2E470E27-AC30-4B8A-BDCE-C0A68C5E582F}"/>
    <cellStyle name="Comma 9 2 8 2 2" xfId="30385" xr:uid="{B6B04DF1-8AD9-4273-9444-2E75223CC7B8}"/>
    <cellStyle name="Comma 9 2 8 3" xfId="21713" xr:uid="{C257FA00-437F-4FC7-81C9-73F479121EDC}"/>
    <cellStyle name="Comma 9 2 9" xfId="8705" xr:uid="{781046E7-502F-4146-82D1-E00A67456503}"/>
    <cellStyle name="Comma 9 2 9 2" xfId="26049" xr:uid="{23E9EF89-B4BD-4912-9C01-4E08A037D06A}"/>
    <cellStyle name="Comma 9 3" xfId="78" xr:uid="{84065A30-D996-4AAE-98E9-FA5DF55B5AC3}"/>
    <cellStyle name="Comma 9 3 2" xfId="200" xr:uid="{31D7807D-E113-46C4-9485-05CEBE6612AA}"/>
    <cellStyle name="Comma 9 3 2 2" xfId="470" xr:uid="{ABA9B43B-085A-4A82-8BB7-F959E4689813}"/>
    <cellStyle name="Comma 9 3 2 2 2" xfId="1011" xr:uid="{B150CA90-AD50-4357-8A71-904D4E8E600F}"/>
    <cellStyle name="Comma 9 3 2 2 2 2" xfId="2095" xr:uid="{7D54A667-3FD5-4557-B065-5E534740A1BA}"/>
    <cellStyle name="Comma 9 3 2 2 2 2 2" xfId="4263" xr:uid="{8E23571D-78D8-4F4C-B896-EF38310B45E6}"/>
    <cellStyle name="Comma 9 3 2 2 2 2 2 2" xfId="8599" xr:uid="{32BF07A8-B1FF-4FAA-8ABC-2B7466B8A114}"/>
    <cellStyle name="Comma 9 3 2 2 2 2 2 2 2" xfId="17271" xr:uid="{1E98C32B-C03A-447C-9BE0-2D4D688440A2}"/>
    <cellStyle name="Comma 9 3 2 2 2 2 2 2 2 2" xfId="34615" xr:uid="{97B2BC58-B1B6-4B47-AD84-FE1C0F96D358}"/>
    <cellStyle name="Comma 9 3 2 2 2 2 2 2 3" xfId="25943" xr:uid="{5A25A921-8804-4A39-BD2A-F6C8ED3456BB}"/>
    <cellStyle name="Comma 9 3 2 2 2 2 2 3" xfId="12935" xr:uid="{01DF4494-55DC-487D-B1F3-C92D96C0F9A4}"/>
    <cellStyle name="Comma 9 3 2 2 2 2 2 3 2" xfId="30279" xr:uid="{427C6EEF-F98E-4A03-B61F-11EC4E4B0AB3}"/>
    <cellStyle name="Comma 9 3 2 2 2 2 2 4" xfId="21607" xr:uid="{588119BA-C71F-415A-8418-050A56E3AC1A}"/>
    <cellStyle name="Comma 9 3 2 2 2 2 3" xfId="6431" xr:uid="{515599AF-166C-4C0E-BBAF-F24AF3C677F9}"/>
    <cellStyle name="Comma 9 3 2 2 2 2 3 2" xfId="15103" xr:uid="{638D8C25-2F49-4267-84F5-F0280D9BE3FC}"/>
    <cellStyle name="Comma 9 3 2 2 2 2 3 2 2" xfId="32447" xr:uid="{DA500586-1353-4DFE-AF1B-BCC403C32928}"/>
    <cellStyle name="Comma 9 3 2 2 2 2 3 3" xfId="23775" xr:uid="{F064880D-6862-4740-930C-9B83FB55255A}"/>
    <cellStyle name="Comma 9 3 2 2 2 2 4" xfId="10767" xr:uid="{BC1A061A-2002-450E-9633-04D1BE9F03C0}"/>
    <cellStyle name="Comma 9 3 2 2 2 2 4 2" xfId="28111" xr:uid="{E1AAAF74-A0FC-4351-9BCF-DE83102BE4A4}"/>
    <cellStyle name="Comma 9 3 2 2 2 2 5" xfId="19439" xr:uid="{722EEF08-1339-4EA6-AAE7-9FDDF9412F78}"/>
    <cellStyle name="Comma 9 3 2 2 2 3" xfId="3179" xr:uid="{A049645D-996E-45A1-A855-172EA1C38D7B}"/>
    <cellStyle name="Comma 9 3 2 2 2 3 2" xfId="7515" xr:uid="{8F2CD5BA-91B4-4C26-BE20-589E88B84496}"/>
    <cellStyle name="Comma 9 3 2 2 2 3 2 2" xfId="16187" xr:uid="{23652D7E-0019-4CD5-AC1D-C8A75F6959D5}"/>
    <cellStyle name="Comma 9 3 2 2 2 3 2 2 2" xfId="33531" xr:uid="{C4F0E76B-B361-4F6B-9EED-C77CCF3C3819}"/>
    <cellStyle name="Comma 9 3 2 2 2 3 2 3" xfId="24859" xr:uid="{9F2F05FF-0771-425F-9F59-D9C12C0C12EA}"/>
    <cellStyle name="Comma 9 3 2 2 2 3 3" xfId="11851" xr:uid="{F4734D1E-09F1-4493-894E-CCA0353F7088}"/>
    <cellStyle name="Comma 9 3 2 2 2 3 3 2" xfId="29195" xr:uid="{F3ADD01F-CE96-439C-9E95-8CEBEC9133D6}"/>
    <cellStyle name="Comma 9 3 2 2 2 3 4" xfId="20523" xr:uid="{6F4FC600-145F-4B97-B6A1-957023418C59}"/>
    <cellStyle name="Comma 9 3 2 2 2 4" xfId="5347" xr:uid="{AB00BEAD-F4B9-4B26-B6C4-BE44D7B58840}"/>
    <cellStyle name="Comma 9 3 2 2 2 4 2" xfId="14019" xr:uid="{B83E908D-EC87-44BA-B9F4-99C0FF0B69AC}"/>
    <cellStyle name="Comma 9 3 2 2 2 4 2 2" xfId="31363" xr:uid="{33A3AF10-9EE4-4C21-988A-3C18F35C61F3}"/>
    <cellStyle name="Comma 9 3 2 2 2 4 3" xfId="22691" xr:uid="{FBC717DE-2815-42DF-8F00-D48B1CE101E4}"/>
    <cellStyle name="Comma 9 3 2 2 2 5" xfId="9683" xr:uid="{98B25736-3DAC-445C-AEB7-46C65BE4CB22}"/>
    <cellStyle name="Comma 9 3 2 2 2 5 2" xfId="27027" xr:uid="{B4908954-9D9A-4780-8915-23DFA9922E01}"/>
    <cellStyle name="Comma 9 3 2 2 2 6" xfId="18355" xr:uid="{5F6516CF-E660-4BB8-978F-F3908AAAB901}"/>
    <cellStyle name="Comma 9 3 2 2 3" xfId="1554" xr:uid="{C1B59CEC-0AD0-431D-BEBB-D26D2F5E9B8B}"/>
    <cellStyle name="Comma 9 3 2 2 3 2" xfId="3722" xr:uid="{54A1B17C-9CA2-49FC-9EF5-5E898D4A2163}"/>
    <cellStyle name="Comma 9 3 2 2 3 2 2" xfId="8058" xr:uid="{647CDD78-B515-42FF-8BA1-4CA87D6D6EE3}"/>
    <cellStyle name="Comma 9 3 2 2 3 2 2 2" xfId="16730" xr:uid="{A837711C-4D0A-44FA-9D97-BB33369C0A7C}"/>
    <cellStyle name="Comma 9 3 2 2 3 2 2 2 2" xfId="34074" xr:uid="{679961CB-04EF-44BF-99CC-7195A04FFC4C}"/>
    <cellStyle name="Comma 9 3 2 2 3 2 2 3" xfId="25402" xr:uid="{487223FB-F4B9-410C-A318-4A23CD67B7E2}"/>
    <cellStyle name="Comma 9 3 2 2 3 2 3" xfId="12394" xr:uid="{7F2F39BB-5840-4CAB-BC7A-56603AABB8E4}"/>
    <cellStyle name="Comma 9 3 2 2 3 2 3 2" xfId="29738" xr:uid="{D23D5046-2972-4D70-BD0F-7D9A0403664F}"/>
    <cellStyle name="Comma 9 3 2 2 3 2 4" xfId="21066" xr:uid="{4C5D239E-255F-4240-9A7B-4D05071E7CB0}"/>
    <cellStyle name="Comma 9 3 2 2 3 3" xfId="5890" xr:uid="{5E7BD013-2C3A-4CC4-BB76-42708C4D9187}"/>
    <cellStyle name="Comma 9 3 2 2 3 3 2" xfId="14562" xr:uid="{0334E22D-5E1C-4F8E-B515-7615B2BF5E55}"/>
    <cellStyle name="Comma 9 3 2 2 3 3 2 2" xfId="31906" xr:uid="{E3D02AAB-5C9E-4D2A-AE63-759402E055B5}"/>
    <cellStyle name="Comma 9 3 2 2 3 3 3" xfId="23234" xr:uid="{929FAC16-17C2-454C-A223-AD77BD213D33}"/>
    <cellStyle name="Comma 9 3 2 2 3 4" xfId="10226" xr:uid="{DAAC9BF1-C1AF-4A18-8808-C365B59F06C2}"/>
    <cellStyle name="Comma 9 3 2 2 3 4 2" xfId="27570" xr:uid="{7EB7ECF4-6D0D-4668-9812-60C438B4FB58}"/>
    <cellStyle name="Comma 9 3 2 2 3 5" xfId="18898" xr:uid="{2317061C-5D71-46A9-9628-356577B39100}"/>
    <cellStyle name="Comma 9 3 2 2 4" xfId="2638" xr:uid="{6D82FB3B-D6C4-44C8-AED6-1A1A3F3E4B71}"/>
    <cellStyle name="Comma 9 3 2 2 4 2" xfId="6974" xr:uid="{4CEA9B57-2598-44E7-BC27-D88AEA1766FF}"/>
    <cellStyle name="Comma 9 3 2 2 4 2 2" xfId="15646" xr:uid="{90E076D4-829F-4BC6-90D6-34D5F797C212}"/>
    <cellStyle name="Comma 9 3 2 2 4 2 2 2" xfId="32990" xr:uid="{735B0281-8FB7-46FA-A770-C9D34B481FEA}"/>
    <cellStyle name="Comma 9 3 2 2 4 2 3" xfId="24318" xr:uid="{BC40F49E-CF25-49B8-BC63-D9C3B5FE6824}"/>
    <cellStyle name="Comma 9 3 2 2 4 3" xfId="11310" xr:uid="{003C293F-FFE4-442A-A2F2-318DB80C99C1}"/>
    <cellStyle name="Comma 9 3 2 2 4 3 2" xfId="28654" xr:uid="{DCEF420F-35FF-43E1-AEDC-1F215C43471B}"/>
    <cellStyle name="Comma 9 3 2 2 4 4" xfId="19982" xr:uid="{FB4A5868-8FF4-415F-B3B6-1D844067EFC0}"/>
    <cellStyle name="Comma 9 3 2 2 5" xfId="4806" xr:uid="{80A77BEC-C9DE-4317-8319-9CE64035B2DB}"/>
    <cellStyle name="Comma 9 3 2 2 5 2" xfId="13478" xr:uid="{3F1222F5-3B89-432F-9BB4-8B955CF06DB8}"/>
    <cellStyle name="Comma 9 3 2 2 5 2 2" xfId="30822" xr:uid="{CBB4F700-0ACE-40E5-BEA8-975C64D3E4A4}"/>
    <cellStyle name="Comma 9 3 2 2 5 3" xfId="22150" xr:uid="{07E95A3E-5B74-48D5-A455-AE488B639BAA}"/>
    <cellStyle name="Comma 9 3 2 2 6" xfId="9142" xr:uid="{0269F2EC-90FC-4FB3-86BC-BD35663ABBE0}"/>
    <cellStyle name="Comma 9 3 2 2 6 2" xfId="26486" xr:uid="{8EF48EDD-4E6E-4E0B-84E3-CAA940E0E99C}"/>
    <cellStyle name="Comma 9 3 2 2 7" xfId="17814" xr:uid="{44708A92-18CE-4ACF-A619-386DA53126F6}"/>
    <cellStyle name="Comma 9 3 2 3" xfId="741" xr:uid="{8A34C0AE-FBF9-4B06-8207-AEB0957755BC}"/>
    <cellStyle name="Comma 9 3 2 3 2" xfId="1825" xr:uid="{642F50AC-188F-43E6-B1C8-08774F8111C9}"/>
    <cellStyle name="Comma 9 3 2 3 2 2" xfId="3993" xr:uid="{C184D657-3B5F-47C3-9079-29372672F753}"/>
    <cellStyle name="Comma 9 3 2 3 2 2 2" xfId="8329" xr:uid="{380C1D08-635E-488C-9E6B-F975AFF4B1B8}"/>
    <cellStyle name="Comma 9 3 2 3 2 2 2 2" xfId="17001" xr:uid="{2519E039-9F2A-41D0-8950-C350FF3E7EBA}"/>
    <cellStyle name="Comma 9 3 2 3 2 2 2 2 2" xfId="34345" xr:uid="{445E755A-ACBE-4079-AC2D-1760DA84EE81}"/>
    <cellStyle name="Comma 9 3 2 3 2 2 2 3" xfId="25673" xr:uid="{27474E19-E001-4DB5-8CE9-A71231F1EA72}"/>
    <cellStyle name="Comma 9 3 2 3 2 2 3" xfId="12665" xr:uid="{8BD132E9-BD75-4058-898B-1CECFFD70B12}"/>
    <cellStyle name="Comma 9 3 2 3 2 2 3 2" xfId="30009" xr:uid="{E36CC4D1-6D87-4523-8C07-A308D84D93A8}"/>
    <cellStyle name="Comma 9 3 2 3 2 2 4" xfId="21337" xr:uid="{93172D8A-E1A8-45D8-A7F0-813D5C19B61C}"/>
    <cellStyle name="Comma 9 3 2 3 2 3" xfId="6161" xr:uid="{852118A8-A942-415F-9E13-1D79EB9B1EE1}"/>
    <cellStyle name="Comma 9 3 2 3 2 3 2" xfId="14833" xr:uid="{25794A1F-278D-4741-A1CC-CBC60736F984}"/>
    <cellStyle name="Comma 9 3 2 3 2 3 2 2" xfId="32177" xr:uid="{B99CD381-E996-40ED-A02D-4233B986B96F}"/>
    <cellStyle name="Comma 9 3 2 3 2 3 3" xfId="23505" xr:uid="{DDE4C97A-50F4-43B0-B0AA-FAA19B9D3117}"/>
    <cellStyle name="Comma 9 3 2 3 2 4" xfId="10497" xr:uid="{59F5B6F9-BB04-42DD-B0A2-16E4FCD5A27D}"/>
    <cellStyle name="Comma 9 3 2 3 2 4 2" xfId="27841" xr:uid="{A3DA91BF-6934-42D3-81E7-A60D584CDB6F}"/>
    <cellStyle name="Comma 9 3 2 3 2 5" xfId="19169" xr:uid="{400F32D2-966C-4E89-A336-B15B48FE4C0B}"/>
    <cellStyle name="Comma 9 3 2 3 3" xfId="2909" xr:uid="{E75300FF-605B-4CE1-A835-3F03606D06EA}"/>
    <cellStyle name="Comma 9 3 2 3 3 2" xfId="7245" xr:uid="{B71814A8-DDE5-4E9E-BF76-BE00FC5F8715}"/>
    <cellStyle name="Comma 9 3 2 3 3 2 2" xfId="15917" xr:uid="{B1A71BE8-9CFD-4B0C-94D0-C09F5326AA93}"/>
    <cellStyle name="Comma 9 3 2 3 3 2 2 2" xfId="33261" xr:uid="{0BA3DCB0-AE08-4A09-AB13-CC81D5D51317}"/>
    <cellStyle name="Comma 9 3 2 3 3 2 3" xfId="24589" xr:uid="{F15E0645-4699-45D1-BDF0-2EA285705E2C}"/>
    <cellStyle name="Comma 9 3 2 3 3 3" xfId="11581" xr:uid="{187EA727-B8E5-44B0-A7FF-5BDF56B39039}"/>
    <cellStyle name="Comma 9 3 2 3 3 3 2" xfId="28925" xr:uid="{2153A4F8-5D78-40A8-A368-EE8454E9487E}"/>
    <cellStyle name="Comma 9 3 2 3 3 4" xfId="20253" xr:uid="{62EB9A63-4F0A-4D75-BB97-13B002B630F4}"/>
    <cellStyle name="Comma 9 3 2 3 4" xfId="5077" xr:uid="{03CF7802-FA58-404A-AE75-0A6DE442BCFA}"/>
    <cellStyle name="Comma 9 3 2 3 4 2" xfId="13749" xr:uid="{FE11F1F2-DE3B-40A6-8CF3-507290AD388D}"/>
    <cellStyle name="Comma 9 3 2 3 4 2 2" xfId="31093" xr:uid="{430F50A9-43F9-48D1-B9F9-7DA3E3C2478C}"/>
    <cellStyle name="Comma 9 3 2 3 4 3" xfId="22421" xr:uid="{C2FD85E9-B115-4210-BE9B-E6792D5CA740}"/>
    <cellStyle name="Comma 9 3 2 3 5" xfId="9413" xr:uid="{C4E499AF-1D84-44A5-8775-24DCDE513AF9}"/>
    <cellStyle name="Comma 9 3 2 3 5 2" xfId="26757" xr:uid="{9E786DF1-5B8B-4E0D-9851-75FAEF9B24DD}"/>
    <cellStyle name="Comma 9 3 2 3 6" xfId="18085" xr:uid="{D3509939-2F8B-455B-8B33-50B889F3E1DD}"/>
    <cellStyle name="Comma 9 3 2 4" xfId="1284" xr:uid="{24C69A55-8338-472F-B516-64B48E74F2B1}"/>
    <cellStyle name="Comma 9 3 2 4 2" xfId="3452" xr:uid="{59B3EB13-5526-400A-8856-EFD252A71545}"/>
    <cellStyle name="Comma 9 3 2 4 2 2" xfId="7788" xr:uid="{EB19584B-C5DF-4102-84F0-FC01DEC215A2}"/>
    <cellStyle name="Comma 9 3 2 4 2 2 2" xfId="16460" xr:uid="{04222F5F-0506-47C8-A9D4-A9532CA0C00C}"/>
    <cellStyle name="Comma 9 3 2 4 2 2 2 2" xfId="33804" xr:uid="{6C0F4070-23DA-44E1-B1AD-1CC90ABADA00}"/>
    <cellStyle name="Comma 9 3 2 4 2 2 3" xfId="25132" xr:uid="{B48C1B74-6CBE-442E-932C-1E77EB39B385}"/>
    <cellStyle name="Comma 9 3 2 4 2 3" xfId="12124" xr:uid="{B433342A-CEFC-440C-9F63-72C706A27699}"/>
    <cellStyle name="Comma 9 3 2 4 2 3 2" xfId="29468" xr:uid="{32FD4DC6-22D6-441B-B9C7-10C4BB800ED2}"/>
    <cellStyle name="Comma 9 3 2 4 2 4" xfId="20796" xr:uid="{8B5F16CF-2938-4092-A6A4-48752C0BA04C}"/>
    <cellStyle name="Comma 9 3 2 4 3" xfId="5620" xr:uid="{2C025E6E-A4CD-4DB0-8ED4-CE2C1C0BB459}"/>
    <cellStyle name="Comma 9 3 2 4 3 2" xfId="14292" xr:uid="{F4BB0BE2-1382-48D2-BAA5-AAA1C9B7DC1C}"/>
    <cellStyle name="Comma 9 3 2 4 3 2 2" xfId="31636" xr:uid="{7E43F99A-C010-4B0F-BFC7-BB2F8562DBCD}"/>
    <cellStyle name="Comma 9 3 2 4 3 3" xfId="22964" xr:uid="{6D7ADDDE-86CC-4332-BF95-2E94F747841C}"/>
    <cellStyle name="Comma 9 3 2 4 4" xfId="9956" xr:uid="{DBD3C4E6-23B2-4751-A32A-975AA3A7350F}"/>
    <cellStyle name="Comma 9 3 2 4 4 2" xfId="27300" xr:uid="{2618C94E-E0CB-4951-A6C3-F50DAFBA0ED2}"/>
    <cellStyle name="Comma 9 3 2 4 5" xfId="18628" xr:uid="{7CA2A797-E470-4B58-A527-7D4A86521B53}"/>
    <cellStyle name="Comma 9 3 2 5" xfId="2368" xr:uid="{EF3B0731-6659-487A-B54A-9AAF9553CB78}"/>
    <cellStyle name="Comma 9 3 2 5 2" xfId="6704" xr:uid="{BCECEB1E-538B-47EF-9324-749EBEEE40F8}"/>
    <cellStyle name="Comma 9 3 2 5 2 2" xfId="15376" xr:uid="{2A65B5B6-F49C-4435-836C-D386FB239CC3}"/>
    <cellStyle name="Comma 9 3 2 5 2 2 2" xfId="32720" xr:uid="{1345B6B9-05C8-45CE-9794-128297F6FEB7}"/>
    <cellStyle name="Comma 9 3 2 5 2 3" xfId="24048" xr:uid="{3AECD9AB-13ED-45E6-BFE4-999B84B210ED}"/>
    <cellStyle name="Comma 9 3 2 5 3" xfId="11040" xr:uid="{2B841685-AB9B-4645-8B1C-DA069FC5CB4E}"/>
    <cellStyle name="Comma 9 3 2 5 3 2" xfId="28384" xr:uid="{4168E7EC-FFC9-4614-A8FF-C23C66FEA5D5}"/>
    <cellStyle name="Comma 9 3 2 5 4" xfId="19712" xr:uid="{D9151CF6-2419-4EC1-A24F-AA79547C3934}"/>
    <cellStyle name="Comma 9 3 2 6" xfId="4536" xr:uid="{9659589C-8A58-409A-8671-10A0AA860A96}"/>
    <cellStyle name="Comma 9 3 2 6 2" xfId="13208" xr:uid="{E549B0C6-5C95-47A4-8680-85581564AA10}"/>
    <cellStyle name="Comma 9 3 2 6 2 2" xfId="30552" xr:uid="{D7719540-4258-49A3-AFA7-4694C293AB54}"/>
    <cellStyle name="Comma 9 3 2 6 3" xfId="21880" xr:uid="{4B18DED2-6E4F-497C-95FA-6D6822FE7FEE}"/>
    <cellStyle name="Comma 9 3 2 7" xfId="8872" xr:uid="{282EC678-849B-4EC1-B922-EA5B7B816032}"/>
    <cellStyle name="Comma 9 3 2 7 2" xfId="26216" xr:uid="{D62EFE5A-10B9-4311-A798-CCF100B6C7D0}"/>
    <cellStyle name="Comma 9 3 2 8" xfId="17544" xr:uid="{9FB26E72-4144-48BB-B8D3-9582250E96D4}"/>
    <cellStyle name="Comma 9 3 3" xfId="348" xr:uid="{273F3D69-EC16-418C-9F56-256CB5230ED0}"/>
    <cellStyle name="Comma 9 3 3 2" xfId="889" xr:uid="{9493E90D-A6B0-4E66-949B-3257BBE43451}"/>
    <cellStyle name="Comma 9 3 3 2 2" xfId="1973" xr:uid="{074E6B4B-DD26-45F0-A1FF-351CF2538664}"/>
    <cellStyle name="Comma 9 3 3 2 2 2" xfId="4141" xr:uid="{6EFE0C7D-5677-4DCC-8FEB-139FFB80CA97}"/>
    <cellStyle name="Comma 9 3 3 2 2 2 2" xfId="8477" xr:uid="{20498BDC-B35B-4EA3-8AA0-48104BFF041F}"/>
    <cellStyle name="Comma 9 3 3 2 2 2 2 2" xfId="17149" xr:uid="{7C4E7F3E-B7AF-4B3F-9D00-F02C58D3CD65}"/>
    <cellStyle name="Comma 9 3 3 2 2 2 2 2 2" xfId="34493" xr:uid="{FB5A9DFA-CB00-486F-944E-3461D0AF6CD8}"/>
    <cellStyle name="Comma 9 3 3 2 2 2 2 3" xfId="25821" xr:uid="{AB4E09BF-FD71-4FBF-97A9-E26465590F09}"/>
    <cellStyle name="Comma 9 3 3 2 2 2 3" xfId="12813" xr:uid="{6BA96DC9-2CE8-4C02-9988-E45F43E4535B}"/>
    <cellStyle name="Comma 9 3 3 2 2 2 3 2" xfId="30157" xr:uid="{774022AD-03E9-47B5-B145-B0D11CE96775}"/>
    <cellStyle name="Comma 9 3 3 2 2 2 4" xfId="21485" xr:uid="{C13DEB4F-3D46-4F00-9C04-502F6E8EECB7}"/>
    <cellStyle name="Comma 9 3 3 2 2 3" xfId="6309" xr:uid="{F5A5DA0D-4E29-4378-AB45-9B87EE8DF3E0}"/>
    <cellStyle name="Comma 9 3 3 2 2 3 2" xfId="14981" xr:uid="{A52F8B2C-C872-4224-A084-1B2176045DC1}"/>
    <cellStyle name="Comma 9 3 3 2 2 3 2 2" xfId="32325" xr:uid="{1F095C8B-D242-4892-A1D0-36CE9BC4FED0}"/>
    <cellStyle name="Comma 9 3 3 2 2 3 3" xfId="23653" xr:uid="{30960920-CAB8-4F0D-8252-10FA7323346D}"/>
    <cellStyle name="Comma 9 3 3 2 2 4" xfId="10645" xr:uid="{22AB062B-1283-47AB-B25B-7175BFE30704}"/>
    <cellStyle name="Comma 9 3 3 2 2 4 2" xfId="27989" xr:uid="{E451A30F-2728-4864-AE55-4F3CAF65DE2C}"/>
    <cellStyle name="Comma 9 3 3 2 2 5" xfId="19317" xr:uid="{369C89D9-F71B-43D3-937E-50355092F659}"/>
    <cellStyle name="Comma 9 3 3 2 3" xfId="3057" xr:uid="{01C586BE-7C2F-4B41-8A7B-856B541D885F}"/>
    <cellStyle name="Comma 9 3 3 2 3 2" xfId="7393" xr:uid="{DAAA31B1-EA0B-4724-8EDB-8C4E22431D2C}"/>
    <cellStyle name="Comma 9 3 3 2 3 2 2" xfId="16065" xr:uid="{B5FBDCFC-9FF8-419D-AC20-36C88A843B16}"/>
    <cellStyle name="Comma 9 3 3 2 3 2 2 2" xfId="33409" xr:uid="{30BA0D25-BE46-4544-84E1-8DD8C9D6270B}"/>
    <cellStyle name="Comma 9 3 3 2 3 2 3" xfId="24737" xr:uid="{B44F19E2-5551-40C1-A1B9-EB7E2F31EC7A}"/>
    <cellStyle name="Comma 9 3 3 2 3 3" xfId="11729" xr:uid="{4537AC92-B2CB-4726-826E-9953376AF088}"/>
    <cellStyle name="Comma 9 3 3 2 3 3 2" xfId="29073" xr:uid="{4186C546-0B5E-4CC4-B019-4B6D3FC9FA33}"/>
    <cellStyle name="Comma 9 3 3 2 3 4" xfId="20401" xr:uid="{AB76CF87-70B4-401C-87F7-10249A785891}"/>
    <cellStyle name="Comma 9 3 3 2 4" xfId="5225" xr:uid="{0456A950-9F68-450B-9379-F515E5B6C40F}"/>
    <cellStyle name="Comma 9 3 3 2 4 2" xfId="13897" xr:uid="{AED9BB05-C6F1-407C-94C4-F1C827DD9893}"/>
    <cellStyle name="Comma 9 3 3 2 4 2 2" xfId="31241" xr:uid="{A6CFA624-B3CF-4800-88F7-E21ACB610D69}"/>
    <cellStyle name="Comma 9 3 3 2 4 3" xfId="22569" xr:uid="{91E0F17C-0574-4C8A-B5EE-EA9EF14F41EE}"/>
    <cellStyle name="Comma 9 3 3 2 5" xfId="9561" xr:uid="{6DF0E774-BAA3-4127-A868-BF54C2A5B5A4}"/>
    <cellStyle name="Comma 9 3 3 2 5 2" xfId="26905" xr:uid="{E37C7067-4B44-4279-9B6A-47708E233440}"/>
    <cellStyle name="Comma 9 3 3 2 6" xfId="18233" xr:uid="{7CCA0007-ABE9-413B-8776-2B88A5EF2A10}"/>
    <cellStyle name="Comma 9 3 3 3" xfId="1432" xr:uid="{E9CB88F8-951C-46F3-9B7F-737E1A2AADFA}"/>
    <cellStyle name="Comma 9 3 3 3 2" xfId="3600" xr:uid="{873CFEF4-90E2-439F-B632-C1BE9ADA0E7F}"/>
    <cellStyle name="Comma 9 3 3 3 2 2" xfId="7936" xr:uid="{D99BF524-2FEE-44AD-9FC2-E981A5D637E6}"/>
    <cellStyle name="Comma 9 3 3 3 2 2 2" xfId="16608" xr:uid="{2C9BC760-5B85-4DBC-9A7B-F07BD714D83B}"/>
    <cellStyle name="Comma 9 3 3 3 2 2 2 2" xfId="33952" xr:uid="{FFA5769F-B54D-4A63-8199-12A72E35283B}"/>
    <cellStyle name="Comma 9 3 3 3 2 2 3" xfId="25280" xr:uid="{525AE2A2-1C15-4F7E-9BEE-49A8B0B62EDD}"/>
    <cellStyle name="Comma 9 3 3 3 2 3" xfId="12272" xr:uid="{949871F1-738B-4E68-A988-FD1C6A547CF4}"/>
    <cellStyle name="Comma 9 3 3 3 2 3 2" xfId="29616" xr:uid="{2C8A412F-2F4D-401E-AC04-5BFC406C4735}"/>
    <cellStyle name="Comma 9 3 3 3 2 4" xfId="20944" xr:uid="{9ADD1122-84AD-4E7E-9A3B-B496B37F0D21}"/>
    <cellStyle name="Comma 9 3 3 3 3" xfId="5768" xr:uid="{2F1E93D9-D295-4C21-B499-DD50FC76D5B7}"/>
    <cellStyle name="Comma 9 3 3 3 3 2" xfId="14440" xr:uid="{70FF4F13-C6DE-4F01-9884-D337ADD94128}"/>
    <cellStyle name="Comma 9 3 3 3 3 2 2" xfId="31784" xr:uid="{9681246D-EC79-4D6F-ABC2-6AC7F70AE3A3}"/>
    <cellStyle name="Comma 9 3 3 3 3 3" xfId="23112" xr:uid="{82BC3C37-CE1B-4846-9A60-EC6EF94DE276}"/>
    <cellStyle name="Comma 9 3 3 3 4" xfId="10104" xr:uid="{766C24E4-BBA3-48E7-82C8-A501A20D1F18}"/>
    <cellStyle name="Comma 9 3 3 3 4 2" xfId="27448" xr:uid="{4AB34445-6BF7-46B2-B2BC-95E860F1E357}"/>
    <cellStyle name="Comma 9 3 3 3 5" xfId="18776" xr:uid="{7DEBCE7F-8A36-415D-9882-4FB0FA605EF7}"/>
    <cellStyle name="Comma 9 3 3 4" xfId="2516" xr:uid="{F2B64DE1-A930-4635-A421-528652F83353}"/>
    <cellStyle name="Comma 9 3 3 4 2" xfId="6852" xr:uid="{1ACD2755-2088-4999-90F2-2DAF6E5760EC}"/>
    <cellStyle name="Comma 9 3 3 4 2 2" xfId="15524" xr:uid="{58FA2C9A-B8B3-4E01-9A70-DA1C4D251847}"/>
    <cellStyle name="Comma 9 3 3 4 2 2 2" xfId="32868" xr:uid="{1CD6D117-5F64-4965-B967-33E38095CDA4}"/>
    <cellStyle name="Comma 9 3 3 4 2 3" xfId="24196" xr:uid="{A3B8A292-C869-4BD7-84D4-2EF5F294170C}"/>
    <cellStyle name="Comma 9 3 3 4 3" xfId="11188" xr:uid="{6F76F1A5-2A5C-45BB-AE2F-E67B5F40FDA2}"/>
    <cellStyle name="Comma 9 3 3 4 3 2" xfId="28532" xr:uid="{1CEF88A3-3C01-4971-8155-7B80B687FFCA}"/>
    <cellStyle name="Comma 9 3 3 4 4" xfId="19860" xr:uid="{6C245DE5-115E-4EE1-9C09-DEAFA0AE7189}"/>
    <cellStyle name="Comma 9 3 3 5" xfId="4684" xr:uid="{71804741-5684-4678-950F-85A42F8B07FE}"/>
    <cellStyle name="Comma 9 3 3 5 2" xfId="13356" xr:uid="{E24081BF-F5C9-4FFD-A338-C56E45C03F5C}"/>
    <cellStyle name="Comma 9 3 3 5 2 2" xfId="30700" xr:uid="{D476861E-5CA8-40AD-BCD7-5570CBEFBC79}"/>
    <cellStyle name="Comma 9 3 3 5 3" xfId="22028" xr:uid="{12430961-7B72-4F0D-94FF-B2F9B8AE9C57}"/>
    <cellStyle name="Comma 9 3 3 6" xfId="9020" xr:uid="{EC28741D-EA41-4DD7-98DC-8B8258959FB7}"/>
    <cellStyle name="Comma 9 3 3 6 2" xfId="26364" xr:uid="{9F15B644-21B3-4CCB-A27E-BAA86C9AEE0F}"/>
    <cellStyle name="Comma 9 3 3 7" xfId="17692" xr:uid="{6ABE0C57-2D35-49DE-8D4C-4F8BB2E8D072}"/>
    <cellStyle name="Comma 9 3 4" xfId="619" xr:uid="{29E723C2-F096-4858-B773-3D471E2D93EC}"/>
    <cellStyle name="Comma 9 3 4 2" xfId="1703" xr:uid="{85DACAB9-B8B2-4072-9F87-BAFAF7939ED8}"/>
    <cellStyle name="Comma 9 3 4 2 2" xfId="3871" xr:uid="{91424A68-DA2C-4BD1-BCEA-F4447629B952}"/>
    <cellStyle name="Comma 9 3 4 2 2 2" xfId="8207" xr:uid="{54B74945-F84D-410C-9998-688D0B4CCF71}"/>
    <cellStyle name="Comma 9 3 4 2 2 2 2" xfId="16879" xr:uid="{F7D8E709-3B1B-4D70-8FA2-68D06B14F660}"/>
    <cellStyle name="Comma 9 3 4 2 2 2 2 2" xfId="34223" xr:uid="{0708F877-0054-4639-B958-40C706314E4A}"/>
    <cellStyle name="Comma 9 3 4 2 2 2 3" xfId="25551" xr:uid="{446D02E3-1DD5-4C62-8EEF-59871BE17EF5}"/>
    <cellStyle name="Comma 9 3 4 2 2 3" xfId="12543" xr:uid="{D62DFF1D-C4E2-47F3-AF5B-4AA5456FF295}"/>
    <cellStyle name="Comma 9 3 4 2 2 3 2" xfId="29887" xr:uid="{170A1F41-885F-45C1-9003-43AF800AD776}"/>
    <cellStyle name="Comma 9 3 4 2 2 4" xfId="21215" xr:uid="{F1AB0D51-D524-468D-9CB4-133B1F16E583}"/>
    <cellStyle name="Comma 9 3 4 2 3" xfId="6039" xr:uid="{6B338165-15EC-4F18-8775-1D700EA2E8EC}"/>
    <cellStyle name="Comma 9 3 4 2 3 2" xfId="14711" xr:uid="{436A34C1-1F93-4AE9-B4D4-6DDF747C5C66}"/>
    <cellStyle name="Comma 9 3 4 2 3 2 2" xfId="32055" xr:uid="{95AC147A-0813-4E83-BC16-1A8F1EE8FA36}"/>
    <cellStyle name="Comma 9 3 4 2 3 3" xfId="23383" xr:uid="{FBEF8481-9540-4135-8F22-0E28190411A6}"/>
    <cellStyle name="Comma 9 3 4 2 4" xfId="10375" xr:uid="{706D4DF7-7963-4232-B1D8-499B220BA24C}"/>
    <cellStyle name="Comma 9 3 4 2 4 2" xfId="27719" xr:uid="{AB822E1E-5C07-4E4C-865D-B7F19CCBA7A1}"/>
    <cellStyle name="Comma 9 3 4 2 5" xfId="19047" xr:uid="{E92479EA-40EF-4D6B-96D6-9E00C57DDF57}"/>
    <cellStyle name="Comma 9 3 4 3" xfId="2787" xr:uid="{E431BE61-BB01-460C-B43C-51399F7805C4}"/>
    <cellStyle name="Comma 9 3 4 3 2" xfId="7123" xr:uid="{8F2DADD1-EF47-4BC8-B066-5BF6CB778A81}"/>
    <cellStyle name="Comma 9 3 4 3 2 2" xfId="15795" xr:uid="{F528A10E-AEDB-421E-B2EC-A530C6F246BC}"/>
    <cellStyle name="Comma 9 3 4 3 2 2 2" xfId="33139" xr:uid="{6A652E56-8CC2-4106-B79A-7D3F22B47AAD}"/>
    <cellStyle name="Comma 9 3 4 3 2 3" xfId="24467" xr:uid="{D50978C0-2227-4566-BE34-C670F92B155B}"/>
    <cellStyle name="Comma 9 3 4 3 3" xfId="11459" xr:uid="{8BC2787C-B2FB-4844-852A-766D0F560B36}"/>
    <cellStyle name="Comma 9 3 4 3 3 2" xfId="28803" xr:uid="{A48D2735-ED2D-4257-99FF-84CC4A115FAF}"/>
    <cellStyle name="Comma 9 3 4 3 4" xfId="20131" xr:uid="{60436FB2-604B-4135-8308-56B3941F2286}"/>
    <cellStyle name="Comma 9 3 4 4" xfId="4955" xr:uid="{6D784487-D98A-435D-824B-9467B0B1DA31}"/>
    <cellStyle name="Comma 9 3 4 4 2" xfId="13627" xr:uid="{B6F5A581-5EBB-4614-A6B6-BA7B17A844D0}"/>
    <cellStyle name="Comma 9 3 4 4 2 2" xfId="30971" xr:uid="{2FC5DCFA-088E-45A3-AB0A-FFFE839761AF}"/>
    <cellStyle name="Comma 9 3 4 4 3" xfId="22299" xr:uid="{B1908F2A-8C77-4040-B29F-10753739E17D}"/>
    <cellStyle name="Comma 9 3 4 5" xfId="9291" xr:uid="{4437E37A-E958-4841-8305-E88BCC3D451D}"/>
    <cellStyle name="Comma 9 3 4 5 2" xfId="26635" xr:uid="{CC95579B-C54A-4E56-A72E-C31FE233ED83}"/>
    <cellStyle name="Comma 9 3 4 6" xfId="17963" xr:uid="{A4485DEB-0BAD-4210-A4D4-227112EE2DA0}"/>
    <cellStyle name="Comma 9 3 5" xfId="1162" xr:uid="{254313AF-E5E9-4CD9-A9BB-B1716A6A4FDD}"/>
    <cellStyle name="Comma 9 3 5 2" xfId="3330" xr:uid="{66D6DCE3-D7AD-481F-AD5E-0B9C71B7B6E6}"/>
    <cellStyle name="Comma 9 3 5 2 2" xfId="7666" xr:uid="{7374AE6C-755C-4D76-85D4-22D5299DACE5}"/>
    <cellStyle name="Comma 9 3 5 2 2 2" xfId="16338" xr:uid="{A6A7B014-D5F1-456F-B5E4-BD7EBB81B448}"/>
    <cellStyle name="Comma 9 3 5 2 2 2 2" xfId="33682" xr:uid="{8A929BA5-C57C-4FD6-BA9C-6BA86D24CFFA}"/>
    <cellStyle name="Comma 9 3 5 2 2 3" xfId="25010" xr:uid="{4391DE98-97C6-4373-B553-EAF5C03DFEFA}"/>
    <cellStyle name="Comma 9 3 5 2 3" xfId="12002" xr:uid="{741925CF-0908-4939-B291-E76D6701D6AD}"/>
    <cellStyle name="Comma 9 3 5 2 3 2" xfId="29346" xr:uid="{1AB1AB73-C47D-453E-8E64-3310A9764056}"/>
    <cellStyle name="Comma 9 3 5 2 4" xfId="20674" xr:uid="{FA29F25F-5771-4BE2-A66D-E56B1CAF0625}"/>
    <cellStyle name="Comma 9 3 5 3" xfId="5498" xr:uid="{6B7EBEFF-B8BD-498D-82A4-1EA9CDCF69C8}"/>
    <cellStyle name="Comma 9 3 5 3 2" xfId="14170" xr:uid="{2712B184-67A5-4974-91F4-2D11FE2F5C32}"/>
    <cellStyle name="Comma 9 3 5 3 2 2" xfId="31514" xr:uid="{6EF24552-3D76-4BF5-AF0C-F21B16D7C6CD}"/>
    <cellStyle name="Comma 9 3 5 3 3" xfId="22842" xr:uid="{3186699C-CDA5-474D-A88E-1EDED3DFA994}"/>
    <cellStyle name="Comma 9 3 5 4" xfId="9834" xr:uid="{9E27B132-B53E-4D66-9510-0DDD0B5B49E0}"/>
    <cellStyle name="Comma 9 3 5 4 2" xfId="27178" xr:uid="{88217217-8735-433A-86D5-063AF061D874}"/>
    <cellStyle name="Comma 9 3 5 5" xfId="18506" xr:uid="{2C0DEC13-6F5B-4A74-B1FA-E4CE9487B05F}"/>
    <cellStyle name="Comma 9 3 6" xfId="2246" xr:uid="{C2BBB36F-9675-410A-A01E-B97725321018}"/>
    <cellStyle name="Comma 9 3 6 2" xfId="6582" xr:uid="{515955FF-B87B-4D84-8EF7-B80783932CD2}"/>
    <cellStyle name="Comma 9 3 6 2 2" xfId="15254" xr:uid="{352588C2-3E55-42B3-BE4B-022F02D297A1}"/>
    <cellStyle name="Comma 9 3 6 2 2 2" xfId="32598" xr:uid="{9BD64CA5-0148-40DD-8458-8067D82D4D94}"/>
    <cellStyle name="Comma 9 3 6 2 3" xfId="23926" xr:uid="{853EEF7E-0FCC-4DDB-98A6-5815C7225539}"/>
    <cellStyle name="Comma 9 3 6 3" xfId="10918" xr:uid="{0C706981-BFC0-4F6B-9A26-27579C4B4EAC}"/>
    <cellStyle name="Comma 9 3 6 3 2" xfId="28262" xr:uid="{6C6904A3-2F69-4246-902C-26165CACB3C9}"/>
    <cellStyle name="Comma 9 3 6 4" xfId="19590" xr:uid="{D89258E4-081F-4607-8A22-EB49CACE0A06}"/>
    <cellStyle name="Comma 9 3 7" xfId="4414" xr:uid="{DCC40341-05EE-4E15-9EE1-9C0127812F4D}"/>
    <cellStyle name="Comma 9 3 7 2" xfId="13086" xr:uid="{8B487C7F-CFBA-4D82-B572-333C1E5C24E8}"/>
    <cellStyle name="Comma 9 3 7 2 2" xfId="30430" xr:uid="{AE773912-EFBF-48DB-A215-D9EFDE771102}"/>
    <cellStyle name="Comma 9 3 7 3" xfId="21758" xr:uid="{A5B21F75-7425-4646-8E4C-84B84568EA44}"/>
    <cellStyle name="Comma 9 3 8" xfId="8750" xr:uid="{10EF41F3-2253-4593-B8B1-B6AD307C2537}"/>
    <cellStyle name="Comma 9 3 8 2" xfId="26094" xr:uid="{853EA5AB-6765-4BBC-A0EB-64434FF6D874}"/>
    <cellStyle name="Comma 9 3 9" xfId="17422" xr:uid="{C7B57E41-5260-4FC7-9FEA-76A7E88A9F32}"/>
    <cellStyle name="Comma 9 4" xfId="139" xr:uid="{4D98B948-B26E-49B6-8721-22A5714ADF9A}"/>
    <cellStyle name="Comma 9 4 2" xfId="409" xr:uid="{E1F2933A-41DA-49AA-88EE-90B1811242FE}"/>
    <cellStyle name="Comma 9 4 2 2" xfId="950" xr:uid="{F37EB999-76DD-4620-9907-53EAEFAB6C1F}"/>
    <cellStyle name="Comma 9 4 2 2 2" xfId="2034" xr:uid="{FE5499C6-6A79-48CD-B24B-6AAFB3D31768}"/>
    <cellStyle name="Comma 9 4 2 2 2 2" xfId="4202" xr:uid="{DEEE67A1-66A9-49F8-B281-8266AA672F67}"/>
    <cellStyle name="Comma 9 4 2 2 2 2 2" xfId="8538" xr:uid="{FFECE8E7-1BCB-4DD2-9974-F25F4A47644C}"/>
    <cellStyle name="Comma 9 4 2 2 2 2 2 2" xfId="17210" xr:uid="{6B2FC1FF-3C6D-4B61-BB43-EAA3FBFEF1A0}"/>
    <cellStyle name="Comma 9 4 2 2 2 2 2 2 2" xfId="34554" xr:uid="{C49C9D2E-A4FD-42A4-86D9-1DC0FBC3092D}"/>
    <cellStyle name="Comma 9 4 2 2 2 2 2 3" xfId="25882" xr:uid="{03BA7F3E-7320-47FB-842B-082A19277EBE}"/>
    <cellStyle name="Comma 9 4 2 2 2 2 3" xfId="12874" xr:uid="{AE78CEA4-D3E0-4BAA-B6DF-97CF8AF432FF}"/>
    <cellStyle name="Comma 9 4 2 2 2 2 3 2" xfId="30218" xr:uid="{96ECAD95-4351-4C01-936B-1B811F6B9B92}"/>
    <cellStyle name="Comma 9 4 2 2 2 2 4" xfId="21546" xr:uid="{F098CB78-8FA0-49CF-AC90-E704FD60E946}"/>
    <cellStyle name="Comma 9 4 2 2 2 3" xfId="6370" xr:uid="{F637B111-FA66-4188-B51E-CFA2710993A8}"/>
    <cellStyle name="Comma 9 4 2 2 2 3 2" xfId="15042" xr:uid="{058606D1-4494-4B09-A030-CDCB07778081}"/>
    <cellStyle name="Comma 9 4 2 2 2 3 2 2" xfId="32386" xr:uid="{E4116EEC-CAB1-43B4-84AF-2548456F034E}"/>
    <cellStyle name="Comma 9 4 2 2 2 3 3" xfId="23714" xr:uid="{6834E3B6-B11B-475F-BA14-A0DB3E448995}"/>
    <cellStyle name="Comma 9 4 2 2 2 4" xfId="10706" xr:uid="{D03DCAAF-16B0-4928-AA8D-5BA0E7714C99}"/>
    <cellStyle name="Comma 9 4 2 2 2 4 2" xfId="28050" xr:uid="{433A0739-F9D9-4CBD-A046-AF9337F7EFF7}"/>
    <cellStyle name="Comma 9 4 2 2 2 5" xfId="19378" xr:uid="{3FFFB67A-9A9A-40A1-A6E6-AE197D310A02}"/>
    <cellStyle name="Comma 9 4 2 2 3" xfId="3118" xr:uid="{90613AD1-DC67-4FDD-8DD5-98AA758753C8}"/>
    <cellStyle name="Comma 9 4 2 2 3 2" xfId="7454" xr:uid="{032F5F66-A2BA-48E2-B2AD-3AAD3538DC03}"/>
    <cellStyle name="Comma 9 4 2 2 3 2 2" xfId="16126" xr:uid="{0867834A-49B7-4FA7-9C04-A25AB2E21946}"/>
    <cellStyle name="Comma 9 4 2 2 3 2 2 2" xfId="33470" xr:uid="{CE2DDA33-1FCD-49FA-8108-C3F6B30D3893}"/>
    <cellStyle name="Comma 9 4 2 2 3 2 3" xfId="24798" xr:uid="{692824E6-0A81-4FCE-9366-C325624DF734}"/>
    <cellStyle name="Comma 9 4 2 2 3 3" xfId="11790" xr:uid="{4A55D7F5-4A55-41BE-8FFA-8AFF1876686F}"/>
    <cellStyle name="Comma 9 4 2 2 3 3 2" xfId="29134" xr:uid="{2370C4BE-DEBD-4FDB-983B-3F4A7F7F4FC8}"/>
    <cellStyle name="Comma 9 4 2 2 3 4" xfId="20462" xr:uid="{63DBF446-2851-4397-BEE4-9BD83CF076BB}"/>
    <cellStyle name="Comma 9 4 2 2 4" xfId="5286" xr:uid="{8FAA74F8-41C8-422E-8236-DACDDE10058C}"/>
    <cellStyle name="Comma 9 4 2 2 4 2" xfId="13958" xr:uid="{F92749DC-DF39-4841-BA28-0B90F89019B4}"/>
    <cellStyle name="Comma 9 4 2 2 4 2 2" xfId="31302" xr:uid="{2805B8F9-92EF-4185-B8A0-467227ABD23B}"/>
    <cellStyle name="Comma 9 4 2 2 4 3" xfId="22630" xr:uid="{1DC24135-2D9F-415F-A0AF-ACEFE8C3B31C}"/>
    <cellStyle name="Comma 9 4 2 2 5" xfId="9622" xr:uid="{75C355E0-8BDA-4AB4-B4B9-B640E5425180}"/>
    <cellStyle name="Comma 9 4 2 2 5 2" xfId="26966" xr:uid="{60C5969E-A41A-4A06-B4D3-1B63D4023633}"/>
    <cellStyle name="Comma 9 4 2 2 6" xfId="18294" xr:uid="{1ECB3E71-FD09-4A95-9352-943E99CBC8FF}"/>
    <cellStyle name="Comma 9 4 2 3" xfId="1493" xr:uid="{14A81010-E5F3-442D-84DD-1FA6DCAC583A}"/>
    <cellStyle name="Comma 9 4 2 3 2" xfId="3661" xr:uid="{3092E35C-4656-4228-8062-5A3DD1B4A523}"/>
    <cellStyle name="Comma 9 4 2 3 2 2" xfId="7997" xr:uid="{F2D06EEA-37C9-4A68-A5CE-AF9AE63253C8}"/>
    <cellStyle name="Comma 9 4 2 3 2 2 2" xfId="16669" xr:uid="{DB7B3D35-3BC3-4E55-BF01-C58082CF7F9F}"/>
    <cellStyle name="Comma 9 4 2 3 2 2 2 2" xfId="34013" xr:uid="{E217AE3B-E8D6-4CB1-84FE-ACC529CBCD2B}"/>
    <cellStyle name="Comma 9 4 2 3 2 2 3" xfId="25341" xr:uid="{D44C271A-5CE6-4D67-A1FD-7B0E5BC33ECC}"/>
    <cellStyle name="Comma 9 4 2 3 2 3" xfId="12333" xr:uid="{1D60DC26-6390-408A-8134-4A8BB9CE6E37}"/>
    <cellStyle name="Comma 9 4 2 3 2 3 2" xfId="29677" xr:uid="{726A7D2A-D8DA-4254-9A6C-E4394780FE50}"/>
    <cellStyle name="Comma 9 4 2 3 2 4" xfId="21005" xr:uid="{672F7A2E-D286-40E4-ACFD-30EC83E3096F}"/>
    <cellStyle name="Comma 9 4 2 3 3" xfId="5829" xr:uid="{AB3DD484-1387-4BE5-85A2-DA46B12C5333}"/>
    <cellStyle name="Comma 9 4 2 3 3 2" xfId="14501" xr:uid="{EE96A114-C4D5-4868-8FEB-B0CF19FDC86E}"/>
    <cellStyle name="Comma 9 4 2 3 3 2 2" xfId="31845" xr:uid="{176DCED4-1B61-426A-A29C-156A833AA795}"/>
    <cellStyle name="Comma 9 4 2 3 3 3" xfId="23173" xr:uid="{D15F3954-02C9-4D20-90C6-8F04883B108B}"/>
    <cellStyle name="Comma 9 4 2 3 4" xfId="10165" xr:uid="{7405B46E-659C-4792-BC75-95B8A9DDEE28}"/>
    <cellStyle name="Comma 9 4 2 3 4 2" xfId="27509" xr:uid="{3C84915A-9F84-4C6B-BB44-AEE39F2793B1}"/>
    <cellStyle name="Comma 9 4 2 3 5" xfId="18837" xr:uid="{331441BB-7422-42F1-BFCB-29152682753C}"/>
    <cellStyle name="Comma 9 4 2 4" xfId="2577" xr:uid="{B097F3A3-144C-4004-B1FB-B25095EAE76B}"/>
    <cellStyle name="Comma 9 4 2 4 2" xfId="6913" xr:uid="{393189E5-B6B1-4FA7-95DA-4ABC3EAE1A8C}"/>
    <cellStyle name="Comma 9 4 2 4 2 2" xfId="15585" xr:uid="{0F9118EF-32E3-4100-94F0-87116295A62B}"/>
    <cellStyle name="Comma 9 4 2 4 2 2 2" xfId="32929" xr:uid="{7D47E8FA-3490-48C7-B321-1CEA7632C351}"/>
    <cellStyle name="Comma 9 4 2 4 2 3" xfId="24257" xr:uid="{4D476B86-21F6-488C-A221-2A4C171681A6}"/>
    <cellStyle name="Comma 9 4 2 4 3" xfId="11249" xr:uid="{60543369-AC45-42F8-98B6-EB6AA2412A82}"/>
    <cellStyle name="Comma 9 4 2 4 3 2" xfId="28593" xr:uid="{910514C6-8361-479A-A843-E5A4B09991B9}"/>
    <cellStyle name="Comma 9 4 2 4 4" xfId="19921" xr:uid="{F0208459-036A-433D-AA19-728FB71F0496}"/>
    <cellStyle name="Comma 9 4 2 5" xfId="4745" xr:uid="{8412C2FE-3A99-4F0A-A1CA-CBD407079B83}"/>
    <cellStyle name="Comma 9 4 2 5 2" xfId="13417" xr:uid="{570F7B1E-4D22-4CFC-B15A-6DA548BFC7A5}"/>
    <cellStyle name="Comma 9 4 2 5 2 2" xfId="30761" xr:uid="{F98C7ABD-9EC2-41B5-9878-28DD0C4A308A}"/>
    <cellStyle name="Comma 9 4 2 5 3" xfId="22089" xr:uid="{F176D3BB-AD41-46BE-A68E-966BA8AA4D96}"/>
    <cellStyle name="Comma 9 4 2 6" xfId="9081" xr:uid="{57151281-6243-4CD0-98ED-7142473495C5}"/>
    <cellStyle name="Comma 9 4 2 6 2" xfId="26425" xr:uid="{95E211FF-E610-49AE-BDC4-9D9113939EB1}"/>
    <cellStyle name="Comma 9 4 2 7" xfId="17753" xr:uid="{720DCB32-889A-406C-A66C-423E9FBDAA7F}"/>
    <cellStyle name="Comma 9 4 3" xfId="680" xr:uid="{6D173234-15EB-4767-A85E-2D46F9EFEB48}"/>
    <cellStyle name="Comma 9 4 3 2" xfId="1764" xr:uid="{2E3E7D0B-C560-41D7-BAA9-68DA7852C606}"/>
    <cellStyle name="Comma 9 4 3 2 2" xfId="3932" xr:uid="{0C221EBA-592E-42EC-8117-CAA712C0A2EF}"/>
    <cellStyle name="Comma 9 4 3 2 2 2" xfId="8268" xr:uid="{F72AB930-6157-4E00-9417-10CFCAA32240}"/>
    <cellStyle name="Comma 9 4 3 2 2 2 2" xfId="16940" xr:uid="{C7ADCAD8-28B4-4DAE-8B75-1ECA1D1858BF}"/>
    <cellStyle name="Comma 9 4 3 2 2 2 2 2" xfId="34284" xr:uid="{0E3F57DD-E92B-432B-9584-6F0AE239A6E6}"/>
    <cellStyle name="Comma 9 4 3 2 2 2 3" xfId="25612" xr:uid="{6E8DD6DE-60D1-4037-93A9-E4BBE15C29C6}"/>
    <cellStyle name="Comma 9 4 3 2 2 3" xfId="12604" xr:uid="{FE38745A-B042-46F2-A04E-27F9AE8ACD6D}"/>
    <cellStyle name="Comma 9 4 3 2 2 3 2" xfId="29948" xr:uid="{1B439D68-3018-46E4-B9BB-7858D2EECD10}"/>
    <cellStyle name="Comma 9 4 3 2 2 4" xfId="21276" xr:uid="{E92AE228-E08A-4441-84B1-47C43C7085A9}"/>
    <cellStyle name="Comma 9 4 3 2 3" xfId="6100" xr:uid="{83391856-9903-4772-B90D-E832ED7E85FD}"/>
    <cellStyle name="Comma 9 4 3 2 3 2" xfId="14772" xr:uid="{131D6771-109D-44D4-BE8B-8D3B450E6A04}"/>
    <cellStyle name="Comma 9 4 3 2 3 2 2" xfId="32116" xr:uid="{935BADFD-1AA4-4A6F-94E2-56D4DE664D77}"/>
    <cellStyle name="Comma 9 4 3 2 3 3" xfId="23444" xr:uid="{A26E551C-976E-414B-B73D-EF82F5A5A400}"/>
    <cellStyle name="Comma 9 4 3 2 4" xfId="10436" xr:uid="{F83E7ECA-3EE0-402C-88A8-C38F06CE47B6}"/>
    <cellStyle name="Comma 9 4 3 2 4 2" xfId="27780" xr:uid="{ADB89863-6871-46D1-967C-E558B34AB0FF}"/>
    <cellStyle name="Comma 9 4 3 2 5" xfId="19108" xr:uid="{DB85BDCF-C8A2-4A97-8F2D-02D184CDB695}"/>
    <cellStyle name="Comma 9 4 3 3" xfId="2848" xr:uid="{A2A7D029-FC15-4647-81DC-88E43098142A}"/>
    <cellStyle name="Comma 9 4 3 3 2" xfId="7184" xr:uid="{FF77772C-3554-4EE8-A1C9-74F9F3A1AAA2}"/>
    <cellStyle name="Comma 9 4 3 3 2 2" xfId="15856" xr:uid="{77B1D6DE-BF5F-407B-AC66-FD106A2D00DE}"/>
    <cellStyle name="Comma 9 4 3 3 2 2 2" xfId="33200" xr:uid="{C5896061-84B0-4015-9EE8-42450BB0434A}"/>
    <cellStyle name="Comma 9 4 3 3 2 3" xfId="24528" xr:uid="{445FC1DB-C175-4A70-A71C-06CCAC74D4D5}"/>
    <cellStyle name="Comma 9 4 3 3 3" xfId="11520" xr:uid="{D4E71D59-919C-4DF8-89BF-8ABAA132FC36}"/>
    <cellStyle name="Comma 9 4 3 3 3 2" xfId="28864" xr:uid="{449F963F-2DF7-4C9E-85AE-C8BE10D24312}"/>
    <cellStyle name="Comma 9 4 3 3 4" xfId="20192" xr:uid="{730A588C-ED98-4CC8-B452-CE5FE81EEA71}"/>
    <cellStyle name="Comma 9 4 3 4" xfId="5016" xr:uid="{F847F051-B135-4E4C-AFB1-226FDA8F9379}"/>
    <cellStyle name="Comma 9 4 3 4 2" xfId="13688" xr:uid="{8E98AD0E-ED10-4B90-B84D-DBAE025D3001}"/>
    <cellStyle name="Comma 9 4 3 4 2 2" xfId="31032" xr:uid="{E64AD20A-90EF-4D16-B3F9-67F6DBC2FEDD}"/>
    <cellStyle name="Comma 9 4 3 4 3" xfId="22360" xr:uid="{03C5C57E-FE25-4862-8EE6-12B640BBE8FB}"/>
    <cellStyle name="Comma 9 4 3 5" xfId="9352" xr:uid="{9D682D92-3AC9-4411-B2E8-BA328464EBD0}"/>
    <cellStyle name="Comma 9 4 3 5 2" xfId="26696" xr:uid="{0C251B69-E40F-41D5-8F4A-41679D164511}"/>
    <cellStyle name="Comma 9 4 3 6" xfId="18024" xr:uid="{07621408-29FD-453B-B44A-4CD596714048}"/>
    <cellStyle name="Comma 9 4 4" xfId="1223" xr:uid="{FF5DC95F-09ED-4573-8786-3137646AC27D}"/>
    <cellStyle name="Comma 9 4 4 2" xfId="3391" xr:uid="{E9A172A0-F1A1-44C5-A86E-9ED409F839B9}"/>
    <cellStyle name="Comma 9 4 4 2 2" xfId="7727" xr:uid="{3485C13A-6B0C-4E2D-990D-F2D3681F14ED}"/>
    <cellStyle name="Comma 9 4 4 2 2 2" xfId="16399" xr:uid="{676E0C03-806C-4CBA-A184-21AAF9886D47}"/>
    <cellStyle name="Comma 9 4 4 2 2 2 2" xfId="33743" xr:uid="{C8067881-9139-44DF-92CF-49E0C4FA4EE1}"/>
    <cellStyle name="Comma 9 4 4 2 2 3" xfId="25071" xr:uid="{ABA43BA0-C327-4159-B5FE-6053EA2EEC48}"/>
    <cellStyle name="Comma 9 4 4 2 3" xfId="12063" xr:uid="{22C789C3-06C2-4734-9E2B-5CF53AFFB550}"/>
    <cellStyle name="Comma 9 4 4 2 3 2" xfId="29407" xr:uid="{C3181F35-DA54-4D85-81F3-604B7419AB75}"/>
    <cellStyle name="Comma 9 4 4 2 4" xfId="20735" xr:uid="{8017B75A-5441-45BF-BF5A-DB95A05BAB5F}"/>
    <cellStyle name="Comma 9 4 4 3" xfId="5559" xr:uid="{2CECED95-5A8F-479C-9DDC-FF69F3058BFD}"/>
    <cellStyle name="Comma 9 4 4 3 2" xfId="14231" xr:uid="{83C667C5-8FFF-4F5D-A31E-47977B5A4490}"/>
    <cellStyle name="Comma 9 4 4 3 2 2" xfId="31575" xr:uid="{48A33691-17E8-4BE6-A17D-CCF7DFB37FDD}"/>
    <cellStyle name="Comma 9 4 4 3 3" xfId="22903" xr:uid="{13277F32-5894-4E3C-B6B1-6AC4AE72F39C}"/>
    <cellStyle name="Comma 9 4 4 4" xfId="9895" xr:uid="{6193024B-0BAD-424D-B7DF-C1F38A85ED9E}"/>
    <cellStyle name="Comma 9 4 4 4 2" xfId="27239" xr:uid="{8916993A-543A-4ECC-BFE9-A16D2288D027}"/>
    <cellStyle name="Comma 9 4 4 5" xfId="18567" xr:uid="{F4A5BF7A-AB14-426D-A13C-25C4DDF41289}"/>
    <cellStyle name="Comma 9 4 5" xfId="2307" xr:uid="{870C34B3-6129-4242-9167-C5FB9CB0ABF0}"/>
    <cellStyle name="Comma 9 4 5 2" xfId="6643" xr:uid="{808F9DE5-7FCA-4482-A005-67B22C409312}"/>
    <cellStyle name="Comma 9 4 5 2 2" xfId="15315" xr:uid="{2DC6D0C7-5603-472C-9B02-AD3CB77F2CD1}"/>
    <cellStyle name="Comma 9 4 5 2 2 2" xfId="32659" xr:uid="{6BC49EF8-A0F5-40ED-BA71-95D3698DF583}"/>
    <cellStyle name="Comma 9 4 5 2 3" xfId="23987" xr:uid="{EDB967C7-07F7-44B1-B383-874DFE2E1A7B}"/>
    <cellStyle name="Comma 9 4 5 3" xfId="10979" xr:uid="{99DE2D7C-7264-4833-B4C3-836AC8C79DE9}"/>
    <cellStyle name="Comma 9 4 5 3 2" xfId="28323" xr:uid="{840B296F-5186-4629-BB15-B3E96081256B}"/>
    <cellStyle name="Comma 9 4 5 4" xfId="19651" xr:uid="{91AEC272-CFFE-4E01-885C-A99275FA7F88}"/>
    <cellStyle name="Comma 9 4 6" xfId="4475" xr:uid="{53991D09-7FEF-43E4-B5B6-40AFC0972074}"/>
    <cellStyle name="Comma 9 4 6 2" xfId="13147" xr:uid="{922C5C96-D02F-42BF-9882-9D02918B6F5C}"/>
    <cellStyle name="Comma 9 4 6 2 2" xfId="30491" xr:uid="{A9AD5F2F-F86B-4C8A-BCAD-99CDE87FBC55}"/>
    <cellStyle name="Comma 9 4 6 3" xfId="21819" xr:uid="{AF700A29-8985-4FD9-B588-8E0C0DD814B8}"/>
    <cellStyle name="Comma 9 4 7" xfId="8811" xr:uid="{CC295BBC-58F2-44B1-A14B-02D6E3651CFA}"/>
    <cellStyle name="Comma 9 4 7 2" xfId="26155" xr:uid="{22ABBCF7-14E4-4916-A4E2-8EB5DEA581C0}"/>
    <cellStyle name="Comma 9 4 8" xfId="17483" xr:uid="{FF0E6E16-8432-4787-A879-CB421D06AA6F}"/>
    <cellStyle name="Comma 9 5" xfId="263" xr:uid="{CAB79C1F-4DFC-42E2-AD40-434B0218156C}"/>
    <cellStyle name="Comma 9 5 2" xfId="533" xr:uid="{1EE29832-D0DC-4B0F-8872-6A0397D2DAF6}"/>
    <cellStyle name="Comma 9 5 2 2" xfId="1074" xr:uid="{7D2098BF-B2F3-415E-8BA7-2A79B40949F2}"/>
    <cellStyle name="Comma 9 5 2 2 2" xfId="2158" xr:uid="{19CBA0E2-2694-4107-8F54-1FBD7DCFDA22}"/>
    <cellStyle name="Comma 9 5 2 2 2 2" xfId="4326" xr:uid="{FF232C86-CE24-4363-A984-180DEB931EDC}"/>
    <cellStyle name="Comma 9 5 2 2 2 2 2" xfId="8662" xr:uid="{5498FFF3-1700-49D2-9C1A-CCE9627852C2}"/>
    <cellStyle name="Comma 9 5 2 2 2 2 2 2" xfId="17334" xr:uid="{C8F8E0E9-4C77-497F-A3C6-526759D78EC2}"/>
    <cellStyle name="Comma 9 5 2 2 2 2 2 2 2" xfId="34678" xr:uid="{51B307BB-F889-4D52-A057-F1E87B0E64B3}"/>
    <cellStyle name="Comma 9 5 2 2 2 2 2 3" xfId="26006" xr:uid="{73D03218-57AB-4D1B-8D7B-1B5DAD743841}"/>
    <cellStyle name="Comma 9 5 2 2 2 2 3" xfId="12998" xr:uid="{D6F26DDB-896A-4ED4-BE8C-D9CF0CAEEA0C}"/>
    <cellStyle name="Comma 9 5 2 2 2 2 3 2" xfId="30342" xr:uid="{4CEC6F4F-8700-40B3-911E-24FD8EE5BFB0}"/>
    <cellStyle name="Comma 9 5 2 2 2 2 4" xfId="21670" xr:uid="{7A223879-6A51-4C90-84F5-8F228FC6C558}"/>
    <cellStyle name="Comma 9 5 2 2 2 3" xfId="6494" xr:uid="{BAAE1769-A1DA-4CF0-98B2-E6256AB7A405}"/>
    <cellStyle name="Comma 9 5 2 2 2 3 2" xfId="15166" xr:uid="{E33A68EC-314C-4C8A-AEE1-EB794EB40A29}"/>
    <cellStyle name="Comma 9 5 2 2 2 3 2 2" xfId="32510" xr:uid="{5685787A-DDFF-4C01-B38A-50D9A8D30511}"/>
    <cellStyle name="Comma 9 5 2 2 2 3 3" xfId="23838" xr:uid="{AEAAE2EC-B810-46C1-9BC8-FA57C16FB968}"/>
    <cellStyle name="Comma 9 5 2 2 2 4" xfId="10830" xr:uid="{73959FD9-5932-459C-BF53-F57878D31B5D}"/>
    <cellStyle name="Comma 9 5 2 2 2 4 2" xfId="28174" xr:uid="{29C2004C-D92C-4679-AA6D-F928A353E558}"/>
    <cellStyle name="Comma 9 5 2 2 2 5" xfId="19502" xr:uid="{B579833E-52DD-471E-B078-1E1179F2DF65}"/>
    <cellStyle name="Comma 9 5 2 2 3" xfId="3242" xr:uid="{D7076016-27C5-40DF-BF68-23C4F85631AB}"/>
    <cellStyle name="Comma 9 5 2 2 3 2" xfId="7578" xr:uid="{96221609-D91D-43B3-BAB6-B154B944F355}"/>
    <cellStyle name="Comma 9 5 2 2 3 2 2" xfId="16250" xr:uid="{D4E5C647-D971-47A0-8E2B-58A4DCA2ACA9}"/>
    <cellStyle name="Comma 9 5 2 2 3 2 2 2" xfId="33594" xr:uid="{03CA56CD-41D9-4321-854A-2D9AD7ADCA52}"/>
    <cellStyle name="Comma 9 5 2 2 3 2 3" xfId="24922" xr:uid="{281D7C6E-3282-4196-BA5C-C5746F4AAD0D}"/>
    <cellStyle name="Comma 9 5 2 2 3 3" xfId="11914" xr:uid="{C447EDCA-2B28-41BD-A110-1FEF4B7726C2}"/>
    <cellStyle name="Comma 9 5 2 2 3 3 2" xfId="29258" xr:uid="{EACCF383-F284-4FDC-BAE2-3D616DD93A3F}"/>
    <cellStyle name="Comma 9 5 2 2 3 4" xfId="20586" xr:uid="{668EE968-85AF-4A12-A7A9-5E447F6EB872}"/>
    <cellStyle name="Comma 9 5 2 2 4" xfId="5410" xr:uid="{FC7C8CA9-C730-46E4-924B-05A58D9676C8}"/>
    <cellStyle name="Comma 9 5 2 2 4 2" xfId="14082" xr:uid="{C8173CB9-B4B6-4624-AFA8-9CE5EEA5D0F2}"/>
    <cellStyle name="Comma 9 5 2 2 4 2 2" xfId="31426" xr:uid="{560C3645-DE07-425E-8D25-8D12D4FEF56F}"/>
    <cellStyle name="Comma 9 5 2 2 4 3" xfId="22754" xr:uid="{D7930E5A-F2B8-4FC9-B356-4D1DFBCFBB9F}"/>
    <cellStyle name="Comma 9 5 2 2 5" xfId="9746" xr:uid="{9DCF54E6-4799-4CA7-B4F9-BCDDD48A4568}"/>
    <cellStyle name="Comma 9 5 2 2 5 2" xfId="27090" xr:uid="{B39C9F52-3B5F-490E-AAAB-C7761C2AEBE4}"/>
    <cellStyle name="Comma 9 5 2 2 6" xfId="18418" xr:uid="{11B149E0-5A15-4443-9AAA-12A3F85E214F}"/>
    <cellStyle name="Comma 9 5 2 3" xfId="1617" xr:uid="{2B2FA39E-047B-419A-A978-1C8F0099F0AF}"/>
    <cellStyle name="Comma 9 5 2 3 2" xfId="3785" xr:uid="{D5DDED5C-0D66-4471-9C47-4D826B3F243C}"/>
    <cellStyle name="Comma 9 5 2 3 2 2" xfId="8121" xr:uid="{F47DFB8B-8CF6-4355-93FA-0B6AEFAA901E}"/>
    <cellStyle name="Comma 9 5 2 3 2 2 2" xfId="16793" xr:uid="{C7A17041-58CE-429D-8CC3-937F9FF253F0}"/>
    <cellStyle name="Comma 9 5 2 3 2 2 2 2" xfId="34137" xr:uid="{619F1FDC-A8BE-4C59-A2AE-8C88CAED3B8D}"/>
    <cellStyle name="Comma 9 5 2 3 2 2 3" xfId="25465" xr:uid="{3ACAC89F-FD2F-4364-A400-669D221D5F08}"/>
    <cellStyle name="Comma 9 5 2 3 2 3" xfId="12457" xr:uid="{9825C90E-C5C0-4A4B-9158-81EB1B176FDC}"/>
    <cellStyle name="Comma 9 5 2 3 2 3 2" xfId="29801" xr:uid="{08054FE4-410B-40B2-9542-916794CAC7F7}"/>
    <cellStyle name="Comma 9 5 2 3 2 4" xfId="21129" xr:uid="{CC0198CF-20F9-459C-A986-5EDE599200A1}"/>
    <cellStyle name="Comma 9 5 2 3 3" xfId="5953" xr:uid="{9FF9DBF8-24BA-4BBD-A851-14B07A557304}"/>
    <cellStyle name="Comma 9 5 2 3 3 2" xfId="14625" xr:uid="{AA53CA30-7A3F-451B-9C44-4943C7C55CCC}"/>
    <cellStyle name="Comma 9 5 2 3 3 2 2" xfId="31969" xr:uid="{7841CBC4-55C1-4EF5-866B-E0E8377AF75B}"/>
    <cellStyle name="Comma 9 5 2 3 3 3" xfId="23297" xr:uid="{DFEFE9B5-9DFC-4C99-8723-B40969DFC163}"/>
    <cellStyle name="Comma 9 5 2 3 4" xfId="10289" xr:uid="{C8E3C63A-FAF5-4C48-A268-1100E411DD3F}"/>
    <cellStyle name="Comma 9 5 2 3 4 2" xfId="27633" xr:uid="{18CE00E5-4035-4999-B0B7-C5DB8FCAEC52}"/>
    <cellStyle name="Comma 9 5 2 3 5" xfId="18961" xr:uid="{5D202749-BDD2-48FA-B930-CAD1677D3A3F}"/>
    <cellStyle name="Comma 9 5 2 4" xfId="2701" xr:uid="{A5D1D428-197A-43DF-B9DA-B7DF2340668E}"/>
    <cellStyle name="Comma 9 5 2 4 2" xfId="7037" xr:uid="{42949CE7-5C3E-46F7-9E9A-C09FE00F3246}"/>
    <cellStyle name="Comma 9 5 2 4 2 2" xfId="15709" xr:uid="{A8792841-39BD-4D8F-A6EE-9DB72250B506}"/>
    <cellStyle name="Comma 9 5 2 4 2 2 2" xfId="33053" xr:uid="{507FA2A8-B88F-46AF-8E90-1629BC7A11BA}"/>
    <cellStyle name="Comma 9 5 2 4 2 3" xfId="24381" xr:uid="{73125CD0-867B-49DB-96C8-A3218733FA0B}"/>
    <cellStyle name="Comma 9 5 2 4 3" xfId="11373" xr:uid="{EE448480-866A-4C46-BE10-ACDAB9C09B5A}"/>
    <cellStyle name="Comma 9 5 2 4 3 2" xfId="28717" xr:uid="{4A08E49B-FF2E-48AC-8746-E3B769B9B93B}"/>
    <cellStyle name="Comma 9 5 2 4 4" xfId="20045" xr:uid="{175AC713-83E8-47D3-A1F7-28B58EF3FA13}"/>
    <cellStyle name="Comma 9 5 2 5" xfId="4869" xr:uid="{072D8FBB-5D8D-4211-B64A-5248C9D675A3}"/>
    <cellStyle name="Comma 9 5 2 5 2" xfId="13541" xr:uid="{A4E05328-26DB-45D7-92C5-BAF4BF9E5D7A}"/>
    <cellStyle name="Comma 9 5 2 5 2 2" xfId="30885" xr:uid="{6BA4E511-7102-410B-AB60-4968E4374995}"/>
    <cellStyle name="Comma 9 5 2 5 3" xfId="22213" xr:uid="{090EFE15-66E0-41AF-8558-940FD8A635D3}"/>
    <cellStyle name="Comma 9 5 2 6" xfId="9205" xr:uid="{71459D65-02DE-4FC3-B7C0-0547303D3859}"/>
    <cellStyle name="Comma 9 5 2 6 2" xfId="26549" xr:uid="{8B55DB5A-8635-4EF3-8327-C0436319B399}"/>
    <cellStyle name="Comma 9 5 2 7" xfId="17877" xr:uid="{23603936-F51B-4EAF-AE37-A54066555A2F}"/>
    <cellStyle name="Comma 9 5 3" xfId="804" xr:uid="{F0DCF172-DF3B-4C42-9F73-D606D5CC94BB}"/>
    <cellStyle name="Comma 9 5 3 2" xfId="1888" xr:uid="{80DC068D-1733-4608-9D5D-76C17D63E6F2}"/>
    <cellStyle name="Comma 9 5 3 2 2" xfId="4056" xr:uid="{16C42D50-7390-43D7-8079-0DFBD4BB5738}"/>
    <cellStyle name="Comma 9 5 3 2 2 2" xfId="8392" xr:uid="{041F076C-F8B8-462E-852A-B664992B54B8}"/>
    <cellStyle name="Comma 9 5 3 2 2 2 2" xfId="17064" xr:uid="{086EDE34-A1DD-4D59-8516-58E51D75D7C1}"/>
    <cellStyle name="Comma 9 5 3 2 2 2 2 2" xfId="34408" xr:uid="{C06162E8-F9A0-4F65-BA18-852941A37669}"/>
    <cellStyle name="Comma 9 5 3 2 2 2 3" xfId="25736" xr:uid="{7DD2F439-92D1-4FFC-B61E-6D58A02678E4}"/>
    <cellStyle name="Comma 9 5 3 2 2 3" xfId="12728" xr:uid="{96A4E0D2-553B-4018-9E37-40A87BB9830A}"/>
    <cellStyle name="Comma 9 5 3 2 2 3 2" xfId="30072" xr:uid="{3CEB3924-9B8E-4185-A58A-BAFCD75F839F}"/>
    <cellStyle name="Comma 9 5 3 2 2 4" xfId="21400" xr:uid="{A49CACCE-CCC5-4F85-B9A9-47245A54E141}"/>
    <cellStyle name="Comma 9 5 3 2 3" xfId="6224" xr:uid="{E25CBF88-157C-4C02-A9FB-2B455AF8932D}"/>
    <cellStyle name="Comma 9 5 3 2 3 2" xfId="14896" xr:uid="{B524AC3B-15BA-4104-80A5-B3549CD79155}"/>
    <cellStyle name="Comma 9 5 3 2 3 2 2" xfId="32240" xr:uid="{2FC41015-3B3F-46EF-BF50-177F25CDB1F3}"/>
    <cellStyle name="Comma 9 5 3 2 3 3" xfId="23568" xr:uid="{D0277BFF-E467-4570-B4A4-DB94A97341C1}"/>
    <cellStyle name="Comma 9 5 3 2 4" xfId="10560" xr:uid="{B2E2D82F-122B-457A-9DCE-F116EBF03317}"/>
    <cellStyle name="Comma 9 5 3 2 4 2" xfId="27904" xr:uid="{C4D8E71F-A28E-46F2-A287-B7BEEA61F148}"/>
    <cellStyle name="Comma 9 5 3 2 5" xfId="19232" xr:uid="{C524C227-BAEB-431F-8939-E090BE16AD38}"/>
    <cellStyle name="Comma 9 5 3 3" xfId="2972" xr:uid="{EC269C26-C4F9-49B9-A852-B2420C0F909E}"/>
    <cellStyle name="Comma 9 5 3 3 2" xfId="7308" xr:uid="{C35F4412-7C7B-4ECE-978A-F655A77926E1}"/>
    <cellStyle name="Comma 9 5 3 3 2 2" xfId="15980" xr:uid="{08868362-8603-462C-9AEE-CE169EDE77FF}"/>
    <cellStyle name="Comma 9 5 3 3 2 2 2" xfId="33324" xr:uid="{5A786AB9-26AD-4229-A944-C50EB6E448C2}"/>
    <cellStyle name="Comma 9 5 3 3 2 3" xfId="24652" xr:uid="{F68F1638-59D0-4255-BC85-3E57C1CCC38C}"/>
    <cellStyle name="Comma 9 5 3 3 3" xfId="11644" xr:uid="{939E9E5A-5C9F-48C8-BEF1-EB4C0201A3A8}"/>
    <cellStyle name="Comma 9 5 3 3 3 2" xfId="28988" xr:uid="{90389C5C-CF8A-48F9-AECC-F5BFFCCC996B}"/>
    <cellStyle name="Comma 9 5 3 3 4" xfId="20316" xr:uid="{C28A4FA4-BC33-4612-9182-7A657E8E03F4}"/>
    <cellStyle name="Comma 9 5 3 4" xfId="5140" xr:uid="{29BEFF7E-5CB8-4FEA-BA6C-80A989AC9A26}"/>
    <cellStyle name="Comma 9 5 3 4 2" xfId="13812" xr:uid="{96BD27FC-1F1F-4603-9F8E-F3A66966FAA6}"/>
    <cellStyle name="Comma 9 5 3 4 2 2" xfId="31156" xr:uid="{9D17309D-F9C2-4C97-8CFD-B9C08F7FEF71}"/>
    <cellStyle name="Comma 9 5 3 4 3" xfId="22484" xr:uid="{3C3493A0-FA29-496F-8880-EB9CA1E2B80F}"/>
    <cellStyle name="Comma 9 5 3 5" xfId="9476" xr:uid="{202E371A-7704-4F61-868B-A41218F070D7}"/>
    <cellStyle name="Comma 9 5 3 5 2" xfId="26820" xr:uid="{E0D010F0-98C9-4095-94C8-5C8F7B19DE10}"/>
    <cellStyle name="Comma 9 5 3 6" xfId="18148" xr:uid="{843A1803-A75D-43E0-9746-69BA5A805424}"/>
    <cellStyle name="Comma 9 5 4" xfId="1347" xr:uid="{F0D251F2-6E26-4F2F-92F2-EF2220E16AFB}"/>
    <cellStyle name="Comma 9 5 4 2" xfId="3515" xr:uid="{C1A5B08E-8F0C-40A5-A84D-627792CE44C5}"/>
    <cellStyle name="Comma 9 5 4 2 2" xfId="7851" xr:uid="{83308653-A2D1-41B6-BAE3-F2FAC8DF1FC6}"/>
    <cellStyle name="Comma 9 5 4 2 2 2" xfId="16523" xr:uid="{55633B64-E43A-48E6-BE7B-EA6C8B3F1D7D}"/>
    <cellStyle name="Comma 9 5 4 2 2 2 2" xfId="33867" xr:uid="{B93C3DEA-8801-4FD0-ADE5-E52602D34431}"/>
    <cellStyle name="Comma 9 5 4 2 2 3" xfId="25195" xr:uid="{AE4187FA-2337-407E-9249-B482B2AFFF2C}"/>
    <cellStyle name="Comma 9 5 4 2 3" xfId="12187" xr:uid="{BC247B37-05B4-489E-BC2E-993E1444F796}"/>
    <cellStyle name="Comma 9 5 4 2 3 2" xfId="29531" xr:uid="{9AF1870D-E313-4429-A78B-C467E19766D4}"/>
    <cellStyle name="Comma 9 5 4 2 4" xfId="20859" xr:uid="{E1908141-8BF4-42B9-BECB-36C17C6D0D28}"/>
    <cellStyle name="Comma 9 5 4 3" xfId="5683" xr:uid="{D7432AC8-7505-4EF2-BC37-AA7C1717E8EA}"/>
    <cellStyle name="Comma 9 5 4 3 2" xfId="14355" xr:uid="{67770EC7-EC55-4162-99DB-6CEDCA1CBF89}"/>
    <cellStyle name="Comma 9 5 4 3 2 2" xfId="31699" xr:uid="{E9963438-09BE-473B-8EF7-104E2C422AFA}"/>
    <cellStyle name="Comma 9 5 4 3 3" xfId="23027" xr:uid="{8471C842-F2A3-4143-B95F-58DE2F79B2AF}"/>
    <cellStyle name="Comma 9 5 4 4" xfId="10019" xr:uid="{86001E13-42B8-47FA-A5C0-BA3D1E1F55E6}"/>
    <cellStyle name="Comma 9 5 4 4 2" xfId="27363" xr:uid="{498A0E39-AF23-4F56-BB1B-00C576977F95}"/>
    <cellStyle name="Comma 9 5 4 5" xfId="18691" xr:uid="{59161CEB-B52A-4416-9EC6-16DEEB3D780E}"/>
    <cellStyle name="Comma 9 5 5" xfId="2431" xr:uid="{BC16F6BC-CEAB-4230-BCCD-CD86B393C07F}"/>
    <cellStyle name="Comma 9 5 5 2" xfId="6767" xr:uid="{5FB1FDDA-6E68-42F9-AFFF-39A87EF1B4EF}"/>
    <cellStyle name="Comma 9 5 5 2 2" xfId="15439" xr:uid="{F74703A3-0976-4001-92EF-E8FF92FEA553}"/>
    <cellStyle name="Comma 9 5 5 2 2 2" xfId="32783" xr:uid="{22AA70DD-3A4D-45B3-8D8B-679D6342A5EE}"/>
    <cellStyle name="Comma 9 5 5 2 3" xfId="24111" xr:uid="{A9832941-99C2-4363-BABF-F4674D7031BF}"/>
    <cellStyle name="Comma 9 5 5 3" xfId="11103" xr:uid="{0E2ABCEA-5CE3-4E3B-9395-C3911FBB0913}"/>
    <cellStyle name="Comma 9 5 5 3 2" xfId="28447" xr:uid="{D21BE75C-D369-49E2-8F18-3C655577D659}"/>
    <cellStyle name="Comma 9 5 5 4" xfId="19775" xr:uid="{188AD425-D8B4-45AB-9BCF-E9A66EFC827A}"/>
    <cellStyle name="Comma 9 5 6" xfId="4599" xr:uid="{63506C47-90FE-45FA-BE68-BCBFA596DC55}"/>
    <cellStyle name="Comma 9 5 6 2" xfId="13271" xr:uid="{A6A097DD-5EE0-4D95-B555-883288ED3C7B}"/>
    <cellStyle name="Comma 9 5 6 2 2" xfId="30615" xr:uid="{E9C8B143-C40C-49EB-B960-859F019791F9}"/>
    <cellStyle name="Comma 9 5 6 3" xfId="21943" xr:uid="{63B9DA93-25EC-43D8-A421-A21F3A2AE684}"/>
    <cellStyle name="Comma 9 5 7" xfId="8935" xr:uid="{9FE94C3C-D73F-45E9-8430-C5CAC3C4306B}"/>
    <cellStyle name="Comma 9 5 7 2" xfId="26279" xr:uid="{8557F953-EA14-407B-8949-574165D0568F}"/>
    <cellStyle name="Comma 9 5 8" xfId="17607" xr:uid="{912AF0A7-47DC-4864-956E-BB3EBA023EDB}"/>
    <cellStyle name="Comma 9 6" xfId="287" xr:uid="{F1DDBA7A-E6FC-4C12-8095-5A4D01D4B90C}"/>
    <cellStyle name="Comma 9 6 2" xfId="828" xr:uid="{93192768-B2BF-4284-8A72-F56BD74DFF71}"/>
    <cellStyle name="Comma 9 6 2 2" xfId="1912" xr:uid="{E445E487-F1A2-4B17-BC53-06C729B7908B}"/>
    <cellStyle name="Comma 9 6 2 2 2" xfId="4080" xr:uid="{D6B556D3-B192-4088-AF64-E683D3E4D5C9}"/>
    <cellStyle name="Comma 9 6 2 2 2 2" xfId="8416" xr:uid="{2F31C945-C21C-4FDA-B3BF-12A6BA1BDD27}"/>
    <cellStyle name="Comma 9 6 2 2 2 2 2" xfId="17088" xr:uid="{CB23D3FB-1EAF-4EE5-B4EB-A14DB81398B1}"/>
    <cellStyle name="Comma 9 6 2 2 2 2 2 2" xfId="34432" xr:uid="{832A00AB-720D-411E-9D97-C50DE527DEBB}"/>
    <cellStyle name="Comma 9 6 2 2 2 2 3" xfId="25760" xr:uid="{A0F4CF14-FBAF-4EE0-A69F-296E84E89689}"/>
    <cellStyle name="Comma 9 6 2 2 2 3" xfId="12752" xr:uid="{A5443D2A-45E7-44CF-BB7E-DFD3475BA954}"/>
    <cellStyle name="Comma 9 6 2 2 2 3 2" xfId="30096" xr:uid="{86EE36EB-03E7-4EEC-8FEF-83EE35B08AC4}"/>
    <cellStyle name="Comma 9 6 2 2 2 4" xfId="21424" xr:uid="{A9605447-058D-4831-B63B-575E85A8F942}"/>
    <cellStyle name="Comma 9 6 2 2 3" xfId="6248" xr:uid="{921A7A2A-B0C5-4445-A64A-64E59952C916}"/>
    <cellStyle name="Comma 9 6 2 2 3 2" xfId="14920" xr:uid="{E25445D1-A7C9-46E2-9DD8-010D6D7D39CD}"/>
    <cellStyle name="Comma 9 6 2 2 3 2 2" xfId="32264" xr:uid="{98F36271-28C0-4335-A295-6EE7EE7B9669}"/>
    <cellStyle name="Comma 9 6 2 2 3 3" xfId="23592" xr:uid="{65265DE6-8A5E-45FF-B96B-96D1C1B89FF7}"/>
    <cellStyle name="Comma 9 6 2 2 4" xfId="10584" xr:uid="{EF10F8D8-78BF-451F-A294-F98F26095038}"/>
    <cellStyle name="Comma 9 6 2 2 4 2" xfId="27928" xr:uid="{A09498EF-8255-4F2F-BF75-1A85A28181CB}"/>
    <cellStyle name="Comma 9 6 2 2 5" xfId="19256" xr:uid="{B6DBBFD3-7191-460B-94E2-7815DEA8050B}"/>
    <cellStyle name="Comma 9 6 2 3" xfId="2996" xr:uid="{DF923B56-8EB4-44F1-A2F8-025D4F279152}"/>
    <cellStyle name="Comma 9 6 2 3 2" xfId="7332" xr:uid="{098EB750-6202-4E7E-A460-75D544A868FC}"/>
    <cellStyle name="Comma 9 6 2 3 2 2" xfId="16004" xr:uid="{9734C125-3E21-4768-9C67-A5069838913C}"/>
    <cellStyle name="Comma 9 6 2 3 2 2 2" xfId="33348" xr:uid="{1172ABB4-7A6E-4647-AE7D-27FAC9FC74F0}"/>
    <cellStyle name="Comma 9 6 2 3 2 3" xfId="24676" xr:uid="{3996946B-2AAE-46B2-A3EC-3A7B54846249}"/>
    <cellStyle name="Comma 9 6 2 3 3" xfId="11668" xr:uid="{3C8FC687-F27B-4401-B9C5-D240BF090020}"/>
    <cellStyle name="Comma 9 6 2 3 3 2" xfId="29012" xr:uid="{188C399C-F154-446D-8DE5-24CC9293964C}"/>
    <cellStyle name="Comma 9 6 2 3 4" xfId="20340" xr:uid="{7A9BB8F6-C38D-4861-A059-6D0CB6F35CB4}"/>
    <cellStyle name="Comma 9 6 2 4" xfId="5164" xr:uid="{1461D540-3AB3-4342-9681-F7E33427349A}"/>
    <cellStyle name="Comma 9 6 2 4 2" xfId="13836" xr:uid="{B3229A0F-6292-408A-90BF-44B46C384895}"/>
    <cellStyle name="Comma 9 6 2 4 2 2" xfId="31180" xr:uid="{4A75AC6B-883F-462B-92E3-DB09CFB9DCDC}"/>
    <cellStyle name="Comma 9 6 2 4 3" xfId="22508" xr:uid="{E863C5E1-1719-4B4A-A20B-0BCC664E158A}"/>
    <cellStyle name="Comma 9 6 2 5" xfId="9500" xr:uid="{43B2F08C-A3BB-47E4-8945-9A7114916682}"/>
    <cellStyle name="Comma 9 6 2 5 2" xfId="26844" xr:uid="{49BE178E-65A3-4EF1-869E-D1168EA19108}"/>
    <cellStyle name="Comma 9 6 2 6" xfId="18172" xr:uid="{33228871-623A-4BDD-B621-C86C80071E84}"/>
    <cellStyle name="Comma 9 6 3" xfId="1371" xr:uid="{A8EBE165-F419-44C0-BE8E-CA75322583F9}"/>
    <cellStyle name="Comma 9 6 3 2" xfId="3539" xr:uid="{1DF40ED7-CE4C-4F62-B0EB-1A3D42C354F5}"/>
    <cellStyle name="Comma 9 6 3 2 2" xfId="7875" xr:uid="{8B784CA1-4126-459F-87EA-12EE777D7EC5}"/>
    <cellStyle name="Comma 9 6 3 2 2 2" xfId="16547" xr:uid="{2786FC3B-0308-44E6-8EE5-84D490CF94A3}"/>
    <cellStyle name="Comma 9 6 3 2 2 2 2" xfId="33891" xr:uid="{FD03BE34-6883-4FFC-B3D2-60B97CEC9C48}"/>
    <cellStyle name="Comma 9 6 3 2 2 3" xfId="25219" xr:uid="{E92E4B5E-6A2C-4ADA-9F49-15811CAC2272}"/>
    <cellStyle name="Comma 9 6 3 2 3" xfId="12211" xr:uid="{0F99B704-9469-47A9-BDE4-776A0E391C4A}"/>
    <cellStyle name="Comma 9 6 3 2 3 2" xfId="29555" xr:uid="{DDA793FA-306E-4F25-9BAC-DF79AF2DDD05}"/>
    <cellStyle name="Comma 9 6 3 2 4" xfId="20883" xr:uid="{9071B721-3C85-4397-B33D-D4CD57C02AFC}"/>
    <cellStyle name="Comma 9 6 3 3" xfId="5707" xr:uid="{DA3D307B-4323-42F0-B9DF-22192002A3AC}"/>
    <cellStyle name="Comma 9 6 3 3 2" xfId="14379" xr:uid="{12AF960A-68C0-4A80-A653-DBD75E8BFB7B}"/>
    <cellStyle name="Comma 9 6 3 3 2 2" xfId="31723" xr:uid="{E1849156-C106-49AC-9DCB-62CFC7C0EA41}"/>
    <cellStyle name="Comma 9 6 3 3 3" xfId="23051" xr:uid="{0BB2EA0F-8CA7-4B2E-90A6-01F699CBF091}"/>
    <cellStyle name="Comma 9 6 3 4" xfId="10043" xr:uid="{05CB3EBA-58DB-4927-9018-075FF9B9A5EE}"/>
    <cellStyle name="Comma 9 6 3 4 2" xfId="27387" xr:uid="{7167F72C-F2F5-42BA-AB1D-5770EE990AA5}"/>
    <cellStyle name="Comma 9 6 3 5" xfId="18715" xr:uid="{AD83EE59-BB99-4FC4-86B6-1F0B20163DED}"/>
    <cellStyle name="Comma 9 6 4" xfId="2455" xr:uid="{779B4E58-0C0C-4B28-BD68-A1F43A01FA67}"/>
    <cellStyle name="Comma 9 6 4 2" xfId="6791" xr:uid="{89056CFA-7765-4539-8D52-11C16136A6C8}"/>
    <cellStyle name="Comma 9 6 4 2 2" xfId="15463" xr:uid="{37CE3902-F394-4182-88E8-BF2FCEE5DBA1}"/>
    <cellStyle name="Comma 9 6 4 2 2 2" xfId="32807" xr:uid="{B29D2D01-1BC5-48EC-938E-8F7234FAF8E8}"/>
    <cellStyle name="Comma 9 6 4 2 3" xfId="24135" xr:uid="{72A99C91-29A9-4CC7-A8F2-689DD7038508}"/>
    <cellStyle name="Comma 9 6 4 3" xfId="11127" xr:uid="{F995A857-39DF-4959-A5DC-6015D853B735}"/>
    <cellStyle name="Comma 9 6 4 3 2" xfId="28471" xr:uid="{B9E60C0A-1AE7-44DF-AA1F-A79C45A8CEDC}"/>
    <cellStyle name="Comma 9 6 4 4" xfId="19799" xr:uid="{91F20C8E-168D-41E8-BC23-81BF3ECDB3CB}"/>
    <cellStyle name="Comma 9 6 5" xfId="4623" xr:uid="{FEBEF902-2754-4A13-BB8C-393578398C44}"/>
    <cellStyle name="Comma 9 6 5 2" xfId="13295" xr:uid="{2486326B-2810-490D-835B-3B43840785F9}"/>
    <cellStyle name="Comma 9 6 5 2 2" xfId="30639" xr:uid="{C384BBBE-CC1C-4AAE-9682-E9F902FE8496}"/>
    <cellStyle name="Comma 9 6 5 3" xfId="21967" xr:uid="{96CA6109-53B7-4558-B3D4-966C4B7FFA69}"/>
    <cellStyle name="Comma 9 6 6" xfId="8959" xr:uid="{1AE31C2C-B47C-4A2E-A3A2-47AD14B14941}"/>
    <cellStyle name="Comma 9 6 6 2" xfId="26303" xr:uid="{3450DDE6-25DC-412D-8E68-ABF9A6D487C8}"/>
    <cellStyle name="Comma 9 6 7" xfId="17631" xr:uid="{69555C08-C373-40D4-A7BA-1640F697C0EB}"/>
    <cellStyle name="Comma 9 7" xfId="558" xr:uid="{487E7D79-481E-471E-B821-180F30B503FE}"/>
    <cellStyle name="Comma 9 7 2" xfId="1642" xr:uid="{C1E4CCBE-2FB3-478E-8B95-5FD78AB9D101}"/>
    <cellStyle name="Comma 9 7 2 2" xfId="3810" xr:uid="{F2FB2CF4-F936-435B-BA8A-B0C993786CC8}"/>
    <cellStyle name="Comma 9 7 2 2 2" xfId="8146" xr:uid="{5AF0E358-D769-467C-9503-C24E429D5CDE}"/>
    <cellStyle name="Comma 9 7 2 2 2 2" xfId="16818" xr:uid="{5AD33034-6AA6-4792-B045-FEBC9F02960D}"/>
    <cellStyle name="Comma 9 7 2 2 2 2 2" xfId="34162" xr:uid="{629A3620-D207-42FB-B6E0-14CE7A67F1BF}"/>
    <cellStyle name="Comma 9 7 2 2 2 3" xfId="25490" xr:uid="{EBAF15E4-AF07-454C-9337-4AC2371FF032}"/>
    <cellStyle name="Comma 9 7 2 2 3" xfId="12482" xr:uid="{F9D89936-C426-4323-9C3D-5D169D0F2D75}"/>
    <cellStyle name="Comma 9 7 2 2 3 2" xfId="29826" xr:uid="{BDA9F900-BE13-48AD-842D-007F95DBB2EA}"/>
    <cellStyle name="Comma 9 7 2 2 4" xfId="21154" xr:uid="{0015FDA5-E1E6-45E6-B583-B44B53D395DC}"/>
    <cellStyle name="Comma 9 7 2 3" xfId="5978" xr:uid="{FB4D323B-A28C-43FA-9BE9-EEBF1F11C4F1}"/>
    <cellStyle name="Comma 9 7 2 3 2" xfId="14650" xr:uid="{C1E69A3B-1500-451F-9380-A3ACFC4A3502}"/>
    <cellStyle name="Comma 9 7 2 3 2 2" xfId="31994" xr:uid="{B7C96276-3F0E-44BA-8F02-F43B82A132A0}"/>
    <cellStyle name="Comma 9 7 2 3 3" xfId="23322" xr:uid="{AE3BA57B-8469-41E7-A426-2B4536F89A0F}"/>
    <cellStyle name="Comma 9 7 2 4" xfId="10314" xr:uid="{6A391114-63DA-47B7-B72F-4FDF548FB267}"/>
    <cellStyle name="Comma 9 7 2 4 2" xfId="27658" xr:uid="{C0FC5AF5-1B6F-4E35-BFFF-60FE038B6861}"/>
    <cellStyle name="Comma 9 7 2 5" xfId="18986" xr:uid="{C7A8BC2A-6C25-4BDE-B07A-653ABD1C432D}"/>
    <cellStyle name="Comma 9 7 3" xfId="2726" xr:uid="{2FF0D290-F81A-439B-9015-603699512E17}"/>
    <cellStyle name="Comma 9 7 3 2" xfId="7062" xr:uid="{08BDBA3F-A8E9-4EE6-9656-B086EBBB071D}"/>
    <cellStyle name="Comma 9 7 3 2 2" xfId="15734" xr:uid="{29DB7F46-CEBE-4295-A541-9425E9C41B4D}"/>
    <cellStyle name="Comma 9 7 3 2 2 2" xfId="33078" xr:uid="{86168D02-79B7-4CBB-8C71-7BF013A24CB3}"/>
    <cellStyle name="Comma 9 7 3 2 3" xfId="24406" xr:uid="{34767EA0-5AE1-46AA-8B4C-544D62A40A32}"/>
    <cellStyle name="Comma 9 7 3 3" xfId="11398" xr:uid="{CC0A2861-5092-442B-B8C2-49648C6E2C75}"/>
    <cellStyle name="Comma 9 7 3 3 2" xfId="28742" xr:uid="{3C7D2552-071A-4B69-A7AF-4BD88C6FFBA9}"/>
    <cellStyle name="Comma 9 7 3 4" xfId="20070" xr:uid="{ED51A8BA-DFA7-4136-99DA-A31BAB40A4DF}"/>
    <cellStyle name="Comma 9 7 4" xfId="4894" xr:uid="{1AC40D69-D896-47DE-80BA-FF9F6200345D}"/>
    <cellStyle name="Comma 9 7 4 2" xfId="13566" xr:uid="{054774C0-A070-457E-9DAE-3BA9DFAE106E}"/>
    <cellStyle name="Comma 9 7 4 2 2" xfId="30910" xr:uid="{18A66817-7FE3-442D-9B5E-D240CFD67CA8}"/>
    <cellStyle name="Comma 9 7 4 3" xfId="22238" xr:uid="{BEA1E15A-91FF-4F0E-BAA3-972DC6631AB5}"/>
    <cellStyle name="Comma 9 7 5" xfId="9230" xr:uid="{C28A5D85-0DA9-4ED9-BCB5-162FFD038AEB}"/>
    <cellStyle name="Comma 9 7 5 2" xfId="26574" xr:uid="{5CD73E6B-2C33-47AF-B286-135ADCF05A0C}"/>
    <cellStyle name="Comma 9 7 6" xfId="17902" xr:uid="{8FBF7F87-346B-401C-AA52-EC18225C4465}"/>
    <cellStyle name="Comma 9 8" xfId="1101" xr:uid="{EEED4108-2CA9-472D-B178-1DE64227E4A6}"/>
    <cellStyle name="Comma 9 8 2" xfId="3269" xr:uid="{AB98EE12-4C57-4172-BA51-A61E5D8C59E9}"/>
    <cellStyle name="Comma 9 8 2 2" xfId="7605" xr:uid="{E47A2AA3-DEEA-4E98-A1E4-C4B205421D5E}"/>
    <cellStyle name="Comma 9 8 2 2 2" xfId="16277" xr:uid="{367C467E-0F47-497A-8B43-169C509C583B}"/>
    <cellStyle name="Comma 9 8 2 2 2 2" xfId="33621" xr:uid="{F930CC34-2CEC-4494-8210-03886A446983}"/>
    <cellStyle name="Comma 9 8 2 2 3" xfId="24949" xr:uid="{A6BAF7FC-3350-4BA5-874B-BD0DF3ED26AF}"/>
    <cellStyle name="Comma 9 8 2 3" xfId="11941" xr:uid="{BC6E0058-1F71-452B-909E-5C26E2EFBE7B}"/>
    <cellStyle name="Comma 9 8 2 3 2" xfId="29285" xr:uid="{A481B0B7-84EF-478F-81EC-58FA4FAEEAEB}"/>
    <cellStyle name="Comma 9 8 2 4" xfId="20613" xr:uid="{27EDF1AC-70CA-4977-8919-5BC73F64C124}"/>
    <cellStyle name="Comma 9 8 3" xfId="5437" xr:uid="{0A838C51-955D-4139-B9C0-0EB522CEDE6F}"/>
    <cellStyle name="Comma 9 8 3 2" xfId="14109" xr:uid="{48904084-79CA-495E-8CE9-C0E654B0473C}"/>
    <cellStyle name="Comma 9 8 3 2 2" xfId="31453" xr:uid="{CA428EDF-F918-4B84-8E76-D90A2527F18C}"/>
    <cellStyle name="Comma 9 8 3 3" xfId="22781" xr:uid="{3F69D42C-F9E7-4627-93F5-AE3727818B11}"/>
    <cellStyle name="Comma 9 8 4" xfId="9773" xr:uid="{5BD70B3F-4EDB-4D45-A66A-F54AE6573320}"/>
    <cellStyle name="Comma 9 8 4 2" xfId="27117" xr:uid="{60A986AC-0115-4EB8-8ACD-9F1BC48F59C6}"/>
    <cellStyle name="Comma 9 8 5" xfId="18445" xr:uid="{F7157C5D-6C33-4144-8EF1-5D88A8BC7BE5}"/>
    <cellStyle name="Comma 9 9" xfId="2185" xr:uid="{2C3367CF-F288-4903-A49A-76444A44C796}"/>
    <cellStyle name="Comma 9 9 2" xfId="6521" xr:uid="{7817E1B1-0BD1-4D21-AD3D-ACF205A01ABE}"/>
    <cellStyle name="Comma 9 9 2 2" xfId="15193" xr:uid="{3CDB0CA9-5571-4A92-9329-6EE41735645F}"/>
    <cellStyle name="Comma 9 9 2 2 2" xfId="32537" xr:uid="{49A33E03-6041-40D6-95AA-3493D45EB091}"/>
    <cellStyle name="Comma 9 9 2 3" xfId="23865" xr:uid="{25AD5211-6216-42DD-A0DB-47C6080470AD}"/>
    <cellStyle name="Comma 9 9 3" xfId="10857" xr:uid="{E9723CD9-6F22-4375-B137-955F1612B02B}"/>
    <cellStyle name="Comma 9 9 3 2" xfId="28201" xr:uid="{858F4D2C-CD35-402F-BF1F-D674AF70AAC6}"/>
    <cellStyle name="Comma 9 9 4" xfId="19529" xr:uid="{D969EAF7-C76D-44CA-B846-A208F65B692A}"/>
    <cellStyle name="Normal" xfId="0" builtinId="0"/>
    <cellStyle name="Percent" xfId="34691" builtinId="5"/>
    <cellStyle name="Percent 2" xfId="3" xr:uid="{5F38CFF0-3248-484A-889D-951BE849226F}"/>
  </cellStyles>
  <dxfs count="60"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theme="0"/>
      </font>
      <fill>
        <patternFill patternType="solid">
          <fgColor indexed="64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left"/>
    </dxf>
    <dxf>
      <alignment vertical="center"/>
    </dxf>
    <dxf>
      <alignment vertical="center"/>
    </dxf>
    <dxf>
      <font>
        <color theme="0"/>
      </font>
      <fill>
        <patternFill patternType="solid">
          <fgColor indexed="64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theme="0"/>
      </font>
      <fill>
        <patternFill patternType="solid">
          <fgColor indexed="64"/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border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numFmt numFmtId="165" formatCode="_ * #,##0_ ;_ * \-#,##0_ ;_ * &quot;-&quot;??_ ;_ @_ "/>
    </dxf>
    <dxf>
      <numFmt numFmtId="165" formatCode="_ * #,##0_ ;_ * \-#,##0_ ;_ * &quot;-&quot;??_ ;_ @_ "/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border>
        <left style="thin">
          <color indexed="64"/>
        </lef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numFmt numFmtId="165" formatCode="_ * #,##0_ ;_ * \-#,##0_ ;_ * &quot;-&quot;??_ ;_ @_ "/>
    </dxf>
    <dxf>
      <numFmt numFmtId="165" formatCode="_ * #,##0_ ;_ * \-#,##0_ ;_ * &quot;-&quot;??_ ;_ @_ "/>
    </dxf>
  </dxfs>
  <tableStyles count="0" defaultTableStyle="TableStyleMedium2" defaultPivotStyle="PivotStyleLight16"/>
  <colors>
    <mruColors>
      <color rgb="FFC0E181"/>
      <color rgb="FFD0F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rujal Pethani" id="{999BBB6B-DC0B-4435-8A44-01BE98C3C6EB}" userId="S::srujal.p@grew.one::be05f9c2-74c3-4c4e-a3ca-11d1ff68f5e8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personal/hemang_s_grew_one/Documents/HEMANG/Charges/Updated%20LC%20BG%20SHEET.xlsx#BgEIDA4ADAMGBAcBBAQECw=448.0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pita Malick" refreshedDate="46172.48042083333" createdVersion="8" refreshedVersion="8" minRefreshableVersion="3" recordCount="215" xr:uid="{0129611E-A20B-4763-8890-3D84AD76CFC4}">
  <cacheSource type="worksheet">
    <worksheetSource ref="A1:AP216" sheet="LC-Final List" r:id="rId2"/>
  </cacheSource>
  <cacheFields count="45">
    <cacheField name="Sr No" numFmtId="0">
      <sharedItems containsString="0" containsBlank="1" containsNumber="1" containsInteger="1" minValue="191" maxValue="314"/>
    </cacheField>
    <cacheField name="PO NO" numFmtId="0">
      <sharedItems containsBlank="1" containsMixedTypes="1" containsNumber="1" containsInteger="1" minValue="1400000398" maxValue="5600000477"/>
    </cacheField>
    <cacheField name=" LC no." numFmtId="0">
      <sharedItems containsBlank="1"/>
    </cacheField>
    <cacheField name="LC Op. Date" numFmtId="14">
      <sharedItems containsNonDate="0" containsDate="1" containsString="0" containsBlank="1" minDate="2025-12-18T00:00:00" maxDate="2026-05-16T00:00:00"/>
    </cacheField>
    <cacheField name="Bank Name" numFmtId="14">
      <sharedItems containsBlank="1" count="5">
        <s v="SBI"/>
        <s v="IDBI"/>
        <s v="BOI"/>
        <m/>
        <s v="SBI 10%" u="1"/>
      </sharedItems>
    </cacheField>
    <cacheField name="Margin" numFmtId="9">
      <sharedItems containsString="0" containsBlank="1" containsNumber="1" minValue="0.1" maxValue="1"/>
    </cacheField>
    <cacheField name="Supplier Name" numFmtId="0">
      <sharedItems containsBlank="1"/>
    </cacheField>
    <cacheField name="Currency" numFmtId="0">
      <sharedItems containsBlank="1"/>
    </cacheField>
    <cacheField name="LC Amt without Tolerance" numFmtId="43">
      <sharedItems containsString="0" containsBlank="1" containsNumber="1" minValue="0" maxValue="6450000"/>
    </cacheField>
    <cacheField name="Tolerance Amt /Reduction Amt" numFmtId="43">
      <sharedItems containsString="0" containsBlank="1" containsNumber="1" minValue="0" maxValue="526966"/>
    </cacheField>
    <cacheField name="Final LC Amt_x000a_(in FC)" numFmtId="43">
      <sharedItems containsString="0" containsBlank="1" containsNumber="1" minValue="0" maxValue="6450000"/>
    </cacheField>
    <cacheField name="RATE" numFmtId="0">
      <sharedItems containsString="0" containsBlank="1" containsNumber="1" minValue="91.456000000000003" maxValue="111.9575"/>
    </cacheField>
    <cacheField name="LC Amt _x000a_(in INR)" numFmtId="43">
      <sharedItems containsString="0" containsBlank="1" containsNumber="1" minValue="0" maxValue="613524000"/>
    </cacheField>
    <cacheField name="Type" numFmtId="0">
      <sharedItems containsBlank="1"/>
    </cacheField>
    <cacheField name="USANCE NO OF DAYS" numFmtId="0">
      <sharedItems containsBlank="1" containsMixedTypes="1" containsNumber="1" containsInteger="1" minValue="30" maxValue="180"/>
    </cacheField>
    <cacheField name="DOCUMENTS RECEIVED" numFmtId="14">
      <sharedItems containsBlank="1" count="6">
        <s v="YES"/>
        <s v="CANCELLED"/>
        <s v="NO"/>
        <s v="SOFT COPY"/>
        <m/>
        <s v="SBLC" u="1"/>
      </sharedItems>
    </cacheField>
    <cacheField name="Bill Invoice No" numFmtId="0">
      <sharedItems containsBlank="1" containsMixedTypes="1" containsNumber="1" containsInteger="1" minValue="81012295" maxValue="1025026312"/>
    </cacheField>
    <cacheField name="Bill Lodge date" numFmtId="14">
      <sharedItems containsNonDate="0" containsDate="1" containsString="0" containsBlank="1" minDate="2026-01-29T00:00:00" maxDate="2026-06-27T00:00:00"/>
    </cacheField>
    <cacheField name="Bill Acceptance date" numFmtId="14">
      <sharedItems containsNonDate="0" containsDate="1" containsString="0" containsBlank="1" minDate="2026-02-05T00:00:00" maxDate="2026-05-28T00:00:00"/>
    </cacheField>
    <cacheField name="Shipment Date for LC due date" numFmtId="14">
      <sharedItems containsNonDate="0" containsDate="1" containsString="0" containsBlank="1" minDate="2026-01-15T00:00:00" maxDate="2026-06-21T00:00:00"/>
    </cacheField>
    <cacheField name="BOE Bill Amt_x000a_(in FC)" numFmtId="43">
      <sharedItems containsString="0" containsBlank="1" containsNumber="1" minValue="0" maxValue="4320848.45"/>
    </cacheField>
    <cacheField name="Pending BOE Amt_x000a_(in FC)" numFmtId="43">
      <sharedItems containsString="0" containsBlank="1" containsNumber="1" minValue="-1875079.27" maxValue="5972000.0199999996"/>
    </cacheField>
    <cacheField name="BOE Bill Amt_x000a_(in INR)" numFmtId="43">
      <sharedItems containsString="0" containsBlank="1" containsNumber="1" minValue="0" maxValue="410999104.56400001"/>
    </cacheField>
    <cacheField name="Pending BOE Amt_x000a_(in INR)" numFmtId="0">
      <sharedItems containsString="0" containsBlank="1" containsNumber="1" minValue="-137890723.19999999" maxValue="221667425.28000003"/>
    </cacheField>
    <cacheField name="LC Payment Due Date" numFmtId="14">
      <sharedItems containsNonDate="0" containsDate="1" containsString="0" containsBlank="1" minDate="2026-03-16T00:00:00" maxDate="2026-08-20T00:00:00"/>
    </cacheField>
    <cacheField name="Limit Available date" numFmtId="14">
      <sharedItems containsDate="1" containsBlank="1" containsMixedTypes="1" minDate="2026-04-04T00:00:00" maxDate="2026-08-22T00:00:00" count="58">
        <d v="2026-04-17T00:00:00"/>
        <m/>
        <d v="2026-04-15T00:00:00"/>
        <d v="2026-04-12T00:00:00"/>
        <d v="2026-04-04T00:00:00"/>
        <d v="2026-05-06T00:00:00"/>
        <d v="2026-04-08T00:00:00"/>
        <d v="2026-05-28T00:00:00"/>
        <d v="2026-04-29T00:00:00"/>
        <d v="2026-05-20T00:00:00"/>
        <d v="2026-06-11T00:00:00"/>
        <d v="2026-05-13T00:00:00"/>
        <d v="2026-06-03T00:00:00"/>
        <d v="2026-05-01T00:00:00"/>
        <s v="-"/>
        <d v="2026-06-19T00:00:00"/>
        <d v="2026-06-17T00:00:00"/>
        <d v="2026-04-26T00:00:00"/>
        <d v="2026-05-09T00:00:00"/>
        <d v="2026-06-04T00:00:00"/>
        <d v="2026-06-14T00:00:00"/>
        <d v="2026-04-25T00:00:00"/>
        <d v="2026-05-10T00:00:00"/>
        <d v="2026-05-17T00:00:00"/>
        <d v="2026-05-31T00:00:00"/>
        <d v="2026-06-06T00:00:00"/>
        <d v="2026-06-21T00:00:00"/>
        <d v="2026-06-24T00:00:00"/>
        <d v="2026-05-16T00:00:00"/>
        <d v="2026-05-23T00:00:00"/>
        <d v="2026-04-24T00:00:00"/>
        <d v="2026-05-14T00:00:00"/>
        <d v="2026-06-27T00:00:00"/>
        <d v="2026-07-04T00:00:00"/>
        <d v="2026-05-24T00:00:00"/>
        <d v="2026-07-10T00:00:00"/>
        <d v="2026-06-18T00:00:00"/>
        <d v="2026-05-22T00:00:00"/>
        <d v="2026-07-01T00:00:00"/>
        <d v="2026-07-09T00:00:00"/>
        <d v="2026-06-05T00:00:00"/>
        <d v="2026-07-16T00:00:00"/>
        <d v="2026-07-21T00:00:00"/>
        <d v="2026-07-13T00:00:00"/>
        <d v="2026-08-01T00:00:00"/>
        <d v="2026-06-13T00:00:00"/>
        <d v="2026-06-25T00:00:00"/>
        <d v="2026-07-17T00:00:00"/>
        <d v="2026-08-16T00:00:00"/>
        <d v="2026-08-21T00:00:00"/>
        <d v="2026-06-28T00:00:00" u="1"/>
        <d v="2026-07-12T00:00:00" u="1"/>
        <d v="2026-07-31T00:00:00" u="1"/>
        <d v="2026-06-22T00:00:00" u="1"/>
        <d v="2026-07-11T00:00:00" u="1"/>
        <d v="2026-06-26T00:00:00" u="1"/>
        <d v="2026-07-02T00:00:00" u="1"/>
        <d v="2026-06-16T00:00:00" u="1"/>
      </sharedItems>
    </cacheField>
    <cacheField name="LC Limit Available" numFmtId="0">
      <sharedItems containsString="0" containsBlank="1" containsNumber="1" minValue="0" maxValue="613524000"/>
    </cacheField>
    <cacheField name="Material Receipt Date" numFmtId="14">
      <sharedItems containsNonDate="0" containsDate="1" containsString="0" containsBlank="1" minDate="2026-03-06T00:00:00" maxDate="2026-03-31T00:00:00"/>
    </cacheField>
    <cacheField name="LC Payment Due Month" numFmtId="14">
      <sharedItems containsBlank="1"/>
    </cacheField>
    <cacheField name="BOE Status/LC OUTSTANDING" numFmtId="14">
      <sharedItems containsBlank="1"/>
    </cacheField>
    <cacheField name="Payment Status" numFmtId="14">
      <sharedItems containsBlank="1"/>
    </cacheField>
    <cacheField name="BOE Status" numFmtId="14">
      <sharedItems containsBlank="1"/>
    </cacheField>
    <cacheField name="LC Close date" numFmtId="14">
      <sharedItems containsNonDate="0" containsDate="1" containsString="0" containsBlank="1" minDate="2026-04-02T00:00:00" maxDate="2026-05-30T00:00:00"/>
    </cacheField>
    <cacheField name="LC Status" numFmtId="14">
      <sharedItems containsBlank="1"/>
    </cacheField>
    <cacheField name="SBLC Status" numFmtId="14">
      <sharedItems containsBlank="1" count="6">
        <m/>
        <s v="In planning- SBI"/>
        <s v="Yes-SBI"/>
        <s v="Yes"/>
        <s v="In planning"/>
        <s v="No" u="1"/>
      </sharedItems>
    </cacheField>
    <cacheField name="FD Number" numFmtId="0">
      <sharedItems containsBlank="1" containsMixedTypes="1" containsNumber="1" containsInteger="1" minValue="4281470748" maxValue="45011318971"/>
    </cacheField>
    <cacheField name="Margin FD Made" numFmtId="0">
      <sharedItems containsString="0" containsBlank="1" containsNumber="1" minValue="8" maxValue="117180000"/>
    </cacheField>
    <cacheField name="LC SHIPMENT DATE" numFmtId="0">
      <sharedItems containsNonDate="0" containsDate="1" containsString="0" containsBlank="1" minDate="2026-01-31T00:00:00" maxDate="2026-06-21T00:00:00"/>
    </cacheField>
    <cacheField name="LC EXPIRY DATE" numFmtId="0">
      <sharedItems containsNonDate="0" containsDate="1" containsString="0" containsBlank="1" minDate="2026-02-21T00:00:00" maxDate="2026-07-12T00:00:00" count="37">
        <d v="2026-03-20T00:00:00"/>
        <d v="2026-03-30T00:00:00"/>
        <d v="2026-02-21T00:00:00"/>
        <d v="2026-02-28T00:00:00"/>
        <m/>
        <d v="2026-03-08T00:00:00"/>
        <d v="2026-03-03T00:00:00"/>
        <d v="2026-03-21T00:00:00"/>
        <d v="2026-03-31T00:00:00"/>
        <d v="2026-04-26T00:00:00"/>
        <d v="2026-04-30T00:00:00"/>
        <d v="2026-04-21T00:00:00"/>
        <d v="2026-04-10T00:00:00"/>
        <d v="2026-05-10T00:00:00"/>
        <d v="2026-05-15T00:00:00"/>
        <d v="2026-04-05T00:00:00"/>
        <d v="2026-05-01T00:00:00"/>
        <d v="2026-05-06T00:00:00"/>
        <d v="2026-06-05T00:00:00"/>
        <d v="2026-05-21T00:00:00"/>
        <d v="2026-06-06T00:00:00"/>
        <d v="2026-04-06T00:00:00"/>
        <d v="2026-05-11T00:00:00"/>
        <d v="2026-05-30T00:00:00"/>
        <d v="2026-04-15T00:00:00"/>
        <d v="2026-04-17T00:00:00"/>
        <d v="2026-06-24T00:00:00"/>
        <d v="2026-05-27T00:00:00"/>
        <d v="2026-06-10T00:00:00"/>
        <d v="2026-06-20T00:00:00"/>
        <d v="2026-05-07T00:00:00"/>
        <d v="2026-05-31T00:00:00"/>
        <d v="2026-06-21T00:00:00"/>
        <d v="2026-05-26T00:00:00"/>
        <d v="2026-07-01T00:00:00"/>
        <d v="2026-07-06T00:00:00"/>
        <d v="2026-07-11T00:00:00"/>
      </sharedItems>
      <fieldGroup par="44"/>
    </cacheField>
    <cacheField name="Bill of Entry No." numFmtId="0">
      <sharedItems containsBlank="1" containsMixedTypes="1" containsNumber="1" containsInteger="1" minValue="7382088" maxValue="8652283"/>
    </cacheField>
    <cacheField name="Date of Bill of Entry Submitted to Bank" numFmtId="14">
      <sharedItems containsNonDate="0" containsDate="1" containsString="0" containsBlank="1" minDate="2026-03-16T00:00:00" maxDate="2026-05-15T00:00:00"/>
    </cacheField>
    <cacheField name="Product Name" numFmtId="0">
      <sharedItems containsBlank="1"/>
    </cacheField>
    <cacheField name="Months (LC EXPIRY DATE)" numFmtId="0" databaseField="0">
      <fieldGroup base="38">
        <rangePr groupBy="months" startDate="2026-02-21T00:00:00" endDate="2026-07-12T00:00:00"/>
        <groupItems count="14">
          <s v="&lt;21-02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-07-2026"/>
        </groupItems>
      </fieldGroup>
    </cacheField>
    <cacheField name="Quarters (LC EXPIRY DATE)" numFmtId="0" databaseField="0">
      <fieldGroup base="38">
        <rangePr groupBy="quarters" startDate="2026-02-21T00:00:00" endDate="2026-07-12T00:00:00"/>
        <groupItems count="6">
          <s v="&lt;21-02-2026"/>
          <s v="Qtr1"/>
          <s v="Qtr2"/>
          <s v="Qtr3"/>
          <s v="Qtr4"/>
          <s v="&gt;12-07-2026"/>
        </groupItems>
      </fieldGroup>
    </cacheField>
    <cacheField name="Years (LC EXPIRY DATE)" numFmtId="0" databaseField="0">
      <fieldGroup base="38">
        <rangePr groupBy="years" startDate="2026-02-21T00:00:00" endDate="2026-07-12T00:00:00"/>
        <groupItems count="3">
          <s v="&lt;21-02-2026"/>
          <s v="2026"/>
          <s v="&gt;12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pita Malick" refreshedDate="46178.458187037038" createdVersion="8" refreshedVersion="8" minRefreshableVersion="3" recordCount="224" xr:uid="{A69A103B-7015-43D5-85C4-D6E964E9BF22}">
  <cacheSource type="worksheet">
    <worksheetSource ref="A1:AP1048576" sheet="LC-Final List"/>
  </cacheSource>
  <cacheFields count="45">
    <cacheField name="Sr No" numFmtId="0">
      <sharedItems containsString="0" containsBlank="1" containsNumber="1" containsInteger="1" minValue="191" maxValue="317"/>
    </cacheField>
    <cacheField name="PO NO" numFmtId="0">
      <sharedItems containsBlank="1" containsMixedTypes="1" containsNumber="1" containsInteger="1" minValue="1400000398" maxValue="5600000486"/>
    </cacheField>
    <cacheField name=" LC no." numFmtId="0">
      <sharedItems containsBlank="1"/>
    </cacheField>
    <cacheField name="LC Op. Date" numFmtId="0">
      <sharedItems containsNonDate="0" containsDate="1" containsString="0" containsBlank="1" minDate="2025-12-18T00:00:00" maxDate="2026-06-02T00:00:00"/>
    </cacheField>
    <cacheField name="Bank Name" numFmtId="0">
      <sharedItems containsBlank="1" count="4">
        <s v="SBI"/>
        <s v="IDBI"/>
        <s v="BOI"/>
        <m/>
      </sharedItems>
    </cacheField>
    <cacheField name="Margin" numFmtId="0">
      <sharedItems containsString="0" containsBlank="1" containsNumber="1" minValue="0.1" maxValue="1"/>
    </cacheField>
    <cacheField name="Supplier Name" numFmtId="0">
      <sharedItems containsBlank="1"/>
    </cacheField>
    <cacheField name="Currency" numFmtId="0">
      <sharedItems containsBlank="1"/>
    </cacheField>
    <cacheField name="LC Amt without Tolerance" numFmtId="0">
      <sharedItems containsString="0" containsBlank="1" containsNumber="1" minValue="0" maxValue="138476576.21000001"/>
    </cacheField>
    <cacheField name="Tolerance Amt /Reduction Amt" numFmtId="0">
      <sharedItems containsString="0" containsBlank="1" containsNumber="1" minValue="0" maxValue="526966"/>
    </cacheField>
    <cacheField name="Final LC Amt_x000a_(in FC)" numFmtId="0">
      <sharedItems containsString="0" containsBlank="1" containsNumber="1" minValue="0" maxValue="138018444.514"/>
    </cacheField>
    <cacheField name="RATE" numFmtId="0">
      <sharedItems containsString="0" containsBlank="1" containsNumber="1" minValue="91.456000000000003" maxValue="111.9575"/>
    </cacheField>
    <cacheField name="LC Amt _x000a_(in INR)" numFmtId="0">
      <sharedItems containsString="0" containsBlank="1" containsNumber="1" minValue="0" maxValue="13167005526.126074"/>
    </cacheField>
    <cacheField name="Type" numFmtId="0">
      <sharedItems containsBlank="1"/>
    </cacheField>
    <cacheField name="USANCE NO OF DAYS" numFmtId="0">
      <sharedItems containsBlank="1" containsMixedTypes="1" containsNumber="1" containsInteger="1" minValue="30" maxValue="180"/>
    </cacheField>
    <cacheField name="DOCUMENTS RECEIVED" numFmtId="0">
      <sharedItems containsBlank="1" count="5">
        <s v="YES"/>
        <s v="CANCELLED"/>
        <s v="NO"/>
        <s v="SOFT COPY"/>
        <m/>
      </sharedItems>
    </cacheField>
    <cacheField name="Bill Invoice No" numFmtId="0">
      <sharedItems containsBlank="1" containsMixedTypes="1" containsNumber="1" containsInteger="1" minValue="81012295" maxValue="1025026312"/>
    </cacheField>
    <cacheField name="Bill Lodge date" numFmtId="14">
      <sharedItems containsNonDate="0" containsDate="1" containsString="0" containsBlank="1" minDate="2026-01-29T00:00:00" maxDate="2026-06-27T00:00:00"/>
    </cacheField>
    <cacheField name="Bill Acceptance date" numFmtId="14">
      <sharedItems containsNonDate="0" containsDate="1" containsString="0" containsBlank="1" minDate="2026-02-05T00:00:00" maxDate="2026-06-03T00:00:00"/>
    </cacheField>
    <cacheField name="Shipment Date for LC due date" numFmtId="0">
      <sharedItems containsNonDate="0" containsDate="1" containsString="0" containsBlank="1" minDate="2026-01-15T00:00:00" maxDate="2026-07-16T00:00:00"/>
    </cacheField>
    <cacheField name="BOE Bill Amt_x000a_(in FC)" numFmtId="0">
      <sharedItems containsString="0" containsBlank="1" containsNumber="1" minValue="0" maxValue="138018462.17999998"/>
    </cacheField>
    <cacheField name="Pending BOE Amt_x000a_(in FC)" numFmtId="0">
      <sharedItems containsString="0" containsBlank="1" containsNumber="1" minValue="-1875079.27" maxValue="5972000.0199999996"/>
    </cacheField>
    <cacheField name="BOE Bill Amt_x000a_(in INR)" numFmtId="0">
      <sharedItems containsString="0" containsBlank="1" containsNumber="1" minValue="0" maxValue="12998804418.14818"/>
    </cacheField>
    <cacheField name="Pending BOE Amt_x000a_(in INR)" numFmtId="0">
      <sharedItems containsString="0" containsBlank="1" containsNumber="1" minValue="-137890723.19999999" maxValue="221667425.28000003"/>
    </cacheField>
    <cacheField name="LC Payment Due Date" numFmtId="0">
      <sharedItems containsNonDate="0" containsDate="1" containsString="0" containsBlank="1" minDate="2026-03-16T00:00:00" maxDate="2026-09-14T00:00:00"/>
    </cacheField>
    <cacheField name="Limit Available date" numFmtId="14">
      <sharedItems containsDate="1" containsBlank="1" containsMixedTypes="1" minDate="2026-04-04T00:00:00" maxDate="2026-09-16T00:00:00" count="52">
        <d v="2026-04-17T00:00:00"/>
        <m/>
        <d v="2026-04-15T00:00:00"/>
        <d v="2026-04-12T00:00:00"/>
        <d v="2026-04-04T00:00:00"/>
        <d v="2026-05-06T00:00:00"/>
        <d v="2026-04-08T00:00:00"/>
        <d v="2026-05-28T00:00:00"/>
        <d v="2026-04-29T00:00:00"/>
        <d v="2026-05-20T00:00:00"/>
        <d v="2026-06-11T00:00:00"/>
        <d v="2026-05-13T00:00:00"/>
        <d v="2026-06-03T00:00:00"/>
        <d v="2026-05-01T00:00:00"/>
        <s v="-"/>
        <d v="2026-06-19T00:00:00"/>
        <d v="2026-06-17T00:00:00"/>
        <d v="2026-04-26T00:00:00"/>
        <d v="2026-05-09T00:00:00"/>
        <d v="2026-06-04T00:00:00"/>
        <d v="2026-06-14T00:00:00"/>
        <d v="2026-04-25T00:00:00"/>
        <d v="2026-05-10T00:00:00"/>
        <d v="2026-05-17T00:00:00"/>
        <d v="2026-05-31T00:00:00"/>
        <d v="2026-06-06T00:00:00"/>
        <d v="2026-06-24T00:00:00"/>
        <d v="2026-05-16T00:00:00"/>
        <d v="2026-05-23T00:00:00"/>
        <d v="2026-04-24T00:00:00"/>
        <d v="2026-05-14T00:00:00"/>
        <d v="2026-06-27T00:00:00"/>
        <d v="2026-07-04T00:00:00"/>
        <d v="2026-05-24T00:00:00"/>
        <d v="2026-07-10T00:00:00"/>
        <d v="2026-06-18T00:00:00"/>
        <d v="2026-05-22T00:00:00"/>
        <d v="2026-07-01T00:00:00"/>
        <d v="2026-07-09T00:00:00"/>
        <d v="2026-06-05T00:00:00"/>
        <d v="2026-07-16T00:00:00"/>
        <d v="2026-07-21T00:00:00"/>
        <d v="2026-07-15T00:00:00"/>
        <d v="2026-08-01T00:00:00"/>
        <d v="2026-06-13T00:00:00"/>
        <d v="2026-06-25T00:00:00"/>
        <d v="2026-07-17T00:00:00"/>
        <d v="2026-08-16T00:00:00"/>
        <d v="2026-08-21T00:00:00"/>
        <d v="2026-07-28T00:00:00"/>
        <d v="2026-09-15T00:00:00"/>
        <d v="2026-07-13T00:00:00" u="1"/>
      </sharedItems>
    </cacheField>
    <cacheField name="LC Limit Available" numFmtId="0">
      <sharedItems containsString="0" containsBlank="1" containsNumber="1" minValue="0" maxValue="663076649.27999997"/>
    </cacheField>
    <cacheField name="Material Receipt Date" numFmtId="14">
      <sharedItems containsNonDate="0" containsDate="1" containsString="0" containsBlank="1" minDate="2026-03-06T00:00:00" maxDate="2026-03-31T00:00:00"/>
    </cacheField>
    <cacheField name="LC Payment Due Month" numFmtId="0">
      <sharedItems containsBlank="1"/>
    </cacheField>
    <cacheField name="BOE Status/LC OUTSTANDING" numFmtId="0">
      <sharedItems containsBlank="1"/>
    </cacheField>
    <cacheField name="Payment Status" numFmtId="0">
      <sharedItems containsBlank="1"/>
    </cacheField>
    <cacheField name="BOE Status" numFmtId="14">
      <sharedItems containsBlank="1"/>
    </cacheField>
    <cacheField name="LC Close date" numFmtId="14">
      <sharedItems containsNonDate="0" containsDate="1" containsString="0" containsBlank="1" minDate="2026-04-02T00:00:00" maxDate="2026-06-05T00:00:00"/>
    </cacheField>
    <cacheField name="LC Status" numFmtId="0">
      <sharedItems containsBlank="1"/>
    </cacheField>
    <cacheField name="SBLC Status" numFmtId="0">
      <sharedItems containsBlank="1" count="7">
        <m/>
        <s v="Yes-SBI"/>
        <s v="Yes"/>
        <s v="No"/>
        <s v="In Planning"/>
        <s v="In Planning-SBI"/>
        <s v="In planning- SBI" u="1"/>
      </sharedItems>
    </cacheField>
    <cacheField name="FD Number" numFmtId="0">
      <sharedItems containsBlank="1" containsMixedTypes="1" containsNumber="1" containsInteger="1" minValue="4281470748" maxValue="45011318971"/>
    </cacheField>
    <cacheField name="Margin FD Made" numFmtId="0">
      <sharedItems containsString="0" containsBlank="1" containsNumber="1" minValue="8" maxValue="826867537.29999995"/>
    </cacheField>
    <cacheField name="LC SHIPMENT DATE" numFmtId="0">
      <sharedItems containsNonDate="0" containsDate="1" containsString="0" containsBlank="1" minDate="2026-01-31T00:00:00" maxDate="2026-07-16T00:00:00"/>
    </cacheField>
    <cacheField name="LC EXPIRY DATE" numFmtId="0">
      <sharedItems containsNonDate="0" containsDate="1" containsString="0" containsBlank="1" minDate="2026-02-21T00:00:00" maxDate="2026-08-06T00:00:00" count="40">
        <d v="2026-03-20T00:00:00"/>
        <d v="2026-03-30T00:00:00"/>
        <d v="2026-02-21T00:00:00"/>
        <d v="2026-02-28T00:00:00"/>
        <m/>
        <d v="2026-03-08T00:00:00"/>
        <d v="2026-03-03T00:00:00"/>
        <d v="2026-03-21T00:00:00"/>
        <d v="2026-03-31T00:00:00"/>
        <d v="2026-04-26T00:00:00"/>
        <d v="2026-04-30T00:00:00"/>
        <d v="2026-04-21T00:00:00"/>
        <d v="2026-04-10T00:00:00"/>
        <d v="2026-05-10T00:00:00"/>
        <d v="2026-05-15T00:00:00"/>
        <d v="2026-04-05T00:00:00"/>
        <d v="2026-05-01T00:00:00"/>
        <d v="2026-05-06T00:00:00"/>
        <d v="2026-06-05T00:00:00"/>
        <d v="2026-05-21T00:00:00"/>
        <d v="2026-06-06T00:00:00"/>
        <d v="2026-04-06T00:00:00"/>
        <d v="2026-05-11T00:00:00"/>
        <d v="2026-05-30T00:00:00"/>
        <d v="2026-04-15T00:00:00"/>
        <d v="2026-04-17T00:00:00"/>
        <d v="2026-06-24T00:00:00"/>
        <d v="2026-05-27T00:00:00"/>
        <d v="2026-06-10T00:00:00"/>
        <d v="2026-06-20T00:00:00"/>
        <d v="2026-05-07T00:00:00"/>
        <d v="2026-05-31T00:00:00"/>
        <d v="2026-07-01T00:00:00"/>
        <d v="2026-06-21T00:00:00"/>
        <d v="2026-05-26T00:00:00"/>
        <d v="2026-07-06T00:00:00"/>
        <d v="2026-07-11T00:00:00"/>
        <d v="2026-07-21T00:00:00"/>
        <d v="2026-06-22T00:00:00"/>
        <d v="2026-08-05T00:00:00"/>
      </sharedItems>
      <fieldGroup par="44"/>
    </cacheField>
    <cacheField name="Bill of Entry No." numFmtId="0">
      <sharedItems containsBlank="1" containsMixedTypes="1" containsNumber="1" containsInteger="1" minValue="7382088" maxValue="8652283"/>
    </cacheField>
    <cacheField name="Date of Bill of Entry Submitted to Bank" numFmtId="14">
      <sharedItems containsNonDate="0" containsDate="1" containsString="0" containsBlank="1" minDate="2026-03-16T00:00:00" maxDate="2026-05-15T00:00:00"/>
    </cacheField>
    <cacheField name="Product Name" numFmtId="0">
      <sharedItems containsBlank="1"/>
    </cacheField>
    <cacheField name="Months (LC EXPIRY DATE)" numFmtId="0" databaseField="0">
      <fieldGroup base="38">
        <rangePr groupBy="months" startDate="2026-02-21T00:00:00" endDate="2026-08-06T00:00:00"/>
        <groupItems count="14">
          <s v="&lt;21-02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08-2026"/>
        </groupItems>
      </fieldGroup>
    </cacheField>
    <cacheField name="Quarters (LC EXPIRY DATE)" numFmtId="0" databaseField="0">
      <fieldGroup base="38">
        <rangePr groupBy="quarters" startDate="2026-02-21T00:00:00" endDate="2026-08-06T00:00:00"/>
        <groupItems count="6">
          <s v="&lt;21-02-2026"/>
          <s v="Qtr1"/>
          <s v="Qtr2"/>
          <s v="Qtr3"/>
          <s v="Qtr4"/>
          <s v="&gt;06-08-2026"/>
        </groupItems>
      </fieldGroup>
    </cacheField>
    <cacheField name="Years (LC EXPIRY DATE)" numFmtId="0" databaseField="0">
      <fieldGroup base="38">
        <rangePr groupBy="years" startDate="2026-02-21T00:00:00" endDate="2026-08-06T00:00:00"/>
        <groupItems count="3">
          <s v="&lt;21-02-2026"/>
          <s v="2026"/>
          <s v="&gt;06-08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">
  <r>
    <n v="191"/>
    <n v="5600000355"/>
    <s v="0692625IM0Y00380"/>
    <d v="2025-12-18T00:00:00"/>
    <x v="0"/>
    <n v="0.1"/>
    <s v="JIETAI NEW ENERGY TECHNOLOGY (HK) LIMITED"/>
    <s v="USD"/>
    <n v="1870000"/>
    <n v="526966"/>
    <n v="1343034"/>
    <n v="95.12"/>
    <n v="127749394.08000001"/>
    <s v="Raw Material"/>
    <n v="60"/>
    <x v="0"/>
    <s v="HKCE-GREW-20260210"/>
    <d v="2026-03-03T00:00:00"/>
    <d v="2026-03-05T00:00:00"/>
    <d v="2026-02-14T00:00:00"/>
    <n v="1333841.04"/>
    <n v="9192.9599999999627"/>
    <n v="126874959.72480001"/>
    <n v="874434.3551999965"/>
    <d v="2026-04-15T00:00:00"/>
    <x v="0"/>
    <n v="127749394.08000001"/>
    <d v="2026-03-19T00:00:00"/>
    <s v="April26"/>
    <s v="BOE Received and Paid"/>
    <s v="Paid"/>
    <s v="Received"/>
    <d v="2026-04-15T00:00:00"/>
    <s v="Closed"/>
    <x v="0"/>
    <n v="44321009525"/>
    <n v="10000000"/>
    <d v="2026-02-20T00:00:00"/>
    <x v="0"/>
    <n v="7833669"/>
    <d v="2026-04-15T00:00:00"/>
    <s v="SOLAR CELLS"/>
  </r>
  <r>
    <m/>
    <n v="5600000355"/>
    <s v="0692625IM0Y00380"/>
    <d v="2025-12-18T00:00:00"/>
    <x v="0"/>
    <n v="0.1"/>
    <s v="JIETAI NEW ENERGY TECHNOLOGY (HK) LIMITED"/>
    <s v="USD"/>
    <n v="0"/>
    <n v="0"/>
    <n v="0"/>
    <n v="92.42"/>
    <n v="0"/>
    <s v="Raw Material"/>
    <n v="60"/>
    <x v="1"/>
    <m/>
    <m/>
    <m/>
    <m/>
    <n v="9192.9599999999991"/>
    <n v="-9192.9599999999991"/>
    <n v="849613.36319999991"/>
    <n v="-849613.36319999991"/>
    <d v="2026-04-15T00:00:00"/>
    <x v="1"/>
    <n v="0"/>
    <m/>
    <s v="April26"/>
    <s v="LC Cancelled"/>
    <s v="Paid"/>
    <s v="Cancelled"/>
    <d v="2026-04-15T00:00:00"/>
    <s v="Closed"/>
    <x v="0"/>
    <n v="44730457174"/>
    <n v="7050000"/>
    <d v="2026-02-20T00:00:00"/>
    <x v="0"/>
    <m/>
    <m/>
    <s v="SOLAR CELLS"/>
  </r>
  <r>
    <n v="192"/>
    <n v="5600000355"/>
    <s v="0692625IM0Y00379"/>
    <d v="2025-12-18T00:00:00"/>
    <x v="0"/>
    <n v="0.1"/>
    <s v="JIETAI NEW ENERGY TECHNOLOGY (HK) LIMITED"/>
    <s v="USD"/>
    <n v="1343034"/>
    <n v="0"/>
    <n v="1343034"/>
    <n v="95.12"/>
    <n v="127749394.08000001"/>
    <s v="Raw Material"/>
    <n v="60"/>
    <x v="0"/>
    <s v="HKCE-GREW-20260203-2"/>
    <d v="2026-03-05T00:00:00"/>
    <d v="2026-03-11T00:00:00"/>
    <d v="2026-01-31T00:00:00"/>
    <n v="1339478.9099999999"/>
    <n v="3555.0900000000838"/>
    <n v="127411233.9192"/>
    <n v="338160.16080000799"/>
    <d v="2026-04-13T00:00:00"/>
    <x v="2"/>
    <n v="127749394.08000001"/>
    <d v="2026-03-16T00:00:00"/>
    <s v="April26"/>
    <s v="BOE Received and Paid"/>
    <s v="Paid"/>
    <s v="Received"/>
    <d v="2026-04-13T00:00:00"/>
    <s v="Closed"/>
    <x v="0"/>
    <n v="43630359430"/>
    <n v="10900000"/>
    <d v="2026-02-20T00:00:00"/>
    <x v="0"/>
    <n v="7972021"/>
    <d v="2026-04-13T00:00:00"/>
    <s v="SOLAR CELLS"/>
  </r>
  <r>
    <m/>
    <n v="5600000355"/>
    <s v="0692625IM0Y00379"/>
    <d v="2025-12-18T00:00:00"/>
    <x v="0"/>
    <n v="0.1"/>
    <s v="JIETAI NEW ENERGY TECHNOLOGY (HK) LIMITED"/>
    <s v="USD"/>
    <n v="0"/>
    <n v="0"/>
    <n v="0"/>
    <n v="95.12"/>
    <n v="0"/>
    <s v="Raw Material"/>
    <n v="60"/>
    <x v="1"/>
    <m/>
    <m/>
    <m/>
    <m/>
    <n v="3555.09"/>
    <n v="-3555.09"/>
    <n v="338160.16080000001"/>
    <n v="-338160.16080000001"/>
    <d v="2026-04-13T00:00:00"/>
    <x v="1"/>
    <n v="0"/>
    <m/>
    <s v="April26"/>
    <s v="LC Cancelled"/>
    <s v="Paid"/>
    <s v="Cancelled"/>
    <d v="2026-04-13T00:00:00"/>
    <s v="Closed"/>
    <x v="0"/>
    <n v="43607525170"/>
    <n v="6150000"/>
    <d v="2026-02-20T00:00:00"/>
    <x v="0"/>
    <m/>
    <m/>
    <s v="SOLAR CELLS"/>
  </r>
  <r>
    <n v="193"/>
    <s v="5600000355/388"/>
    <s v="0692625IM0Y00377"/>
    <d v="2025-12-18T00:00:00"/>
    <x v="0"/>
    <n v="0.1"/>
    <s v="JIETAI NEW ENERGY TECHNOLOGY (HK) LIMITED"/>
    <s v="USD"/>
    <n v="2014551"/>
    <n v="0"/>
    <n v="2014551"/>
    <n v="95.12"/>
    <n v="191624091.12"/>
    <s v="Raw Material"/>
    <n v="60"/>
    <x v="0"/>
    <s v="HKCE-GREW-20260205-1/2/3 ,&amp; HKCE-GREW-20260209-1/2/3/4/5/6"/>
    <d v="2026-03-06T00:00:00"/>
    <d v="2026-03-11T00:00:00"/>
    <d v="2026-01-31T00:00:00"/>
    <n v="2007440.82"/>
    <n v="7110.1799999999348"/>
    <n v="190947770.79840001"/>
    <n v="676320.32159999385"/>
    <d v="2026-04-10T00:00:00"/>
    <x v="3"/>
    <n v="191624091.12"/>
    <d v="2026-03-17T00:00:00"/>
    <s v="April26"/>
    <s v="BOE Received and Paid"/>
    <s v="Paid"/>
    <s v="Received"/>
    <d v="2026-04-10T00:00:00"/>
    <s v="Closed"/>
    <x v="0"/>
    <n v="44730457174"/>
    <n v="17050000"/>
    <d v="2026-02-20T00:00:00"/>
    <x v="1"/>
    <s v="7466829 / 7457784 /7476535 /7606483 /7605503 /7607504 / 7607501 / 7601470 /7601488"/>
    <d v="2026-04-10T00:00:00"/>
    <s v="SOLAR CELLS"/>
  </r>
  <r>
    <m/>
    <s v="5600000355/388"/>
    <s v="0692625IM0Y00377"/>
    <d v="2025-12-18T00:00:00"/>
    <x v="0"/>
    <n v="0.1"/>
    <s v="JIETAI NEW ENERGY TECHNOLOGY (HK) LIMITED"/>
    <s v="USD"/>
    <n v="0"/>
    <n v="0"/>
    <n v="0"/>
    <n v="95.12"/>
    <n v="0"/>
    <s v="Raw Material"/>
    <n v="60"/>
    <x v="1"/>
    <m/>
    <m/>
    <m/>
    <m/>
    <n v="7110.18"/>
    <n v="-7110.18"/>
    <n v="676320.32160000002"/>
    <n v="-676320.32160000002"/>
    <d v="2026-04-10T00:00:00"/>
    <x v="3"/>
    <n v="0"/>
    <m/>
    <s v="April26"/>
    <s v="LC Cancelled"/>
    <s v="Paid"/>
    <s v="Cancelled"/>
    <d v="2026-04-10T00:00:00"/>
    <s v="Closed"/>
    <x v="0"/>
    <n v="44730457174"/>
    <n v="17050000"/>
    <d v="2026-02-20T00:00:00"/>
    <x v="1"/>
    <m/>
    <m/>
    <s v="SOLAR CELLS"/>
  </r>
  <r>
    <n v="195"/>
    <s v="5600000355/388"/>
    <s v="0692625IM0Y00378"/>
    <d v="2025-12-19T00:00:00"/>
    <x v="0"/>
    <n v="0.1"/>
    <s v="JIETAI NEW ENERGY TECHNOLOGY (HK) LIMITED"/>
    <s v="USD"/>
    <n v="1343034"/>
    <n v="0"/>
    <n v="1343034"/>
    <n v="95.12"/>
    <n v="127749394.08000001"/>
    <s v="Raw Material"/>
    <n v="60"/>
    <x v="0"/>
    <s v="HKCE-GREW-20260203-1"/>
    <d v="2026-03-05T00:00:00"/>
    <d v="2026-03-13T00:00:00"/>
    <d v="2026-02-10T00:00:00"/>
    <n v="1339909.83"/>
    <n v="3124.1699999999255"/>
    <n v="127452223.02960001"/>
    <n v="297171.05039999291"/>
    <d v="2026-04-13T00:00:00"/>
    <x v="2"/>
    <n v="127749394.08000001"/>
    <d v="2026-03-16T00:00:00"/>
    <s v="April26"/>
    <s v="BOE Received and Paid"/>
    <s v="Paid"/>
    <s v="Received"/>
    <d v="2026-04-13T00:00:00"/>
    <s v="Closed"/>
    <x v="0"/>
    <m/>
    <m/>
    <d v="2026-02-20T00:00:00"/>
    <x v="0"/>
    <n v="7972143"/>
    <d v="2026-04-13T00:00:00"/>
    <s v="SOLAR CELLS"/>
  </r>
  <r>
    <m/>
    <s v="5600000355/388"/>
    <s v="0692625IM0Y00378"/>
    <d v="2025-12-19T00:00:00"/>
    <x v="0"/>
    <n v="0.1"/>
    <s v="JIETAI NEW ENERGY TECHNOLOGY (HK) LIMITED"/>
    <s v="USD"/>
    <n v="0"/>
    <n v="0"/>
    <n v="0"/>
    <n v="95.12"/>
    <n v="0"/>
    <s v="Raw Material"/>
    <n v="60"/>
    <x v="1"/>
    <m/>
    <m/>
    <m/>
    <m/>
    <n v="3124.17"/>
    <n v="-3124.17"/>
    <n v="297171.05040000001"/>
    <n v="-297171.05040000001"/>
    <d v="2026-04-13T00:00:00"/>
    <x v="2"/>
    <n v="0"/>
    <m/>
    <s v="April26"/>
    <s v="LC Cancelled"/>
    <s v="Paid"/>
    <s v="Received"/>
    <d v="2026-04-13T00:00:00"/>
    <s v="Closed"/>
    <x v="0"/>
    <m/>
    <m/>
    <d v="2026-02-20T00:00:00"/>
    <x v="0"/>
    <m/>
    <m/>
    <s v="SOLAR CELLS"/>
  </r>
  <r>
    <n v="197"/>
    <n v="5600000351"/>
    <s v="0692625IM0Y00381"/>
    <d v="2025-12-20T00:00:00"/>
    <x v="0"/>
    <n v="0.1"/>
    <s v="FIRST MATERIAL SCIENCE (THAILAND) CO LTD"/>
    <s v="USD"/>
    <n v="447499.47"/>
    <n v="0"/>
    <n v="447499.47"/>
    <n v="95.12"/>
    <n v="42566149.586400002"/>
    <s v="Raw Material"/>
    <n v="60"/>
    <x v="0"/>
    <s v="MSBT250577-1"/>
    <d v="2026-01-29T00:00:00"/>
    <d v="2026-02-05T00:00:00"/>
    <d v="2026-01-15T00:00:00"/>
    <n v="149166.49"/>
    <n v="298332.98"/>
    <n v="14188716.5288"/>
    <n v="28377433.057599999"/>
    <d v="2026-03-16T00:00:00"/>
    <x v="1"/>
    <m/>
    <d v="2026-03-11T00:00:00"/>
    <s v="March26"/>
    <s v="BOE Received and Paid"/>
    <s v="Paid"/>
    <s v="Received"/>
    <d v="2026-04-15T00:00:00"/>
    <s v="Closed"/>
    <x v="0"/>
    <m/>
    <m/>
    <d v="2026-01-31T00:00:00"/>
    <x v="2"/>
    <n v="7970293"/>
    <d v="2026-03-16T00:00:00"/>
    <s v=" EVA FILM"/>
  </r>
  <r>
    <m/>
    <n v="5600000351"/>
    <s v="0692625IM0Y00381"/>
    <d v="2025-12-20T00:00:00"/>
    <x v="0"/>
    <n v="0.1"/>
    <s v="FIRST MATERIAL SCIENCE (THAILAND) CO LTD"/>
    <s v="USD"/>
    <n v="0"/>
    <n v="0"/>
    <n v="0"/>
    <n v="95.12"/>
    <n v="0"/>
    <s v="Raw Material"/>
    <n v="60"/>
    <x v="0"/>
    <s v="MSBT250577-2"/>
    <d v="2026-03-03T00:00:00"/>
    <d v="2026-03-11T00:00:00"/>
    <d v="2026-02-13T00:00:00"/>
    <n v="298332.98"/>
    <n v="-298332.98"/>
    <n v="28377433.057599999"/>
    <n v="-28377433.057599999"/>
    <d v="2026-04-15T00:00:00"/>
    <x v="0"/>
    <n v="42566149.586400002"/>
    <d v="2026-03-18T00:00:00"/>
    <s v="April26"/>
    <s v="BOE Received and Paid"/>
    <s v="Paid"/>
    <s v="Received"/>
    <d v="2026-04-15T00:00:00"/>
    <s v="Closed"/>
    <x v="0"/>
    <m/>
    <m/>
    <d v="2026-01-31T00:00:00"/>
    <x v="2"/>
    <n v="8017928"/>
    <d v="2026-04-15T00:00:00"/>
    <s v=" EVA FILM"/>
  </r>
  <r>
    <n v="205"/>
    <n v="1400000398"/>
    <s v="0692626IM0Y00002"/>
    <d v="2026-01-05T00:00:00"/>
    <x v="0"/>
    <n v="1"/>
    <s v="GNBS ECO CO. LTD"/>
    <s v="USD"/>
    <n v="1260000"/>
    <n v="0"/>
    <n v="1260000"/>
    <n v="91.456000000000003"/>
    <n v="115234560"/>
    <s v="CAPEX"/>
    <n v="180"/>
    <x v="0"/>
    <s v="GNBS-20260109-02"/>
    <d v="2026-02-17T00:00:00"/>
    <d v="2026-02-24T00:00:00"/>
    <d v="2026-01-31T00:00:00"/>
    <n v="1260000"/>
    <n v="0"/>
    <n v="0"/>
    <n v="0"/>
    <d v="2026-07-30T00:00:00"/>
    <x v="1"/>
    <m/>
    <m/>
    <s v="July26"/>
    <s v="Part/Full BOE received &amp; Unpaid"/>
    <s v="Unpaid"/>
    <s v="Received"/>
    <m/>
    <s v="Open"/>
    <x v="0"/>
    <n v="44794347236"/>
    <n v="117180000"/>
    <d v="2026-01-31T00:00:00"/>
    <x v="3"/>
    <m/>
    <m/>
    <s v="GNBS PLASMA AND WET GAS ABATEMENT SYSTEM"/>
  </r>
  <r>
    <n v="210"/>
    <n v="5600000341"/>
    <s v="0692626IM0Y00012"/>
    <d v="2026-01-09T00:00:00"/>
    <x v="0"/>
    <n v="0.1"/>
    <s v="XINYI PV PRODUCTS (ANHUI) HOLDINGSLTD"/>
    <s v="USD"/>
    <n v="608985"/>
    <n v="0"/>
    <n v="608985"/>
    <n v="95.12"/>
    <n v="57926653.200000003"/>
    <s v="Raw Material"/>
    <n v="60"/>
    <x v="0"/>
    <s v="4206010068/70"/>
    <d v="2026-02-10T00:00:00"/>
    <d v="2026-02-12T00:00:00"/>
    <d v="2026-01-24T00:00:00"/>
    <n v="405990"/>
    <n v="202995"/>
    <n v="38617768.800000004"/>
    <n v="19308884.400000002"/>
    <d v="2026-03-25T00:00:00"/>
    <x v="1"/>
    <m/>
    <d v="2026-03-21T00:00:00"/>
    <s v="March26"/>
    <s v="BOE Received and Paid"/>
    <s v="Paid"/>
    <s v="Received"/>
    <d v="2026-04-02T00:00:00"/>
    <s v="Closed"/>
    <x v="0"/>
    <n v="44730457174"/>
    <m/>
    <d v="2026-02-21T00:00:00"/>
    <x v="4"/>
    <s v="7770706 /8126350"/>
    <d v="2026-03-25T00:00:00"/>
    <s v=" GLASS"/>
  </r>
  <r>
    <m/>
    <n v="5600000341"/>
    <s v="0692626IM0Y00012"/>
    <d v="2026-01-09T00:00:00"/>
    <x v="0"/>
    <n v="0.1"/>
    <s v="XINYI PV PRODUCTS (ANHUI) HOLDINGSLTD"/>
    <s v="USD"/>
    <m/>
    <n v="0"/>
    <n v="0"/>
    <n v="95.12"/>
    <n v="0"/>
    <s v="Raw Material"/>
    <n v="60"/>
    <x v="0"/>
    <s v="42026010071/2"/>
    <d v="2026-02-17T00:00:00"/>
    <d v="2026-02-24T00:00:00"/>
    <d v="2026-02-01T00:00:00"/>
    <n v="202995"/>
    <n v="-202995"/>
    <n v="19308884.400000002"/>
    <n v="-19308884.400000002"/>
    <d v="2026-04-02T00:00:00"/>
    <x v="4"/>
    <n v="57926653.200000003"/>
    <m/>
    <s v="April26"/>
    <s v="BOE Received and Paid"/>
    <s v="Paid"/>
    <s v="Received"/>
    <d v="2026-04-02T00:00:00"/>
    <s v="Closed"/>
    <x v="0"/>
    <n v="44730457174"/>
    <m/>
    <d v="2026-01-31T00:00:00"/>
    <x v="2"/>
    <s v="8102852 / 8102856"/>
    <d v="2026-04-02T00:00:00"/>
    <s v=" GLASS"/>
  </r>
  <r>
    <n v="211"/>
    <n v="5600000349"/>
    <s v="0692626IM0Y00011"/>
    <d v="2026-01-09T00:00:00"/>
    <x v="0"/>
    <n v="0.1"/>
    <s v="FIRST MATERIAL SCIENCE (THAILAND) CO LTD"/>
    <s v="USD"/>
    <n v="930251.17"/>
    <n v="0"/>
    <n v="930251.17"/>
    <n v="95.12"/>
    <n v="88485491.290400013"/>
    <s v="Raw Material"/>
    <n v="60"/>
    <x v="0"/>
    <s v="MSBT250575-3"/>
    <d v="2026-03-05T00:00:00"/>
    <d v="2026-03-13T00:00:00"/>
    <d v="2026-02-21T00:00:00"/>
    <n v="310083.71999999997"/>
    <n v="620167.45000000007"/>
    <n v="29495163.446399998"/>
    <n v="58990327.844000012"/>
    <d v="2026-04-22T00:00:00"/>
    <x v="1"/>
    <m/>
    <d v="2026-03-26T00:00:00"/>
    <s v="April26"/>
    <s v="BOE Received and Paid"/>
    <s v="Paid"/>
    <s v="Received"/>
    <d v="2026-05-04T00:00:00"/>
    <s v="Closed"/>
    <x v="0"/>
    <n v="44730457174"/>
    <n v="8465000"/>
    <d v="2026-02-15T00:00:00"/>
    <x v="5"/>
    <n v="7983882"/>
    <d v="2026-04-22T00:00:00"/>
    <s v=" EVA FILM"/>
  </r>
  <r>
    <m/>
    <n v="5600000349"/>
    <s v="0692626IM0Y00011"/>
    <d v="2026-01-09T00:00:00"/>
    <x v="0"/>
    <n v="0.1"/>
    <s v="FIRST MATERIAL SCIENCE (THAILAND) CO LTD"/>
    <s v="USD"/>
    <n v="0"/>
    <n v="0"/>
    <n v="0"/>
    <n v="95.12"/>
    <n v="0"/>
    <s v="Raw Material"/>
    <n v="60"/>
    <x v="0"/>
    <s v="MSBT250575-1"/>
    <d v="2026-03-03T00:00:00"/>
    <d v="2026-03-11T00:00:00"/>
    <d v="2026-02-10T00:00:00"/>
    <n v="310083.71999999997"/>
    <n v="-310083.71999999997"/>
    <n v="29495163.446399998"/>
    <n v="-29495163.446399998"/>
    <d v="2026-04-13T00:00:00"/>
    <x v="1"/>
    <m/>
    <m/>
    <s v="April26"/>
    <s v="BOE Received and Paid"/>
    <s v="Paid"/>
    <s v="Received"/>
    <d v="2026-05-04T00:00:00"/>
    <s v="Closed"/>
    <x v="0"/>
    <n v="44730457174"/>
    <m/>
    <d v="2026-02-15T00:00:00"/>
    <x v="5"/>
    <n v="7660607"/>
    <d v="2026-04-13T00:00:00"/>
    <s v=" EVA FILM"/>
  </r>
  <r>
    <m/>
    <n v="5600000349"/>
    <s v="0692626IM0Y00011"/>
    <d v="2026-01-09T00:00:00"/>
    <x v="0"/>
    <n v="0.1"/>
    <s v="FIRST MATERIAL SCIENCE (THAILAND) CO LTD"/>
    <s v="USD"/>
    <n v="0"/>
    <n v="0"/>
    <n v="0"/>
    <n v="95.12"/>
    <n v="0"/>
    <s v="Raw Material"/>
    <n v="60"/>
    <x v="0"/>
    <s v="MSBT250575-2"/>
    <d v="2026-03-20T00:00:00"/>
    <d v="2026-03-27T00:00:00"/>
    <d v="2026-03-05T00:00:00"/>
    <n v="310083.71999999997"/>
    <n v="-310083.71999999997"/>
    <n v="29495163.446399998"/>
    <n v="-29495163.446399998"/>
    <d v="2026-05-04T00:00:00"/>
    <x v="5"/>
    <n v="88485491.290400013"/>
    <m/>
    <s v="May26"/>
    <s v="BOE Received and Paid"/>
    <s v="Paid"/>
    <s v="Received"/>
    <d v="2026-05-04T00:00:00"/>
    <s v="Closed"/>
    <x v="0"/>
    <n v="44730457174"/>
    <m/>
    <d v="2026-02-15T00:00:00"/>
    <x v="5"/>
    <n v="8512490"/>
    <d v="2026-05-04T00:00:00"/>
    <s v=" EVA FILM"/>
  </r>
  <r>
    <n v="213"/>
    <n v="5600000349"/>
    <s v="0692626IM0Y00010"/>
    <d v="2026-01-12T00:00:00"/>
    <x v="0"/>
    <n v="0.1"/>
    <s v="FIRST MATERIAL SCIENCE (THAILAND) CO LTD"/>
    <s v="USD"/>
    <n v="930251.17"/>
    <n v="0"/>
    <n v="930251.17"/>
    <n v="95.12"/>
    <n v="88485491.290400013"/>
    <s v="Raw Material"/>
    <n v="60"/>
    <x v="0"/>
    <s v="MSBT250574-1"/>
    <d v="2026-02-09T00:00:00"/>
    <d v="2026-02-17T00:00:00"/>
    <d v="2026-01-28T00:00:00"/>
    <n v="620167.44999999995"/>
    <n v="310083.72000000009"/>
    <n v="58990327.843999997"/>
    <n v="29495163.446400009"/>
    <d v="2026-03-30T00:00:00"/>
    <x v="1"/>
    <m/>
    <m/>
    <s v="March26"/>
    <s v="BOE Received and Paid"/>
    <s v="Paid"/>
    <s v="Received"/>
    <d v="2026-04-13T00:00:00"/>
    <s v="Closed"/>
    <x v="0"/>
    <n v="44730457174"/>
    <m/>
    <d v="2026-02-15T00:00:00"/>
    <x v="5"/>
    <n v="7382088"/>
    <d v="2026-03-30T00:00:00"/>
    <s v=" EVA FILM"/>
  </r>
  <r>
    <m/>
    <n v="5600000349"/>
    <s v="0692626IM0Y00010"/>
    <d v="2026-01-12T00:00:00"/>
    <x v="0"/>
    <n v="0.1"/>
    <s v="FIRST MATERIAL SCIENCE (THAILAND) CO LTD"/>
    <s v="USD"/>
    <n v="0"/>
    <n v="0"/>
    <n v="0"/>
    <n v="95.12"/>
    <n v="0"/>
    <s v="Raw Material"/>
    <n v="60"/>
    <x v="0"/>
    <s v="MSBT250574-2"/>
    <d v="2026-03-03T00:00:00"/>
    <d v="2026-03-11T00:00:00"/>
    <d v="2026-02-12T00:00:00"/>
    <n v="155041.85999999999"/>
    <n v="-155041.85999999999"/>
    <n v="14747581.723199999"/>
    <n v="-14747581.723199999"/>
    <d v="2026-04-13T00:00:00"/>
    <x v="2"/>
    <n v="88485491.290400013"/>
    <m/>
    <s v="April26"/>
    <s v="BOE Received and Paid"/>
    <s v="Paid"/>
    <s v="Received"/>
    <d v="2026-04-13T00:00:00"/>
    <s v="Closed"/>
    <x v="0"/>
    <n v="44730457174"/>
    <m/>
    <d v="2026-02-15T00:00:00"/>
    <x v="5"/>
    <n v="8069916"/>
    <d v="2026-04-13T00:00:00"/>
    <s v=" EVA FILM"/>
  </r>
  <r>
    <m/>
    <n v="5600000349"/>
    <s v="0692626IM0Y00010"/>
    <d v="2026-01-12T00:00:00"/>
    <x v="0"/>
    <n v="0.1"/>
    <s v="FIRST MATERIAL SCIENCE (THAILAND) CO LTD"/>
    <s v="USD"/>
    <n v="0"/>
    <n v="0"/>
    <n v="0"/>
    <n v="95.12"/>
    <n v="0"/>
    <s v="Raw Material"/>
    <n v="60"/>
    <x v="0"/>
    <s v="MSBT250574-3"/>
    <d v="2026-03-03T00:00:00"/>
    <d v="2026-03-11T00:00:00"/>
    <d v="2026-02-10T00:00:00"/>
    <n v="155041.85999999999"/>
    <n v="-155041.85999999999"/>
    <n v="14747581.723199999"/>
    <n v="-14747581.723199999"/>
    <d v="2026-04-13T00:00:00"/>
    <x v="1"/>
    <m/>
    <d v="2026-03-30T00:00:00"/>
    <s v="April26"/>
    <s v="BOE Received and Paid"/>
    <s v="Paid"/>
    <s v="Received"/>
    <d v="2026-04-13T00:00:00"/>
    <s v="Closed"/>
    <x v="0"/>
    <n v="44730457174"/>
    <m/>
    <d v="2026-02-15T00:00:00"/>
    <x v="5"/>
    <n v="7705857"/>
    <d v="2026-04-13T00:00:00"/>
    <s v=" EVA FILM"/>
  </r>
  <r>
    <n v="214"/>
    <n v="5600000380"/>
    <s v="0692626IM0Y00018"/>
    <d v="2026-01-14T00:00:00"/>
    <x v="0"/>
    <n v="0.1"/>
    <s v="GUANGXI CSG NEW ENERGY MATERIAL TECHNOLOGY CO LTD"/>
    <s v="USD"/>
    <n v="1283400"/>
    <n v="0"/>
    <n v="1283400"/>
    <n v="95.12"/>
    <n v="122077008"/>
    <s v="Raw Material"/>
    <n v="45"/>
    <x v="0"/>
    <s v="SFG2601009-4"/>
    <d v="2026-02-17T00:00:00"/>
    <d v="2026-02-24T00:00:00"/>
    <d v="2026-02-05T00:00:00"/>
    <n v="256680"/>
    <n v="1026720"/>
    <n v="24415401.600000001"/>
    <m/>
    <d v="2026-03-20T00:00:00"/>
    <x v="1"/>
    <m/>
    <m/>
    <s v="March26"/>
    <s v="BOE Received and Paid"/>
    <s v="Paid"/>
    <s v="Received"/>
    <d v="2026-04-13T00:00:00"/>
    <s v="Closed"/>
    <x v="0"/>
    <n v="43183923893"/>
    <m/>
    <d v="2026-02-15T00:00:00"/>
    <x v="5"/>
    <n v="8058471"/>
    <d v="2026-03-20T00:00:00"/>
    <s v=" GLASS"/>
  </r>
  <r>
    <m/>
    <n v="5600000380"/>
    <s v="0692626IM0Y00018"/>
    <d v="2026-01-14T00:00:00"/>
    <x v="0"/>
    <n v="0.1"/>
    <s v="GUANGXI CSG NEW ENERGY MATERIAL TECHNOLOGY CO LTD"/>
    <s v="USD"/>
    <m/>
    <n v="0"/>
    <n v="0"/>
    <n v="95.12"/>
    <n v="0"/>
    <s v="Raw Material"/>
    <n v="45"/>
    <x v="0"/>
    <s v="SFG2601009-1"/>
    <d v="2026-02-17T00:00:00"/>
    <d v="2026-02-24T00:00:00"/>
    <d v="2026-02-05T00:00:00"/>
    <n v="256680"/>
    <n v="-256680"/>
    <n v="24415401.600000001"/>
    <m/>
    <d v="2026-03-18T00:00:00"/>
    <x v="1"/>
    <m/>
    <m/>
    <s v="March26"/>
    <s v="BOE Received and Paid"/>
    <s v="Paid"/>
    <s v="Received"/>
    <d v="2026-04-13T00:00:00"/>
    <s v="Closed"/>
    <x v="0"/>
    <n v="43183923893"/>
    <m/>
    <d v="2026-02-15T00:00:00"/>
    <x v="5"/>
    <m/>
    <m/>
    <s v=" GLASS"/>
  </r>
  <r>
    <m/>
    <n v="5600000380"/>
    <s v="0692626IM0Y00018"/>
    <d v="2026-01-14T00:00:00"/>
    <x v="0"/>
    <n v="0.1"/>
    <s v="GUANGXI CSG NEW ENERGY MATERIAL TECHNOLOGY CO LTD"/>
    <s v="USD"/>
    <m/>
    <n v="0"/>
    <n v="0"/>
    <n v="95.12"/>
    <n v="0"/>
    <s v="Raw Material"/>
    <n v="45"/>
    <x v="0"/>
    <s v="SFG2601009-3"/>
    <d v="2026-03-04T00:00:00"/>
    <d v="2026-03-11T00:00:00"/>
    <d v="2026-02-11T00:00:00"/>
    <n v="256680"/>
    <n v="-256680"/>
    <n v="24415401.600000001"/>
    <m/>
    <d v="2026-03-30T00:00:00"/>
    <x v="1"/>
    <m/>
    <m/>
    <s v="March26"/>
    <s v="BOE Received and Paid"/>
    <s v="Paid"/>
    <s v="Received"/>
    <d v="2026-04-13T00:00:00"/>
    <s v="Closed"/>
    <x v="0"/>
    <n v="43183923893"/>
    <m/>
    <d v="2026-02-15T00:00:00"/>
    <x v="5"/>
    <n v="8128834"/>
    <d v="2026-03-30T00:00:00"/>
    <s v=" GLASS"/>
  </r>
  <r>
    <m/>
    <n v="5600000380"/>
    <s v="0692626IM0Y00018"/>
    <d v="2026-01-14T00:00:00"/>
    <x v="0"/>
    <n v="0.1"/>
    <s v="GUANGXI CSG NEW ENERGY MATERIAL TECHNOLOGY CO LTD"/>
    <s v="USD"/>
    <m/>
    <n v="0"/>
    <n v="0"/>
    <n v="95.12"/>
    <n v="0"/>
    <s v="Raw Material"/>
    <n v="45"/>
    <x v="0"/>
    <s v="SFG2601009-5"/>
    <d v="2026-03-10T00:00:00"/>
    <d v="2026-03-16T00:00:00"/>
    <d v="2026-02-26T00:00:00"/>
    <n v="256680"/>
    <n v="-256680"/>
    <n v="24415401.600000001"/>
    <m/>
    <d v="2026-04-13T00:00:00"/>
    <x v="2"/>
    <n v="122077008"/>
    <m/>
    <s v="April26"/>
    <s v="BOE Received and Paid"/>
    <s v="Paid"/>
    <s v="Received"/>
    <d v="2026-04-13T00:00:00"/>
    <s v="Closed"/>
    <x v="0"/>
    <n v="43183923893"/>
    <m/>
    <d v="2026-02-15T00:00:00"/>
    <x v="5"/>
    <n v="8215860"/>
    <d v="2026-04-13T00:00:00"/>
    <s v=" GLASS"/>
  </r>
  <r>
    <m/>
    <n v="5600000380"/>
    <s v="0692626IM0Y00018"/>
    <d v="2026-01-14T00:00:00"/>
    <x v="0"/>
    <n v="0.1"/>
    <s v="GUANGXI CSG NEW ENERGY MATERIAL TECHNOLOGY CO LTD"/>
    <s v="USD"/>
    <m/>
    <n v="0"/>
    <n v="0"/>
    <n v="95.12"/>
    <n v="0"/>
    <s v="Raw Material"/>
    <n v="45"/>
    <x v="0"/>
    <s v="SFG2601009-2"/>
    <d v="2026-03-10T00:00:00"/>
    <d v="2026-03-16T00:00:00"/>
    <d v="2026-02-26T00:00:00"/>
    <n v="256680"/>
    <n v="-256680"/>
    <n v="24415401.600000001"/>
    <m/>
    <d v="2026-04-02T00:00:00"/>
    <x v="1"/>
    <m/>
    <m/>
    <s v="April26"/>
    <s v="BOE Received and Paid"/>
    <s v="Paid"/>
    <s v="Received"/>
    <d v="2026-04-13T00:00:00"/>
    <s v="Closed"/>
    <x v="0"/>
    <n v="43183923893"/>
    <m/>
    <d v="2026-02-15T00:00:00"/>
    <x v="5"/>
    <m/>
    <m/>
    <s v=" GLASS"/>
  </r>
  <r>
    <n v="217"/>
    <n v="5600000360"/>
    <s v="0692626IM0Y00025"/>
    <d v="2026-01-20T00:00:00"/>
    <x v="0"/>
    <n v="0.1"/>
    <s v="TAICANG JUREN INTERNATIONAL TRADE CO LTD"/>
    <s v="USD"/>
    <n v="351900"/>
    <n v="0"/>
    <n v="351900"/>
    <n v="95.12"/>
    <n v="33472728"/>
    <s v="Raw Material"/>
    <n v="60"/>
    <x v="0"/>
    <s v="JRIT20260126001"/>
    <d v="2026-02-17T00:00:00"/>
    <d v="2026-02-24T00:00:00"/>
    <d v="2026-02-04T00:00:00"/>
    <n v="351900"/>
    <n v="0"/>
    <n v="33472728"/>
    <m/>
    <d v="2026-04-06T00:00:00"/>
    <x v="6"/>
    <n v="33472728"/>
    <m/>
    <s v="April26"/>
    <s v="BOE Received and Paid"/>
    <s v="Paid"/>
    <s v="Received"/>
    <d v="2026-04-06T00:00:00"/>
    <s v="Closed"/>
    <x v="0"/>
    <n v="43607525170"/>
    <n v="3232000"/>
    <d v="2026-02-10T00:00:00"/>
    <x v="5"/>
    <n v="7764825"/>
    <d v="2026-04-06T00:00:00"/>
    <s v="PV RIBBON BUS BAR"/>
  </r>
  <r>
    <n v="223"/>
    <n v="5600000361"/>
    <s v="0692626IM0Y00030"/>
    <d v="2026-01-28T00:00:00"/>
    <x v="0"/>
    <n v="0.1"/>
    <s v="TAICANG JUREN INTERNATIONAL TRADE CO LTD"/>
    <s v="USD"/>
    <n v="1052825"/>
    <n v="0"/>
    <n v="1052825"/>
    <n v="95.12"/>
    <n v="100144714"/>
    <s v="Raw Material"/>
    <n v="60"/>
    <x v="0"/>
    <s v="JRIT20260203009"/>
    <d v="2026-03-05T00:00:00"/>
    <d v="2026-03-13T00:00:00"/>
    <d v="2026-02-13T00:00:00"/>
    <n v="1052825"/>
    <n v="0"/>
    <n v="100144714"/>
    <m/>
    <d v="2026-04-15T00:00:00"/>
    <x v="0"/>
    <n v="100144714"/>
    <m/>
    <s v="April26"/>
    <s v="BOE Received and Paid"/>
    <s v="Paid"/>
    <s v="Received"/>
    <d v="2026-04-15T00:00:00"/>
    <s v="Closed"/>
    <x v="0"/>
    <n v="44857149620"/>
    <m/>
    <d v="2026-02-10T00:00:00"/>
    <x v="6"/>
    <n v="7931429"/>
    <d v="2026-04-15T00:00:00"/>
    <s v="PV RIBBON BUS BAR"/>
  </r>
  <r>
    <n v="224"/>
    <n v="5600000394"/>
    <s v="0692626IM0Y00033"/>
    <d v="2026-01-28T00:00:00"/>
    <x v="0"/>
    <n v="0.1"/>
    <s v="SOLAR SPACE TECHNOLOGY HONG KONG LIMITED"/>
    <s v="USD"/>
    <n v="1230000"/>
    <n v="0"/>
    <n v="1230000"/>
    <n v="95.12"/>
    <n v="116997600"/>
    <s v="Raw Material"/>
    <n v="60"/>
    <x v="0"/>
    <s v="INV2026022011"/>
    <d v="2026-03-25T00:00:00"/>
    <d v="2026-04-03T00:00:00"/>
    <d v="2026-02-25T00:00:00"/>
    <n v="710048.1"/>
    <n v="519951.9"/>
    <n v="67539775.272"/>
    <m/>
    <d v="2026-04-27T00:00:00"/>
    <x v="1"/>
    <m/>
    <d v="2026-03-21T00:00:00"/>
    <s v="April26"/>
    <s v="BOE Received and Paid"/>
    <s v="Paid"/>
    <s v="Received"/>
    <d v="2026-05-26T00:00:00"/>
    <s v="Closed"/>
    <x v="0"/>
    <n v="43607525170"/>
    <n v="11530000"/>
    <d v="2026-02-28T00:00:00"/>
    <x v="7"/>
    <n v="7993633"/>
    <d v="2026-04-27T00:00:00"/>
    <s v="SOLAR CELLS"/>
  </r>
  <r>
    <m/>
    <n v="5600000394"/>
    <s v="0692626IM0Y00033"/>
    <d v="2026-01-28T00:00:00"/>
    <x v="0"/>
    <n v="0.1"/>
    <s v="SOLAR SPACE TECHNOLOGY HONG KONG LIMITED"/>
    <s v="USD"/>
    <n v="0"/>
    <n v="0"/>
    <n v="0"/>
    <n v="95.12"/>
    <n v="0"/>
    <s v="Raw Material"/>
    <n v="60"/>
    <x v="0"/>
    <s v="INV2026030632"/>
    <d v="2026-04-15T00:00:00"/>
    <d v="2026-04-21T00:00:00"/>
    <d v="2026-03-26T00:00:00"/>
    <n v="519674.72"/>
    <n v="-519674.72"/>
    <n v="49431459.366399996"/>
    <m/>
    <d v="2026-05-26T00:00:00"/>
    <x v="7"/>
    <n v="116997600"/>
    <m/>
    <s v="May26"/>
    <s v="BOE Received and Paid"/>
    <s v="Paid"/>
    <s v="Received"/>
    <d v="2026-05-26T00:00:00"/>
    <s v="Closed"/>
    <x v="0"/>
    <n v="43607525170"/>
    <m/>
    <d v="2026-02-28T00:00:00"/>
    <x v="7"/>
    <m/>
    <m/>
    <s v="SOLAR CELLS"/>
  </r>
  <r>
    <m/>
    <n v="5600000394"/>
    <s v="0692626IM0Y00033"/>
    <d v="2026-01-28T00:00:00"/>
    <x v="0"/>
    <n v="0.1"/>
    <s v="SOLAR SPACE TECHNOLOGY HONG KONG LIMITED"/>
    <s v="USD"/>
    <n v="0"/>
    <n v="0"/>
    <n v="0"/>
    <n v="95.12"/>
    <n v="0"/>
    <s v="Raw Material"/>
    <n v="60"/>
    <x v="1"/>
    <m/>
    <m/>
    <m/>
    <m/>
    <n v="277.18"/>
    <n v="-277.18"/>
    <n v="26365.3616"/>
    <m/>
    <d v="2026-05-26T00:00:00"/>
    <x v="1"/>
    <n v="0"/>
    <m/>
    <s v="May26"/>
    <s v="LC Cancelled"/>
    <s v="Paid"/>
    <s v="Cancelled"/>
    <d v="2026-05-26T00:00:00"/>
    <s v="Closed"/>
    <x v="0"/>
    <n v="43607525170"/>
    <m/>
    <d v="2026-02-28T00:00:00"/>
    <x v="7"/>
    <m/>
    <m/>
    <s v="SOLAR CELLS"/>
  </r>
  <r>
    <n v="228"/>
    <n v="5600000376"/>
    <s v="0692626IM0Y00031"/>
    <d v="2026-01-28T00:00:00"/>
    <x v="0"/>
    <n v="0.1"/>
    <s v="ZHEJIANG ZHONGHUAN SUNTER PV TECHNOLOGY CO. LTD"/>
    <s v="USD"/>
    <n v="997920"/>
    <n v="0"/>
    <n v="997920"/>
    <n v="95.12"/>
    <n v="94922150.400000006"/>
    <s v="Raw Material"/>
    <n v="60"/>
    <x v="0"/>
    <s v="GREW2508A"/>
    <d v="2026-02-12T00:00:00"/>
    <d v="2026-02-17T00:00:00"/>
    <d v="2026-01-31T00:00:00"/>
    <n v="399168"/>
    <n v="598752"/>
    <n v="37968860.160000004"/>
    <m/>
    <d v="2026-04-02T00:00:00"/>
    <x v="1"/>
    <m/>
    <m/>
    <s v="April26"/>
    <s v="BOE Received and Paid"/>
    <s v="Paid"/>
    <s v="Received"/>
    <d v="2026-04-06T00:00:00"/>
    <s v="Closed"/>
    <x v="0"/>
    <n v="44857149620"/>
    <n v="9290000"/>
    <d v="2026-02-15T00:00:00"/>
    <x v="5"/>
    <n v="7566638"/>
    <d v="2026-04-02T00:00:00"/>
    <s v="PV - ZH011C-5 SOLDERING"/>
  </r>
  <r>
    <m/>
    <n v="5600000376"/>
    <s v="0692626IM0Y00031"/>
    <d v="2026-01-28T00:00:00"/>
    <x v="0"/>
    <n v="0.1"/>
    <s v="ZHEJIANG ZHONGHUAN SUNTER PV TECHNOLOGY CO. LTD"/>
    <s v="USD"/>
    <n v="0"/>
    <n v="0"/>
    <n v="0"/>
    <n v="95.12"/>
    <n v="0"/>
    <s v="Raw Material"/>
    <n v="60"/>
    <x v="0"/>
    <s v="GREW2508B"/>
    <d v="2026-02-16T00:00:00"/>
    <d v="2026-02-24T00:00:00"/>
    <d v="2026-02-04T00:00:00"/>
    <n v="598752"/>
    <n v="-598752"/>
    <n v="56953290.240000002"/>
    <m/>
    <d v="2026-04-06T00:00:00"/>
    <x v="6"/>
    <n v="94922150.400000006"/>
    <m/>
    <s v="April26"/>
    <s v="BOE Received and Paid"/>
    <s v="Paid"/>
    <s v="Received"/>
    <d v="2026-04-06T00:00:00"/>
    <s v="Closed"/>
    <x v="0"/>
    <n v="44857149620"/>
    <m/>
    <d v="2026-02-15T00:00:00"/>
    <x v="5"/>
    <n v="7683760"/>
    <d v="2026-04-06T00:00:00"/>
    <s v="PV - ZH011C-5 SOLDERING"/>
  </r>
  <r>
    <n v="229"/>
    <n v="5600000384"/>
    <s v="0692626IM0Y00032"/>
    <d v="2026-01-29T00:00:00"/>
    <x v="0"/>
    <n v="0.1"/>
    <s v="FIRST MATERIAL SCIENCE (THAILAND) CO LTD"/>
    <s v="USD"/>
    <n v="1085293.04"/>
    <n v="0"/>
    <n v="1085293.04"/>
    <n v="95.12"/>
    <n v="103233073.96480002"/>
    <s v="Raw Material"/>
    <n v="60"/>
    <x v="0"/>
    <s v="MSBT250642-2"/>
    <d v="2026-02-21T00:00:00"/>
    <d v="2026-03-03T00:00:00"/>
    <d v="2026-02-10T00:00:00"/>
    <n v="310083.71999999997"/>
    <n v="775209.32000000007"/>
    <n v="29495163.446399998"/>
    <m/>
    <d v="2026-04-13T00:00:00"/>
    <x v="1"/>
    <m/>
    <m/>
    <s v="April26"/>
    <s v="BOE Received and Paid"/>
    <s v="Paid"/>
    <s v="Received"/>
    <d v="2026-04-27T00:00:00"/>
    <s v="Closed"/>
    <x v="0"/>
    <n v="43730175696"/>
    <m/>
    <d v="2026-03-10T00:00:00"/>
    <x v="8"/>
    <n v="7660610"/>
    <d v="2026-04-13T00:00:00"/>
    <s v=" EVA FILM"/>
  </r>
  <r>
    <m/>
    <n v="5600000384"/>
    <s v="0692626IM0Y00032"/>
    <d v="2026-01-29T00:00:00"/>
    <x v="0"/>
    <n v="0.1"/>
    <s v="FIRST MATERIAL SCIENCE (THAILAND) CO LTD"/>
    <s v="USD"/>
    <n v="0"/>
    <n v="0"/>
    <n v="0"/>
    <n v="95.12"/>
    <n v="0"/>
    <s v="Raw Material"/>
    <n v="60"/>
    <x v="0"/>
    <s v="MSBT250642-4"/>
    <d v="2026-03-05T00:00:00"/>
    <d v="2026-03-13T00:00:00"/>
    <d v="2026-02-21T00:00:00"/>
    <n v="310083.71999999997"/>
    <n v="-310083.71999999997"/>
    <n v="29495163.446399998"/>
    <m/>
    <d v="2026-04-22T00:00:00"/>
    <x v="1"/>
    <m/>
    <m/>
    <s v="April26"/>
    <s v="BOE Received and Paid"/>
    <s v="Paid"/>
    <s v="Received"/>
    <d v="2026-04-27T00:00:00"/>
    <s v="Closed"/>
    <x v="0"/>
    <n v="43607525170"/>
    <m/>
    <d v="2026-03-10T00:00:00"/>
    <x v="8"/>
    <n v="7921474"/>
    <d v="2026-04-22T00:00:00"/>
    <s v=" EVA FILM"/>
  </r>
  <r>
    <m/>
    <n v="5600000384"/>
    <s v="0692626IM0Y00032"/>
    <d v="2026-01-29T00:00:00"/>
    <x v="0"/>
    <n v="0.1"/>
    <s v="FIRST MATERIAL SCIENCE (THAILAND) CO LTD"/>
    <s v="USD"/>
    <n v="0"/>
    <n v="0"/>
    <n v="0"/>
    <n v="95.12"/>
    <n v="0"/>
    <s v="Raw Material"/>
    <n v="60"/>
    <x v="0"/>
    <s v="MSBT250642-1"/>
    <d v="2026-03-03T00:00:00"/>
    <d v="2026-03-11T00:00:00"/>
    <d v="2026-02-15T00:00:00"/>
    <n v="155041.87"/>
    <n v="-155041.87"/>
    <n v="14747582.6744"/>
    <m/>
    <d v="2026-04-16T00:00:00"/>
    <x v="1"/>
    <n v="0"/>
    <m/>
    <s v="April26"/>
    <s v="BOE Received and Paid"/>
    <s v="Paid"/>
    <s v="Received"/>
    <d v="2026-04-27T00:00:00"/>
    <s v="Closed"/>
    <x v="0"/>
    <m/>
    <m/>
    <d v="2026-03-10T00:00:00"/>
    <x v="8"/>
    <n v="8104396"/>
    <d v="2026-04-16T00:00:00"/>
    <s v=" EVA FILM"/>
  </r>
  <r>
    <m/>
    <n v="5600000384"/>
    <s v="0692626IM0Y00032"/>
    <d v="2026-01-29T00:00:00"/>
    <x v="0"/>
    <n v="0.1"/>
    <s v="FIRST MATERIAL SCIENCE (THAILAND) CO LTD"/>
    <s v="USD"/>
    <n v="0"/>
    <n v="0"/>
    <n v="0"/>
    <n v="95.12"/>
    <n v="0"/>
    <s v="Raw Material"/>
    <n v="60"/>
    <x v="0"/>
    <s v="MSBT250642-3"/>
    <d v="2026-03-16T00:00:00"/>
    <d v="2026-03-20T00:00:00"/>
    <d v="2026-02-25T00:00:00"/>
    <n v="310083.73"/>
    <n v="-310083.73"/>
    <n v="29495164.397599999"/>
    <m/>
    <d v="2026-04-27T00:00:00"/>
    <x v="8"/>
    <n v="103233073.96480002"/>
    <m/>
    <s v="April26"/>
    <s v="BOE Received and Paid"/>
    <s v="Paid"/>
    <s v="Received"/>
    <d v="2026-04-27T00:00:00"/>
    <s v="Closed"/>
    <x v="0"/>
    <n v="43607525170"/>
    <n v="1435000"/>
    <d v="2026-03-10T00:00:00"/>
    <x v="8"/>
    <n v="8048476"/>
    <d v="2026-04-27T00:00:00"/>
    <s v=" EVA FILM"/>
  </r>
  <r>
    <n v="234"/>
    <n v="5600000399"/>
    <s v="0692626IM0Y00039"/>
    <d v="2026-02-06T00:00:00"/>
    <x v="0"/>
    <n v="0.1"/>
    <s v="JIETAI NEW ENERGY TECHNOLOGY (HK) LIMITED"/>
    <s v="USD"/>
    <n v="4484985.12"/>
    <n v="0"/>
    <n v="4484985.12"/>
    <n v="95.12"/>
    <n v="426611784.61440003"/>
    <s v="Raw Material"/>
    <n v="60"/>
    <x v="0"/>
    <s v="HKJTGREW20260211-1/2/3/4/5/6/7/8/9/10/11/12"/>
    <d v="2026-03-30T00:00:00"/>
    <d v="2026-04-07T00:00:00"/>
    <d v="2026-03-09T00:00:00"/>
    <n v="4320848.45"/>
    <n v="164136.66999999993"/>
    <n v="410999104.56400001"/>
    <n v="15612680.050399994"/>
    <d v="2026-05-18T00:00:00"/>
    <x v="1"/>
    <m/>
    <m/>
    <s v="May26"/>
    <s v="BOE Received and Paid"/>
    <s v="Paid"/>
    <s v="Received"/>
    <d v="2026-05-18T00:00:00"/>
    <s v="Closed"/>
    <x v="0"/>
    <n v="43650012802"/>
    <n v="12727000"/>
    <d v="2026-04-05T00:00:00"/>
    <x v="9"/>
    <m/>
    <m/>
    <s v="SOLAR CELLS"/>
  </r>
  <r>
    <m/>
    <n v="5600000399"/>
    <s v="0692626IM0Y00039"/>
    <d v="2026-02-06T00:00:00"/>
    <x v="0"/>
    <n v="0.1"/>
    <s v="JIETAI NEW ENERGY TECHNOLOGY (HK) LIMITED"/>
    <s v="USD"/>
    <n v="0"/>
    <n v="0"/>
    <n v="0"/>
    <n v="95.12"/>
    <n v="0"/>
    <s v="Raw Material"/>
    <n v="60"/>
    <x v="2"/>
    <m/>
    <m/>
    <m/>
    <d v="2026-04-05T00:00:00"/>
    <n v="164136.67000000001"/>
    <n v="-164136.67000000001"/>
    <n v="15612680.050400002"/>
    <n v="-15612680.050400002"/>
    <d v="2026-05-18T00:00:00"/>
    <x v="9"/>
    <n v="426611784.61440003"/>
    <m/>
    <s v="May26"/>
    <s v="BOE Received and Paid"/>
    <s v="Paid"/>
    <s v="Cancelled"/>
    <d v="2026-05-18T00:00:00"/>
    <s v="Cancelled"/>
    <x v="0"/>
    <n v="44361399732"/>
    <n v="12645000"/>
    <d v="2026-04-05T00:00:00"/>
    <x v="9"/>
    <m/>
    <m/>
    <s v="SOLAR CELLS"/>
  </r>
  <r>
    <m/>
    <n v="5600000399"/>
    <s v="0692626IM0Y00039"/>
    <d v="2026-02-06T00:00:00"/>
    <x v="0"/>
    <n v="0.1"/>
    <s v="JIETAI NEW ENERGY TECHNOLOGY (HK) LIMITED"/>
    <s v="USD"/>
    <n v="0"/>
    <n v="0"/>
    <n v="0"/>
    <n v="95.12"/>
    <n v="0"/>
    <s v="Raw Material"/>
    <n v="60"/>
    <x v="2"/>
    <m/>
    <m/>
    <m/>
    <m/>
    <m/>
    <n v="0"/>
    <n v="0"/>
    <n v="0"/>
    <m/>
    <x v="1"/>
    <n v="0"/>
    <m/>
    <s v="-"/>
    <s v="BOE Received and Paid"/>
    <s v="Paid"/>
    <s v="Not Received"/>
    <d v="2026-05-18T00:00:00"/>
    <s v="Closed"/>
    <x v="0"/>
    <n v="43730175696"/>
    <n v="8693000"/>
    <d v="2026-04-05T00:00:00"/>
    <x v="9"/>
    <m/>
    <m/>
    <s v="SOLAR CELLS"/>
  </r>
  <r>
    <m/>
    <n v="5600000399"/>
    <s v="0692626IM0Y00039"/>
    <d v="2026-02-06T00:00:00"/>
    <x v="0"/>
    <n v="0.1"/>
    <s v="JIETAI NEW ENERGY TECHNOLOGY (HK) LIMITED"/>
    <s v="USD"/>
    <n v="0"/>
    <n v="0"/>
    <n v="0"/>
    <n v="95.12"/>
    <n v="0"/>
    <s v="Raw Material"/>
    <n v="60"/>
    <x v="2"/>
    <m/>
    <m/>
    <m/>
    <m/>
    <m/>
    <n v="0"/>
    <n v="0"/>
    <n v="0"/>
    <m/>
    <x v="1"/>
    <n v="0"/>
    <m/>
    <s v="-"/>
    <s v="BOE Received and Paid"/>
    <s v="Paid"/>
    <s v="Not Received"/>
    <d v="2026-05-18T00:00:00"/>
    <s v="Closed"/>
    <x v="0"/>
    <n v="44416414800"/>
    <n v="8"/>
    <d v="2026-04-05T00:00:00"/>
    <x v="9"/>
    <m/>
    <m/>
    <s v="SOLAR CELLS"/>
  </r>
  <r>
    <m/>
    <n v="5600000399"/>
    <s v="0692626IM0Y00039"/>
    <d v="2026-02-06T00:00:00"/>
    <x v="0"/>
    <n v="0.1"/>
    <s v="JIETAI NEW ENERGY TECHNOLOGY (HK) LIMITED"/>
    <s v="USD"/>
    <n v="0"/>
    <n v="0"/>
    <n v="0"/>
    <n v="95.12"/>
    <n v="0"/>
    <s v="Raw Material"/>
    <n v="60"/>
    <x v="2"/>
    <m/>
    <m/>
    <m/>
    <m/>
    <m/>
    <n v="0"/>
    <n v="0"/>
    <n v="0"/>
    <m/>
    <x v="1"/>
    <n v="0"/>
    <m/>
    <s v="-"/>
    <s v="BOE Received and Paid"/>
    <s v="Paid"/>
    <s v="Not Received"/>
    <d v="2026-05-18T00:00:00"/>
    <s v="Closed"/>
    <x v="0"/>
    <n v="44803304283"/>
    <n v="177000"/>
    <d v="2026-04-05T00:00:00"/>
    <x v="9"/>
    <m/>
    <m/>
    <s v="SOLAR CELLS"/>
  </r>
  <r>
    <n v="236"/>
    <n v="5600000401"/>
    <s v="0692626IM0Y00040"/>
    <d v="2026-02-06T00:00:00"/>
    <x v="0"/>
    <n v="0.1"/>
    <s v="JIETAI NEW ENERGY TECHNOLOGY (HK) LIMITED"/>
    <s v="USD"/>
    <n v="3737487.6"/>
    <n v="0"/>
    <n v="3737487.6"/>
    <n v="96"/>
    <n v="358798809.60000002"/>
    <s v="Raw Material"/>
    <n v="60"/>
    <x v="0"/>
    <s v="HKJTGREW20260225-1/2/3/4"/>
    <d v="2026-03-25T00:00:00"/>
    <d v="2026-04-02T00:00:00"/>
    <d v="2026-03-09T00:00:00"/>
    <n v="1428451.92"/>
    <n v="2309035.6800000002"/>
    <n v="137131384.31999999"/>
    <n v="221667425.28000003"/>
    <d v="2026-05-08T00:00:00"/>
    <x v="1"/>
    <m/>
    <d v="2026-03-18T00:00:00"/>
    <s v="May26"/>
    <s v="Part/Full BOE received &amp; Unpaid"/>
    <s v="Paid"/>
    <s v="Received"/>
    <m/>
    <s v="Open"/>
    <x v="0"/>
    <n v="43630359430"/>
    <n v="22339000"/>
    <d v="2026-04-09T00:00:00"/>
    <x v="10"/>
    <s v="8067419 /8067418 /8080855 /8080986"/>
    <d v="2026-05-08T00:00:00"/>
    <s v="SOLAR CELLS"/>
  </r>
  <r>
    <m/>
    <n v="5600000401"/>
    <s v="0692626IM0Y00040"/>
    <d v="2026-02-06T00:00:00"/>
    <x v="0"/>
    <n v="0.1"/>
    <s v="JIETAI NEW ENERGY TECHNOLOGY (HK) LIMITED"/>
    <s v="USD"/>
    <n v="0"/>
    <n v="0"/>
    <n v="0"/>
    <n v="96"/>
    <n v="0"/>
    <s v="Raw Material"/>
    <n v="60"/>
    <x v="0"/>
    <s v="HKJTGREW20260225-5/6/7/8/9"/>
    <d v="2026-04-21T00:00:00"/>
    <d v="2026-04-23T00:00:00"/>
    <d v="2026-04-09T00:00:00"/>
    <n v="1436361.7"/>
    <n v="-1436361.7"/>
    <n v="137890723.19999999"/>
    <n v="-137890723.19999999"/>
    <d v="2026-06-09T00:00:00"/>
    <x v="10"/>
    <n v="358798809.60000002"/>
    <m/>
    <s v="June26"/>
    <s v="Part/Full BOE received &amp; Unpaid"/>
    <s v="Unpaid"/>
    <s v="Received"/>
    <m/>
    <s v="Open"/>
    <x v="0"/>
    <n v="42371819184"/>
    <n v="172000"/>
    <d v="2026-04-09T00:00:00"/>
    <x v="10"/>
    <m/>
    <m/>
    <s v="SOLAR CELLS"/>
  </r>
  <r>
    <m/>
    <n v="5600000401"/>
    <s v="0692626IM0Y00040"/>
    <d v="2026-02-06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872673.98"/>
    <n v="-872673.98"/>
    <n v="83776702.079999998"/>
    <n v="-83776702.079999998"/>
    <d v="2026-06-09T00:00:00"/>
    <x v="1"/>
    <n v="0"/>
    <m/>
    <s v="June26"/>
    <s v="BOE not received"/>
    <s v="Unpaid"/>
    <s v="Cancelled"/>
    <m/>
    <s v="Open"/>
    <x v="0"/>
    <n v="43649959856"/>
    <n v="11569000"/>
    <d v="2026-04-09T00:00:00"/>
    <x v="10"/>
    <m/>
    <m/>
    <s v="SOLAR CELLS"/>
  </r>
  <r>
    <n v="238"/>
    <n v="5600000383"/>
    <s v="0692626IM0Y00043"/>
    <d v="2026-02-13T00:00:00"/>
    <x v="0"/>
    <n v="0.1"/>
    <s v="FIRST MATERIAL SCIENCE (THAILAND) CO LTD"/>
    <s v="USD"/>
    <n v="930251.17"/>
    <n v="0"/>
    <n v="930251.17"/>
    <n v="95.12"/>
    <n v="88485491.290400013"/>
    <s v="Raw Material"/>
    <n v="60"/>
    <x v="0"/>
    <s v="MSBT250645-4"/>
    <d v="2026-04-06T00:00:00"/>
    <d v="2026-04-10T00:00:00"/>
    <d v="2026-03-18T00:00:00"/>
    <n v="155041.85999999999"/>
    <n v="775209.31"/>
    <n v="14747581.723199999"/>
    <m/>
    <d v="2026-05-18T00:00:00"/>
    <x v="1"/>
    <m/>
    <m/>
    <s v="May26"/>
    <s v="BOE Received and Paid"/>
    <s v="Paid"/>
    <s v="Received"/>
    <d v="2026-05-26T00:00:00"/>
    <s v="Closed"/>
    <x v="0"/>
    <n v="43749450461"/>
    <n v="5000000"/>
    <d v="2026-03-31T00:00:00"/>
    <x v="11"/>
    <m/>
    <m/>
    <s v=" EVA FILM"/>
  </r>
  <r>
    <m/>
    <n v="5600000383"/>
    <s v="0692626IM0Y00043"/>
    <d v="2026-02-13T00:00:00"/>
    <x v="0"/>
    <n v="0.1"/>
    <s v="FIRST MATERIAL SCIENCE (THAILAND) CO LTD"/>
    <s v="USD"/>
    <n v="0"/>
    <n v="0"/>
    <n v="0"/>
    <n v="95.12"/>
    <n v="0"/>
    <s v="Raw Material"/>
    <n v="60"/>
    <x v="0"/>
    <s v="MSBT250645-2"/>
    <d v="2026-04-04T00:00:00"/>
    <d v="2026-04-08T00:00:00"/>
    <d v="2026-03-18T00:00:00"/>
    <n v="155041.85999999999"/>
    <n v="-155041.85999999999"/>
    <n v="14747581.723199999"/>
    <m/>
    <d v="2026-05-18T00:00:00"/>
    <x v="1"/>
    <m/>
    <m/>
    <s v="May26"/>
    <s v="BOE Received and Paid"/>
    <s v="Paid"/>
    <s v="Received"/>
    <d v="2026-05-26T00:00:00"/>
    <s v="Closed"/>
    <x v="0"/>
    <n v="43749450461"/>
    <m/>
    <d v="2026-03-31T00:00:00"/>
    <x v="11"/>
    <m/>
    <m/>
    <s v=" EVA FILM"/>
  </r>
  <r>
    <m/>
    <n v="5600000383"/>
    <s v="0692626IM0Y00043"/>
    <d v="2026-02-13T00:00:00"/>
    <x v="0"/>
    <n v="0.1"/>
    <s v="FIRST MATERIAL SCIENCE (THAILAND) CO LTD"/>
    <s v="USD"/>
    <n v="0"/>
    <n v="0"/>
    <n v="0"/>
    <n v="95.12"/>
    <n v="0"/>
    <s v="Raw Material"/>
    <n v="60"/>
    <x v="0"/>
    <s v="MSBT250645-3"/>
    <d v="2026-04-04T00:00:00"/>
    <d v="2026-04-08T00:00:00"/>
    <d v="2026-03-18T00:00:00"/>
    <n v="155041.85999999999"/>
    <n v="-155041.85999999999"/>
    <n v="14747581.723199999"/>
    <m/>
    <d v="2026-05-18T00:00:00"/>
    <x v="1"/>
    <m/>
    <m/>
    <s v="May26"/>
    <s v="BOE Received and Paid"/>
    <s v="Paid"/>
    <s v="Received"/>
    <d v="2026-05-26T00:00:00"/>
    <s v="Closed"/>
    <x v="0"/>
    <n v="43749450461"/>
    <m/>
    <d v="2026-03-31T00:00:00"/>
    <x v="11"/>
    <m/>
    <m/>
    <s v=" EVA FILM"/>
  </r>
  <r>
    <m/>
    <n v="5600000383"/>
    <s v="0692626IM0Y00043"/>
    <d v="2026-02-13T00:00:00"/>
    <x v="0"/>
    <n v="0.1"/>
    <s v="FIRST MATERIAL SCIENCE (THAILAND) CO LTD"/>
    <s v="USD"/>
    <n v="0"/>
    <n v="0"/>
    <n v="0"/>
    <n v="95.12"/>
    <n v="0"/>
    <s v="Raw Material"/>
    <n v="60"/>
    <x v="0"/>
    <s v="MSBT250645-1"/>
    <d v="2026-04-06T00:00:00"/>
    <d v="2026-04-10T00:00:00"/>
    <d v="2026-03-16T00:00:00"/>
    <n v="155041.85999999999"/>
    <n v="-155041.85999999999"/>
    <n v="14747581.723199999"/>
    <m/>
    <d v="2026-05-15T00:00:00"/>
    <x v="1"/>
    <m/>
    <m/>
    <s v="May26"/>
    <s v="BOE Received and Paid"/>
    <s v="Paid"/>
    <s v="Received"/>
    <d v="2026-05-26T00:00:00"/>
    <s v="Closed"/>
    <x v="0"/>
    <n v="43749450461"/>
    <m/>
    <d v="2026-03-31T00:00:00"/>
    <x v="11"/>
    <m/>
    <m/>
    <s v=" EVA FILM"/>
  </r>
  <r>
    <m/>
    <n v="5600000383"/>
    <s v="0692626IM0Y00043"/>
    <d v="2026-02-13T00:00:00"/>
    <x v="0"/>
    <n v="0.1"/>
    <s v="FIRST MATERIAL SCIENCE (THAILAND) CO LTD"/>
    <s v="USD"/>
    <n v="0"/>
    <n v="0"/>
    <n v="0"/>
    <n v="95.12"/>
    <n v="0"/>
    <s v="Raw Material"/>
    <n v="60"/>
    <x v="0"/>
    <s v="MSBT250645-5"/>
    <d v="2026-04-20T00:00:00"/>
    <d v="2026-04-23T00:00:00"/>
    <d v="2026-03-26T00:00:00"/>
    <n v="310083.71999999997"/>
    <n v="-310083.71999999997"/>
    <n v="29495163.446399998"/>
    <m/>
    <d v="2026-05-26T00:00:00"/>
    <x v="7"/>
    <n v="88485491.290400013"/>
    <m/>
    <s v="May26"/>
    <s v="BOE Received and Paid"/>
    <s v="Paid"/>
    <s v="Received"/>
    <d v="2026-05-26T00:00:00"/>
    <s v="Closed"/>
    <x v="0"/>
    <n v="44485511084"/>
    <n v="3505000"/>
    <d v="2026-03-31T00:00:00"/>
    <x v="11"/>
    <m/>
    <m/>
    <s v=" EVA FILM"/>
  </r>
  <r>
    <n v="239"/>
    <n v="5600000387"/>
    <s v="0692626IM0Y00044"/>
    <d v="2026-02-13T00:00:00"/>
    <x v="0"/>
    <n v="0.1"/>
    <s v="FUTURE ALUMINUM NEW MATERIALS SDN BHD"/>
    <s v="USD"/>
    <n v="588000"/>
    <n v="0"/>
    <n v="588000"/>
    <n v="95.12"/>
    <n v="55930560"/>
    <s v="Raw Material"/>
    <n v="60"/>
    <x v="0"/>
    <s v="FA-GREW2026-02-26"/>
    <d v="2026-03-05T00:00:00"/>
    <d v="2026-03-13T00:00:00"/>
    <d v="2026-02-26T00:00:00"/>
    <n v="588000"/>
    <n v="0"/>
    <n v="55930560"/>
    <m/>
    <d v="2026-04-27T00:00:00"/>
    <x v="8"/>
    <n v="55930560"/>
    <m/>
    <s v="April26"/>
    <s v="BOE Received and Paid"/>
    <s v="Paid"/>
    <s v="Received"/>
    <d v="2026-04-27T00:00:00"/>
    <s v="Closed"/>
    <x v="0"/>
    <n v="44450034472"/>
    <m/>
    <d v="2026-02-28T00:00:00"/>
    <x v="7"/>
    <n v="7931820"/>
    <d v="2026-04-27T00:00:00"/>
    <s v="AL FRAME"/>
  </r>
  <r>
    <n v="240"/>
    <n v="5600000371"/>
    <s v="0692626IM0Y00047"/>
    <d v="2026-02-16T00:00:00"/>
    <x v="0"/>
    <n v="0.1"/>
    <s v="PT GREEN SOLAR ENERGY TUNAS"/>
    <s v="USD"/>
    <n v="310356.25"/>
    <n v="0"/>
    <n v="310356.25"/>
    <n v="95.12"/>
    <n v="29521086.5"/>
    <s v="Raw Material"/>
    <n v="60"/>
    <x v="0"/>
    <s v="SNP20260210"/>
    <d v="2026-04-02T00:00:00"/>
    <d v="2026-04-07T00:00:00"/>
    <d v="2026-03-12T00:00:00"/>
    <n v="310356.25"/>
    <n v="0"/>
    <n v="29521086.5"/>
    <m/>
    <d v="2026-05-11T00:00:00"/>
    <x v="11"/>
    <n v="29521086.5"/>
    <m/>
    <s v="May26"/>
    <s v="BOE Received and Paid"/>
    <s v="Paid"/>
    <s v="Received"/>
    <d v="2026-05-11T00:00:00"/>
    <s v="Closed"/>
    <x v="0"/>
    <n v="44450034472"/>
    <n v="2842000"/>
    <d v="2026-03-20T00:00:00"/>
    <x v="12"/>
    <m/>
    <m/>
    <s v="SOLAR CELLS"/>
  </r>
  <r>
    <n v="241"/>
    <n v="5600000413"/>
    <s v="0692626IM0Y00050"/>
    <d v="2026-02-17T00:00:00"/>
    <x v="0"/>
    <n v="0.1"/>
    <s v="JIETAI NEW ENERGY TECHNOLOGY (HK) LIMITED"/>
    <s v="USD"/>
    <n v="3039498"/>
    <n v="0"/>
    <n v="3039498"/>
    <n v="96"/>
    <n v="291791808"/>
    <s v="Raw Material"/>
    <n v="60"/>
    <x v="0"/>
    <s v="HKJTGREW20260226-3/4"/>
    <d v="2026-04-17T00:00:00"/>
    <d v="2026-04-21T00:00:00"/>
    <d v="2026-03-31T00:00:00"/>
    <n v="2992494.02"/>
    <n v="47003.979999999981"/>
    <n v="287279425.92000002"/>
    <n v="4512382.0799999982"/>
    <d v="2026-06-01T00:00:00"/>
    <x v="12"/>
    <n v="291791808"/>
    <m/>
    <s v="June26"/>
    <s v="Part/Full BOE received &amp; Unpaid"/>
    <s v="Unpaid"/>
    <s v="Received"/>
    <m/>
    <s v="Open"/>
    <x v="0"/>
    <n v="43792161126"/>
    <n v="3381000"/>
    <d v="2026-04-15T00:00:00"/>
    <x v="13"/>
    <m/>
    <m/>
    <s v="SOLAR CELLS"/>
  </r>
  <r>
    <m/>
    <n v="5600000413"/>
    <s v="0692626IM0Y00050"/>
    <d v="2026-02-17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47003.98"/>
    <n v="-47003.98"/>
    <n v="4512382.08"/>
    <n v="-4512382.08"/>
    <d v="2026-06-01T00:00:00"/>
    <x v="1"/>
    <n v="0"/>
    <m/>
    <s v="June26"/>
    <s v="BOE not received"/>
    <s v="Unpaid"/>
    <s v="Cancelled"/>
    <m/>
    <s v="Open"/>
    <x v="0"/>
    <n v="44450034472"/>
    <n v="5390000"/>
    <d v="2026-04-15T00:00:00"/>
    <x v="13"/>
    <m/>
    <m/>
    <s v="SOLAR CELLS"/>
  </r>
  <r>
    <m/>
    <n v="5600000413"/>
    <s v="0692626IM0Y00050"/>
    <d v="2026-02-17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0"/>
    <n v="0"/>
    <n v="0"/>
    <n v="0"/>
    <d v="2026-06-01T00:00:00"/>
    <x v="1"/>
    <n v="0"/>
    <m/>
    <s v="June26"/>
    <s v="BOE not received"/>
    <s v="Unpaid"/>
    <s v="Cancelled"/>
    <m/>
    <s v="Open"/>
    <x v="0"/>
    <n v="44803304283"/>
    <n v="19049000"/>
    <d v="2026-04-15T00:00:00"/>
    <x v="13"/>
    <m/>
    <m/>
    <s v="SOLAR CELLS"/>
  </r>
  <r>
    <n v="242"/>
    <n v="5600000414"/>
    <s v="0692626IM0Y00049"/>
    <d v="2026-02-17T00:00:00"/>
    <x v="0"/>
    <n v="0.1"/>
    <s v="JIETAI NEW ENERGY TECHNOLOGY (HK) LIMITED"/>
    <s v="USD"/>
    <n v="3039498"/>
    <n v="0"/>
    <n v="3039498"/>
    <n v="96"/>
    <n v="291791808"/>
    <s v="Raw Material"/>
    <n v="60"/>
    <x v="0"/>
    <s v="HKJTGREW20260226-5/6"/>
    <d v="2026-04-20T00:00:00"/>
    <d v="2026-04-23T00:00:00"/>
    <d v="2026-03-31T00:00:00"/>
    <n v="2989373.63"/>
    <n v="50124.370000000112"/>
    <n v="286979868.48000002"/>
    <n v="4811939.5200000107"/>
    <d v="2026-06-01T00:00:00"/>
    <x v="12"/>
    <n v="291791808"/>
    <m/>
    <s v="June26"/>
    <s v="Part/Full BOE received &amp; Unpaid"/>
    <s v="Unpaid"/>
    <s v="Received"/>
    <m/>
    <s v="Open"/>
    <x v="0"/>
    <n v="43607525170"/>
    <n v="7264000"/>
    <d v="2026-04-15T00:00:00"/>
    <x v="13"/>
    <m/>
    <m/>
    <s v="SOLAR CELLS"/>
  </r>
  <r>
    <m/>
    <n v="5600000414"/>
    <s v="0692626IM0Y00049"/>
    <d v="2026-02-17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50124.37"/>
    <n v="-50124.37"/>
    <n v="4811939.5200000005"/>
    <n v="-4811939.5200000005"/>
    <d v="2026-06-01T00:00:00"/>
    <x v="1"/>
    <n v="0"/>
    <m/>
    <s v="June26"/>
    <s v="BOE not received"/>
    <s v="Unpaid"/>
    <s v="Cancelled"/>
    <m/>
    <s v="Open"/>
    <x v="0"/>
    <n v="44325393960"/>
    <n v="10778000"/>
    <d v="2026-04-15T00:00:00"/>
    <x v="13"/>
    <m/>
    <m/>
    <s v="SOLAR CELLS"/>
  </r>
  <r>
    <m/>
    <n v="5600000414"/>
    <s v="0692626IM0Y00049"/>
    <d v="2026-02-17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0"/>
    <n v="0"/>
    <n v="0"/>
    <n v="0"/>
    <d v="2026-06-01T00:00:00"/>
    <x v="1"/>
    <n v="0"/>
    <m/>
    <s v="June26"/>
    <s v="BOE not received"/>
    <s v="Unpaid"/>
    <s v="Cancelled"/>
    <m/>
    <s v="Open"/>
    <x v="0"/>
    <n v="44803304283"/>
    <n v="9778000"/>
    <d v="2026-04-15T00:00:00"/>
    <x v="13"/>
    <m/>
    <m/>
    <s v="SOLAR CELLS"/>
  </r>
  <r>
    <n v="244"/>
    <n v="5600000422"/>
    <s v="0692626IM0Y00053"/>
    <d v="2026-02-23T00:00:00"/>
    <x v="0"/>
    <n v="0.1"/>
    <s v="PT BINTAN CELLULAR INDONESIA"/>
    <s v="USD"/>
    <n v="6450000"/>
    <n v="0"/>
    <n v="6450000"/>
    <n v="95.12"/>
    <n v="613524000"/>
    <s v="Raw Material"/>
    <n v="60"/>
    <x v="0"/>
    <s v="BCI26022411"/>
    <d v="2026-03-20T00:00:00"/>
    <d v="2026-03-20T00:00:00"/>
    <d v="2026-02-28T00:00:00"/>
    <n v="477999.98"/>
    <n v="5972000.0199999996"/>
    <n v="45467358.097599998"/>
    <m/>
    <d v="2026-04-29T00:00:00"/>
    <x v="13"/>
    <n v="613524000"/>
    <d v="2026-03-12T00:00:00"/>
    <s v="April26"/>
    <s v="BOE Received and Paid"/>
    <s v="Paid"/>
    <s v="Received"/>
    <d v="2026-04-29T00:00:00"/>
    <s v="Closed"/>
    <x v="0"/>
    <m/>
    <m/>
    <d v="2026-03-31T00:00:00"/>
    <x v="11"/>
    <n v="7998661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126022406"/>
    <d v="2026-03-20T00:00:00"/>
    <d v="2026-03-24T00:00:00"/>
    <d v="2026-02-28T00:00:00"/>
    <n v="746591.73"/>
    <n v="-746591.73"/>
    <n v="71015805.357600003"/>
    <m/>
    <d v="2026-04-29T00:00:00"/>
    <x v="1"/>
    <n v="0"/>
    <d v="2026-03-12T00:00:00"/>
    <s v="April26"/>
    <s v="BOE Received and Paid"/>
    <s v="Paid"/>
    <s v="Received"/>
    <d v="2026-04-29T00:00:00"/>
    <s v="Closed"/>
    <x v="0"/>
    <m/>
    <m/>
    <d v="2026-03-31T00:00:00"/>
    <x v="11"/>
    <n v="7998664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10"/>
    <d v="2026-03-20T00:00:00"/>
    <d v="2026-03-24T00:00:00"/>
    <d v="2026-02-28T00:00:00"/>
    <n v="746349.01"/>
    <n v="-746349.01"/>
    <n v="70992717.831200004"/>
    <m/>
    <d v="2026-04-29T00:00:00"/>
    <x v="1"/>
    <n v="0"/>
    <d v="2026-03-12T00:00:00"/>
    <s v="April26"/>
    <s v="BOE Received and Paid"/>
    <s v="Paid"/>
    <s v="Received"/>
    <d v="2026-04-29T00:00:00"/>
    <s v="Closed"/>
    <x v="0"/>
    <m/>
    <m/>
    <d v="2026-03-31T00:00:00"/>
    <x v="11"/>
    <n v="8027729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8"/>
    <d v="2026-03-20T00:00:00"/>
    <d v="2026-03-24T00:00:00"/>
    <d v="2026-02-28T00:00:00"/>
    <n v="746591.73"/>
    <n v="-746591.73"/>
    <n v="71015805.357600003"/>
    <m/>
    <d v="2026-04-29T00:00:00"/>
    <x v="1"/>
    <n v="0"/>
    <d v="2026-03-12T00:00:00"/>
    <s v="April26"/>
    <s v="BOE Received and Paid"/>
    <s v="Paid"/>
    <s v="Received"/>
    <d v="2026-04-29T00:00:00"/>
    <s v="Closed"/>
    <x v="0"/>
    <m/>
    <m/>
    <d v="2026-03-31T00:00:00"/>
    <x v="11"/>
    <n v="7967766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3"/>
    <d v="2026-03-20T00:00:00"/>
    <d v="2026-03-20T00:00:00"/>
    <d v="2026-02-28T00:00:00"/>
    <n v="746071.61"/>
    <n v="-746071.61"/>
    <n v="70966331.543200001"/>
    <m/>
    <d v="2026-04-28T00:00:00"/>
    <x v="1"/>
    <n v="0"/>
    <d v="2026-03-14T00:00:00"/>
    <s v="April26"/>
    <s v="BOE Received and Paid"/>
    <s v="Paid"/>
    <s v="Received"/>
    <d v="2026-04-29T00:00:00"/>
    <s v="Closed"/>
    <x v="0"/>
    <m/>
    <m/>
    <d v="2026-03-31T00:00:00"/>
    <x v="11"/>
    <n v="7886048"/>
    <d v="2026-04-28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7"/>
    <d v="2026-03-20T00:00:00"/>
    <d v="2026-03-24T00:00:00"/>
    <d v="2026-02-28T00:00:00"/>
    <n v="746591.73"/>
    <n v="-746591.73"/>
    <n v="71015805.357600003"/>
    <m/>
    <d v="2026-04-29T00:00:00"/>
    <x v="1"/>
    <n v="0"/>
    <d v="2026-03-19T00:00:00"/>
    <s v="April26"/>
    <s v="BOE Received and Paid"/>
    <s v="Paid"/>
    <s v="Received"/>
    <d v="2026-04-29T00:00:00"/>
    <s v="Closed"/>
    <x v="0"/>
    <m/>
    <m/>
    <d v="2026-03-31T00:00:00"/>
    <x v="11"/>
    <n v="7967237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9"/>
    <d v="2026-03-20T00:00:00"/>
    <d v="2026-03-24T00:00:00"/>
    <d v="2026-02-28T00:00:00"/>
    <n v="746591.73"/>
    <n v="-746591.73"/>
    <n v="71015805.357600003"/>
    <m/>
    <d v="2026-04-29T00:00:00"/>
    <x v="1"/>
    <n v="0"/>
    <d v="2026-03-19T00:00:00"/>
    <s v="April26"/>
    <s v="BOE Received and Paid"/>
    <s v="Paid"/>
    <s v="Received"/>
    <d v="2026-04-29T00:00:00"/>
    <s v="Closed"/>
    <x v="0"/>
    <m/>
    <m/>
    <d v="2026-03-31T00:00:00"/>
    <x v="11"/>
    <n v="7931077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4"/>
    <d v="2026-03-20T00:00:00"/>
    <d v="2026-03-20T00:00:00"/>
    <d v="2026-02-28T00:00:00"/>
    <n v="746591.73"/>
    <n v="-746591.73"/>
    <n v="71015805.357600003"/>
    <m/>
    <d v="2026-04-28T00:00:00"/>
    <x v="1"/>
    <n v="0"/>
    <d v="2026-03-16T00:00:00"/>
    <s v="April26"/>
    <s v="BOE Received and Paid"/>
    <s v="Paid"/>
    <s v="Received"/>
    <d v="2026-04-29T00:00:00"/>
    <s v="Closed"/>
    <x v="0"/>
    <m/>
    <m/>
    <d v="2026-03-31T00:00:00"/>
    <x v="11"/>
    <n v="7917366"/>
    <d v="2026-04-28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5"/>
    <d v="2026-03-20T00:00:00"/>
    <d v="2026-03-20T00:00:00"/>
    <d v="2026-02-28T00:00:00"/>
    <n v="746591.73"/>
    <n v="-746591.73"/>
    <n v="71015805.357600003"/>
    <m/>
    <d v="2026-04-28T00:00:00"/>
    <x v="1"/>
    <m/>
    <d v="2026-03-08T00:00:00"/>
    <s v="April26"/>
    <s v="BOE Received and Paid"/>
    <s v="Paid"/>
    <s v="Received"/>
    <d v="2026-04-29T00:00:00"/>
    <s v="Closed"/>
    <x v="0"/>
    <m/>
    <m/>
    <d v="2026-03-31T00:00:00"/>
    <x v="11"/>
    <n v="7915721"/>
    <d v="2026-04-28T00:00:00"/>
    <s v="SOLAR CELLS"/>
  </r>
  <r>
    <n v="245"/>
    <n v="5600000390"/>
    <s v="0692626IM0Y00054"/>
    <d v="2026-02-23T00:00:00"/>
    <x v="0"/>
    <n v="0.1"/>
    <s v="ARVEE INTERNATIONAL PTE LTD"/>
    <s v="USD"/>
    <n v="2020311.91"/>
    <n v="0"/>
    <n v="2020311.91"/>
    <n v="95.12"/>
    <n v="192172068.87920001"/>
    <s v="Raw Material"/>
    <n v="55"/>
    <x v="0"/>
    <s v="IDA20260108A"/>
    <d v="2026-03-16T00:00:00"/>
    <d v="2026-03-25T00:00:00"/>
    <d v="2026-02-10T00:00:00"/>
    <n v="2011633.59"/>
    <n v="8678.3199999998324"/>
    <n v="191346587.08080003"/>
    <m/>
    <d v="2026-04-06T00:00:00"/>
    <x v="6"/>
    <n v="192172068.87920001"/>
    <d v="2026-03-06T00:00:00"/>
    <s v="April26"/>
    <s v="BOE Received and Paid"/>
    <s v="Paid"/>
    <s v="Received"/>
    <d v="2026-04-06T00:00:00"/>
    <s v="Closed"/>
    <x v="0"/>
    <m/>
    <m/>
    <d v="2026-03-31T00:00:00"/>
    <x v="11"/>
    <n v="7830736"/>
    <d v="2026-04-06T00:00:00"/>
    <s v="SOLAR CELLS"/>
  </r>
  <r>
    <m/>
    <n v="5600000390"/>
    <s v="0692626IM0Y00054"/>
    <d v="2026-02-23T00:00:00"/>
    <x v="0"/>
    <n v="0.1"/>
    <s v="ARVEE INTERNATIONAL PTE LTD"/>
    <s v="USD"/>
    <n v="0"/>
    <n v="0"/>
    <n v="0"/>
    <n v="95.12"/>
    <n v="0"/>
    <s v="Raw Material"/>
    <n v="55"/>
    <x v="1"/>
    <m/>
    <m/>
    <m/>
    <m/>
    <n v="8678.32"/>
    <n v="-8678.32"/>
    <n v="825481.79839999997"/>
    <m/>
    <d v="2026-04-06T00:00:00"/>
    <x v="14"/>
    <n v="0"/>
    <m/>
    <s v="April26"/>
    <s v="LC Cancelled"/>
    <s v="Paid"/>
    <s v="Cancelled"/>
    <d v="2026-04-06T00:00:00"/>
    <s v="Closed"/>
    <x v="0"/>
    <m/>
    <m/>
    <d v="2026-03-31T00:00:00"/>
    <x v="11"/>
    <m/>
    <m/>
    <s v="SOLAR CELLS"/>
  </r>
  <r>
    <n v="246"/>
    <n v="5600000387"/>
    <s v="0692626IM0Y00052"/>
    <d v="2026-02-25T00:00:00"/>
    <x v="0"/>
    <n v="0.1"/>
    <s v="FUTURE ALUMINUM NEW MATERIALS SDN BHD"/>
    <s v="USD"/>
    <n v="588000"/>
    <n v="0"/>
    <n v="588000"/>
    <n v="95.12"/>
    <n v="55930560"/>
    <s v="Raw Material"/>
    <n v="60"/>
    <x v="0"/>
    <s v="FA-GREW2026-03-03"/>
    <d v="2026-03-16T00:00:00"/>
    <d v="2026-03-20T00:00:00"/>
    <d v="2026-03-04T00:00:00"/>
    <n v="588000"/>
    <n v="0"/>
    <n v="55930560"/>
    <m/>
    <d v="2026-05-04T00:00:00"/>
    <x v="5"/>
    <n v="55930560"/>
    <m/>
    <s v="May26"/>
    <s v="BOE Received and Paid"/>
    <s v="Paid"/>
    <s v="Received"/>
    <d v="2026-05-04T00:00:00"/>
    <s v="Closed"/>
    <x v="0"/>
    <m/>
    <m/>
    <d v="2026-03-20T00:00:00"/>
    <x v="12"/>
    <n v="8060758"/>
    <d v="2026-05-04T00:00:00"/>
    <s v="AL FRAME"/>
  </r>
  <r>
    <n v="247"/>
    <n v="5600000407"/>
    <s v="0692626IM0Y00057"/>
    <d v="2026-02-25T00:00:00"/>
    <x v="0"/>
    <n v="0.1"/>
    <s v="FIRST MATERIAL SCIENCE (THAILAND) CO LTD"/>
    <s v="USD"/>
    <n v="894998.94"/>
    <n v="0"/>
    <n v="894998.94"/>
    <n v="95.12"/>
    <n v="85132299.172800004"/>
    <s v="Raw Material"/>
    <n v="60"/>
    <x v="0"/>
    <s v="MSBT260063-1"/>
    <d v="2026-04-02T00:00:00"/>
    <d v="2026-04-07T00:00:00"/>
    <d v="2026-03-18T00:00:00"/>
    <n v="357999.57"/>
    <n v="536999.36999999988"/>
    <n v="34052919.098400004"/>
    <m/>
    <d v="2026-05-18T00:00:00"/>
    <x v="1"/>
    <m/>
    <m/>
    <s v="May26"/>
    <s v="BOE Received and Paid"/>
    <s v="Paid"/>
    <s v="Received"/>
    <d v="2026-05-26T00:00:00"/>
    <s v="Closed"/>
    <x v="0"/>
    <n v="44028685576"/>
    <n v="8225000"/>
    <d v="2026-03-31T00:00:00"/>
    <x v="11"/>
    <m/>
    <m/>
    <s v=" EVA FILM"/>
  </r>
  <r>
    <m/>
    <n v="5600000407"/>
    <s v="0692626IM0Y00057"/>
    <d v="2026-02-25T00:00:00"/>
    <x v="0"/>
    <n v="0.1"/>
    <s v="FIRST MATERIAL SCIENCE (THAILAND) CO LTD"/>
    <s v="USD"/>
    <n v="0"/>
    <n v="0"/>
    <n v="0"/>
    <n v="95.12"/>
    <n v="0"/>
    <s v="Raw Material"/>
    <n v="60"/>
    <x v="0"/>
    <s v="MSBT260063-3"/>
    <d v="2026-04-24T00:00:00"/>
    <d v="2026-05-05T00:00:00"/>
    <d v="2026-03-24T00:00:00"/>
    <n v="387832.87"/>
    <n v="-387832.87"/>
    <n v="36890662.594400004"/>
    <m/>
    <d v="2026-05-26T00:00:00"/>
    <x v="1"/>
    <m/>
    <m/>
    <s v="May26"/>
    <s v="BOE Received and Paid"/>
    <s v="Paid"/>
    <s v="Received"/>
    <d v="2026-05-26T00:00:00"/>
    <s v="Closed"/>
    <x v="0"/>
    <m/>
    <m/>
    <d v="2026-03-31T00:00:00"/>
    <x v="11"/>
    <m/>
    <m/>
    <s v=" EVA FILM"/>
  </r>
  <r>
    <m/>
    <n v="5600000407"/>
    <s v="0692626IM0Y00057"/>
    <d v="2026-02-25T00:00:00"/>
    <x v="0"/>
    <n v="0.1"/>
    <s v="FIRST MATERIAL SCIENCE (THAILAND) CO LTD"/>
    <s v="USD"/>
    <n v="0"/>
    <n v="0"/>
    <n v="0"/>
    <n v="95.12"/>
    <n v="0"/>
    <s v="Raw Material"/>
    <n v="60"/>
    <x v="0"/>
    <s v="MSBT260063-2"/>
    <d v="2026-04-10T00:00:00"/>
    <d v="2026-04-21T00:00:00"/>
    <d v="2026-03-24T00:00:00"/>
    <n v="149166.49"/>
    <n v="-149166.49"/>
    <n v="14188716.5288"/>
    <m/>
    <d v="2026-05-26T00:00:00"/>
    <x v="7"/>
    <n v="85132299.172800004"/>
    <m/>
    <s v="May26"/>
    <s v="BOE Received and Paid"/>
    <s v="Paid"/>
    <s v="Received"/>
    <d v="2026-05-26T00:00:00"/>
    <s v="Closed"/>
    <x v="0"/>
    <m/>
    <m/>
    <d v="2026-03-31T00:00:00"/>
    <x v="11"/>
    <m/>
    <m/>
    <s v=" EVA FILM"/>
  </r>
  <r>
    <n v="248"/>
    <n v="5600000427"/>
    <s v="0692626IM0Y00058"/>
    <d v="2026-03-02T00:00:00"/>
    <x v="0"/>
    <n v="0.1"/>
    <s v="JIETAI NEW ENERGY TECHNOLOGY (HK) LIMITED"/>
    <s v="USD"/>
    <n v="3441715.2000000002"/>
    <n v="34417.152000000002"/>
    <n v="3476132.352"/>
    <n v="96"/>
    <n v="333708705.792"/>
    <s v="Raw Material"/>
    <n v="60"/>
    <x v="0"/>
    <s v="HKJTGREW20260310-4"/>
    <d v="2026-04-20T00:00:00"/>
    <d v="2026-04-23T00:00:00"/>
    <d v="2026-04-14T00:00:00"/>
    <n v="2068376.08"/>
    <n v="1407756.2719999999"/>
    <n v="198564103.68000001"/>
    <n v="135144602.11199999"/>
    <d v="2026-06-15T00:00:00"/>
    <x v="1"/>
    <m/>
    <m/>
    <s v="June26"/>
    <s v="Part/Full BOE received &amp; Unpaid"/>
    <s v="Unpaid"/>
    <s v="Received"/>
    <m/>
    <s v="Open"/>
    <x v="0"/>
    <n v="44707855866"/>
    <n v="30000000"/>
    <d v="2026-04-20T00:00:00"/>
    <x v="14"/>
    <m/>
    <m/>
    <s v="SOLAR CELLS"/>
  </r>
  <r>
    <m/>
    <n v="5600000427"/>
    <s v="0692626IM0Y00058"/>
    <d v="2026-03-02T00:00:00"/>
    <x v="0"/>
    <n v="0.1"/>
    <s v="JIETAI NEW ENERGY TECHNOLOGY (HK) LIMITED"/>
    <s v="USD"/>
    <n v="0"/>
    <n v="0"/>
    <n v="0"/>
    <n v="96"/>
    <n v="0"/>
    <s v="Raw Material"/>
    <n v="60"/>
    <x v="0"/>
    <s v="HKJTGREW20260310-5"/>
    <d v="2026-04-28T00:00:00"/>
    <d v="2026-05-05T00:00:00"/>
    <d v="2026-04-18T00:00:00"/>
    <n v="1384612.19"/>
    <n v="-1384612.19"/>
    <n v="132922770.23999999"/>
    <n v="-132922770.23999999"/>
    <d v="2026-06-17T00:00:00"/>
    <x v="1"/>
    <m/>
    <m/>
    <s v="June26"/>
    <s v="Part/Full BOE received &amp; Unpaid"/>
    <s v="Unpaid"/>
    <s v="Received"/>
    <m/>
    <s v="Open"/>
    <x v="0"/>
    <n v="42814707478"/>
    <n v="1760000"/>
    <d v="2026-04-20T00:00:00"/>
    <x v="14"/>
    <m/>
    <m/>
    <s v="SOLAR CELLS"/>
  </r>
  <r>
    <m/>
    <n v="5600000427"/>
    <s v="0692626IM0Y00058"/>
    <d v="2026-03-02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23144.080000000002"/>
    <n v="-23144.080000000002"/>
    <n v="2221831.6800000002"/>
    <n v="-2221831.6800000002"/>
    <d v="2026-06-17T00:00:00"/>
    <x v="15"/>
    <n v="333708705.792"/>
    <m/>
    <s v="June26"/>
    <s v="BOE not received"/>
    <s v="Unpaid"/>
    <s v="Cancelled"/>
    <m/>
    <s v="Open"/>
    <x v="0"/>
    <n v="42840339454"/>
    <n v="892000"/>
    <d v="2026-04-20T00:00:00"/>
    <x v="14"/>
    <m/>
    <m/>
    <s v="SOLAR CELLS"/>
  </r>
  <r>
    <n v="249"/>
    <n v="5600000426"/>
    <s v="0692626IM0Y00059"/>
    <d v="2026-03-02T00:00:00"/>
    <x v="0"/>
    <n v="0.1"/>
    <s v="JIETAI NEW ENERGY TECHNOLOGY (HK) LIMITED"/>
    <s v="USD"/>
    <n v="3441715.2000000002"/>
    <n v="34417.152000000002"/>
    <n v="3476132.352"/>
    <n v="96"/>
    <n v="333708705.792"/>
    <s v="Raw Material"/>
    <n v="60"/>
    <x v="0"/>
    <s v="HKJTGREW20260310-1/2"/>
    <d v="2026-04-20T00:00:00"/>
    <d v="2026-04-23T00:00:00"/>
    <d v="2026-04-04T00:00:00"/>
    <n v="2764823.85"/>
    <n v="711308.50199999986"/>
    <n v="265423089.60000002"/>
    <n v="68285616.191999987"/>
    <d v="2026-06-03T00:00:00"/>
    <x v="1"/>
    <m/>
    <m/>
    <s v="June26"/>
    <s v="Part/Full BOE received &amp; Unpaid"/>
    <s v="Unpaid"/>
    <s v="Received"/>
    <m/>
    <s v="Open"/>
    <x v="0"/>
    <n v="43607525170"/>
    <n v="1148000"/>
    <d v="2026-04-20T00:00:00"/>
    <x v="14"/>
    <m/>
    <m/>
    <s v="SOLAR CELLS"/>
  </r>
  <r>
    <m/>
    <n v="5600000426"/>
    <s v="0692626IM0Y00059"/>
    <d v="2026-03-02T00:00:00"/>
    <x v="0"/>
    <n v="0.1"/>
    <s v="JIETAI NEW ENERGY TECHNOLOGY (HK) LIMITED"/>
    <s v="USD"/>
    <n v="0"/>
    <n v="0"/>
    <n v="0"/>
    <n v="96"/>
    <n v="0"/>
    <s v="Raw Material"/>
    <n v="60"/>
    <x v="0"/>
    <s v="HKJTGREW20260310-3"/>
    <d v="2026-04-20T00:00:00"/>
    <d v="2026-04-23T00:00:00"/>
    <d v="2026-04-15T00:00:00"/>
    <n v="688293.85"/>
    <n v="-688293.85"/>
    <n v="66076209.599999994"/>
    <n v="-66076209.599999994"/>
    <d v="2026-06-15T00:00:00"/>
    <x v="16"/>
    <n v="333708705.792"/>
    <m/>
    <s v="June26"/>
    <s v="Part/Full BOE received &amp; Unpaid"/>
    <s v="Unpaid"/>
    <s v="Received"/>
    <m/>
    <s v="Open"/>
    <x v="0"/>
    <n v="43792161126"/>
    <n v="6996000"/>
    <d v="2026-04-20T00:00:00"/>
    <x v="14"/>
    <m/>
    <m/>
    <s v="SOLAR CELLS"/>
  </r>
  <r>
    <m/>
    <n v="5600000426"/>
    <s v="0692626IM0Y00059"/>
    <d v="2026-03-02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23014.65"/>
    <n v="-23014.65"/>
    <n v="2209406.4000000004"/>
    <n v="-2209406.4000000004"/>
    <d v="2026-06-15T00:00:00"/>
    <x v="1"/>
    <n v="0"/>
    <m/>
    <s v="June26"/>
    <s v="BOE not received"/>
    <s v="Unpaid"/>
    <s v="Cancelled"/>
    <m/>
    <s v="Open"/>
    <x v="0"/>
    <n v="44803304283"/>
    <n v="2316000"/>
    <d v="2026-04-20T00:00:00"/>
    <x v="14"/>
    <m/>
    <m/>
    <s v="SOLAR CELLS"/>
  </r>
  <r>
    <n v="254"/>
    <n v="5600000391"/>
    <s v="0692626IM0Y00063"/>
    <d v="2026-03-10T00:00:00"/>
    <x v="0"/>
    <n v="0.1"/>
    <s v="ARVEE INTERNATIONAL PTE LTD"/>
    <s v="USD"/>
    <n v="669762.42000000004"/>
    <n v="0"/>
    <n v="669762.42000000004"/>
    <n v="95.12"/>
    <n v="63707801.390400007"/>
    <s v="Raw Material"/>
    <n v="55"/>
    <x v="0"/>
    <s v="ID20260108B"/>
    <d v="2026-03-30T00:00:00"/>
    <d v="2026-04-06T00:00:00"/>
    <d v="2026-02-28T00:00:00"/>
    <n v="669655.96"/>
    <n v="106.46000000007916"/>
    <n v="63697674.915200002"/>
    <m/>
    <d v="2026-04-24T00:00:00"/>
    <x v="17"/>
    <n v="63707801.390400007"/>
    <m/>
    <s v="April26"/>
    <s v="BOE Received and Paid"/>
    <s v="Paid"/>
    <s v="Received"/>
    <d v="2026-04-24T00:00:00"/>
    <s v="Closed"/>
    <x v="0"/>
    <m/>
    <m/>
    <d v="2026-03-15T00:00:00"/>
    <x v="15"/>
    <n v="8248503"/>
    <d v="2026-04-24T00:00:00"/>
    <s v="SOLAR CELLS"/>
  </r>
  <r>
    <m/>
    <n v="5600000391"/>
    <s v="0692626IM0Y00063"/>
    <d v="2026-03-10T00:00:00"/>
    <x v="0"/>
    <n v="0.1"/>
    <s v="ARVEE INTERNATIONAL PTE LTD"/>
    <s v="USD"/>
    <n v="0"/>
    <n v="0"/>
    <n v="0"/>
    <n v="95.12"/>
    <n v="0"/>
    <s v="Raw Material"/>
    <n v="55"/>
    <x v="1"/>
    <m/>
    <m/>
    <m/>
    <m/>
    <n v="106.46"/>
    <n v="-106.46"/>
    <n v="10126.475200000001"/>
    <m/>
    <d v="2026-04-24T00:00:00"/>
    <x v="1"/>
    <n v="0"/>
    <m/>
    <s v="April26"/>
    <s v="LC Cancelled"/>
    <s v="Paid"/>
    <s v="Received"/>
    <d v="2026-04-24T00:00:00"/>
    <s v="Closed"/>
    <x v="0"/>
    <m/>
    <m/>
    <d v="2026-03-15T00:00:00"/>
    <x v="15"/>
    <m/>
    <m/>
    <s v="SOLAR CELLS"/>
  </r>
  <r>
    <n v="255"/>
    <n v="5600000390"/>
    <s v="0692626IM0Y00064"/>
    <d v="2026-03-13T00:00:00"/>
    <x v="0"/>
    <n v="0.1"/>
    <s v="ARVEE INTERNATIONAL PTE LTD"/>
    <s v="USD"/>
    <n v="1344018.83"/>
    <n v="0"/>
    <n v="1344018.83"/>
    <n v="95.12"/>
    <n v="127843071.10960001"/>
    <s v="Raw Material"/>
    <n v="55"/>
    <x v="0"/>
    <s v="ID20260115B-1"/>
    <d v="2026-04-06T00:00:00"/>
    <d v="2026-04-08T00:00:00"/>
    <d v="2026-02-28T00:00:00"/>
    <n v="1344065.61"/>
    <n v="-46.78000000002794"/>
    <n v="127847520.82320002"/>
    <m/>
    <d v="2026-04-24T00:00:00"/>
    <x v="17"/>
    <n v="127843071.10960001"/>
    <d v="2026-03-20T00:00:00"/>
    <s v="April26"/>
    <s v="BOE Received and Paid"/>
    <s v="Paid"/>
    <s v="Received"/>
    <d v="2026-04-24T00:00:00"/>
    <s v="Closed"/>
    <x v="0"/>
    <m/>
    <m/>
    <d v="2026-03-15T00:00:00"/>
    <x v="15"/>
    <n v="8112424"/>
    <d v="2026-04-24T00:00:00"/>
    <s v="SOLAR CELLS"/>
  </r>
  <r>
    <n v="256"/>
    <n v="5600000406"/>
    <s v="0692626IM0Y00066"/>
    <d v="2026-03-13T00:00:00"/>
    <x v="0"/>
    <n v="0.1"/>
    <s v="TAICANG JUREN INTERNATIONAL TRADE CO LTD"/>
    <s v="USD"/>
    <n v="804980"/>
    <n v="0"/>
    <n v="804980"/>
    <n v="94.920500000000004"/>
    <n v="76409104.090000004"/>
    <s v="Raw Material"/>
    <n v="60"/>
    <x v="0"/>
    <s v="JRIT20260318001"/>
    <d v="2026-04-06T00:00:00"/>
    <d v="2026-04-10T00:00:00"/>
    <d v="2026-03-26T00:00:00"/>
    <n v="804980"/>
    <n v="0"/>
    <n v="76409104.090000004"/>
    <m/>
    <d v="2026-05-26T00:00:00"/>
    <x v="7"/>
    <n v="76409104.090000004"/>
    <m/>
    <s v="May26"/>
    <s v="BOE Received and Paid"/>
    <s v="Paid"/>
    <s v="Received"/>
    <d v="2026-05-26T00:00:00"/>
    <s v="Closed"/>
    <x v="0"/>
    <n v="42371819184"/>
    <n v="7505000"/>
    <d v="2026-04-10T00:00:00"/>
    <x v="16"/>
    <m/>
    <m/>
    <s v="PV RIBBON BUS BAR"/>
  </r>
  <r>
    <n v="258"/>
    <n v="5600000412"/>
    <s v="0692626IM0Y00068"/>
    <d v="2026-03-16T00:00:00"/>
    <x v="0"/>
    <n v="0.1"/>
    <s v="FLAT HONG KONG CO LTD"/>
    <s v="USD"/>
    <n v="1307700"/>
    <n v="0"/>
    <n v="1307700"/>
    <n v="94.920500000000004"/>
    <n v="124127537.85000001"/>
    <s v="Raw Material"/>
    <n v="45"/>
    <x v="0"/>
    <s v="81005224 /5420/5600/5667/5683"/>
    <d v="2026-04-06T00:00:00"/>
    <d v="2026-04-10T00:00:00"/>
    <d v="2026-03-23T00:00:00"/>
    <n v="1307700"/>
    <n v="0"/>
    <n v="124127537.85000001"/>
    <m/>
    <d v="2026-05-07T00:00:00"/>
    <x v="18"/>
    <n v="124127537.85000001"/>
    <m/>
    <s v="May26"/>
    <s v="BOE Received and Paid"/>
    <s v="Paid"/>
    <s v="Received"/>
    <d v="2026-05-07T00:00:00"/>
    <s v="Closed"/>
    <x v="0"/>
    <m/>
    <m/>
    <d v="2026-04-15T00:00:00"/>
    <x v="17"/>
    <m/>
    <m/>
    <s v=" GLASS"/>
  </r>
  <r>
    <n v="259"/>
    <n v="5600000412"/>
    <s v="0692626IM0Y00067"/>
    <d v="2026-03-16T00:00:00"/>
    <x v="0"/>
    <n v="0.1"/>
    <s v="FLAT HONG KONG CO LTD"/>
    <s v="USD"/>
    <n v="1307700"/>
    <n v="0"/>
    <n v="1307700"/>
    <n v="95.12"/>
    <n v="124388424"/>
    <s v="Raw Material"/>
    <n v="45"/>
    <x v="0"/>
    <s v="81003332/3737/3329/3831/3836"/>
    <d v="2026-04-04T00:00:00"/>
    <d v="2026-04-08T00:00:00"/>
    <d v="2026-03-19T00:00:00"/>
    <n v="1307700"/>
    <n v="0"/>
    <n v="124388424"/>
    <m/>
    <d v="2026-05-04T00:00:00"/>
    <x v="5"/>
    <n v="124388424"/>
    <m/>
    <s v="May26"/>
    <s v="BOE Received and Paid"/>
    <s v="Paid"/>
    <s v="Received"/>
    <d v="2026-05-04T00:00:00"/>
    <s v="Closed"/>
    <x v="0"/>
    <m/>
    <m/>
    <d v="2026-04-15T00:00:00"/>
    <x v="17"/>
    <s v="8849791 / 8849792 /8850556 /8847569 /8850714"/>
    <d v="2026-05-04T00:00:00"/>
    <s v=" GLASS"/>
  </r>
  <r>
    <n v="260"/>
    <n v="5600000412"/>
    <s v="0692626IM0Y00069"/>
    <d v="2026-03-18T00:00:00"/>
    <x v="0"/>
    <n v="0.1"/>
    <s v="FLAT HONG KONG CO LTD"/>
    <s v="USD"/>
    <n v="1307700"/>
    <n v="0"/>
    <n v="1307700"/>
    <n v="96"/>
    <n v="125539200"/>
    <s v="Raw Material"/>
    <n v="45"/>
    <x v="0"/>
    <s v="81015302/4671/5417/5804/5806"/>
    <d v="2026-05-05T00:00:00"/>
    <d v="2026-05-12T00:00:00"/>
    <d v="2026-04-25T00:00:00"/>
    <n v="1307700"/>
    <n v="0"/>
    <n v="125539200"/>
    <m/>
    <d v="2026-06-09T00:00:00"/>
    <x v="10"/>
    <n v="125539200"/>
    <m/>
    <s v="June26"/>
    <s v="Part/Full BOE received &amp; Unpaid"/>
    <s v="Unpaid"/>
    <s v="Received"/>
    <m/>
    <s v="Open"/>
    <x v="0"/>
    <n v="44730457174"/>
    <n v="12197000"/>
    <d v="2026-05-15T00:00:00"/>
    <x v="18"/>
    <m/>
    <m/>
    <s v=" GLASS"/>
  </r>
  <r>
    <n v="261"/>
    <n v="5600000444"/>
    <s v="0692626IM0Y00070"/>
    <d v="2026-03-18T00:00:00"/>
    <x v="0"/>
    <n v="0.1"/>
    <s v="PT BINTAN CELLULAR INDONESIA"/>
    <s v="USD"/>
    <n v="3203988.48"/>
    <n v="0"/>
    <n v="3203988.48"/>
    <n v="96"/>
    <n v="307582894.07999998"/>
    <s v="Raw Material"/>
    <n v="60"/>
    <x v="0"/>
    <s v="BCI26032308"/>
    <d v="2026-04-22T00:00:00"/>
    <d v="2026-04-27T00:00:00"/>
    <d v="2026-04-01T00:00:00"/>
    <n v="361972.8"/>
    <n v="2842015.68"/>
    <n v="34749388.799999997"/>
    <m/>
    <d v="2026-06-02T00:00:00"/>
    <x v="19"/>
    <n v="307582894.07999998"/>
    <m/>
    <s v="June26"/>
    <s v="Part/Full BOE received &amp; Unpaid"/>
    <s v="Unpaid"/>
    <s v="Received"/>
    <m/>
    <s v="Open"/>
    <x v="0"/>
    <n v="42815340031"/>
    <n v="300000"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3"/>
    <d v="2026-04-22T00:00:00"/>
    <d v="2026-04-27T00:00:00"/>
    <d v="2026-03-30T00:00:00"/>
    <n v="433266.62"/>
    <n v="-433266.62"/>
    <n v="41593595.519999996"/>
    <m/>
    <d v="2026-05-29T00:00:00"/>
    <x v="1"/>
    <m/>
    <m/>
    <s v="May26"/>
    <s v="Part/Full BOE received &amp; Unpaid"/>
    <s v="Paid"/>
    <s v="Received"/>
    <m/>
    <s v="Open"/>
    <x v="0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2"/>
    <d v="2026-04-22T00:00:00"/>
    <d v="2026-04-27T00:00:00"/>
    <d v="2026-03-26T00:00:00"/>
    <n v="361972.8"/>
    <n v="-361972.8"/>
    <n v="34749388.799999997"/>
    <m/>
    <d v="2026-05-26T00:00:00"/>
    <x v="1"/>
    <m/>
    <m/>
    <s v="May26"/>
    <s v="Part/Full BOE received &amp; Unpaid"/>
    <s v="Paid"/>
    <s v="Received"/>
    <m/>
    <s v="Open"/>
    <x v="0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1"/>
    <d v="2026-04-22T00:00:00"/>
    <d v="2026-04-29T00:00:00"/>
    <d v="2026-03-26T00:00:00"/>
    <n v="433266.62"/>
    <n v="-433266.62"/>
    <n v="41593595.519999996"/>
    <m/>
    <d v="2026-05-26T00:00:00"/>
    <x v="1"/>
    <m/>
    <m/>
    <s v="May26"/>
    <s v="Part/Full BOE received &amp; Unpaid"/>
    <s v="Paid"/>
    <s v="Received"/>
    <m/>
    <s v="Open"/>
    <x v="0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4"/>
    <d v="2026-04-22T00:00:00"/>
    <d v="2026-04-29T00:00:00"/>
    <d v="2026-03-26T00:00:00"/>
    <n v="361972.8"/>
    <n v="-361972.8"/>
    <n v="34749388.799999997"/>
    <m/>
    <d v="2026-05-26T00:00:00"/>
    <x v="1"/>
    <m/>
    <m/>
    <s v="May26"/>
    <s v="Part/Full BOE received &amp; Unpaid"/>
    <s v="Paid"/>
    <s v="Received"/>
    <m/>
    <s v="Open"/>
    <x v="0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5"/>
    <d v="2026-04-22T00:00:00"/>
    <d v="2026-04-29T00:00:00"/>
    <d v="2026-04-01T00:00:00"/>
    <n v="433266.62"/>
    <n v="-433266.62"/>
    <n v="41593595.519999996"/>
    <m/>
    <d v="2026-06-01T00:00:00"/>
    <x v="1"/>
    <m/>
    <m/>
    <s v="June26"/>
    <s v="Part/Full BOE received &amp; Unpaid"/>
    <s v="Unpaid"/>
    <s v="Received"/>
    <m/>
    <s v="Open"/>
    <x v="1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7"/>
    <d v="2026-04-22T00:00:00"/>
    <d v="2026-04-29T00:00:00"/>
    <d v="2026-04-01T00:00:00"/>
    <n v="433266.62"/>
    <n v="-433266.62"/>
    <n v="41593595.519999996"/>
    <m/>
    <d v="2026-06-01T00:00:00"/>
    <x v="1"/>
    <m/>
    <m/>
    <s v="June26"/>
    <s v="Part/Full BOE received &amp; Unpaid"/>
    <s v="Unpaid"/>
    <s v="Received"/>
    <m/>
    <s v="Open"/>
    <x v="1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6"/>
    <d v="2026-04-22T00:00:00"/>
    <d v="2026-04-29T00:00:00"/>
    <d v="2026-04-01T00:00:00"/>
    <n v="361972.8"/>
    <n v="-361972.8"/>
    <n v="34749388.799999997"/>
    <m/>
    <d v="2026-06-01T00:00:00"/>
    <x v="1"/>
    <m/>
    <m/>
    <s v="June26"/>
    <s v="Part/Full BOE received &amp; Unpaid"/>
    <s v="Unpaid"/>
    <s v="Received"/>
    <m/>
    <s v="Open"/>
    <x v="1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1"/>
    <m/>
    <m/>
    <m/>
    <m/>
    <n v="23030.799999999999"/>
    <n v="-23030.799999999999"/>
    <n v="2210956.7999999998"/>
    <m/>
    <d v="2026-06-02T00:00:00"/>
    <x v="1"/>
    <m/>
    <m/>
    <s v="June26"/>
    <s v="BOE not received"/>
    <s v="Unpaid"/>
    <s v="Cancelled"/>
    <m/>
    <s v="Open"/>
    <x v="0"/>
    <m/>
    <m/>
    <d v="2026-04-15T00:00:00"/>
    <x v="17"/>
    <m/>
    <m/>
    <s v="SOLAR CELLS"/>
  </r>
  <r>
    <n v="270"/>
    <n v="5600000446"/>
    <s v="0692626IM0Y00074"/>
    <d v="2026-03-20T00:00:00"/>
    <x v="0"/>
    <n v="0.1"/>
    <s v="FLAT HONG KONG CO LTD"/>
    <s v="USD"/>
    <n v="1307700"/>
    <n v="0"/>
    <n v="1307700"/>
    <n v="94.920500000000004"/>
    <n v="124127537.85000001"/>
    <s v="Raw Material"/>
    <n v="45"/>
    <x v="0"/>
    <s v="81007400 /7403/7405/7674/7678"/>
    <d v="2026-04-07T00:00:00"/>
    <d v="2026-04-10T00:00:00"/>
    <d v="2026-03-26T00:00:00"/>
    <n v="1307700"/>
    <n v="0"/>
    <n v="124127537.85000001"/>
    <m/>
    <d v="2026-05-11T00:00:00"/>
    <x v="11"/>
    <n v="124127537.85000001"/>
    <m/>
    <s v="May26"/>
    <s v="BOE Received and Paid"/>
    <s v="Paid"/>
    <s v="Received"/>
    <d v="2026-05-11T00:00:00"/>
    <s v="Closed"/>
    <x v="2"/>
    <m/>
    <m/>
    <d v="2026-04-15T00:00:00"/>
    <x v="17"/>
    <m/>
    <m/>
    <s v=" GLASS"/>
  </r>
  <r>
    <n v="271"/>
    <n v="5600000446"/>
    <s v="0692626IM0Y00075"/>
    <d v="2026-03-20T00:00:00"/>
    <x v="0"/>
    <n v="0.1"/>
    <s v="FLAT HONG KONG CO LTD"/>
    <s v="USD"/>
    <n v="1307700"/>
    <n v="0"/>
    <n v="1307700"/>
    <n v="96"/>
    <n v="125539200"/>
    <s v="Raw Material"/>
    <n v="45"/>
    <x v="0"/>
    <s v="81006010/81013207/81010631"/>
    <d v="2026-04-21T00:00:00"/>
    <d v="2026-04-23T00:00:00"/>
    <d v="2026-04-10T00:00:00"/>
    <n v="652950"/>
    <n v="654750"/>
    <n v="62683200"/>
    <m/>
    <d v="2026-05-29T00:00:00"/>
    <x v="1"/>
    <m/>
    <m/>
    <s v="May26"/>
    <s v="Part/Full BOE received &amp; Unpaid"/>
    <s v="Paid"/>
    <s v="Received"/>
    <m/>
    <s v="Open"/>
    <x v="0"/>
    <n v="4281470748"/>
    <n v="2151000"/>
    <d v="2026-04-30T00:00:00"/>
    <x v="19"/>
    <m/>
    <m/>
    <s v=" GLASS"/>
  </r>
  <r>
    <m/>
    <n v="5600000446"/>
    <s v="0692626IM0Y00075"/>
    <d v="2026-03-20T00:00:00"/>
    <x v="0"/>
    <n v="0.1"/>
    <s v="FLAT HONG KONG CO LTD"/>
    <s v="USD"/>
    <n v="0"/>
    <n v="0"/>
    <n v="0"/>
    <n v="96"/>
    <n v="0"/>
    <s v="Raw Material"/>
    <n v="45"/>
    <x v="0"/>
    <n v="81013533"/>
    <d v="2026-05-02T00:00:00"/>
    <d v="2026-05-07T00:00:00"/>
    <d v="2026-04-21T00:00:00"/>
    <n v="130770"/>
    <n v="-130770"/>
    <n v="12553920"/>
    <m/>
    <d v="2026-06-05T00:00:00"/>
    <x v="1"/>
    <m/>
    <m/>
    <s v="June26"/>
    <s v="Part/Full BOE received &amp; Unpaid"/>
    <s v="Unpaid"/>
    <s v="Received"/>
    <m/>
    <s v="Open"/>
    <x v="0"/>
    <n v="44674538206"/>
    <n v="10179000"/>
    <d v="2026-04-30T00:00:00"/>
    <x v="19"/>
    <m/>
    <m/>
    <s v=" GLASS"/>
  </r>
  <r>
    <m/>
    <n v="5600000446"/>
    <s v="0692626IM0Y00075"/>
    <d v="2026-03-20T00:00:00"/>
    <x v="0"/>
    <n v="0.1"/>
    <s v="FLAT HONG KONG CO LTD"/>
    <s v="USD"/>
    <n v="0"/>
    <n v="0"/>
    <n v="0"/>
    <n v="96"/>
    <n v="0"/>
    <s v="Raw Material"/>
    <n v="45"/>
    <x v="0"/>
    <s v="81013211/81010648"/>
    <d v="2026-05-12T00:00:00"/>
    <d v="2026-05-16T00:00:00"/>
    <d v="2026-04-28T00:00:00"/>
    <n v="523980"/>
    <n v="-523980"/>
    <n v="50302080"/>
    <m/>
    <d v="2026-06-12T00:00:00"/>
    <x v="20"/>
    <n v="125539200"/>
    <m/>
    <s v="June26"/>
    <s v="Part/Full BOE received &amp; Unpaid"/>
    <s v="Unpaid"/>
    <s v="Received"/>
    <m/>
    <s v="Open"/>
    <x v="0"/>
    <m/>
    <m/>
    <d v="2026-04-30T00:00:00"/>
    <x v="19"/>
    <m/>
    <m/>
    <s v=" GLASS"/>
  </r>
  <r>
    <n v="272"/>
    <n v="5600000446"/>
    <s v="0692626IM0Y00076"/>
    <d v="2026-03-20T00:00:00"/>
    <x v="0"/>
    <n v="0.1"/>
    <s v="FLAT HONG KONG CO LTD"/>
    <s v="USD"/>
    <n v="1307700"/>
    <n v="0"/>
    <n v="1307700"/>
    <n v="96"/>
    <n v="125539200"/>
    <s v="Raw Material"/>
    <n v="45"/>
    <x v="0"/>
    <n v="81012295"/>
    <d v="2026-05-02T00:00:00"/>
    <d v="2026-05-07T00:00:00"/>
    <d v="2026-04-21T00:00:00"/>
    <n v="262440"/>
    <n v="1045260"/>
    <n v="25194240"/>
    <m/>
    <d v="2026-06-05T00:00:00"/>
    <x v="1"/>
    <m/>
    <m/>
    <s v="June26"/>
    <s v="Part/Full BOE received &amp; Unpaid"/>
    <s v="Unpaid"/>
    <s v="Received"/>
    <m/>
    <s v="Open"/>
    <x v="0"/>
    <n v="43792161126"/>
    <n v="2293000"/>
    <d v="2026-04-30T00:00:00"/>
    <x v="19"/>
    <m/>
    <m/>
    <s v=" GLASS"/>
  </r>
  <r>
    <m/>
    <n v="5600000446"/>
    <s v="0692626IM0Y00076"/>
    <d v="2026-03-20T00:00:00"/>
    <x v="0"/>
    <n v="0.1"/>
    <s v="FLAT HONG KONG CO LTD"/>
    <s v="USD"/>
    <n v="0"/>
    <n v="0"/>
    <n v="0"/>
    <n v="96"/>
    <n v="0"/>
    <s v="Raw Material"/>
    <n v="45"/>
    <x v="0"/>
    <s v="81012449/4293/3478/3458"/>
    <d v="2026-05-13T00:00:00"/>
    <d v="2026-05-16T00:00:00"/>
    <d v="2026-04-28T00:00:00"/>
    <n v="1045260"/>
    <n v="-1045260"/>
    <n v="100344960"/>
    <m/>
    <d v="2026-06-12T00:00:00"/>
    <x v="20"/>
    <n v="125539200"/>
    <m/>
    <s v="June26"/>
    <s v="Part/Full BOE received &amp; Unpaid"/>
    <s v="Unpaid"/>
    <s v="Received"/>
    <m/>
    <s v="Open"/>
    <x v="0"/>
    <n v="42815340031"/>
    <n v="67000"/>
    <d v="2026-04-30T00:00:00"/>
    <x v="19"/>
    <m/>
    <m/>
    <s v=" GLASS"/>
  </r>
  <r>
    <m/>
    <n v="5600000446"/>
    <s v="0692626IM0Y00076"/>
    <d v="2026-03-20T00:00:00"/>
    <x v="0"/>
    <n v="0.1"/>
    <s v="FLAT HONG KONG CO LTD"/>
    <s v="USD"/>
    <n v="0"/>
    <n v="0"/>
    <n v="0"/>
    <n v="96"/>
    <n v="0"/>
    <s v="Raw Material"/>
    <n v="45"/>
    <x v="1"/>
    <m/>
    <m/>
    <m/>
    <m/>
    <n v="0"/>
    <n v="0"/>
    <n v="0"/>
    <m/>
    <d v="2026-06-12T00:00:00"/>
    <x v="1"/>
    <n v="0"/>
    <m/>
    <s v="June26"/>
    <s v="BOE not received"/>
    <s v="Unpaid"/>
    <s v="Cancelled"/>
    <m/>
    <s v="Open"/>
    <x v="0"/>
    <n v="43649959856"/>
    <n v="9970000"/>
    <d v="2026-04-30T00:00:00"/>
    <x v="19"/>
    <m/>
    <m/>
    <s v=" GLASS"/>
  </r>
  <r>
    <n v="273"/>
    <n v="1400000527"/>
    <s v="0692626IM0Y00071"/>
    <d v="2026-03-20T00:00:00"/>
    <x v="0"/>
    <n v="1"/>
    <s v="ISRA VISION GMBH"/>
    <s v="EUR"/>
    <n v="43600"/>
    <n v="0"/>
    <n v="43600"/>
    <n v="107.31238500000001"/>
    <n v="4678819.9860000005"/>
    <s v="CAPEX"/>
    <s v="Sight"/>
    <x v="0"/>
    <n v="1025026312"/>
    <d v="2026-05-02T00:00:00"/>
    <d v="2026-05-07T00:00:00"/>
    <d v="2026-04-13T00:00:00"/>
    <n v="43600"/>
    <n v="0"/>
    <n v="0"/>
    <m/>
    <d v="2026-05-07T00:00:00"/>
    <x v="1"/>
    <m/>
    <m/>
    <s v="May26"/>
    <s v="BOE Received and Paid"/>
    <s v="Paid"/>
    <s v="Received"/>
    <d v="2026-05-07T00:00:00"/>
    <s v="Closed"/>
    <x v="0"/>
    <n v="45011160322"/>
    <n v="4578000"/>
    <d v="2026-04-15T00:00:00"/>
    <x v="17"/>
    <m/>
    <m/>
    <s v="COATING OFFLINE PL TESTER"/>
  </r>
  <r>
    <m/>
    <n v="1400000527"/>
    <s v="0692626IM0Y00071"/>
    <d v="2026-03-20T00:00:00"/>
    <x v="0"/>
    <n v="1"/>
    <s v="ISRA VISION GMBH"/>
    <s v="EUR"/>
    <n v="0"/>
    <n v="0"/>
    <n v="0"/>
    <n v="107.31238500000001"/>
    <n v="0"/>
    <s v="CAPEX"/>
    <s v="Sight"/>
    <x v="1"/>
    <m/>
    <m/>
    <m/>
    <m/>
    <m/>
    <n v="0"/>
    <n v="0"/>
    <m/>
    <m/>
    <x v="1"/>
    <m/>
    <m/>
    <s v="-"/>
    <s v="BOE Received and Paid"/>
    <s v="Paid"/>
    <s v="Cancelled"/>
    <d v="2026-05-07T00:00:00"/>
    <s v="Closed"/>
    <x v="0"/>
    <n v="42815340031"/>
    <n v="150000"/>
    <d v="2026-04-15T00:00:00"/>
    <x v="17"/>
    <m/>
    <m/>
    <s v="COATING OFFLINE PL TESTER"/>
  </r>
  <r>
    <n v="274"/>
    <n v="1400000545"/>
    <s v="0692626IM0Y00072"/>
    <d v="2026-03-20T00:00:00"/>
    <x v="0"/>
    <n v="1"/>
    <s v="SEMILAB SEMICONDUCTOR PHYSICS LABORATORY CO LTD"/>
    <s v="EUR"/>
    <n v="81600"/>
    <n v="0"/>
    <n v="81600"/>
    <n v="107.31238500000001"/>
    <n v="8756690.6160000004"/>
    <s v="CAPEX"/>
    <s v="Sight"/>
    <x v="0"/>
    <s v="2026KV000010733"/>
    <d v="2026-04-10T00:00:00"/>
    <d v="2026-04-27T00:00:00"/>
    <m/>
    <n v="21600"/>
    <n v="60000"/>
    <n v="0"/>
    <m/>
    <d v="2026-04-20T00:00:00"/>
    <x v="1"/>
    <m/>
    <m/>
    <s v="April26"/>
    <s v="Part/Full BOE received &amp; Unpaid"/>
    <s v="Paid"/>
    <s v="Received"/>
    <m/>
    <s v="Open"/>
    <x v="0"/>
    <n v="45011162091"/>
    <n v="8568000"/>
    <d v="2026-05-16T00:00:00"/>
    <x v="20"/>
    <m/>
    <m/>
    <s v="SPECTROSCOPIC ELLIPSOMETER"/>
  </r>
  <r>
    <m/>
    <n v="1400000545"/>
    <s v="0692626IM0Y00072"/>
    <d v="2026-03-20T00:00:00"/>
    <x v="0"/>
    <n v="1"/>
    <s v="SEMILAB SEMICONDUCTOR PHYSICS LABORATORY CO LTD"/>
    <s v="EUR"/>
    <n v="0"/>
    <n v="0"/>
    <n v="0"/>
    <n v="107.31238500000001"/>
    <n v="0"/>
    <s v="CAPEX"/>
    <s v="Sight"/>
    <x v="0"/>
    <s v="2026KV000010788"/>
    <d v="2026-04-27T00:00:00"/>
    <d v="2026-05-04T00:00:00"/>
    <d v="2026-04-15T00:00:00"/>
    <n v="30000"/>
    <n v="-30000"/>
    <n v="0"/>
    <m/>
    <d v="2026-05-05T00:00:00"/>
    <x v="1"/>
    <m/>
    <m/>
    <s v="May26"/>
    <s v="Part/Full BOE received &amp; Unpaid"/>
    <s v="Paid"/>
    <s v="Received"/>
    <m/>
    <s v="Open"/>
    <x v="0"/>
    <n v="45011162091"/>
    <m/>
    <d v="2026-05-16T00:00:00"/>
    <x v="20"/>
    <m/>
    <m/>
    <s v="SPECTROSCOPIC ELLIPSOMETER"/>
  </r>
  <r>
    <m/>
    <n v="1400000545"/>
    <s v="0692626IM0Y00072"/>
    <d v="2026-03-20T00:00:00"/>
    <x v="0"/>
    <n v="1"/>
    <s v="SEMILAB SEMICONDUCTOR PHYSICS LABORATORY CO LTD"/>
    <s v="EUR"/>
    <n v="0"/>
    <n v="0"/>
    <n v="0"/>
    <n v="111.9575"/>
    <n v="0"/>
    <s v="CAPEX"/>
    <s v="Sight"/>
    <x v="2"/>
    <m/>
    <m/>
    <m/>
    <d v="2026-05-16T00:00:00"/>
    <n v="30000"/>
    <n v="-30000"/>
    <n v="0"/>
    <m/>
    <d v="2026-06-10T00:00:00"/>
    <x v="1"/>
    <m/>
    <m/>
    <s v="June26"/>
    <s v="BOE not received"/>
    <s v="Unpaid"/>
    <s v="Not Received"/>
    <m/>
    <s v="Open"/>
    <x v="0"/>
    <n v="45011162091"/>
    <m/>
    <d v="2026-05-16T00:00:00"/>
    <x v="20"/>
    <m/>
    <m/>
    <s v="SPECTROSCOPIC ELLIPSOMETER"/>
  </r>
  <r>
    <n v="219"/>
    <n v="5600000360"/>
    <s v="261001FLCU00013"/>
    <d v="2026-01-20T00:00:00"/>
    <x v="1"/>
    <n v="0.1"/>
    <s v="TAICANG JUREN INTERNATIONAL TRADE CO LTD"/>
    <s v="USD"/>
    <n v="1052825"/>
    <n v="0"/>
    <n v="1052825"/>
    <n v="93.36"/>
    <n v="98291742"/>
    <s v="Raw Material"/>
    <n v="60"/>
    <x v="0"/>
    <s v="JRIT20260203008"/>
    <d v="2026-03-04T00:00:00"/>
    <d v="2026-03-12T00:00:00"/>
    <d v="2026-02-13T00:00:00"/>
    <n v="1052825"/>
    <n v="0"/>
    <n v="98291742"/>
    <m/>
    <d v="2026-04-15T00:00:00"/>
    <x v="0"/>
    <n v="98291742"/>
    <m/>
    <s v="April26"/>
    <s v="BOE Received and Paid"/>
    <s v="Paid"/>
    <s v="Received"/>
    <d v="2026-04-15T00:00:00"/>
    <s v="Closed"/>
    <x v="0"/>
    <m/>
    <m/>
    <d v="2026-02-10T00:00:00"/>
    <x v="5"/>
    <n v="7931785"/>
    <d v="2026-04-15T00:00:00"/>
    <s v="PV RIBBON BUS BAR"/>
  </r>
  <r>
    <n v="225"/>
    <n v="5600000373"/>
    <s v="261001FLCU00015"/>
    <d v="2026-01-23T00:00:00"/>
    <x v="1"/>
    <n v="0.1"/>
    <s v="SHANGHAI HUITIAN NEW MATERIAL CO LTD"/>
    <s v="USD"/>
    <n v="279835.2"/>
    <n v="0"/>
    <n v="279835.2"/>
    <n v="93.15"/>
    <n v="26066648.880000003"/>
    <s v="Raw Material"/>
    <n v="60"/>
    <x v="0"/>
    <s v="HT-GEW-2025123001"/>
    <d v="2026-03-10T00:00:00"/>
    <d v="2026-03-18T00:00:00"/>
    <m/>
    <n v="279835.2"/>
    <n v="0"/>
    <n v="26066648.880000003"/>
    <m/>
    <d v="2026-04-23T00:00:00"/>
    <x v="21"/>
    <n v="26066648.880000003"/>
    <m/>
    <s v="April26"/>
    <s v="BOE Received and Paid"/>
    <s v="Paid"/>
    <s v="Received"/>
    <d v="2026-04-23T00:00:00"/>
    <s v="Closed"/>
    <x v="0"/>
    <m/>
    <m/>
    <d v="2026-02-15T00:00:00"/>
    <x v="5"/>
    <n v="8189187"/>
    <d v="2026-04-23T00:00:00"/>
    <s v="HT 960 SEALANT"/>
  </r>
  <r>
    <n v="226"/>
    <n v="5600000374"/>
    <s v="261001FLCU00016"/>
    <d v="2026-01-23T00:00:00"/>
    <x v="1"/>
    <n v="0.1"/>
    <s v="SHANGHAI HUITIAN NEW MATERIAL CO LTD"/>
    <s v="USD"/>
    <n v="239795.20000000001"/>
    <n v="0"/>
    <n v="239795.20000000001"/>
    <n v="93.15"/>
    <n v="22336922.880000003"/>
    <s v="Raw Material"/>
    <n v="60"/>
    <x v="0"/>
    <s v="HT-GEW-2025123002"/>
    <d v="2026-03-10T00:00:00"/>
    <d v="2026-03-24T00:00:00"/>
    <m/>
    <n v="239795.20000000001"/>
    <n v="0"/>
    <n v="22336922.880000003"/>
    <m/>
    <d v="2026-04-23T00:00:00"/>
    <x v="21"/>
    <n v="22336922.880000003"/>
    <m/>
    <s v="April26"/>
    <s v="BOE Received and Paid"/>
    <s v="Paid"/>
    <s v="Received"/>
    <d v="2026-04-23T00:00:00"/>
    <s v="Closed"/>
    <x v="0"/>
    <m/>
    <m/>
    <d v="2026-02-15T00:00:00"/>
    <x v="5"/>
    <n v="8170407"/>
    <d v="2026-04-23T00:00:00"/>
    <s v="HT 960 SEALANT"/>
  </r>
  <r>
    <n v="230"/>
    <n v="5600000359"/>
    <s v="261001FLCU00021"/>
    <d v="2026-02-02T00:00:00"/>
    <x v="1"/>
    <n v="0.1"/>
    <s v="TAICANG JUREN INTERNATIONAL TRADE CO LTD"/>
    <s v="USD"/>
    <n v="702650"/>
    <n v="0"/>
    <n v="702650"/>
    <n v="93.5"/>
    <n v="65697775"/>
    <s v="Raw Material"/>
    <n v="60"/>
    <x v="0"/>
    <s v="JRIT20260211002"/>
    <d v="2026-03-10T00:00:00"/>
    <d v="2026-03-18T00:00:00"/>
    <m/>
    <n v="702650"/>
    <n v="0"/>
    <n v="65697775"/>
    <m/>
    <d v="2026-04-27T00:00:00"/>
    <x v="8"/>
    <n v="65697775"/>
    <m/>
    <s v="April26"/>
    <s v="BOE Received and Paid"/>
    <s v="Paid"/>
    <s v="Received"/>
    <d v="2026-04-27T00:00:00"/>
    <s v="Closed"/>
    <x v="0"/>
    <m/>
    <m/>
    <d v="2026-02-10T00:00:00"/>
    <x v="6"/>
    <n v="8264043"/>
    <d v="2026-04-27T00:00:00"/>
    <s v="PV RIBBON BUS BAR"/>
  </r>
  <r>
    <n v="231"/>
    <n v="5600000383"/>
    <s v="261001FLCU00023"/>
    <d v="2026-02-03T00:00:00"/>
    <x v="1"/>
    <n v="0.1"/>
    <s v="FIRST MATERIAL SCIENCE (THAILAND) CO LTD"/>
    <s v="USD"/>
    <n v="930251.17"/>
    <n v="0"/>
    <n v="930251.17"/>
    <n v="93.5"/>
    <n v="86978484.395000011"/>
    <s v="Raw Material"/>
    <n v="60"/>
    <x v="0"/>
    <s v="MSBT250644-1"/>
    <d v="2026-03-10T00:00:00"/>
    <d v="2026-03-18T00:00:00"/>
    <m/>
    <n v="465125.59"/>
    <n v="465125.58"/>
    <n v="43489242.664999999"/>
    <m/>
    <d v="2026-04-24T00:00:00"/>
    <x v="1"/>
    <m/>
    <m/>
    <s v="April26"/>
    <s v="BOE Received and Paid"/>
    <s v="Paid"/>
    <s v="Received"/>
    <d v="2026-05-08T00:00:00"/>
    <s v="Closed"/>
    <x v="0"/>
    <m/>
    <m/>
    <d v="2026-03-10T00:00:00"/>
    <x v="8"/>
    <n v="7897020"/>
    <d v="2026-04-24T00:00:00"/>
    <s v=" EVA FILM"/>
  </r>
  <r>
    <m/>
    <n v="5600000383"/>
    <s v="261001FLCU00023"/>
    <d v="2026-02-03T00:00:00"/>
    <x v="1"/>
    <n v="0.1"/>
    <s v="FIRST MATERIAL SCIENCE (THAILAND) CO LTD"/>
    <s v="USD"/>
    <n v="0"/>
    <n v="0"/>
    <n v="0"/>
    <n v="93.5"/>
    <n v="0"/>
    <s v="Raw Material"/>
    <n v="60"/>
    <x v="0"/>
    <s v="MSBT250644-2"/>
    <d v="2026-04-02T00:00:00"/>
    <d v="2026-04-10T00:00:00"/>
    <d v="2026-03-09T00:00:00"/>
    <n v="465125.58"/>
    <n v="-465125.58"/>
    <n v="43489241.730000004"/>
    <m/>
    <d v="2026-05-08T00:00:00"/>
    <x v="22"/>
    <n v="86978484.395000011"/>
    <m/>
    <s v="May26"/>
    <s v="BOE Received and Paid"/>
    <s v="Paid"/>
    <s v="Received"/>
    <d v="2026-05-08T00:00:00"/>
    <s v="Closed"/>
    <x v="3"/>
    <m/>
    <m/>
    <d v="2026-03-10T00:00:00"/>
    <x v="8"/>
    <m/>
    <m/>
    <s v=" EVA FILM"/>
  </r>
  <r>
    <n v="233"/>
    <n v="5600000384"/>
    <s v="261001FLCU00022"/>
    <d v="2026-02-03T00:00:00"/>
    <x v="1"/>
    <n v="0.1"/>
    <s v="FIRST MATERIAL SCIENCE (THAILAND) CO LTD"/>
    <s v="USD"/>
    <n v="1085293.04"/>
    <n v="0"/>
    <n v="1085293.04"/>
    <n v="93.5"/>
    <n v="101474899.24000001"/>
    <s v="Raw Material"/>
    <n v="60"/>
    <x v="0"/>
    <s v="MSBT250643-3"/>
    <d v="2026-04-02T00:00:00"/>
    <d v="2026-04-10T00:00:00"/>
    <d v="2026-03-16T00:00:00"/>
    <n v="310083.71999999997"/>
    <n v="775209.32000000007"/>
    <n v="28992827.819999997"/>
    <m/>
    <d v="2026-05-15T00:00:00"/>
    <x v="23"/>
    <n v="28992827.819999997"/>
    <m/>
    <s v="May26"/>
    <s v="BOE Received and Paid"/>
    <s v="Paid"/>
    <s v="Received"/>
    <d v="2026-05-15T00:00:00"/>
    <s v="Closed"/>
    <x v="3"/>
    <s v="100110-7000002998"/>
    <n v="108529.3"/>
    <m/>
    <x v="21"/>
    <m/>
    <m/>
    <s v=" EVA FILM"/>
  </r>
  <r>
    <m/>
    <n v="5600000384"/>
    <s v="261001FLCU00022"/>
    <d v="2026-02-03T00:00:00"/>
    <x v="1"/>
    <n v="0.1"/>
    <s v="FIRST MATERIAL SCIENCE (THAILAND) CO LTD"/>
    <s v="USD"/>
    <n v="0"/>
    <n v="0"/>
    <n v="0"/>
    <n v="93.5"/>
    <n v="0"/>
    <s v="Raw Material"/>
    <n v="60"/>
    <x v="0"/>
    <s v="MSBT250643-2"/>
    <d v="2026-04-02T00:00:00"/>
    <d v="2026-04-10T00:00:00"/>
    <d v="2026-03-16T00:00:00"/>
    <n v="155041.85999999999"/>
    <n v="-155041.85999999999"/>
    <n v="14496413.909999998"/>
    <m/>
    <d v="2026-05-15T00:00:00"/>
    <x v="23"/>
    <n v="14496413.909999998"/>
    <m/>
    <s v="May26"/>
    <s v="BOE Received and Paid"/>
    <s v="Paid"/>
    <s v="Received"/>
    <d v="2026-05-15T00:00:00"/>
    <s v="Closed"/>
    <x v="3"/>
    <s v="100110-7000003001"/>
    <m/>
    <d v="2026-03-16T00:00:00"/>
    <x v="21"/>
    <m/>
    <m/>
    <s v=" EVA FILM"/>
  </r>
  <r>
    <m/>
    <n v="5600000384"/>
    <s v="261001FLCU00022"/>
    <d v="2026-02-03T00:00:00"/>
    <x v="1"/>
    <n v="0.1"/>
    <s v="FIRST MATERIAL SCIENCE (THAILAND) CO LTD"/>
    <s v="USD"/>
    <n v="0"/>
    <n v="0"/>
    <n v="0"/>
    <n v="93.5"/>
    <n v="0"/>
    <s v="Raw Material"/>
    <n v="60"/>
    <x v="0"/>
    <s v="MSBT250643-1"/>
    <d v="2026-04-02T00:00:00"/>
    <d v="2026-04-10T00:00:00"/>
    <d v="2026-03-16T00:00:00"/>
    <n v="310083.71999999997"/>
    <n v="-310083.71999999997"/>
    <n v="28992827.819999997"/>
    <m/>
    <d v="2026-05-15T00:00:00"/>
    <x v="23"/>
    <n v="28992827.819999997"/>
    <m/>
    <s v="May26"/>
    <s v="BOE Received and Paid"/>
    <s v="Paid"/>
    <s v="Received"/>
    <d v="2026-05-15T00:00:00"/>
    <s v="Closed"/>
    <x v="3"/>
    <m/>
    <m/>
    <d v="2026-03-16T00:00:00"/>
    <x v="21"/>
    <m/>
    <m/>
    <s v=" EVA FILM"/>
  </r>
  <r>
    <m/>
    <n v="5600000384"/>
    <s v="261001FLCU00022"/>
    <d v="2026-02-03T00:00:00"/>
    <x v="1"/>
    <n v="0.1"/>
    <s v="FIRST MATERIAL SCIENCE (THAILAND) CO LTD"/>
    <s v="USD"/>
    <n v="0"/>
    <n v="0"/>
    <n v="0"/>
    <n v="96"/>
    <n v="0"/>
    <s v="Raw Material"/>
    <n v="60"/>
    <x v="0"/>
    <s v="MSBT250643-4"/>
    <d v="2026-04-20T00:00:00"/>
    <d v="2026-05-01T00:00:00"/>
    <d v="2026-03-30T00:00:00"/>
    <n v="217058.61"/>
    <n v="-217058.61"/>
    <n v="20837626.559999999"/>
    <m/>
    <d v="2026-05-29T00:00:00"/>
    <x v="24"/>
    <n v="20294980.035"/>
    <m/>
    <s v="May26"/>
    <s v="BOE Received and Paid"/>
    <s v="Paid"/>
    <s v="Received"/>
    <d v="2026-05-29T00:00:00"/>
    <s v="Closed"/>
    <x v="3"/>
    <m/>
    <m/>
    <d v="2026-03-16T00:00:00"/>
    <x v="21"/>
    <m/>
    <m/>
    <s v=" EVA FILM"/>
  </r>
  <r>
    <m/>
    <n v="5600000384"/>
    <s v="261001FLCU00022"/>
    <d v="2026-02-03T00:00:00"/>
    <x v="1"/>
    <n v="0.1"/>
    <s v="FIRST MATERIAL SCIENCE (THAILAND) CO LTD"/>
    <s v="USD"/>
    <n v="0"/>
    <n v="0"/>
    <n v="0"/>
    <n v="96"/>
    <n v="0"/>
    <s v="Raw Material"/>
    <n v="60"/>
    <x v="0"/>
    <s v="MSBT250643-5"/>
    <d v="2026-04-20T00:00:00"/>
    <d v="2026-05-01T00:00:00"/>
    <d v="2026-04-05T00:00:00"/>
    <n v="93025.12"/>
    <n v="-93025.12"/>
    <n v="8930411.5199999996"/>
    <m/>
    <d v="2026-06-04T00:00:00"/>
    <x v="25"/>
    <n v="8697848.7199999988"/>
    <m/>
    <s v="June26"/>
    <s v="Part/Full BOE received &amp; Unpaid"/>
    <s v="Unpaid"/>
    <s v="Received"/>
    <m/>
    <s v="Open"/>
    <x v="0"/>
    <m/>
    <m/>
    <d v="2026-03-16T00:00:00"/>
    <x v="21"/>
    <m/>
    <m/>
    <s v=" EVA FILM"/>
  </r>
  <r>
    <n v="235"/>
    <n v="5600000400"/>
    <s v="261001FLCU00026"/>
    <d v="2026-02-06T00:00:00"/>
    <x v="1"/>
    <n v="0.1"/>
    <s v="JIETAI NEW ENERGY TECHNOLOGY (HK) LIMITED"/>
    <s v="USD"/>
    <n v="2242492.56"/>
    <n v="0"/>
    <n v="2242492.56"/>
    <n v="96"/>
    <n v="215279285.75999999"/>
    <s v="Raw Material"/>
    <n v="60"/>
    <x v="0"/>
    <s v="HKJTGREW20260212"/>
    <d v="2026-04-20T00:00:00"/>
    <m/>
    <d v="2026-04-02T00:00:00"/>
    <n v="2080121.91"/>
    <n v="162370.65000000014"/>
    <n v="199691703.35999998"/>
    <m/>
    <d v="2026-06-01T00:00:00"/>
    <x v="12"/>
    <n v="199691703.35999998"/>
    <m/>
    <s v="June26"/>
    <s v="Part/Full BOE received &amp; Unpaid"/>
    <s v="Unpaid"/>
    <s v="Received"/>
    <m/>
    <s v="Open"/>
    <x v="4"/>
    <m/>
    <m/>
    <d v="2026-04-20T00:00:00"/>
    <x v="22"/>
    <m/>
    <m/>
    <s v="SOLAR CELLS"/>
  </r>
  <r>
    <n v="243"/>
    <n v="3100000365"/>
    <s v="261001FLCS00003"/>
    <d v="2026-02-13T00:00:00"/>
    <x v="1"/>
    <n v="0.1"/>
    <s v="SUZHOU SOLUPLUS NEW ENRGY SCIENCE AND TECHNOLOGY"/>
    <s v="USD"/>
    <n v="88656"/>
    <n v="0"/>
    <n v="88656"/>
    <n v="94"/>
    <n v="8333664"/>
    <s v="Spares"/>
    <s v="Sight"/>
    <x v="0"/>
    <s v="SZSP-CI-20260129"/>
    <d v="2026-03-30T00:00:00"/>
    <d v="2026-04-08T00:00:00"/>
    <d v="2026-03-15T00:00:00"/>
    <n v="88656"/>
    <n v="0"/>
    <n v="8333664"/>
    <m/>
    <d v="2026-04-06T00:00:00"/>
    <x v="6"/>
    <n v="8333664"/>
    <m/>
    <s v="April26"/>
    <s v="BOE Received and Paid"/>
    <s v="Paid"/>
    <s v="Received"/>
    <d v="2026-04-06T00:00:00"/>
    <s v="Closed"/>
    <x v="0"/>
    <m/>
    <m/>
    <d v="2026-04-30T00:00:00"/>
    <x v="19"/>
    <n v="8483105"/>
    <d v="2026-05-14T00:00:00"/>
    <s v="MEMBRANE SHEET"/>
  </r>
  <r>
    <m/>
    <n v="5600000400"/>
    <s v="261001FLCU00026"/>
    <d v="2026-02-06T00:00:00"/>
    <x v="1"/>
    <n v="0.1"/>
    <s v="JIETAI NEW ENERGY TECHNOLOGY (HK) LIMITED"/>
    <s v="USD"/>
    <n v="0"/>
    <n v="0"/>
    <n v="0"/>
    <n v="96"/>
    <n v="0"/>
    <s v="Raw Material"/>
    <n v="60"/>
    <x v="1"/>
    <m/>
    <m/>
    <m/>
    <d v="2026-04-20T00:00:00"/>
    <n v="162370.65"/>
    <n v="-162370.65"/>
    <n v="15587582.399999999"/>
    <m/>
    <d v="2026-06-19T00:00:00"/>
    <x v="26"/>
    <n v="15587582.399999999"/>
    <m/>
    <s v="June26"/>
    <s v="BOE not received"/>
    <s v="Unpaid"/>
    <s v="Cancelled"/>
    <m/>
    <s v="Open"/>
    <x v="0"/>
    <m/>
    <m/>
    <d v="2026-04-20T00:00:00"/>
    <x v="22"/>
    <m/>
    <m/>
    <s v="SOLAR CELLS"/>
  </r>
  <r>
    <n v="243"/>
    <n v="5600000398"/>
    <s v="261001FLCU00040"/>
    <d v="2026-02-21T00:00:00"/>
    <x v="1"/>
    <n v="0.1"/>
    <s v="JIETAI NEW ENERGY TECHNOLOGY (HK) LIMITED"/>
    <s v="USD"/>
    <n v="3799372.5"/>
    <n v="0"/>
    <n v="3799372.5"/>
    <n v="96"/>
    <n v="364739760"/>
    <s v="Raw Material"/>
    <n v="60"/>
    <x v="0"/>
    <s v="HKJTGREW20260226 -1 /HKJTGREW20260226-2"/>
    <d v="2026-04-20T00:00:00"/>
    <d v="2026-05-01T00:00:00"/>
    <d v="2026-03-30T00:00:00"/>
    <n v="3730346.24"/>
    <n v="69026.259999999776"/>
    <n v="358113239.04000002"/>
    <m/>
    <d v="2026-05-29T00:00:00"/>
    <x v="24"/>
    <n v="358113239.04000002"/>
    <m/>
    <s v="May26"/>
    <s v="BOE Received and Paid"/>
    <s v="Paid"/>
    <s v="Received"/>
    <d v="2026-05-29T00:00:00"/>
    <s v="Closed"/>
    <x v="3"/>
    <m/>
    <m/>
    <d v="2026-04-15T00:00:00"/>
    <x v="13"/>
    <m/>
    <m/>
    <s v="SOLAR CELLS"/>
  </r>
  <r>
    <m/>
    <n v="5600000398"/>
    <s v="261001FLCU00040"/>
    <d v="2026-02-21T00:00:00"/>
    <x v="1"/>
    <n v="0.1"/>
    <s v="JIETAI NEW ENERGY TECHNOLOGY (HK) LIMITED"/>
    <s v="USD"/>
    <n v="0"/>
    <n v="0"/>
    <n v="0"/>
    <n v="96"/>
    <n v="0"/>
    <s v="Raw Material"/>
    <n v="60"/>
    <x v="1"/>
    <m/>
    <m/>
    <m/>
    <m/>
    <n v="69026.259999999995"/>
    <n v="-69026.259999999995"/>
    <n v="6626520.959999999"/>
    <m/>
    <d v="2026-05-29T00:00:00"/>
    <x v="24"/>
    <n v="6626520.959999999"/>
    <m/>
    <s v="May26"/>
    <s v="LC Cancelled"/>
    <s v="Paid"/>
    <s v="Cancelled"/>
    <d v="2026-05-29T00:00:00"/>
    <s v="Closed"/>
    <x v="0"/>
    <m/>
    <m/>
    <d v="2026-04-15T00:00:00"/>
    <x v="13"/>
    <m/>
    <m/>
    <s v="SOLAR CELLS"/>
  </r>
  <r>
    <n v="250"/>
    <n v="5600000425"/>
    <s v="261001FLCU00044"/>
    <d v="2026-03-04T00:00:00"/>
    <x v="1"/>
    <n v="0.1"/>
    <s v="JIETAI NEW ENERGY TECHNOLOGY (HK) LIMITED"/>
    <s v="USD"/>
    <n v="3740467.5"/>
    <n v="0"/>
    <n v="3740467.5"/>
    <n v="96"/>
    <n v="359084880"/>
    <s v="Raw Material"/>
    <n v="60"/>
    <x v="0"/>
    <s v="HKJTGREW20260316-1 /HKJTGREW202603162"/>
    <d v="2026-05-05T00:00:00"/>
    <m/>
    <d v="2026-04-23T00:00:00"/>
    <n v="3731866.43"/>
    <n v="8601.0699999998324"/>
    <n v="358259177.28000003"/>
    <m/>
    <d v="2026-06-22T00:00:00"/>
    <x v="27"/>
    <n v="358259177.28000003"/>
    <m/>
    <s v="June26"/>
    <s v="Part/Full BOE received &amp; Unpaid"/>
    <s v="Unpaid"/>
    <s v="Received"/>
    <m/>
    <s v="Open"/>
    <x v="0"/>
    <m/>
    <m/>
    <d v="2026-05-09T00:00:00"/>
    <x v="23"/>
    <m/>
    <m/>
    <s v="SOLAR CELLS"/>
  </r>
  <r>
    <m/>
    <n v="5600000425"/>
    <s v="261001FLCU00044"/>
    <d v="2026-03-04T00:00:00"/>
    <x v="1"/>
    <n v="0.1"/>
    <s v="JIETAI NEW ENERGY TECHNOLOGY (HK) LIMITED"/>
    <s v="USD"/>
    <n v="0"/>
    <n v="0"/>
    <n v="0"/>
    <n v="96"/>
    <n v="0"/>
    <s v="Raw Material"/>
    <n v="60"/>
    <x v="1"/>
    <m/>
    <m/>
    <m/>
    <d v="2026-04-23T00:00:00"/>
    <n v="8601.07"/>
    <n v="-8601.07"/>
    <n v="825702.72"/>
    <m/>
    <d v="2026-06-22T00:00:00"/>
    <x v="27"/>
    <n v="825702.72"/>
    <m/>
    <s v="June26"/>
    <s v="BOE not received"/>
    <s v="Unpaid"/>
    <s v="Cancelled"/>
    <m/>
    <s v="Open"/>
    <x v="0"/>
    <m/>
    <m/>
    <d v="2026-05-09T00:00:00"/>
    <x v="23"/>
    <m/>
    <m/>
    <s v="SOLAR CELLS"/>
  </r>
  <r>
    <n v="251"/>
    <n v="5600000387"/>
    <s v="2035FLCDA260017"/>
    <d v="2026-03-05T00:00:00"/>
    <x v="2"/>
    <n v="0.1"/>
    <s v="FUTURE ALUMINUM NEW MATERIALS SDN BHD"/>
    <s v="USD"/>
    <n v="784000"/>
    <n v="0"/>
    <n v="784000"/>
    <n v="93.5"/>
    <n v="73304000"/>
    <s v="Raw Material"/>
    <n v="60"/>
    <x v="0"/>
    <s v="FA-GREW2026-03-13"/>
    <d v="2026-03-24T00:00:00"/>
    <d v="2026-04-02T00:00:00"/>
    <d v="2026-03-15T00:00:00"/>
    <n v="784000"/>
    <n v="0"/>
    <n v="73304000"/>
    <m/>
    <d v="2026-05-14T00:00:00"/>
    <x v="28"/>
    <n v="73304000"/>
    <m/>
    <s v="May26"/>
    <s v="BOE Received and Paid"/>
    <s v="Paid"/>
    <s v="Received"/>
    <d v="2026-05-14T00:00:00"/>
    <s v="Closed"/>
    <x v="0"/>
    <m/>
    <m/>
    <d v="2026-03-25T00:00:00"/>
    <x v="24"/>
    <m/>
    <m/>
    <s v="AL FRAME"/>
  </r>
  <r>
    <n v="252"/>
    <n v="5600000416"/>
    <s v="2035FLCDA260022"/>
    <d v="2026-03-10T00:00:00"/>
    <x v="2"/>
    <n v="0.1"/>
    <s v="ZHONGHUAN (HONG KONG) HOLDING LTD"/>
    <s v="USD"/>
    <n v="266112"/>
    <n v="0"/>
    <n v="266112"/>
    <n v="93.5"/>
    <n v="24881472"/>
    <s v="Raw Material"/>
    <n v="60"/>
    <x v="0"/>
    <s v="YC-HK-GREW-26001"/>
    <d v="2026-04-21T00:00:00"/>
    <d v="2026-04-27T00:00:00"/>
    <d v="2026-03-27T00:00:00"/>
    <n v="266112"/>
    <n v="0"/>
    <n v="24881472"/>
    <m/>
    <d v="2026-05-26T00:00:00"/>
    <x v="7"/>
    <n v="24881472"/>
    <m/>
    <s v="May26"/>
    <s v="BOE Received and Paid"/>
    <s v="Paid"/>
    <s v="Received"/>
    <d v="2026-05-26T00:00:00"/>
    <s v="Closed"/>
    <x v="3"/>
    <m/>
    <m/>
    <d v="2026-04-10T00:00:00"/>
    <x v="16"/>
    <m/>
    <m/>
    <s v="WAFFER"/>
  </r>
  <r>
    <n v="253"/>
    <n v="5600000415"/>
    <s v="2035FLCDA260023"/>
    <d v="2026-03-10T00:00:00"/>
    <x v="2"/>
    <n v="0.1"/>
    <s v="GOKIN SOLAR (HONGKONG) COMPANY LIMITED"/>
    <s v="USD"/>
    <n v="249984"/>
    <n v="0"/>
    <n v="249984"/>
    <n v="93.5"/>
    <n v="23373504"/>
    <s v="Raw Material"/>
    <n v="60"/>
    <x v="0"/>
    <s v="CI-GREW-20260313"/>
    <d v="2026-04-13T00:00:00"/>
    <m/>
    <d v="2026-03-24T00:00:00"/>
    <n v="249984"/>
    <n v="0"/>
    <n v="23373504"/>
    <m/>
    <d v="2026-05-26T00:00:00"/>
    <x v="7"/>
    <n v="23373504"/>
    <m/>
    <s v="May26"/>
    <s v="BOE Received and Paid"/>
    <s v="Paid"/>
    <s v="Received"/>
    <d v="2026-05-26T00:00:00"/>
    <s v="Closed"/>
    <x v="3"/>
    <m/>
    <m/>
    <d v="2026-04-10T00:00:00"/>
    <x v="16"/>
    <m/>
    <m/>
    <s v="WAFFER"/>
  </r>
  <r>
    <n v="257"/>
    <n v="5600000402"/>
    <s v="2035FLCDA260026"/>
    <d v="2026-03-13T00:00:00"/>
    <x v="2"/>
    <n v="0.1"/>
    <s v="SHUANGLIANG INTERNATIONAL(SHANGHAI) CO LTD"/>
    <s v="USD"/>
    <n v="274176"/>
    <n v="0"/>
    <n v="274176"/>
    <n v="93.5"/>
    <n v="25635456"/>
    <s v="Raw Material"/>
    <n v="60"/>
    <x v="0"/>
    <s v="W20260201"/>
    <d v="2026-04-13T00:00:00"/>
    <d v="2026-04-22T00:00:00"/>
    <d v="2026-03-26T00:00:00"/>
    <n v="274176"/>
    <n v="0"/>
    <n v="25635456"/>
    <m/>
    <d v="2026-05-26T00:00:00"/>
    <x v="7"/>
    <n v="25635456"/>
    <m/>
    <s v="May26"/>
    <s v="BOE Received and Paid"/>
    <s v="Paid"/>
    <s v="Received"/>
    <d v="2026-05-26T00:00:00"/>
    <s v="Closed"/>
    <x v="3"/>
    <m/>
    <m/>
    <d v="2026-04-10T00:00:00"/>
    <x v="16"/>
    <m/>
    <m/>
    <s v="WAFFER"/>
  </r>
  <r>
    <n v="262"/>
    <n v="5600000438"/>
    <s v="2035FLCDA260027"/>
    <d v="2026-03-18T00:00:00"/>
    <x v="2"/>
    <n v="0.1"/>
    <s v="JIANGYIN TINZE NEW ENERGY TECHNOLOGY CO., LTD"/>
    <s v="USD"/>
    <n v="500400"/>
    <n v="0"/>
    <n v="500400"/>
    <n v="96"/>
    <n v="48038400"/>
    <s v="Raw Material"/>
    <n v="60"/>
    <x v="0"/>
    <s v="STG2026-0322 /STG2026-0323"/>
    <d v="2026-04-16T00:00:00"/>
    <d v="2026-04-22T00:00:00"/>
    <d v="2026-03-25T00:00:00"/>
    <n v="500400"/>
    <n v="0"/>
    <n v="48038400"/>
    <m/>
    <d v="2026-06-01T00:00:00"/>
    <x v="12"/>
    <n v="48038400"/>
    <m/>
    <s v="June26"/>
    <s v="Part/Full BOE received &amp; Unpaid"/>
    <s v="Unpaid"/>
    <s v="Received"/>
    <m/>
    <s v="Open"/>
    <x v="4"/>
    <m/>
    <m/>
    <d v="2026-04-10T00:00:00"/>
    <x v="16"/>
    <m/>
    <m/>
    <s v="PV RIBBON BUS BAR"/>
  </r>
  <r>
    <n v="263"/>
    <n v="5600000412"/>
    <s v="2035FLCDA260033"/>
    <d v="2026-03-18T00:00:00"/>
    <x v="2"/>
    <n v="0.1"/>
    <s v="FLAT HONG KONG CO LTD"/>
    <s v="USD"/>
    <n v="1307700"/>
    <n v="0"/>
    <n v="1307700"/>
    <n v="96"/>
    <n v="125539200"/>
    <s v="Raw Material"/>
    <n v="45"/>
    <x v="0"/>
    <s v="81013482/3218/3534/4297/3582"/>
    <d v="2026-05-15T00:00:00"/>
    <d v="2026-05-21T00:00:00"/>
    <d v="2026-04-28T00:00:00"/>
    <n v="1307700"/>
    <n v="0"/>
    <n v="125539200"/>
    <m/>
    <d v="2026-06-12T00:00:00"/>
    <x v="20"/>
    <n v="125539200"/>
    <m/>
    <s v="June26"/>
    <s v="Part/Full BOE received &amp; Unpaid"/>
    <s v="Unpaid"/>
    <s v="Received"/>
    <m/>
    <s v="Open"/>
    <x v="0"/>
    <m/>
    <m/>
    <d v="2026-05-15T00:00:00"/>
    <x v="18"/>
    <m/>
    <m/>
    <s v=" GLASS"/>
  </r>
  <r>
    <n v="264"/>
    <n v="5600000411"/>
    <s v="2035FLCDA260029"/>
    <d v="2026-03-18T00:00:00"/>
    <x v="2"/>
    <n v="0.1"/>
    <s v="FLAT HONG KONG CO LTD"/>
    <s v="USD"/>
    <n v="1354275"/>
    <n v="0"/>
    <n v="1354275"/>
    <n v="93.5"/>
    <n v="126624712.5"/>
    <s v="Raw Material"/>
    <n v="45"/>
    <x v="0"/>
    <s v="81002864/2865/3357/3365/3370"/>
    <d v="2026-04-06T00:00:00"/>
    <d v="2026-04-13T00:00:00"/>
    <d v="2026-03-19T00:00:00"/>
    <n v="1354275"/>
    <n v="0"/>
    <n v="126624712.5"/>
    <m/>
    <d v="2026-05-04T00:00:00"/>
    <x v="5"/>
    <n v="126624712.5"/>
    <m/>
    <s v="May26"/>
    <s v="BOE Received and Paid"/>
    <s v="Paid"/>
    <s v="Received"/>
    <d v="2026-05-04T00:00:00"/>
    <s v="Closed"/>
    <x v="0"/>
    <m/>
    <m/>
    <d v="2026-04-15T00:00:00"/>
    <x v="17"/>
    <s v="8775546 /8777001/8778588/8780100/8784774"/>
    <d v="2026-05-04T00:00:00"/>
    <s v=" GLASS"/>
  </r>
  <r>
    <n v="265"/>
    <n v="5600000439"/>
    <s v="2035FLCDA260031"/>
    <d v="2026-03-18T00:00:00"/>
    <x v="2"/>
    <n v="0.1"/>
    <s v="JIANGYIN HAIHONG NEW ENERGY TECHNOLOGY CO LTD"/>
    <s v="USD"/>
    <n v="479700"/>
    <n v="0"/>
    <n v="479700"/>
    <n v="96"/>
    <n v="46051200"/>
    <s v="Raw Material"/>
    <n v="60"/>
    <x v="0"/>
    <s v="H-GREW-260402"/>
    <d v="2026-04-30T00:00:00"/>
    <d v="2026-05-04T00:00:00"/>
    <d v="2026-04-10T00:00:00"/>
    <n v="479700"/>
    <n v="0"/>
    <n v="46051200"/>
    <m/>
    <d v="2026-06-09T00:00:00"/>
    <x v="10"/>
    <n v="46051200"/>
    <m/>
    <s v="June26"/>
    <s v="Part/Full BOE received &amp; Unpaid"/>
    <s v="Unpaid"/>
    <s v="Received"/>
    <m/>
    <s v="Open"/>
    <x v="0"/>
    <m/>
    <m/>
    <d v="2026-04-10T00:00:00"/>
    <x v="16"/>
    <m/>
    <m/>
    <s v="AL FRAME"/>
  </r>
  <r>
    <n v="266"/>
    <n v="5600000409"/>
    <s v="2035FLCDA260030"/>
    <d v="2026-03-18T00:00:00"/>
    <x v="2"/>
    <n v="0.1"/>
    <s v="GUANGXI CSG NEW ENERGY MATERIAL TECHNOLOGY CO LTD"/>
    <s v="USD"/>
    <n v="1324050"/>
    <n v="0"/>
    <n v="1324050"/>
    <n v="93.5"/>
    <n v="123798675"/>
    <s v="Raw Material"/>
    <n v="45"/>
    <x v="0"/>
    <s v="SFG2602015-5"/>
    <d v="2026-04-22T00:00:00"/>
    <d v="2026-04-27T00:00:00"/>
    <d v="2026-03-31T00:00:00"/>
    <n v="264810"/>
    <n v="1059240"/>
    <n v="24759735"/>
    <m/>
    <d v="2026-05-15T00:00:00"/>
    <x v="23"/>
    <n v="24759735"/>
    <m/>
    <s v="May26"/>
    <s v="BOE Received and Paid"/>
    <s v="Paid"/>
    <s v="Received"/>
    <d v="2026-05-15T00:00:00"/>
    <s v="Closed"/>
    <x v="3"/>
    <m/>
    <m/>
    <d v="2026-04-15T00:00:00"/>
    <x v="17"/>
    <m/>
    <m/>
    <s v=" GLASS"/>
  </r>
  <r>
    <m/>
    <n v="5600000409"/>
    <s v="2035FLCDA260030"/>
    <d v="2026-03-18T00:00:00"/>
    <x v="2"/>
    <n v="0.1"/>
    <s v="GUANGXI CSG NEW ENERGY MATERIAL TECHNOLOGY CO LTD"/>
    <s v="USD"/>
    <n v="0"/>
    <n v="0"/>
    <n v="0"/>
    <n v="93.5"/>
    <n v="0"/>
    <s v="Raw Material"/>
    <n v="45"/>
    <x v="0"/>
    <s v="SFG2602015-4"/>
    <d v="2026-04-22T00:00:00"/>
    <d v="2026-04-27T00:00:00"/>
    <d v="2026-03-31T00:00:00"/>
    <n v="264810"/>
    <n v="-264810"/>
    <n v="24759735"/>
    <m/>
    <d v="2026-05-15T00:00:00"/>
    <x v="23"/>
    <n v="24759735"/>
    <m/>
    <s v="May26"/>
    <s v="BOE Received and Paid"/>
    <s v="Paid"/>
    <s v="Received"/>
    <d v="2026-05-15T00:00:00"/>
    <s v="Closed"/>
    <x v="3"/>
    <m/>
    <m/>
    <d v="2026-04-15T00:00:00"/>
    <x v="17"/>
    <m/>
    <m/>
    <s v=" GLASS"/>
  </r>
  <r>
    <m/>
    <n v="5600000409"/>
    <s v="2035FLCDA260030"/>
    <d v="2026-03-18T00:00:00"/>
    <x v="2"/>
    <n v="0.1"/>
    <s v="GUANGXI CSG NEW ENERGY MATERIAL TECHNOLOGY CO LTD"/>
    <s v="USD"/>
    <n v="0"/>
    <n v="0"/>
    <n v="0"/>
    <n v="93.5"/>
    <n v="0"/>
    <s v="Raw Material"/>
    <n v="45"/>
    <x v="0"/>
    <s v="SFG2602015-3"/>
    <d v="2026-04-22T00:00:00"/>
    <d v="2026-04-27T00:00:00"/>
    <d v="2026-04-06T00:00:00"/>
    <n v="264810"/>
    <n v="-264810"/>
    <n v="24759735"/>
    <m/>
    <d v="2026-05-21T00:00:00"/>
    <x v="29"/>
    <n v="24759735"/>
    <m/>
    <s v="May26"/>
    <s v="BOE Received and Paid"/>
    <s v="Paid"/>
    <s v="Received"/>
    <d v="2026-05-21T00:00:00"/>
    <s v="Closed"/>
    <x v="3"/>
    <m/>
    <m/>
    <d v="2026-04-15T00:00:00"/>
    <x v="17"/>
    <m/>
    <m/>
    <s v=" GLASS"/>
  </r>
  <r>
    <m/>
    <n v="5600000409"/>
    <s v="2035FLCDA260030"/>
    <d v="2026-03-18T00:00:00"/>
    <x v="2"/>
    <n v="0.1"/>
    <s v="GUANGXI CSG NEW ENERGY MATERIAL TECHNOLOGY CO LTD"/>
    <s v="USD"/>
    <n v="0"/>
    <n v="0"/>
    <n v="0"/>
    <n v="93.5"/>
    <n v="0"/>
    <s v="Raw Material"/>
    <n v="45"/>
    <x v="0"/>
    <s v="SFG2602015-2"/>
    <d v="2026-04-22T00:00:00"/>
    <d v="2026-04-27T00:00:00"/>
    <d v="2026-04-06T00:00:00"/>
    <n v="264810"/>
    <n v="-264810"/>
    <n v="24759735"/>
    <m/>
    <d v="2026-05-21T00:00:00"/>
    <x v="29"/>
    <n v="24759735"/>
    <m/>
    <s v="May26"/>
    <s v="BOE Received and Paid"/>
    <s v="Paid"/>
    <s v="Received"/>
    <d v="2026-05-21T00:00:00"/>
    <s v="Closed"/>
    <x v="3"/>
    <m/>
    <m/>
    <d v="2026-04-15T00:00:00"/>
    <x v="17"/>
    <m/>
    <m/>
    <s v=" GLASS"/>
  </r>
  <r>
    <m/>
    <n v="5600000409"/>
    <s v="2035FLCDA260030"/>
    <d v="2026-03-18T00:00:00"/>
    <x v="2"/>
    <n v="0.1"/>
    <s v="GUANGXI CSG NEW ENERGY MATERIAL TECHNOLOGY CO LTD"/>
    <s v="USD"/>
    <n v="0"/>
    <n v="0"/>
    <n v="0"/>
    <n v="93.5"/>
    <n v="0"/>
    <s v="Raw Material"/>
    <n v="45"/>
    <x v="0"/>
    <s v="SFG2602015-1"/>
    <d v="2026-04-22T00:00:00"/>
    <d v="2026-04-27T00:00:00"/>
    <d v="2026-03-31T00:00:00"/>
    <n v="264810"/>
    <n v="-264810"/>
    <n v="24759735"/>
    <m/>
    <d v="2026-05-15T00:00:00"/>
    <x v="23"/>
    <n v="24759735"/>
    <m/>
    <s v="May26"/>
    <s v="BOE Received and Paid"/>
    <s v="Paid"/>
    <s v="Received"/>
    <d v="2026-05-15T00:00:00"/>
    <s v="Closed"/>
    <x v="3"/>
    <m/>
    <m/>
    <d v="2026-04-15T00:00:00"/>
    <x v="17"/>
    <m/>
    <m/>
    <s v=" GLASS"/>
  </r>
  <r>
    <n v="267"/>
    <n v="5600000407"/>
    <s v="2035FLCDA260028"/>
    <d v="2026-03-18T00:00:00"/>
    <x v="2"/>
    <n v="0.1"/>
    <s v="FIRST MATERIAL SCIENCE (THAILAND) CO LTD"/>
    <s v="USD"/>
    <n v="894998.94"/>
    <n v="0"/>
    <n v="894998.94"/>
    <n v="96"/>
    <n v="85919898.239999995"/>
    <s v="Raw Material"/>
    <n v="60"/>
    <x v="0"/>
    <s v="MSBT260064-1"/>
    <d v="2026-04-20T00:00:00"/>
    <d v="2026-04-27T00:00:00"/>
    <d v="2026-03-29T00:00:00"/>
    <n v="477332.76"/>
    <n v="417666.17999999993"/>
    <n v="45823944.960000001"/>
    <m/>
    <d v="2026-05-29T00:00:00"/>
    <x v="24"/>
    <n v="45823944.960000001"/>
    <m/>
    <s v="May26"/>
    <s v="BOE Received and Paid"/>
    <s v="Paid"/>
    <s v="Received"/>
    <d v="2026-05-29T00:00:00"/>
    <s v="Closed"/>
    <x v="3"/>
    <m/>
    <m/>
    <d v="2026-04-15T00:00:00"/>
    <x v="17"/>
    <m/>
    <m/>
    <s v=" GLASS"/>
  </r>
  <r>
    <m/>
    <n v="5600000407"/>
    <s v="2035FLCDA260028"/>
    <d v="2026-03-18T00:00:00"/>
    <x v="2"/>
    <n v="0.1"/>
    <s v="FIRST MATERIAL SCIENCE (THAILAND) CO LTD"/>
    <s v="USD"/>
    <n v="0"/>
    <n v="0"/>
    <n v="0"/>
    <n v="96"/>
    <n v="0"/>
    <s v="Raw Material"/>
    <n v="60"/>
    <x v="0"/>
    <s v="MSBT260064-2"/>
    <d v="2026-04-23T00:00:00"/>
    <d v="2026-05-01T00:00:00"/>
    <d v="2026-04-05T00:00:00"/>
    <n v="417666.17"/>
    <n v="-417666.17"/>
    <n v="40095952.32"/>
    <m/>
    <d v="2026-06-04T00:00:00"/>
    <x v="25"/>
    <n v="40095952.32"/>
    <m/>
    <s v="June26"/>
    <s v="Part/Full BOE received &amp; Unpaid"/>
    <s v="Unpaid"/>
    <s v="Received"/>
    <m/>
    <s v="Open"/>
    <x v="0"/>
    <m/>
    <m/>
    <d v="2026-04-15T00:00:00"/>
    <x v="17"/>
    <m/>
    <m/>
    <s v=" GLASS"/>
  </r>
  <r>
    <n v="268"/>
    <n v="5600000410"/>
    <s v="2035FLCDA260036"/>
    <d v="2026-03-18T00:00:00"/>
    <x v="2"/>
    <n v="0.1"/>
    <s v="ANHUI CSG NEW ENERGY MATERIAL TECHNOLOGY CO LTD"/>
    <s v="USD"/>
    <n v="1283400"/>
    <n v="0"/>
    <n v="1283400"/>
    <n v="93.5"/>
    <n v="119997900"/>
    <s v="Raw Material"/>
    <n v="45"/>
    <x v="0"/>
    <s v="SFG2602016-5"/>
    <d v="2026-04-24T00:00:00"/>
    <d v="2026-05-01T00:00:00"/>
    <d v="2026-03-30T00:00:00"/>
    <n v="256680"/>
    <n v="1026720"/>
    <n v="23999580"/>
    <m/>
    <d v="2026-05-14T00:00:00"/>
    <x v="28"/>
    <n v="23999580"/>
    <m/>
    <s v="May26"/>
    <s v="BOE Received and Paid"/>
    <s v="Paid"/>
    <s v="Received"/>
    <d v="2026-05-14T00:00:00"/>
    <s v="Closed"/>
    <x v="3"/>
    <m/>
    <m/>
    <d v="2026-04-15T00:00:00"/>
    <x v="17"/>
    <m/>
    <m/>
    <s v=" GLASS"/>
  </r>
  <r>
    <m/>
    <n v="5600000410"/>
    <s v="2035FLCDA260036"/>
    <d v="2026-03-18T00:00:00"/>
    <x v="2"/>
    <n v="0.1"/>
    <s v="ANHUI CSG NEW ENERGY MATERIAL TECHNOLOGY CO LTD"/>
    <s v="USD"/>
    <n v="0"/>
    <n v="0"/>
    <n v="0"/>
    <n v="93.5"/>
    <n v="0"/>
    <s v="Raw Material"/>
    <n v="45"/>
    <x v="0"/>
    <s v="SFG2602016-4"/>
    <d v="2026-04-24T00:00:00"/>
    <d v="2026-05-01T00:00:00"/>
    <d v="2026-03-30T00:00:00"/>
    <n v="256680"/>
    <n v="-256680"/>
    <n v="23999580"/>
    <m/>
    <d v="2026-05-14T00:00:00"/>
    <x v="28"/>
    <n v="23999580"/>
    <m/>
    <s v="May26"/>
    <s v="BOE Received and Paid"/>
    <s v="Paid"/>
    <s v="Received"/>
    <d v="2026-05-14T00:00:00"/>
    <s v="Closed"/>
    <x v="3"/>
    <m/>
    <m/>
    <d v="2026-04-15T00:00:00"/>
    <x v="17"/>
    <m/>
    <m/>
    <s v=" GLASS"/>
  </r>
  <r>
    <m/>
    <n v="5600000410"/>
    <s v="2035FLCDA260036"/>
    <d v="2026-03-18T00:00:00"/>
    <x v="2"/>
    <n v="0.1"/>
    <s v="ANHUI CSG NEW ENERGY MATERIAL TECHNOLOGY CO LTD"/>
    <s v="USD"/>
    <n v="0"/>
    <n v="0"/>
    <n v="0"/>
    <n v="93.5"/>
    <n v="0"/>
    <s v="Raw Material"/>
    <n v="45"/>
    <x v="0"/>
    <s v="SFG2602016-3"/>
    <d v="2026-04-24T00:00:00"/>
    <d v="2026-05-01T00:00:00"/>
    <d v="2026-03-30T00:00:00"/>
    <n v="256680"/>
    <n v="-256680"/>
    <n v="23999580"/>
    <m/>
    <d v="2026-05-14T00:00:00"/>
    <x v="28"/>
    <n v="23999580"/>
    <m/>
    <s v="May26"/>
    <s v="BOE Received and Paid"/>
    <s v="Paid"/>
    <s v="Received"/>
    <d v="2026-05-14T00:00:00"/>
    <s v="Closed"/>
    <x v="3"/>
    <m/>
    <m/>
    <d v="2026-04-15T00:00:00"/>
    <x v="17"/>
    <m/>
    <m/>
    <s v=" GLASS"/>
  </r>
  <r>
    <m/>
    <n v="5600000410"/>
    <s v="2035FLCDA260036"/>
    <d v="2026-03-18T00:00:00"/>
    <x v="2"/>
    <n v="0.1"/>
    <s v="ANHUI CSG NEW ENERGY MATERIAL TECHNOLOGY CO LTD"/>
    <s v="USD"/>
    <n v="0"/>
    <n v="0"/>
    <n v="0"/>
    <n v="93.5"/>
    <n v="0"/>
    <s v="Raw Material"/>
    <n v="45"/>
    <x v="0"/>
    <s v="SFG2602016-2"/>
    <d v="2026-04-22T00:00:00"/>
    <d v="2026-05-01T00:00:00"/>
    <d v="2026-03-30T00:00:00"/>
    <n v="256680"/>
    <n v="-256680"/>
    <n v="23999580"/>
    <m/>
    <d v="2026-05-14T00:00:00"/>
    <x v="28"/>
    <n v="23999580"/>
    <m/>
    <s v="May26"/>
    <s v="BOE Received and Paid"/>
    <s v="Paid"/>
    <s v="Received"/>
    <d v="2026-05-14T00:00:00"/>
    <s v="Closed"/>
    <x v="3"/>
    <m/>
    <m/>
    <d v="2026-04-15T00:00:00"/>
    <x v="17"/>
    <m/>
    <m/>
    <s v=" GLASS"/>
  </r>
  <r>
    <m/>
    <n v="5600000410"/>
    <s v="2035FLCDA260036"/>
    <d v="2026-03-18T00:00:00"/>
    <x v="2"/>
    <n v="0.1"/>
    <s v="ANHUI CSG NEW ENERGY MATERIAL TECHNOLOGY CO LTD"/>
    <s v="USD"/>
    <n v="0"/>
    <n v="0"/>
    <n v="0"/>
    <n v="93.5"/>
    <n v="0"/>
    <s v="Raw Material"/>
    <n v="45"/>
    <x v="0"/>
    <s v="SFG2602016-1"/>
    <d v="2026-04-23T00:00:00"/>
    <d v="2026-05-01T00:00:00"/>
    <d v="2026-03-30T00:00:00"/>
    <n v="256680"/>
    <n v="-256680"/>
    <n v="23999580"/>
    <m/>
    <d v="2026-05-14T00:00:00"/>
    <x v="28"/>
    <n v="23999580"/>
    <m/>
    <s v="May26"/>
    <s v="BOE Received and Paid"/>
    <s v="Paid"/>
    <s v="Received"/>
    <d v="2026-05-14T00:00:00"/>
    <s v="Closed"/>
    <x v="3"/>
    <m/>
    <m/>
    <d v="2026-04-15T00:00:00"/>
    <x v="17"/>
    <m/>
    <m/>
    <s v=" GLASS"/>
  </r>
  <r>
    <n v="269"/>
    <n v="5600000440"/>
    <s v="2035FLCDA260034"/>
    <d v="2026-03-18T00:00:00"/>
    <x v="2"/>
    <n v="0.1"/>
    <s v="JIANGSU SULV PRECISION TECHNOLOGY CO LTD"/>
    <s v="USD"/>
    <n v="1825200"/>
    <n v="0"/>
    <n v="1825200"/>
    <n v="93.5"/>
    <n v="170656200"/>
    <s v="Raw Material"/>
    <n v="45"/>
    <x v="0"/>
    <s v="SL-GREW-2026-3-25"/>
    <d v="2026-04-21T00:00:00"/>
    <d v="2026-04-27T00:00:00"/>
    <d v="2026-04-01T00:00:00"/>
    <n v="456300"/>
    <n v="1368900"/>
    <n v="42664050"/>
    <m/>
    <d v="2026-05-18T00:00:00"/>
    <x v="9"/>
    <n v="42664050"/>
    <m/>
    <s v="May26"/>
    <s v="BOE Received and Paid"/>
    <s v="Paid"/>
    <s v="Received"/>
    <d v="2026-05-18T00:00:00"/>
    <s v="Closed"/>
    <x v="3"/>
    <m/>
    <m/>
    <d v="2026-04-15T00:00:00"/>
    <x v="17"/>
    <m/>
    <m/>
    <s v="AL FRAME"/>
  </r>
  <r>
    <m/>
    <n v="5600000440"/>
    <s v="2035FLCDA260034"/>
    <d v="2026-03-18T00:00:00"/>
    <x v="2"/>
    <n v="0.1"/>
    <s v="JIANGSU SULV PRECISION TECHNOLOGY CO LTD"/>
    <s v="USD"/>
    <n v="0"/>
    <n v="0"/>
    <n v="0"/>
    <n v="93.5"/>
    <n v="0"/>
    <s v="Raw Material"/>
    <n v="45"/>
    <x v="0"/>
    <s v="SL-GREW-2026-3-20"/>
    <d v="2026-04-16T00:00:00"/>
    <d v="2026-04-22T00:00:00"/>
    <d v="2026-03-27T00:00:00"/>
    <n v="456300"/>
    <n v="-456300"/>
    <n v="42664050"/>
    <m/>
    <d v="2026-05-11T00:00:00"/>
    <x v="11"/>
    <n v="42664050"/>
    <m/>
    <s v="May26"/>
    <s v="BOE Received and Paid"/>
    <s v="Paid"/>
    <s v="Received"/>
    <d v="2026-05-11T00:00:00"/>
    <s v="Closed"/>
    <x v="3"/>
    <m/>
    <m/>
    <d v="2026-04-15T00:00:00"/>
    <x v="17"/>
    <n v="8617467"/>
    <d v="2026-05-11T00:00:00"/>
    <s v="AL FRAME"/>
  </r>
  <r>
    <m/>
    <n v="5600000440"/>
    <s v="2035FLCDA260034"/>
    <d v="2026-03-18T00:00:00"/>
    <x v="2"/>
    <n v="0.1"/>
    <s v="JIANGSU SULV PRECISION TECHNOLOGY CO LTD"/>
    <s v="USD"/>
    <n v="0"/>
    <n v="0"/>
    <n v="0"/>
    <n v="93.5"/>
    <n v="0"/>
    <s v="Raw Material"/>
    <n v="45"/>
    <x v="0"/>
    <s v="SL-GREW-2026-3-17"/>
    <d v="2026-04-16T00:00:00"/>
    <d v="2026-04-22T00:00:00"/>
    <d v="2026-03-25T00:00:00"/>
    <n v="456300"/>
    <n v="-456300"/>
    <n v="42664050"/>
    <m/>
    <d v="2026-05-11T00:00:00"/>
    <x v="11"/>
    <n v="42664050"/>
    <m/>
    <s v="May26"/>
    <s v="BOE Received and Paid"/>
    <s v="Paid"/>
    <s v="Received"/>
    <d v="2026-05-11T00:00:00"/>
    <s v="Closed"/>
    <x v="3"/>
    <m/>
    <m/>
    <d v="2026-04-15T00:00:00"/>
    <x v="17"/>
    <n v="8652283"/>
    <d v="2026-05-11T00:00:00"/>
    <s v="AL FRAME"/>
  </r>
  <r>
    <m/>
    <n v="5600000440"/>
    <s v="2035FLCDA260034"/>
    <d v="2026-03-18T00:00:00"/>
    <x v="2"/>
    <n v="0.1"/>
    <s v="JIANGSU SULV PRECISION TECHNOLOGY CO LTD"/>
    <s v="USD"/>
    <n v="0"/>
    <n v="0"/>
    <n v="0"/>
    <n v="93.5"/>
    <n v="0"/>
    <s v="Raw Material"/>
    <n v="45"/>
    <x v="0"/>
    <s v="SL-GREW-2026-3-30"/>
    <d v="2026-04-21T00:00:00"/>
    <d v="2026-04-27T00:00:00"/>
    <d v="2026-04-03T00:00:00"/>
    <n v="456300"/>
    <n v="-456300"/>
    <n v="42664050"/>
    <m/>
    <d v="2026-05-18T00:00:00"/>
    <x v="9"/>
    <n v="42664050"/>
    <m/>
    <s v="May26"/>
    <s v="BOE Received and Paid"/>
    <s v="Paid"/>
    <s v="Received"/>
    <d v="2026-05-18T00:00:00"/>
    <s v="Closed"/>
    <x v="3"/>
    <m/>
    <m/>
    <d v="2026-04-15T00:00:00"/>
    <x v="17"/>
    <m/>
    <m/>
    <s v="AL FRAME"/>
  </r>
  <r>
    <n v="275"/>
    <n v="5600000406"/>
    <s v="2035FLCDA260037"/>
    <d v="2026-03-20T00:00:00"/>
    <x v="2"/>
    <n v="0.1"/>
    <s v="TAICANG JUREN INTERNATIONAL TRADE CO LTD"/>
    <s v="USD"/>
    <n v="1207470"/>
    <n v="0"/>
    <n v="1207470"/>
    <n v="96"/>
    <n v="115917120"/>
    <s v="Raw Material"/>
    <n v="60"/>
    <x v="0"/>
    <s v="JRIT20260323003"/>
    <d v="2026-04-13T00:00:00"/>
    <d v="2026-04-22T00:00:00"/>
    <d v="2026-04-01T00:00:00"/>
    <n v="1207470"/>
    <n v="0"/>
    <n v="115917120"/>
    <m/>
    <d v="2026-06-01T00:00:00"/>
    <x v="12"/>
    <n v="115917120"/>
    <m/>
    <s v="June26"/>
    <s v="Part/Full BOE received &amp; Unpaid"/>
    <s v="Unpaid"/>
    <s v="Received"/>
    <m/>
    <s v="Open"/>
    <x v="4"/>
    <m/>
    <m/>
    <d v="2026-04-10T00:00:00"/>
    <x v="16"/>
    <m/>
    <m/>
    <s v="PV RIBBON BUS BAR"/>
  </r>
  <r>
    <n v="276"/>
    <n v="5600000419"/>
    <s v="2035FLCDA260042"/>
    <d v="2026-03-24T00:00:00"/>
    <x v="2"/>
    <n v="0.1"/>
    <s v="SHANGHAI HUITIAN NEW MATERIAL CO LTD"/>
    <s v="USD"/>
    <n v="282158.40000000002"/>
    <n v="0"/>
    <n v="282158.40000000002"/>
    <n v="96"/>
    <n v="27087206.400000002"/>
    <s v="Raw Material"/>
    <n v="60"/>
    <x v="0"/>
    <s v="HT-GEW-2026021201"/>
    <d v="2026-04-20T00:00:00"/>
    <d v="2026-04-27T00:00:00"/>
    <d v="2026-03-29T00:00:00"/>
    <n v="282158.40000000002"/>
    <n v="0"/>
    <n v="27087206.400000002"/>
    <m/>
    <d v="2026-05-29T00:00:00"/>
    <x v="24"/>
    <n v="27087206.400000002"/>
    <m/>
    <s v="May26"/>
    <s v="BOE Received and Paid"/>
    <s v="Paid"/>
    <s v="Received"/>
    <d v="2026-05-29T00:00:00"/>
    <s v="Closed"/>
    <x v="3"/>
    <m/>
    <m/>
    <d v="2026-04-20T00:00:00"/>
    <x v="22"/>
    <m/>
    <m/>
    <s v="HT 960 SEALANT"/>
  </r>
  <r>
    <n v="277"/>
    <n v="5600000418"/>
    <s v="2035FLCDA260043"/>
    <d v="2026-03-24T00:00:00"/>
    <x v="2"/>
    <n v="0.1"/>
    <s v="SHANGHAI HUITIAN NEW MATERIAL CO LTD"/>
    <s v="USD"/>
    <n v="278716.79999999999"/>
    <n v="0"/>
    <n v="278716.79999999999"/>
    <n v="96"/>
    <n v="26756812.799999997"/>
    <s v="Raw Material"/>
    <n v="60"/>
    <x v="0"/>
    <s v="HT-GEW-2026021202"/>
    <d v="2026-04-24T00:00:00"/>
    <d v="2026-05-04T00:00:00"/>
    <d v="2026-04-10T00:00:00"/>
    <n v="278716.79999999999"/>
    <n v="0"/>
    <n v="26756812.799999997"/>
    <m/>
    <d v="2026-06-09T00:00:00"/>
    <x v="10"/>
    <n v="26756812.799999997"/>
    <m/>
    <s v="June26"/>
    <s v="Part/Full BOE received &amp; Unpaid"/>
    <s v="Unpaid"/>
    <s v="Received"/>
    <m/>
    <s v="Open"/>
    <x v="0"/>
    <m/>
    <m/>
    <d v="2026-04-20T00:00:00"/>
    <x v="22"/>
    <m/>
    <m/>
    <s v="HT 960 SEALANT"/>
  </r>
  <r>
    <n v="278"/>
    <n v="5600000390"/>
    <s v="0692626IM0Y00077"/>
    <d v="2026-03-24T00:00:00"/>
    <x v="0"/>
    <n v="0.1"/>
    <s v="ARVEE INTERNATIONAL PTE LTD"/>
    <s v="USD"/>
    <n v="1344021.44"/>
    <n v="0"/>
    <n v="1344021.44"/>
    <n v="95.12"/>
    <n v="127843319.37280001"/>
    <s v="Raw Material"/>
    <n v="55"/>
    <x v="0"/>
    <s v="ID20260115B"/>
    <d v="2026-04-02T00:00:00"/>
    <d v="2026-04-06T00:00:00"/>
    <d v="2026-02-26T00:00:00"/>
    <n v="1344021.44"/>
    <n v="0"/>
    <n v="127843319.37280001"/>
    <m/>
    <d v="2026-04-22T00:00:00"/>
    <x v="30"/>
    <n v="127843319.37280001"/>
    <m/>
    <s v="April26"/>
    <s v="BOE Received and Paid"/>
    <s v="Paid"/>
    <s v="Received"/>
    <d v="2026-04-22T00:00:00"/>
    <s v="Closed"/>
    <x v="0"/>
    <m/>
    <m/>
    <d v="2026-03-27T00:00:00"/>
    <x v="25"/>
    <n v="8112424"/>
    <d v="2026-04-22T00:00:00"/>
    <s v="SOLAR CELLS"/>
  </r>
  <r>
    <n v="279"/>
    <n v="1400000537"/>
    <s v="0692626IM0Y00073"/>
    <d v="2026-03-25T00:00:00"/>
    <x v="0"/>
    <n v="1"/>
    <s v="SIW MANUFACTURING SDN BHD"/>
    <s v="USD"/>
    <n v="320000"/>
    <n v="0"/>
    <n v="320000"/>
    <n v="93.03"/>
    <n v="29769600"/>
    <s v="CAPEX"/>
    <s v="Sight"/>
    <x v="0"/>
    <s v="PI-MY-25-5648"/>
    <d v="2026-04-27T00:00:00"/>
    <d v="2026-05-04T00:00:00"/>
    <d v="2026-04-16T00:00:00"/>
    <n v="320000"/>
    <n v="0"/>
    <n v="0"/>
    <m/>
    <d v="2026-05-05T00:00:00"/>
    <x v="1"/>
    <m/>
    <m/>
    <s v="May26"/>
    <s v="BOE Received and Paid"/>
    <s v="Paid"/>
    <s v="Received"/>
    <d v="2026-05-05T00:00:00"/>
    <s v="Closed"/>
    <x v="0"/>
    <n v="45011161451"/>
    <n v="29600000"/>
    <d v="2026-04-15T00:00:00"/>
    <x v="17"/>
    <m/>
    <m/>
    <s v="GAS ABATEMENT SYSTEM COMPRISING"/>
  </r>
  <r>
    <m/>
    <n v="1400000537"/>
    <s v="0692626IM0Y00073"/>
    <d v="2026-03-25T00:00:00"/>
    <x v="0"/>
    <n v="1"/>
    <s v="SIW MANUFACTURING SDN BHD"/>
    <s v="USD"/>
    <n v="0"/>
    <n v="0"/>
    <n v="0"/>
    <n v="93.03"/>
    <n v="0"/>
    <s v="CAPEX"/>
    <s v="Sight"/>
    <x v="1"/>
    <m/>
    <m/>
    <m/>
    <m/>
    <n v="0"/>
    <n v="0"/>
    <n v="0"/>
    <m/>
    <m/>
    <x v="1"/>
    <m/>
    <m/>
    <s v="-"/>
    <s v="BOE Received and Paid"/>
    <s v="Paid"/>
    <s v="Cancelled"/>
    <d v="2026-05-05T00:00:00"/>
    <s v="Closed"/>
    <x v="0"/>
    <n v="42371819184"/>
    <n v="300000"/>
    <d v="2026-04-15T00:00:00"/>
    <x v="17"/>
    <m/>
    <m/>
    <s v="GAS ABATEMENT SYSTEM COMPRISING"/>
  </r>
  <r>
    <n v="280"/>
    <n v="5600000391"/>
    <s v="0692626IM0Y00078"/>
    <d v="2026-03-25T00:00:00"/>
    <x v="0"/>
    <n v="0.1"/>
    <s v="ARVEE INTERNATIONAL PTE LTD"/>
    <s v="USD"/>
    <n v="2013393.93"/>
    <n v="0"/>
    <n v="2013393.93"/>
    <n v="95.12"/>
    <n v="191514030.6216"/>
    <s v="Raw Material"/>
    <n v="55"/>
    <x v="0"/>
    <s v="ID20260115A"/>
    <d v="2026-04-02T00:00:00"/>
    <d v="2026-04-06T00:00:00"/>
    <d v="2026-03-10T00:00:00"/>
    <n v="2013393.93"/>
    <n v="0"/>
    <n v="191514030.6216"/>
    <m/>
    <d v="2026-05-04T00:00:00"/>
    <x v="5"/>
    <n v="191514030.6216"/>
    <m/>
    <s v="May26"/>
    <s v="BOE Received and Paid"/>
    <s v="Paid"/>
    <s v="Received"/>
    <d v="2026-05-04T00:00:00"/>
    <s v="Closed"/>
    <x v="0"/>
    <m/>
    <m/>
    <d v="2026-03-27T00:00:00"/>
    <x v="25"/>
    <n v="8453497"/>
    <d v="2026-05-04T00:00:00"/>
    <s v="SOLAR CELLS"/>
  </r>
  <r>
    <n v="281"/>
    <n v="1400000413"/>
    <s v="0692626IM0Y00079"/>
    <d v="2026-03-25T00:00:00"/>
    <x v="0"/>
    <n v="1"/>
    <s v="FREIBERG INSTRUMENTS GMBH"/>
    <s v="EUR"/>
    <n v="22500"/>
    <n v="0"/>
    <n v="22500"/>
    <n v="107.31238500000001"/>
    <n v="2414528.6625000001"/>
    <s v="CAPEX"/>
    <s v="Sight"/>
    <x v="0"/>
    <s v="PI2026-0009"/>
    <d v="2026-05-02T00:00:00"/>
    <d v="2026-05-07T00:00:00"/>
    <d v="2026-04-15T00:00:00"/>
    <n v="22500"/>
    <n v="0"/>
    <n v="0"/>
    <m/>
    <d v="2026-05-07T00:00:00"/>
    <x v="1"/>
    <m/>
    <m/>
    <s v="May26"/>
    <s v="BOE Received and Paid"/>
    <s v="Paid"/>
    <s v="Received"/>
    <d v="2026-05-07T00:00:00"/>
    <s v="Closed"/>
    <x v="0"/>
    <n v="45011108066"/>
    <n v="2363000"/>
    <d v="2026-04-15T00:00:00"/>
    <x v="17"/>
    <m/>
    <m/>
    <s v="MDPSPOT BASIC SYSTEM"/>
  </r>
  <r>
    <m/>
    <n v="1400000413"/>
    <s v="0692626IM0Y00079"/>
    <d v="2026-03-25T00:00:00"/>
    <x v="0"/>
    <n v="1"/>
    <s v="FREIBERG INSTRUMENTS GMBH"/>
    <s v="EUR"/>
    <n v="0"/>
    <n v="0"/>
    <n v="0"/>
    <n v="107.31238500000001"/>
    <n v="0"/>
    <s v="CAPEX"/>
    <s v="Sight"/>
    <x v="1"/>
    <m/>
    <m/>
    <m/>
    <m/>
    <m/>
    <n v="0"/>
    <n v="0"/>
    <m/>
    <m/>
    <x v="1"/>
    <m/>
    <m/>
    <s v="-"/>
    <s v="BOE Received and Paid"/>
    <s v="Paid"/>
    <s v="Cancelled"/>
    <d v="2026-05-07T00:00:00"/>
    <s v="Closed"/>
    <x v="0"/>
    <n v="42814707478"/>
    <n v="133000"/>
    <d v="2026-04-15T00:00:00"/>
    <x v="17"/>
    <m/>
    <m/>
    <s v="MDPSPOT BASIC SYSTEM"/>
  </r>
  <r>
    <n v="281"/>
    <n v="1400000577"/>
    <s v="0692626IM0Y00080"/>
    <d v="2026-03-25T00:00:00"/>
    <x v="0"/>
    <n v="1"/>
    <s v="KLA CORPORATION"/>
    <s v="USD"/>
    <n v="85674"/>
    <n v="0"/>
    <n v="85674"/>
    <n v="94.532499999999999"/>
    <n v="8098977.4050000003"/>
    <s v="CAPEX"/>
    <s v="Sight"/>
    <x v="2"/>
    <m/>
    <m/>
    <m/>
    <d v="2026-04-15T00:00:00"/>
    <n v="85674"/>
    <n v="0"/>
    <n v="0"/>
    <m/>
    <d v="2026-06-10T00:00:00"/>
    <x v="1"/>
    <m/>
    <m/>
    <s v="June26"/>
    <s v="BOE not received"/>
    <s v="Unpaid"/>
    <s v="Not Received"/>
    <m/>
    <s v="Open"/>
    <x v="0"/>
    <n v="45011318971"/>
    <n v="7968000"/>
    <d v="2026-06-03T00:00:00"/>
    <x v="26"/>
    <m/>
    <m/>
    <s v="MODEL, ZETA-20 IMAGING"/>
  </r>
  <r>
    <m/>
    <n v="1400000577"/>
    <s v="0692626IM0Y00080"/>
    <d v="2026-03-25T00:00:00"/>
    <x v="0"/>
    <n v="1"/>
    <s v="KLA CORPORATION"/>
    <s v="USD"/>
    <n v="0"/>
    <n v="0"/>
    <n v="0"/>
    <n v="94.532499999999999"/>
    <n v="0"/>
    <s v="CAPEX"/>
    <s v="Sight"/>
    <x v="2"/>
    <m/>
    <m/>
    <m/>
    <m/>
    <m/>
    <n v="0"/>
    <n v="0"/>
    <m/>
    <m/>
    <x v="1"/>
    <m/>
    <m/>
    <s v="-"/>
    <s v="BOE not received"/>
    <s v="Unpaid"/>
    <s v="Not Received"/>
    <m/>
    <s v="Open"/>
    <x v="0"/>
    <n v="42814707478"/>
    <n v="160000"/>
    <d v="2026-06-03T00:00:00"/>
    <x v="26"/>
    <m/>
    <m/>
    <s v="MODEL, ZETA-20 IMAGING"/>
  </r>
  <r>
    <n v="282"/>
    <n v="5600000395"/>
    <s v="0692626IM0Y00081"/>
    <d v="2026-03-30T00:00:00"/>
    <x v="0"/>
    <n v="0.1"/>
    <s v="ARVEE INTERNATIONAL PTE LTD"/>
    <s v="USD"/>
    <n v="1285464.25"/>
    <n v="0"/>
    <n v="1285464.25"/>
    <n v="94.920500000000004"/>
    <n v="122016909.342125"/>
    <s v="Raw Material"/>
    <n v="55"/>
    <x v="0"/>
    <s v="HKJTGREW20260207-1"/>
    <d v="2026-04-15T00:00:00"/>
    <d v="2026-04-16T00:00:00"/>
    <d v="2026-03-18T00:00:00"/>
    <n v="1285464.25"/>
    <n v="0"/>
    <n v="122016909.342125"/>
    <m/>
    <d v="2026-05-12T00:00:00"/>
    <x v="31"/>
    <n v="122016909.342125"/>
    <m/>
    <s v="May26"/>
    <s v="BOE Received and Paid"/>
    <s v="Paid"/>
    <s v="Received"/>
    <d v="2026-05-12T00:00:00"/>
    <s v="Closed"/>
    <x v="2"/>
    <m/>
    <m/>
    <d v="2026-03-31T00:00:00"/>
    <x v="11"/>
    <m/>
    <m/>
    <s v="SOLAR CELLS"/>
  </r>
  <r>
    <n v="283"/>
    <n v="5600000395"/>
    <s v="0692626IM0Y00082"/>
    <d v="2026-03-27T00:00:00"/>
    <x v="0"/>
    <n v="0.1"/>
    <s v="ARVEE INTERNATIONAL PTE LTD"/>
    <s v="USD"/>
    <n v="1933513.2"/>
    <n v="0"/>
    <n v="1933513.2"/>
    <n v="94.920500000000004"/>
    <n v="183530039.7006"/>
    <s v="Raw Material"/>
    <n v="55"/>
    <x v="0"/>
    <s v="HKJTREW20260207-2"/>
    <d v="2026-04-15T00:00:00"/>
    <d v="2026-04-16T00:00:00"/>
    <d v="2026-03-20T00:00:00"/>
    <n v="1933513.2"/>
    <n v="0"/>
    <n v="183530039.7006"/>
    <m/>
    <d v="2026-05-14T00:00:00"/>
    <x v="28"/>
    <n v="183530039.7006"/>
    <m/>
    <s v="May26"/>
    <s v="BOE Received and Paid"/>
    <s v="Paid"/>
    <s v="Received"/>
    <d v="2026-05-14T00:00:00"/>
    <s v="Closed"/>
    <x v="2"/>
    <m/>
    <m/>
    <d v="2026-03-31T00:00:00"/>
    <x v="11"/>
    <m/>
    <m/>
    <s v="SOLAR CELLS"/>
  </r>
  <r>
    <n v="284"/>
    <n v="5600000405"/>
    <s v="2035FLCDA260044"/>
    <d v="2026-03-27T00:00:00"/>
    <x v="2"/>
    <n v="0.1"/>
    <s v="TAICANG JUREN INTERNATIONAL TRADE CO LTD"/>
    <s v="USD"/>
    <n v="1210950"/>
    <n v="0"/>
    <n v="1210950"/>
    <n v="96"/>
    <n v="116251200"/>
    <s v="Raw Material"/>
    <n v="60"/>
    <x v="0"/>
    <s v="JRIT20260330001"/>
    <d v="2026-04-24T00:00:00"/>
    <d v="2026-05-01T00:00:00"/>
    <d v="2026-04-14T00:00:00"/>
    <n v="1210950"/>
    <n v="0"/>
    <n v="116251200"/>
    <m/>
    <d v="2026-06-15T00:00:00"/>
    <x v="16"/>
    <n v="116251200"/>
    <m/>
    <s v="June26"/>
    <s v="Part/Full BOE received &amp; Unpaid"/>
    <s v="Unpaid"/>
    <s v="Received"/>
    <m/>
    <s v="Open"/>
    <x v="0"/>
    <m/>
    <m/>
    <d v="2026-04-20T00:00:00"/>
    <x v="22"/>
    <m/>
    <m/>
    <s v="PV RIBBON BUS BAR"/>
  </r>
  <r>
    <n v="285"/>
    <n v="5600000405"/>
    <s v="2035FLCDA260045"/>
    <d v="2026-03-27T00:00:00"/>
    <x v="2"/>
    <n v="0.1"/>
    <s v="TAICANG JUREN INTERNATIONAL TRADE CO LTD"/>
    <s v="USD"/>
    <n v="1210950"/>
    <n v="0"/>
    <n v="1210950"/>
    <n v="96"/>
    <n v="116251200"/>
    <s v="Raw Material"/>
    <n v="60"/>
    <x v="0"/>
    <s v="JRIT20260330002"/>
    <d v="2026-04-24T00:00:00"/>
    <d v="2026-05-04T00:00:00"/>
    <d v="2026-04-14T00:00:00"/>
    <n v="1210950"/>
    <n v="0"/>
    <n v="116251200"/>
    <m/>
    <d v="2026-06-15T00:00:00"/>
    <x v="16"/>
    <n v="116251200"/>
    <m/>
    <s v="June26"/>
    <s v="Part/Full BOE received &amp; Unpaid"/>
    <s v="Unpaid"/>
    <s v="Received"/>
    <m/>
    <s v="Open"/>
    <x v="0"/>
    <m/>
    <m/>
    <d v="2026-04-20T00:00:00"/>
    <x v="22"/>
    <m/>
    <m/>
    <s v="PV RIBBON BUS BAR"/>
  </r>
  <r>
    <n v="286"/>
    <n v="5600000392"/>
    <s v="0692626IM0Y00083"/>
    <d v="2026-03-30T00:00:00"/>
    <x v="0"/>
    <n v="0.1"/>
    <s v="ARVEE INTERNATIONAL PTE LTD"/>
    <s v="USD"/>
    <n v="671924.77"/>
    <n v="0"/>
    <n v="671924.77"/>
    <n v="94.920500000000004"/>
    <n v="63779435.130785003"/>
    <s v="Raw Material"/>
    <n v="55"/>
    <x v="0"/>
    <s v="ID20260115A-1"/>
    <d v="2026-04-15T00:00:00"/>
    <d v="2026-04-16T00:00:00"/>
    <d v="2026-03-18T00:00:00"/>
    <n v="671924.77"/>
    <n v="0"/>
    <n v="63779435.130785003"/>
    <m/>
    <d v="2026-05-12T00:00:00"/>
    <x v="31"/>
    <n v="63779435.130785003"/>
    <m/>
    <s v="May26"/>
    <s v="BOE Received and Paid"/>
    <s v="Paid"/>
    <s v="Received"/>
    <d v="2026-05-12T00:00:00"/>
    <s v="Closed"/>
    <x v="2"/>
    <m/>
    <m/>
    <d v="2026-03-31T00:00:00"/>
    <x v="11"/>
    <m/>
    <m/>
    <s v="SOLAR CELLS"/>
  </r>
  <r>
    <n v="287"/>
    <n v="5600000392"/>
    <s v="0692626IM0Y00084"/>
    <d v="2026-03-30T00:00:00"/>
    <x v="0"/>
    <n v="0.1"/>
    <s v="ARVEE INTERNATIONAL PTE LTD"/>
    <s v="USD"/>
    <n v="670124.13"/>
    <n v="0"/>
    <n v="670124.13"/>
    <n v="94.920500000000004"/>
    <n v="63608517.481665"/>
    <s v="Raw Material"/>
    <n v="55"/>
    <x v="0"/>
    <s v="ID20260115A-2"/>
    <d v="2026-04-18T00:00:00"/>
    <d v="2026-04-22T00:00:00"/>
    <d v="2026-03-18T00:00:00"/>
    <n v="670124.13"/>
    <n v="0"/>
    <n v="63608517.481665"/>
    <m/>
    <d v="2026-05-12T00:00:00"/>
    <x v="31"/>
    <n v="63608517.481665"/>
    <m/>
    <s v="May26"/>
    <s v="BOE Received and Paid"/>
    <s v="Paid"/>
    <s v="Received"/>
    <d v="2026-05-12T00:00:00"/>
    <s v="Closed"/>
    <x v="2"/>
    <m/>
    <m/>
    <d v="2026-03-31T00:00:00"/>
    <x v="11"/>
    <m/>
    <m/>
    <s v="SOLAR CELLS"/>
  </r>
  <r>
    <n v="288"/>
    <n v="5600000452"/>
    <s v="2035FLCDA260047"/>
    <d v="2026-04-02T00:00:00"/>
    <x v="2"/>
    <n v="0.1"/>
    <s v="JIANGSU SULV PRECISION TECHNOLOGY CO LTD"/>
    <s v="USD"/>
    <n v="926100"/>
    <n v="0"/>
    <n v="926100"/>
    <n v="96"/>
    <n v="88905600"/>
    <s v="Raw Material"/>
    <n v="45"/>
    <x v="0"/>
    <s v="SL-GREW-2026-4-12"/>
    <d v="2026-04-24T00:00:00"/>
    <d v="2026-05-04T00:00:00"/>
    <d v="2026-04-14T00:00:00"/>
    <n v="463050"/>
    <n v="463050"/>
    <n v="44452800"/>
    <m/>
    <d v="2026-05-29T00:00:00"/>
    <x v="24"/>
    <n v="44452800"/>
    <m/>
    <s v="May26"/>
    <s v="BOE Received and Paid"/>
    <s v="Paid"/>
    <s v="Received"/>
    <d v="2026-05-29T00:00:00"/>
    <s v="Closed"/>
    <x v="3"/>
    <m/>
    <m/>
    <d v="2026-05-06T00:00:00"/>
    <x v="27"/>
    <m/>
    <m/>
    <s v="AL FRAME"/>
  </r>
  <r>
    <m/>
    <n v="5600000452"/>
    <s v="2035FLCDA260047"/>
    <d v="2026-04-02T00:00:00"/>
    <x v="2"/>
    <n v="0.1"/>
    <s v="JIANGSU SULV PRECISION TECHNOLOGY CO LTD"/>
    <s v="USD"/>
    <n v="0"/>
    <n v="0"/>
    <n v="0"/>
    <n v="96"/>
    <n v="0"/>
    <s v="Raw Material"/>
    <n v="45"/>
    <x v="0"/>
    <s v="SL-GREW-2026-4-16"/>
    <d v="2026-05-15T00:00:00"/>
    <d v="2026-05-21T00:00:00"/>
    <d v="2026-04-28T00:00:00"/>
    <n v="463050"/>
    <n v="-463050"/>
    <n v="44452800"/>
    <m/>
    <d v="2026-06-12T00:00:00"/>
    <x v="20"/>
    <n v="44452800"/>
    <m/>
    <s v="June26"/>
    <s v="Part/Full BOE received &amp; Unpaid"/>
    <s v="Unpaid"/>
    <s v="Received"/>
    <m/>
    <s v="Open"/>
    <x v="0"/>
    <m/>
    <m/>
    <d v="2026-05-06T00:00:00"/>
    <x v="27"/>
    <m/>
    <m/>
    <s v="AL FRAME"/>
  </r>
  <r>
    <n v="289"/>
    <n v="5600000447"/>
    <s v="2035FLCDA260048"/>
    <d v="2026-04-02T00:00:00"/>
    <x v="2"/>
    <n v="0.1"/>
    <s v="FIRST MATERIAL SCIENCE (THAILAND) CO LTD"/>
    <s v="USD"/>
    <n v="1021695.77"/>
    <n v="0"/>
    <n v="1021695.77"/>
    <n v="96"/>
    <n v="98082793.920000002"/>
    <s v="Raw Material"/>
    <n v="60"/>
    <x v="0"/>
    <s v="MSBT260065-2"/>
    <d v="2026-05-15T00:00:00"/>
    <d v="2026-05-21T00:00:00"/>
    <d v="2026-04-26T00:00:00"/>
    <n v="272452.2"/>
    <n v="749243.57000000007"/>
    <n v="26155411.200000003"/>
    <m/>
    <d v="2026-06-25T00:00:00"/>
    <x v="32"/>
    <n v="26155411.200000003"/>
    <m/>
    <s v="June26"/>
    <s v="Part/Full BOE received &amp; Unpaid"/>
    <s v="Unpaid"/>
    <s v="Received"/>
    <m/>
    <s v="Open"/>
    <x v="0"/>
    <m/>
    <m/>
    <d v="2026-05-20T00:00:00"/>
    <x v="28"/>
    <m/>
    <m/>
    <s v="EPE FILM"/>
  </r>
  <r>
    <m/>
    <n v="5600000447"/>
    <s v="2035FLCDA260048"/>
    <d v="2026-04-02T00:00:00"/>
    <x v="2"/>
    <n v="0.1"/>
    <s v="FIRST MATERIAL SCIENCE (THAILAND) CO LTD"/>
    <s v="USD"/>
    <n v="0"/>
    <n v="0"/>
    <n v="0"/>
    <n v="96"/>
    <n v="0"/>
    <s v="Raw Material"/>
    <n v="60"/>
    <x v="0"/>
    <s v="MSBT260065-1"/>
    <d v="2026-05-15T00:00:00"/>
    <d v="2026-05-21T00:00:00"/>
    <d v="2026-04-26T00:00:00"/>
    <n v="272452.2"/>
    <n v="-272452.2"/>
    <n v="26155411.200000003"/>
    <m/>
    <d v="2026-06-25T00:00:00"/>
    <x v="32"/>
    <n v="26155411.200000003"/>
    <m/>
    <s v="June26"/>
    <s v="Part/Full BOE received &amp; Unpaid"/>
    <s v="Unpaid"/>
    <s v="Received"/>
    <m/>
    <s v="Open"/>
    <x v="0"/>
    <m/>
    <m/>
    <d v="2026-05-20T00:00:00"/>
    <x v="28"/>
    <m/>
    <m/>
    <s v="EPE FILM"/>
  </r>
  <r>
    <m/>
    <n v="5600000447"/>
    <s v="2035FLCDA260048"/>
    <d v="2026-04-02T00:00:00"/>
    <x v="2"/>
    <n v="0.1"/>
    <s v="FIRST MATERIAL SCIENCE (THAILAND) CO LTD"/>
    <s v="USD"/>
    <n v="0"/>
    <n v="0"/>
    <n v="0"/>
    <n v="96"/>
    <n v="0"/>
    <s v="Raw Material"/>
    <n v="60"/>
    <x v="0"/>
    <s v="MSBT260065-3"/>
    <d v="2026-05-21T00:00:00"/>
    <d v="2026-05-27T00:00:00"/>
    <d v="2026-05-03T00:00:00"/>
    <n v="272452.2"/>
    <n v="-272452.2"/>
    <n v="26155411.200000003"/>
    <m/>
    <d v="2026-07-02T00:00:00"/>
    <x v="33"/>
    <n v="26155411.200000003"/>
    <m/>
    <s v="July26"/>
    <s v="Part/Full BOE received &amp; Unpaid"/>
    <s v="Unpaid"/>
    <s v="Received"/>
    <m/>
    <s v="Open"/>
    <x v="0"/>
    <m/>
    <m/>
    <d v="2026-05-20T00:00:00"/>
    <x v="28"/>
    <m/>
    <m/>
    <s v="EPE FILM"/>
  </r>
  <r>
    <m/>
    <n v="5600000447"/>
    <s v="2035FLCDA260048"/>
    <d v="2026-04-02T00:00:00"/>
    <x v="2"/>
    <n v="0.1"/>
    <s v="FIRST MATERIAL SCIENCE (THAILAND) CO LTD"/>
    <s v="USD"/>
    <n v="0"/>
    <n v="0"/>
    <n v="0"/>
    <n v="96"/>
    <n v="0"/>
    <s v="Raw Material"/>
    <n v="60"/>
    <x v="0"/>
    <s v="MSBT260065-4"/>
    <d v="2026-05-21T00:00:00"/>
    <d v="2026-05-27T00:00:00"/>
    <d v="2026-05-03T00:00:00"/>
    <n v="204339.15"/>
    <n v="-204339.15"/>
    <n v="19616558.399999999"/>
    <m/>
    <d v="2026-07-02T00:00:00"/>
    <x v="33"/>
    <n v="19616558.399999999"/>
    <m/>
    <s v="July26"/>
    <s v="Part/Full BOE received &amp; Unpaid"/>
    <s v="Unpaid"/>
    <s v="Received"/>
    <m/>
    <s v="Open"/>
    <x v="0"/>
    <m/>
    <m/>
    <d v="2026-05-20T00:00:00"/>
    <x v="28"/>
    <m/>
    <m/>
    <s v="EPE FILM"/>
  </r>
  <r>
    <n v="290"/>
    <n v="5600000452"/>
    <s v="0692626IM0Y00085"/>
    <d v="2026-04-04T00:00:00"/>
    <x v="0"/>
    <n v="0.1"/>
    <s v="JIANGSU SULV PRECISION TECHNOLOGY CO LTD"/>
    <s v="USD"/>
    <n v="926100"/>
    <n v="0"/>
    <n v="926100"/>
    <n v="96"/>
    <n v="88905600"/>
    <s v="Raw Material"/>
    <n v="45"/>
    <x v="0"/>
    <s v="SL-GREW-2026-4-10"/>
    <d v="2026-05-02T00:00:00"/>
    <d v="2026-05-07T00:00:00"/>
    <d v="2026-04-17T00:00:00"/>
    <n v="463050"/>
    <n v="463050"/>
    <n v="44452800"/>
    <m/>
    <d v="2026-06-01T00:00:00"/>
    <x v="1"/>
    <m/>
    <m/>
    <s v="June26"/>
    <s v="Part/Full BOE received &amp; Unpaid"/>
    <s v="Unpaid"/>
    <s v="Received"/>
    <m/>
    <s v="Open"/>
    <x v="1"/>
    <n v="42456259384"/>
    <n v="6326000"/>
    <d v="2026-04-30T00:00:00"/>
    <x v="19"/>
    <m/>
    <m/>
    <s v="AL FRAME"/>
  </r>
  <r>
    <m/>
    <n v="5600000452"/>
    <s v="0692626IM0Y00085"/>
    <d v="2026-04-04T00:00:00"/>
    <x v="0"/>
    <n v="0.1"/>
    <s v="JIANGSU SULV PRECISION TECHNOLOGY CO LTD"/>
    <s v="USD"/>
    <n v="0"/>
    <n v="0"/>
    <n v="0"/>
    <n v="96"/>
    <n v="0"/>
    <s v="Raw Material"/>
    <n v="45"/>
    <x v="0"/>
    <s v="SL-GREW-2026-4-11"/>
    <d v="2026-05-02T00:00:00"/>
    <d v="2026-05-07T00:00:00"/>
    <d v="2026-04-17T00:00:00"/>
    <n v="463050"/>
    <n v="-463050"/>
    <n v="44452800"/>
    <m/>
    <d v="2026-06-01T00:00:00"/>
    <x v="12"/>
    <n v="88905600"/>
    <m/>
    <s v="June26"/>
    <s v="Part/Full BOE received &amp; Unpaid"/>
    <s v="Unpaid"/>
    <s v="Received"/>
    <m/>
    <s v="Open"/>
    <x v="1"/>
    <n v="42561333063"/>
    <n v="642000"/>
    <d v="2026-04-30T00:00:00"/>
    <x v="19"/>
    <m/>
    <m/>
    <s v="AL FRAME"/>
  </r>
  <r>
    <m/>
    <n v="5600000452"/>
    <s v="0692626IM0Y00085"/>
    <d v="2026-04-04T00:00:00"/>
    <x v="0"/>
    <n v="0.1"/>
    <s v="JIANGSU SULV PRECISION TECHNOLOGY CO LTD"/>
    <s v="USD"/>
    <n v="0"/>
    <n v="0"/>
    <n v="0"/>
    <n v="96"/>
    <n v="0"/>
    <s v="Raw Material"/>
    <n v="45"/>
    <x v="1"/>
    <m/>
    <m/>
    <m/>
    <m/>
    <n v="0"/>
    <n v="0"/>
    <n v="0"/>
    <m/>
    <d v="2026-06-01T00:00:00"/>
    <x v="1"/>
    <m/>
    <m/>
    <s v="June26"/>
    <s v="BOE not received"/>
    <s v="Unpaid"/>
    <s v="Cancelled"/>
    <m/>
    <s v="Open"/>
    <x v="0"/>
    <n v="44325393960"/>
    <n v="1722000"/>
    <d v="2026-04-30T00:00:00"/>
    <x v="19"/>
    <m/>
    <m/>
    <s v="AL FRAME"/>
  </r>
  <r>
    <n v="291"/>
    <n v="5600000448"/>
    <s v="0692626IM0Y00086"/>
    <d v="2026-04-06T00:00:00"/>
    <x v="0"/>
    <n v="0.1"/>
    <s v="JIANGYIN HAIHONG NEW ENERGY TECHNOLOGY CO LTD"/>
    <s v="USD"/>
    <n v="978000"/>
    <n v="0"/>
    <n v="978000"/>
    <n v="96"/>
    <n v="93888000"/>
    <s v="Raw Material"/>
    <n v="60"/>
    <x v="0"/>
    <s v="H-GREW-260411"/>
    <d v="2026-04-27T00:00:00"/>
    <d v="2026-05-04T00:00:00"/>
    <d v="2026-04-14T00:00:00"/>
    <n v="489000"/>
    <n v="489000"/>
    <n v="46944000"/>
    <m/>
    <d v="2026-06-15T00:00:00"/>
    <x v="1"/>
    <m/>
    <m/>
    <s v="June26"/>
    <s v="Part/Full BOE received &amp; Unpaid"/>
    <s v="Unpaid"/>
    <s v="Received"/>
    <m/>
    <s v="Open"/>
    <x v="0"/>
    <n v="43607525170"/>
    <n v="4053000"/>
    <d v="2026-04-30T00:00:00"/>
    <x v="19"/>
    <m/>
    <m/>
    <s v="AL FRAME"/>
  </r>
  <r>
    <m/>
    <n v="5600000448"/>
    <s v="0692626IM0Y00086"/>
    <d v="2026-04-06T00:00:00"/>
    <x v="0"/>
    <n v="0.1"/>
    <s v="JIANGYIN HAIHONG NEW ENERGY TECHNOLOGY CO LTD"/>
    <s v="USD"/>
    <n v="0"/>
    <n v="0"/>
    <n v="0"/>
    <n v="96"/>
    <n v="0"/>
    <s v="Raw Material"/>
    <n v="60"/>
    <x v="0"/>
    <s v="H-GREW-260415"/>
    <d v="2026-05-07T00:00:00"/>
    <d v="2026-05-12T00:00:00"/>
    <d v="2026-04-21T00:00:00"/>
    <n v="489000"/>
    <n v="-489000"/>
    <n v="46944000"/>
    <m/>
    <d v="2026-06-22T00:00:00"/>
    <x v="27"/>
    <n v="93888000"/>
    <m/>
    <s v="June26"/>
    <s v="Part/Full BOE received &amp; Unpaid"/>
    <s v="Unpaid"/>
    <s v="Received"/>
    <m/>
    <s v="Open"/>
    <x v="0"/>
    <n v="43650012802"/>
    <n v="3094000"/>
    <d v="2026-04-30T00:00:00"/>
    <x v="19"/>
    <m/>
    <m/>
    <s v="AL FRAME"/>
  </r>
  <r>
    <n v="292"/>
    <n v="5600000396"/>
    <s v="0692626IM0Y00087"/>
    <d v="2026-04-06T00:00:00"/>
    <x v="0"/>
    <n v="0.1"/>
    <s v="ARVEE INTERNATIONAL PTE LTD"/>
    <s v="USD"/>
    <n v="1944168.13"/>
    <n v="0"/>
    <n v="1944168.13"/>
    <n v="94.920500000000004"/>
    <n v="184541410.98366499"/>
    <s v="Raw Material"/>
    <n v="55"/>
    <x v="0"/>
    <s v="HKJTGREW20260207-6"/>
    <d v="2026-04-20T00:00:00"/>
    <d v="2026-04-22T00:00:00"/>
    <d v="2026-03-31T00:00:00"/>
    <n v="1944168.13"/>
    <n v="0"/>
    <n v="184541410.98366499"/>
    <m/>
    <d v="2026-05-26T00:00:00"/>
    <x v="7"/>
    <n v="184541410.98366499"/>
    <m/>
    <s v="May26"/>
    <s v="BOE Received and Paid"/>
    <s v="Paid"/>
    <s v="Received"/>
    <d v="2026-05-26T00:00:00"/>
    <s v="Closed"/>
    <x v="0"/>
    <n v="43649959856"/>
    <n v="27620000"/>
    <d v="2026-04-10T00:00:00"/>
    <x v="16"/>
    <m/>
    <m/>
    <s v="SOLAR CELLS"/>
  </r>
  <r>
    <m/>
    <n v="5600000396"/>
    <s v="0692626IM0Y00087"/>
    <d v="2026-04-06T00:00:00"/>
    <x v="0"/>
    <n v="0.1"/>
    <s v="ARVEE INTERNATIONAL PTE LTD"/>
    <s v="USD"/>
    <n v="0"/>
    <n v="0"/>
    <n v="0"/>
    <n v="94.920500000000004"/>
    <n v="0"/>
    <s v="Raw Material"/>
    <n v="55"/>
    <x v="1"/>
    <m/>
    <m/>
    <m/>
    <m/>
    <n v="0"/>
    <n v="0"/>
    <n v="0"/>
    <m/>
    <d v="2026-05-26T00:00:00"/>
    <x v="1"/>
    <m/>
    <m/>
    <s v="May26"/>
    <s v="BOE Received and Paid"/>
    <s v="Paid"/>
    <s v="Cancelled"/>
    <d v="2026-05-26T00:00:00"/>
    <s v="Closed"/>
    <x v="0"/>
    <n v="43707298765"/>
    <n v="15479000"/>
    <d v="2026-04-10T00:00:00"/>
    <x v="16"/>
    <m/>
    <m/>
    <s v="SOLAR CELLS"/>
  </r>
  <r>
    <n v="293"/>
    <n v="5600000396"/>
    <s v="0692626IM0Y00088"/>
    <d v="2026-04-07T00:00:00"/>
    <x v="0"/>
    <n v="0.1"/>
    <s v="ARVEE INTERNATIONAL PTE LTD"/>
    <s v="USD"/>
    <n v="1291989.45"/>
    <n v="0"/>
    <n v="1291989.45"/>
    <n v="94.920500000000004"/>
    <n v="122636284.588725"/>
    <s v="Raw Material"/>
    <n v="55"/>
    <x v="0"/>
    <s v="HKJTGREW20260207-5"/>
    <d v="2026-04-20T00:00:00"/>
    <d v="2026-04-22T00:00:00"/>
    <d v="2026-03-28T00:00:00"/>
    <n v="1291989.45"/>
    <n v="0"/>
    <n v="122636284.588725"/>
    <m/>
    <d v="2026-05-22T00:00:00"/>
    <x v="34"/>
    <n v="122636284.588725"/>
    <m/>
    <s v="May26"/>
    <s v="BOE Received and Paid"/>
    <s v="Paid"/>
    <s v="Received"/>
    <d v="2026-05-22T00:00:00"/>
    <s v="Closed"/>
    <x v="2"/>
    <m/>
    <m/>
    <d v="2026-04-10T00:00:00"/>
    <x v="16"/>
    <m/>
    <m/>
    <s v="SOLAR CELLS"/>
  </r>
  <r>
    <n v="294"/>
    <n v="5600000447"/>
    <s v="0692626IM0Y00089"/>
    <d v="2026-04-07T00:00:00"/>
    <x v="0"/>
    <n v="0.1"/>
    <s v="FIRST MATERIAL SCIENCE (THAILAND) CO LTD"/>
    <s v="USD"/>
    <n v="1021695.77"/>
    <n v="0"/>
    <n v="1021695.77"/>
    <n v="96"/>
    <n v="98082793.920000002"/>
    <s v="Raw Material"/>
    <n v="60"/>
    <x v="0"/>
    <s v="MSBT260066-1"/>
    <d v="2026-06-26T00:00:00"/>
    <m/>
    <d v="2026-05-05T00:00:00"/>
    <n v="272452.2"/>
    <n v="749243.57000000007"/>
    <n v="26155411.200000003"/>
    <n v="71927382.719999999"/>
    <d v="2026-07-06T00:00:00"/>
    <x v="1"/>
    <m/>
    <m/>
    <s v="July26"/>
    <s v="Part/Full BOE received &amp; Unpaid"/>
    <s v="Unpaid"/>
    <s v="Received"/>
    <m/>
    <s v="Open"/>
    <x v="0"/>
    <n v="44028685576"/>
    <n v="6607000"/>
    <d v="2026-05-30T00:00:00"/>
    <x v="29"/>
    <m/>
    <m/>
    <s v="EPE FILM"/>
  </r>
  <r>
    <m/>
    <n v="5600000447"/>
    <s v="0692626IM0Y00089"/>
    <d v="2026-04-07T00:00:00"/>
    <x v="0"/>
    <n v="0.1"/>
    <s v="FIRST MATERIAL SCIENCE (THAILAND) CO LTD"/>
    <s v="USD"/>
    <n v="0"/>
    <n v="0"/>
    <n v="0"/>
    <n v="96"/>
    <n v="0"/>
    <s v="Raw Material"/>
    <n v="60"/>
    <x v="0"/>
    <s v="MSBT260066-2"/>
    <d v="2026-05-26T00:00:00"/>
    <m/>
    <d v="2026-05-09T00:00:00"/>
    <n v="272452.2"/>
    <n v="-272452.2"/>
    <n v="26155411.200000003"/>
    <n v="-26155411.200000003"/>
    <d v="2026-07-08T00:00:00"/>
    <x v="1"/>
    <n v="0"/>
    <m/>
    <s v="July26"/>
    <s v="Part/Full BOE received &amp; Unpaid"/>
    <s v="Unpaid"/>
    <s v="Received"/>
    <m/>
    <s v="Open"/>
    <x v="0"/>
    <n v="44485511084"/>
    <n v="2979000"/>
    <d v="2026-05-30T00:00:00"/>
    <x v="29"/>
    <m/>
    <m/>
    <s v="EPE FILM"/>
  </r>
  <r>
    <m/>
    <n v="5600000447"/>
    <s v="0692626IM0Y00089"/>
    <d v="2026-04-07T00:00:00"/>
    <x v="0"/>
    <n v="0.1"/>
    <s v="FIRST MATERIAL SCIENCE (THAILAND) CO LTD"/>
    <s v="USD"/>
    <n v="0"/>
    <n v="0"/>
    <n v="0"/>
    <n v="96"/>
    <n v="0"/>
    <s v="Raw Material"/>
    <n v="60"/>
    <x v="0"/>
    <s v="MSBT260066-3"/>
    <d v="2026-05-26T00:00:00"/>
    <m/>
    <d v="2026-05-09T00:00:00"/>
    <n v="272452.2"/>
    <n v="-272452.2"/>
    <n v="26155411.200000003"/>
    <n v="-26155411.200000003"/>
    <d v="2026-07-08T00:00:00"/>
    <x v="1"/>
    <n v="0"/>
    <m/>
    <s v="July26"/>
    <s v="Part/Full BOE received &amp; Unpaid"/>
    <s v="Unpaid"/>
    <s v="Received"/>
    <m/>
    <s v="Open"/>
    <x v="0"/>
    <n v="44485511084"/>
    <n v="2979000"/>
    <d v="2026-05-30T00:00:00"/>
    <x v="29"/>
    <m/>
    <m/>
    <s v="EPE FILM"/>
  </r>
  <r>
    <m/>
    <n v="5600000447"/>
    <s v="0692626IM0Y00089"/>
    <d v="2026-04-07T00:00:00"/>
    <x v="0"/>
    <n v="0.1"/>
    <s v="FIRST MATERIAL SCIENCE (THAILAND) CO LTD"/>
    <s v="USD"/>
    <n v="0"/>
    <n v="0"/>
    <n v="0"/>
    <n v="96"/>
    <n v="0"/>
    <s v="Raw Material"/>
    <n v="60"/>
    <x v="3"/>
    <s v="MSBT260066-4"/>
    <m/>
    <m/>
    <d v="2026-05-09T00:00:00"/>
    <n v="204339.15"/>
    <n v="-204339.15"/>
    <n v="19616558.399999999"/>
    <n v="-19616558.399999999"/>
    <d v="2026-07-08T00:00:00"/>
    <x v="35"/>
    <n v="98082793.920000002"/>
    <m/>
    <s v="July26"/>
    <s v="Part/Full BOE received &amp; Unpaid"/>
    <s v="Unpaid"/>
    <s v="Received"/>
    <m/>
    <s v="Open"/>
    <x v="0"/>
    <n v="44485511084"/>
    <n v="2979000"/>
    <d v="2026-05-30T00:00:00"/>
    <x v="29"/>
    <m/>
    <m/>
    <s v="EPE FILM"/>
  </r>
  <r>
    <n v="295"/>
    <n v="5600000455"/>
    <s v="0692626IM0Y00090"/>
    <d v="2026-04-07T00:00:00"/>
    <x v="0"/>
    <n v="0.1"/>
    <s v="ZHEJIANG ZHONGHUAN SUNTER PV TECHNOLOGY CO. LTD"/>
    <s v="USD"/>
    <n v="801024"/>
    <n v="0"/>
    <n v="801024"/>
    <n v="96"/>
    <n v="76898304"/>
    <s v="Raw Material"/>
    <n v="60"/>
    <x v="0"/>
    <s v="GREW2604-1"/>
    <d v="2026-05-02T00:00:00"/>
    <d v="2026-05-07T00:00:00"/>
    <d v="2026-04-17T00:00:00"/>
    <n v="801024"/>
    <n v="0"/>
    <n v="76898304"/>
    <m/>
    <d v="2026-06-16T00:00:00"/>
    <x v="36"/>
    <n v="76898304"/>
    <m/>
    <s v="June26"/>
    <s v="Part/Full BOE received &amp; Unpaid"/>
    <s v="Unpaid"/>
    <s v="Received"/>
    <m/>
    <s v="Open"/>
    <x v="0"/>
    <n v="44028685576"/>
    <n v="7516000"/>
    <d v="2026-04-30T00:00:00"/>
    <x v="19"/>
    <m/>
    <m/>
    <s v="JUNCTION BOX"/>
  </r>
  <r>
    <n v="296"/>
    <n v="5600000395"/>
    <s v="0692626IM0Y00093"/>
    <d v="2026-04-08T00:00:00"/>
    <x v="0"/>
    <n v="0.1"/>
    <s v="ARVEE INTERNATIONAL PTE LTD"/>
    <s v="USD"/>
    <n v="1290476.82"/>
    <n v="0"/>
    <n v="1290476.82"/>
    <n v="94.920500000000004"/>
    <n v="122492704.99281001"/>
    <s v="Raw Material"/>
    <n v="55"/>
    <x v="0"/>
    <s v="HKJTGREW20260207-3"/>
    <d v="2026-04-21T00:00:00"/>
    <d v="2026-04-23T00:00:00"/>
    <d v="2026-03-26T00:00:00"/>
    <n v="1290476.82"/>
    <n v="0"/>
    <n v="122492704.99281001"/>
    <m/>
    <d v="2026-05-20T00:00:00"/>
    <x v="37"/>
    <n v="122492704.99281001"/>
    <m/>
    <s v="May26"/>
    <s v="BOE Received and Paid"/>
    <s v="Paid"/>
    <s v="Received"/>
    <d v="2026-05-20T00:00:00"/>
    <s v="Closed"/>
    <x v="2"/>
    <m/>
    <m/>
    <d v="2026-04-08T00:00:00"/>
    <x v="30"/>
    <m/>
    <m/>
    <s v="SOLAR CELLS"/>
  </r>
  <r>
    <n v="297"/>
    <n v="5600000462"/>
    <s v="0692626IM0Y00097"/>
    <d v="2026-04-15T00:00:00"/>
    <x v="0"/>
    <n v="0.1"/>
    <s v="ANHUI CSG NEW ENERGY MATERIAL TECHNOLOGY CO LTD"/>
    <s v="USD"/>
    <n v="1099800"/>
    <n v="0"/>
    <n v="1099800"/>
    <n v="96"/>
    <n v="105580800"/>
    <s v="Raw Material"/>
    <n v="45"/>
    <x v="0"/>
    <s v="SFG2604015-2"/>
    <d v="2026-05-11T00:00:00"/>
    <d v="2026-05-16T00:00:00"/>
    <d v="2026-04-21T00:00:00"/>
    <n v="274950"/>
    <n v="824850"/>
    <n v="26395200"/>
    <m/>
    <d v="2026-06-05T00:00:00"/>
    <x v="1"/>
    <m/>
    <m/>
    <s v="June26"/>
    <s v="Part/Full BOE received &amp; Unpaid"/>
    <s v="Unpaid"/>
    <s v="Received"/>
    <m/>
    <s v="Open"/>
    <x v="0"/>
    <n v="44803304283"/>
    <n v="10370000"/>
    <d v="2026-05-10T00:00:00"/>
    <x v="31"/>
    <m/>
    <m/>
    <s v=" GLASS"/>
  </r>
  <r>
    <m/>
    <n v="5600000462"/>
    <s v="0692626IM0Y00097"/>
    <d v="2026-04-15T00:00:00"/>
    <x v="0"/>
    <n v="0.1"/>
    <s v="ANHUI CSG NEW ENERGY MATERIAL TECHNOLOGY CO LTD"/>
    <s v="USD"/>
    <n v="0"/>
    <n v="0"/>
    <n v="0"/>
    <n v="96"/>
    <n v="0"/>
    <s v="Raw Material"/>
    <n v="45"/>
    <x v="0"/>
    <s v="SFG2604015-1"/>
    <d v="2026-05-12T00:00:00"/>
    <d v="2026-05-16T00:00:00"/>
    <d v="2026-04-21T00:00:00"/>
    <n v="412425"/>
    <n v="-412425"/>
    <n v="39592800"/>
    <m/>
    <d v="2026-06-05T00:00:00"/>
    <x v="1"/>
    <m/>
    <m/>
    <s v="June26"/>
    <s v="Part/Full BOE received &amp; Unpaid"/>
    <s v="Unpaid"/>
    <s v="Received"/>
    <m/>
    <s v="Open"/>
    <x v="0"/>
    <m/>
    <m/>
    <d v="2026-05-10T00:00:00"/>
    <x v="31"/>
    <m/>
    <m/>
    <s v=" GLASS"/>
  </r>
  <r>
    <m/>
    <n v="5600000462"/>
    <s v="0692626IM0Y00097"/>
    <d v="2026-04-15T00:00:00"/>
    <x v="0"/>
    <n v="0.1"/>
    <s v="ANHUI CSG NEW ENERGY MATERIAL TECHNOLOGY CO LTD"/>
    <s v="USD"/>
    <n v="0"/>
    <n v="0"/>
    <n v="0"/>
    <n v="96"/>
    <n v="0"/>
    <s v="Raw Material"/>
    <n v="45"/>
    <x v="0"/>
    <s v="SFG2604015-4"/>
    <d v="2026-05-18T00:00:00"/>
    <d v="2026-05-21T00:00:00"/>
    <d v="2026-05-06T00:00:00"/>
    <n v="274950"/>
    <n v="-274950"/>
    <n v="26395200"/>
    <m/>
    <d v="2026-06-22T00:00:00"/>
    <x v="1"/>
    <m/>
    <m/>
    <s v="June26"/>
    <s v="Part/Full BOE received &amp; Unpaid"/>
    <s v="Unpaid"/>
    <s v="Received"/>
    <m/>
    <s v="Open"/>
    <x v="0"/>
    <m/>
    <m/>
    <d v="2026-05-10T00:00:00"/>
    <x v="31"/>
    <m/>
    <m/>
    <s v=" GLASS"/>
  </r>
  <r>
    <m/>
    <n v="5600000462"/>
    <s v="0692626IM0Y00097"/>
    <d v="2026-04-15T00:00:00"/>
    <x v="0"/>
    <n v="0.1"/>
    <s v="ANHUI CSG NEW ENERGY MATERIAL TECHNOLOGY CO LTD"/>
    <s v="USD"/>
    <n v="0"/>
    <n v="0"/>
    <n v="0"/>
    <n v="96"/>
    <n v="0"/>
    <s v="Raw Material"/>
    <n v="45"/>
    <x v="0"/>
    <s v="SFG2604015-3"/>
    <d v="2026-05-26T00:00:00"/>
    <m/>
    <d v="2026-05-12T00:00:00"/>
    <n v="137475"/>
    <n v="-137475"/>
    <n v="13197600"/>
    <m/>
    <d v="2026-06-29T00:00:00"/>
    <x v="38"/>
    <n v="105580800"/>
    <m/>
    <s v="June26"/>
    <s v="Part/Full BOE received &amp; Unpaid"/>
    <s v="Unpaid"/>
    <s v="Received"/>
    <m/>
    <s v="Open"/>
    <x v="0"/>
    <m/>
    <m/>
    <d v="2026-05-10T00:00:00"/>
    <x v="31"/>
    <m/>
    <m/>
    <s v=" GLASS"/>
  </r>
  <r>
    <n v="298"/>
    <n v="5600000448"/>
    <s v="0692626IM0Y00098"/>
    <d v="2026-04-17T00:00:00"/>
    <x v="0"/>
    <n v="0.1"/>
    <s v="JIANGYIN HAIHONG NEW ENERGY TECHNOLOGY CO LTD"/>
    <s v="USD"/>
    <n v="978000"/>
    <n v="0"/>
    <n v="978000"/>
    <n v="96"/>
    <n v="93888000"/>
    <s v="Raw Material"/>
    <n v="60"/>
    <x v="0"/>
    <s v="H-GREW-260425"/>
    <d v="2026-05-12T00:00:00"/>
    <d v="2026-05-16T00:00:00"/>
    <d v="2026-05-04T00:00:00"/>
    <n v="489000"/>
    <n v="489000"/>
    <n v="46944000"/>
    <m/>
    <d v="2026-07-03T00:00:00"/>
    <x v="1"/>
    <m/>
    <m/>
    <s v="July26"/>
    <s v="Part/Full BOE received &amp; Unpaid"/>
    <s v="Unpaid"/>
    <s v="Received"/>
    <m/>
    <s v="Open"/>
    <x v="0"/>
    <n v="42896923356"/>
    <n v="9220000"/>
    <d v="2026-05-10T00:00:00"/>
    <x v="31"/>
    <m/>
    <m/>
    <s v="AL FRAME"/>
  </r>
  <r>
    <m/>
    <n v="5600000448"/>
    <s v="0692626IM0Y00098"/>
    <d v="2026-04-17T00:00:00"/>
    <x v="0"/>
    <n v="0.1"/>
    <s v="JIANGYIN HAIHONG NEW ENERGY TECHNOLOGY CO LTD"/>
    <s v="USD"/>
    <n v="0"/>
    <n v="0"/>
    <n v="0"/>
    <n v="96"/>
    <n v="0"/>
    <s v="Raw Material"/>
    <n v="60"/>
    <x v="0"/>
    <s v="H-GREW-260424"/>
    <d v="2026-05-18T00:00:00"/>
    <d v="2026-05-21T00:00:00"/>
    <d v="2026-05-08T00:00:00"/>
    <n v="489000"/>
    <n v="-489000"/>
    <n v="46944000"/>
    <m/>
    <d v="2026-07-07T00:00:00"/>
    <x v="39"/>
    <n v="93888000"/>
    <m/>
    <s v="July26"/>
    <s v="Part/Full BOE received &amp; Unpaid"/>
    <s v="Unpaid"/>
    <s v="Received"/>
    <m/>
    <s v="Open"/>
    <x v="0"/>
    <m/>
    <m/>
    <d v="2026-05-10T00:00:00"/>
    <x v="31"/>
    <m/>
    <m/>
    <s v="AL FRAME"/>
  </r>
  <r>
    <n v="299"/>
    <n v="5600000452"/>
    <s v="0692626IM0Y00099"/>
    <d v="2026-04-18T00:00:00"/>
    <x v="0"/>
    <n v="0.1"/>
    <s v="JIANGSU SULV PRECISION TECHNOLOGY CO LTD"/>
    <s v="USD"/>
    <n v="926100"/>
    <n v="0"/>
    <n v="926100"/>
    <n v="96"/>
    <n v="88905600"/>
    <s v="Raw Material"/>
    <n v="45"/>
    <x v="0"/>
    <s v="SL-GREW-2026-4-22"/>
    <d v="2026-05-12T00:00:00"/>
    <d v="2026-05-16T00:00:00"/>
    <d v="2026-04-28T00:00:00"/>
    <n v="463050"/>
    <n v="463050"/>
    <n v="44452800"/>
    <m/>
    <d v="2026-06-12T00:00:00"/>
    <x v="1"/>
    <m/>
    <m/>
    <s v="June26"/>
    <s v="Part/Full BOE received &amp; Unpaid"/>
    <s v="Unpaid"/>
    <s v="Received"/>
    <m/>
    <s v="Open"/>
    <x v="0"/>
    <n v="43607525170"/>
    <n v="4076000"/>
    <d v="2026-05-15T00:00:00"/>
    <x v="18"/>
    <m/>
    <m/>
    <s v="AL FRAME"/>
  </r>
  <r>
    <m/>
    <n v="5600000452"/>
    <s v="0692626IM0Y00099"/>
    <d v="2026-04-18T00:00:00"/>
    <x v="0"/>
    <n v="0.1"/>
    <s v="JIANGSU SULV PRECISION TECHNOLOGY CO LTD"/>
    <s v="USD"/>
    <n v="0"/>
    <n v="0"/>
    <n v="0"/>
    <n v="96"/>
    <n v="0"/>
    <s v="Raw Material"/>
    <n v="45"/>
    <x v="0"/>
    <s v="SL-GREW-2026-4-29"/>
    <d v="2026-05-26T00:00:00"/>
    <m/>
    <d v="2026-05-08T00:00:00"/>
    <n v="463050"/>
    <n v="-463050"/>
    <n v="44452800"/>
    <m/>
    <d v="2026-06-22T00:00:00"/>
    <x v="27"/>
    <n v="88905600"/>
    <m/>
    <s v="June26"/>
    <s v="Part/Full BOE received &amp; Unpaid"/>
    <s v="Unpaid"/>
    <s v="Received"/>
    <m/>
    <s v="Open"/>
    <x v="0"/>
    <n v="44803304283"/>
    <n v="4585000"/>
    <d v="2026-05-15T00:00:00"/>
    <x v="18"/>
    <m/>
    <m/>
    <s v="AL FRAME"/>
  </r>
  <r>
    <n v="300"/>
    <n v="5600000433"/>
    <s v="0692626IM0Y00100"/>
    <d v="2026-04-18T00:00:00"/>
    <x v="0"/>
    <n v="0.1"/>
    <s v="ARVEE INTERNATIONAL PTE LTD"/>
    <s v="USD"/>
    <n v="1357075.35"/>
    <n v="0"/>
    <n v="1357075.35"/>
    <n v="96"/>
    <n v="130279233.60000001"/>
    <s v="Raw Material"/>
    <n v="55"/>
    <x v="0"/>
    <s v="HKJTGREW20260312-1"/>
    <d v="2026-04-28T00:00:00"/>
    <d v="2026-05-01T00:00:00"/>
    <d v="2026-04-09T00:00:00"/>
    <n v="1357075.35"/>
    <n v="0"/>
    <n v="130279233.60000001"/>
    <m/>
    <d v="2026-06-03T00:00:00"/>
    <x v="40"/>
    <n v="130279233.60000001"/>
    <m/>
    <s v="June26"/>
    <s v="Part/Full BOE received &amp; Unpaid"/>
    <s v="Unpaid"/>
    <s v="Received"/>
    <m/>
    <s v="Open"/>
    <x v="1"/>
    <n v="44485511084"/>
    <n v="3217000"/>
    <d v="2026-04-24T00:00:00"/>
    <x v="14"/>
    <m/>
    <m/>
    <s v="SOLAR CELLS"/>
  </r>
  <r>
    <m/>
    <n v="5600000433"/>
    <s v="0692626IM0Y00100"/>
    <d v="2026-04-18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0"/>
    <n v="0"/>
    <n v="0"/>
    <m/>
    <d v="2026-06-03T00:00:00"/>
    <x v="1"/>
    <m/>
    <m/>
    <s v="June26"/>
    <s v="Part/Full BOE received &amp; Unpaid"/>
    <s v="Unpaid"/>
    <s v="Received"/>
    <m/>
    <s v="Open"/>
    <x v="0"/>
    <n v="44803304283"/>
    <n v="9475000"/>
    <d v="2026-04-24T00:00:00"/>
    <x v="14"/>
    <m/>
    <m/>
    <s v="SOLAR CELLS"/>
  </r>
  <r>
    <n v="301"/>
    <n v="5600000456"/>
    <s v="0692626IM0Y00101"/>
    <d v="2026-04-18T00:00:00"/>
    <x v="0"/>
    <n v="0.1"/>
    <s v="ZHEJIANG ZHONGHUAN SUNTER PV TECHNOLOGY CO. LTD"/>
    <s v="USD"/>
    <n v="600768"/>
    <n v="0"/>
    <n v="600768"/>
    <n v="96"/>
    <n v="57673728"/>
    <s v="Raw Material"/>
    <n v="60"/>
    <x v="2"/>
    <m/>
    <m/>
    <m/>
    <d v="2026-05-15T00:00:00"/>
    <n v="600768"/>
    <n v="0"/>
    <n v="57673728"/>
    <m/>
    <d v="2026-07-14T00:00:00"/>
    <x v="41"/>
    <n v="57673728"/>
    <m/>
    <s v="July26"/>
    <s v="BOE not received"/>
    <s v="Unpaid"/>
    <s v="Not Received"/>
    <m/>
    <s v="Open"/>
    <x v="0"/>
    <n v="42814707478"/>
    <n v="4164000"/>
    <d v="2026-05-15T00:00:00"/>
    <x v="18"/>
    <m/>
    <m/>
    <s v="JUNCTION BOX"/>
  </r>
  <r>
    <m/>
    <n v="5600000456"/>
    <s v="0692626IM0Y00101"/>
    <d v="2026-04-18T00:00:00"/>
    <x v="0"/>
    <n v="0.1"/>
    <s v="ZHEJIANG ZHONGHUAN SUNTER PV TECHNOLOGY CO. LTD"/>
    <s v="USD"/>
    <n v="0"/>
    <n v="0"/>
    <n v="0"/>
    <n v="96"/>
    <n v="0"/>
    <s v="Raw Material"/>
    <n v="60"/>
    <x v="1"/>
    <m/>
    <m/>
    <m/>
    <m/>
    <n v="0"/>
    <n v="0"/>
    <n v="0"/>
    <m/>
    <d v="2026-07-14T00:00:00"/>
    <x v="1"/>
    <m/>
    <m/>
    <s v="July26"/>
    <s v="BOE not received"/>
    <s v="Unpaid"/>
    <s v="Cancelled"/>
    <m/>
    <s v="Open"/>
    <x v="0"/>
    <n v="42840339454"/>
    <n v="1456000"/>
    <d v="2026-05-15T00:00:00"/>
    <x v="18"/>
    <m/>
    <m/>
    <s v="JUNCTION BOX"/>
  </r>
  <r>
    <n v="302"/>
    <n v="5600000396"/>
    <s v="261001FLCU00073"/>
    <d v="2026-04-20T00:00:00"/>
    <x v="1"/>
    <n v="0.1"/>
    <s v="ARVEE INTERNATIONAL PTE LTD"/>
    <s v="USD"/>
    <n v="1291989.45"/>
    <n v="0"/>
    <n v="1291989.45"/>
    <n v="95.12"/>
    <n v="122894036.484"/>
    <s v="Raw Material"/>
    <n v="55"/>
    <x v="0"/>
    <s v="HKJTGREW20260207-4"/>
    <d v="2026-04-28T00:00:00"/>
    <d v="2026-05-02T00:00:00"/>
    <d v="2026-03-28T00:00:00"/>
    <n v="1291989.45"/>
    <n v="0"/>
    <n v="122894036.484"/>
    <m/>
    <d v="2026-05-22T00:00:00"/>
    <x v="34"/>
    <n v="122894036.484"/>
    <m/>
    <s v="May26"/>
    <s v="BOE Received and Paid"/>
    <s v="Paid"/>
    <s v="Received"/>
    <d v="2026-05-22T00:00:00"/>
    <s v="Closed"/>
    <x v="3"/>
    <m/>
    <m/>
    <d v="2026-04-10T00:00:00"/>
    <x v="16"/>
    <m/>
    <m/>
    <s v="SOLAR CELLS"/>
  </r>
  <r>
    <n v="304"/>
    <n v="5600000468"/>
    <s v="261001FLCU00074"/>
    <d v="2026-04-21T00:00:00"/>
    <x v="1"/>
    <n v="0.1"/>
    <s v="YIBIN YINGFA DEYAO TECHNOLOGY CO. LTD"/>
    <s v="USD"/>
    <n v="511948.79999999999"/>
    <n v="0"/>
    <n v="511948.79999999999"/>
    <n v="96"/>
    <n v="49147084.799999997"/>
    <s v="Raw Material"/>
    <n v="60"/>
    <x v="3"/>
    <s v="YFDY26042701"/>
    <m/>
    <m/>
    <d v="2026-05-20T00:00:00"/>
    <n v="511948.79999999999"/>
    <n v="0"/>
    <n v="49147084.799999997"/>
    <m/>
    <d v="2026-07-19T00:00:00"/>
    <x v="42"/>
    <n v="49147084.799999997"/>
    <m/>
    <s v="July26"/>
    <s v="Part/Full BOE received &amp; Unpaid"/>
    <s v="Unpaid"/>
    <s v="Received"/>
    <m/>
    <s v="Open"/>
    <x v="0"/>
    <m/>
    <m/>
    <d v="2026-05-15T00:00:00"/>
    <x v="18"/>
    <m/>
    <m/>
    <s v="WAFFER"/>
  </r>
  <r>
    <n v="305"/>
    <n v="5600000472"/>
    <s v="261001FLCU00078"/>
    <d v="2026-04-27T00:00:00"/>
    <x v="1"/>
    <n v="0.1"/>
    <s v="SCENERGY TECHNOLOGY LTD,"/>
    <s v="USD"/>
    <n v="56576"/>
    <n v="0"/>
    <n v="56576"/>
    <n v="96"/>
    <n v="5431296"/>
    <s v="Raw Material"/>
    <n v="60"/>
    <x v="3"/>
    <s v="SCDLPGREW20260428"/>
    <m/>
    <m/>
    <d v="2026-05-12T00:00:00"/>
    <n v="56576"/>
    <n v="0"/>
    <n v="5431296"/>
    <m/>
    <d v="2026-07-11T00:00:00"/>
    <x v="43"/>
    <n v="5431296"/>
    <m/>
    <s v="July26"/>
    <s v="Part/Full BOE received &amp; Unpaid"/>
    <s v="Unpaid"/>
    <s v="Received"/>
    <m/>
    <s v="Open"/>
    <x v="0"/>
    <m/>
    <m/>
    <d v="2026-05-20T00:00:00"/>
    <x v="28"/>
    <m/>
    <m/>
    <s v="WAFFER"/>
  </r>
  <r>
    <n v="306"/>
    <n v="5600000449"/>
    <s v="0692626IM0Y00104"/>
    <d v="2026-04-29T00:00:00"/>
    <x v="0"/>
    <n v="0.1"/>
    <s v="FUTURE ALUMINUM NEW MATERIALS SDN BHD"/>
    <s v="USD"/>
    <n v="1107400"/>
    <n v="0"/>
    <n v="1107400"/>
    <n v="96"/>
    <n v="106310400"/>
    <s v="Raw Material"/>
    <n v="60"/>
    <x v="2"/>
    <m/>
    <m/>
    <m/>
    <d v="2026-05-31T00:00:00"/>
    <n v="1107400"/>
    <n v="0"/>
    <n v="106310400"/>
    <m/>
    <d v="2026-07-30T00:00:00"/>
    <x v="44"/>
    <n v="106310400"/>
    <m/>
    <s v="July26"/>
    <s v="BOE not received"/>
    <s v="Unpaid"/>
    <s v="Not Received"/>
    <m/>
    <s v="Open"/>
    <x v="0"/>
    <n v="44730457174"/>
    <n v="10570000"/>
    <d v="2026-05-31T00:00:00"/>
    <x v="32"/>
    <m/>
    <m/>
    <s v="AL FRAME"/>
  </r>
  <r>
    <n v="307"/>
    <n v="5600000432"/>
    <s v="0692626IM0Y00105"/>
    <d v="2026-04-29T00:00:00"/>
    <x v="0"/>
    <n v="0.1"/>
    <s v="ARVEE INTERNATIONAL PTE LTD"/>
    <s v="USD"/>
    <n v="2520343.42"/>
    <n v="0"/>
    <n v="2520343.42"/>
    <n v="96"/>
    <n v="241952968.31999999"/>
    <s v="Raw Material"/>
    <n v="55"/>
    <x v="0"/>
    <s v="HKJTGREW20260311-2 /HKJTGREW20260311-3"/>
    <d v="2026-05-11T00:00:00"/>
    <d v="2026-05-13T00:00:00"/>
    <d v="2026-04-17T00:00:00"/>
    <n v="2520342.9300000002"/>
    <n v="0.48999999975785613"/>
    <n v="241952921.28000003"/>
    <m/>
    <d v="2026-06-11T00:00:00"/>
    <x v="45"/>
    <n v="241952968.31999999"/>
    <m/>
    <s v="June26"/>
    <s v="Part/Full BOE received &amp; Unpaid"/>
    <s v="Unpaid"/>
    <s v="Received"/>
    <m/>
    <s v="Open"/>
    <x v="0"/>
    <n v="44730457174"/>
    <n v="24040000"/>
    <d v="2026-05-05T00:00:00"/>
    <x v="33"/>
    <m/>
    <m/>
    <s v="SOLAR CELLS"/>
  </r>
  <r>
    <m/>
    <n v="5600000432"/>
    <s v="0692626IM0Y00105"/>
    <d v="2026-04-29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0.49"/>
    <n v="-0.49"/>
    <n v="47.04"/>
    <m/>
    <d v="2026-06-11T00:00:00"/>
    <x v="1"/>
    <n v="0"/>
    <m/>
    <s v="June26"/>
    <s v="BOE not received"/>
    <s v="Unpaid"/>
    <s v="Cancelled"/>
    <m/>
    <s v="Open"/>
    <x v="0"/>
    <m/>
    <m/>
    <d v="2026-05-05T00:00:00"/>
    <x v="33"/>
    <m/>
    <m/>
    <s v="SOLAR CELLS"/>
  </r>
  <r>
    <n v="308"/>
    <n v="5600000433"/>
    <s v="0692626IM0Y00111"/>
    <d v="2026-05-01T00:00:00"/>
    <x v="0"/>
    <n v="0.1"/>
    <s v="ARVEE INTERNATIONAL PTE LTD"/>
    <s v="USD"/>
    <n v="1358963.51"/>
    <n v="0"/>
    <n v="1358963.51"/>
    <n v="96"/>
    <n v="130460496.96000001"/>
    <s v="Raw Material"/>
    <n v="55"/>
    <x v="0"/>
    <s v="HKJTGREW20260312-3"/>
    <d v="2026-05-15T00:00:00"/>
    <d v="2026-05-16T00:00:00"/>
    <d v="2026-04-23T00:00:00"/>
    <n v="1355332.44"/>
    <n v="3631.0700000000652"/>
    <n v="130111914.23999999"/>
    <m/>
    <d v="2026-06-17T00:00:00"/>
    <x v="15"/>
    <n v="130460496.96000001"/>
    <m/>
    <s v="June26"/>
    <s v="Part/Full BOE received &amp; Unpaid"/>
    <s v="Unpaid"/>
    <s v="Received"/>
    <m/>
    <s v="Open"/>
    <x v="0"/>
    <n v="43183823893"/>
    <n v="13065000"/>
    <d v="2026-05-05T00:00:00"/>
    <x v="33"/>
    <m/>
    <m/>
    <s v="SOLAR CELLS"/>
  </r>
  <r>
    <m/>
    <n v="5600000433"/>
    <s v="0692626IM0Y00111"/>
    <d v="2026-05-01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3631.07"/>
    <n v="-3631.07"/>
    <n v="348582.72000000003"/>
    <m/>
    <d v="2026-06-17T00:00:00"/>
    <x v="1"/>
    <m/>
    <m/>
    <s v="June26"/>
    <s v="BOE not received"/>
    <s v="Unpaid"/>
    <s v="Cancelled"/>
    <m/>
    <s v="Open"/>
    <x v="0"/>
    <m/>
    <m/>
    <d v="2026-05-05T00:00:00"/>
    <x v="33"/>
    <m/>
    <m/>
    <s v="SOLAR CELLS"/>
  </r>
  <r>
    <n v="309"/>
    <n v="5600000434"/>
    <s v="0692626IM0Y00110"/>
    <d v="2026-05-01T00:00:00"/>
    <x v="0"/>
    <n v="0.1"/>
    <s v="ARVEE INTERNATIONAL PTE LTD"/>
    <s v="USD"/>
    <n v="2716038.86"/>
    <n v="0"/>
    <n v="2716038.86"/>
    <n v="96"/>
    <n v="260739730.56"/>
    <s v="Raw Material"/>
    <n v="55"/>
    <x v="0"/>
    <s v="HKJTGREW20260312-2"/>
    <d v="2026-05-11T00:00:00"/>
    <d v="2026-05-13T00:00:00"/>
    <d v="2026-04-15T00:00:00"/>
    <n v="2026462.73"/>
    <n v="689576.12999999989"/>
    <n v="194540422.07999998"/>
    <m/>
    <d v="2026-06-09T00:00:00"/>
    <x v="1"/>
    <m/>
    <m/>
    <s v="June26"/>
    <s v="Part/Full BOE received &amp; Unpaid"/>
    <s v="Unpaid"/>
    <s v="Received"/>
    <m/>
    <s v="Open"/>
    <x v="0"/>
    <n v="42461936258"/>
    <n v="1268000"/>
    <d v="2026-05-05T00:00:00"/>
    <x v="33"/>
    <m/>
    <m/>
    <s v="SOLAR CELLS"/>
  </r>
  <r>
    <m/>
    <n v="5600000434"/>
    <s v="0692626IM0Y00110"/>
    <d v="2026-05-01T00:00:00"/>
    <x v="0"/>
    <n v="0.1"/>
    <s v="ARVEE INTERNATIONAL PTE LTD"/>
    <s v="USD"/>
    <n v="0"/>
    <n v="0"/>
    <n v="0"/>
    <n v="96"/>
    <n v="0"/>
    <s v="Raw Material"/>
    <n v="55"/>
    <x v="0"/>
    <s v="HKJTGREW20260324-1"/>
    <d v="2026-05-15T00:00:00"/>
    <d v="2026-05-16T00:00:00"/>
    <d v="2026-04-21T00:00:00"/>
    <n v="677484.99"/>
    <n v="-677484.99"/>
    <n v="65038559.039999999"/>
    <m/>
    <d v="2026-06-15T00:00:00"/>
    <x v="16"/>
    <n v="260739730.56"/>
    <m/>
    <s v="June26"/>
    <s v="Part/Full BOE received &amp; Unpaid"/>
    <s v="Unpaid"/>
    <s v="Received"/>
    <m/>
    <s v="Open"/>
    <x v="0"/>
    <n v="44028685576"/>
    <n v="2652000"/>
    <d v="2026-05-05T00:00:00"/>
    <x v="33"/>
    <m/>
    <m/>
    <s v="SOLAR CELLS"/>
  </r>
  <r>
    <m/>
    <n v="5600000434"/>
    <s v="0692626IM0Y00110"/>
    <d v="2026-05-01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12091.14"/>
    <n v="-12091.14"/>
    <n v="1160749.44"/>
    <m/>
    <d v="2026-06-15T00:00:00"/>
    <x v="1"/>
    <m/>
    <m/>
    <s v="June26"/>
    <s v="BOE not received"/>
    <s v="Unpaid"/>
    <s v="Cancelled"/>
    <m/>
    <s v="Open"/>
    <x v="0"/>
    <n v="44857149620"/>
    <n v="22190000"/>
    <d v="2026-05-05T00:00:00"/>
    <x v="33"/>
    <m/>
    <m/>
    <s v="SOLAR CELLS"/>
  </r>
  <r>
    <n v="310"/>
    <n v="5600000431"/>
    <s v="0692626IM0Y00112"/>
    <d v="2026-05-02T00:00:00"/>
    <x v="0"/>
    <n v="0.1"/>
    <s v="ARVEE INTERNATIONAL PTE LTD"/>
    <s v="USD"/>
    <n v="3123679.2"/>
    <n v="0"/>
    <n v="3123679.2"/>
    <n v="96"/>
    <n v="299873203.20000005"/>
    <s v="Raw Material"/>
    <n v="55"/>
    <x v="0"/>
    <s v="HKJTGREW20260311-1"/>
    <d v="2026-05-08T00:00:00"/>
    <d v="2026-05-12T00:00:00"/>
    <d v="2026-04-14T00:00:00"/>
    <n v="1247949.3600000001"/>
    <n v="1875729.84"/>
    <n v="119803138.56"/>
    <m/>
    <d v="2026-06-08T00:00:00"/>
    <x v="1"/>
    <m/>
    <m/>
    <s v="June26"/>
    <s v="Part/Full BOE received &amp; Unpaid"/>
    <s v="Unpaid"/>
    <s v="Received"/>
    <m/>
    <s v="Open"/>
    <x v="0"/>
    <n v="44707855866"/>
    <n v="20000000"/>
    <d v="2026-05-05T00:00:00"/>
    <x v="33"/>
    <m/>
    <m/>
    <s v="SOLAR CELLS"/>
  </r>
  <r>
    <m/>
    <n v="5600000431"/>
    <s v="0692626IM0Y00112"/>
    <d v="2026-05-02T00:00:00"/>
    <x v="0"/>
    <n v="0.1"/>
    <s v="ARVEE INTERNATIONAL PTE LTD"/>
    <s v="USD"/>
    <n v="0"/>
    <n v="0"/>
    <n v="0"/>
    <n v="96"/>
    <n v="0"/>
    <s v="Raw Material"/>
    <n v="55"/>
    <x v="0"/>
    <s v="HKJTGREW20260311-4"/>
    <d v="2026-05-08T00:00:00"/>
    <d v="2026-05-12T00:00:00"/>
    <d v="2026-04-15T00:00:00"/>
    <n v="1875079.27"/>
    <n v="-1875079.27"/>
    <n v="180007609.92000002"/>
    <m/>
    <d v="2026-06-12T00:00:00"/>
    <x v="20"/>
    <n v="299873203.20000005"/>
    <m/>
    <s v="June26"/>
    <s v="Part/Full BOE received &amp; Unpaid"/>
    <s v="Unpaid"/>
    <s v="Received"/>
    <m/>
    <s v="Open"/>
    <x v="0"/>
    <n v="42461936258"/>
    <n v="25000"/>
    <d v="2026-05-05T00:00:00"/>
    <x v="33"/>
    <m/>
    <m/>
    <s v="SOLAR CELLS"/>
  </r>
  <r>
    <m/>
    <n v="5600000431"/>
    <s v="0692626IM0Y00112"/>
    <d v="2026-05-02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650.57000000000005"/>
    <n v="-650.57000000000005"/>
    <n v="62454.720000000001"/>
    <m/>
    <d v="2026-06-12T00:00:00"/>
    <x v="1"/>
    <n v="0"/>
    <m/>
    <s v="June26"/>
    <s v="BOE not received"/>
    <s v="Unpaid"/>
    <s v="Cancelled"/>
    <m/>
    <s v="Open"/>
    <x v="0"/>
    <n v="44321009525"/>
    <n v="10000000"/>
    <d v="2026-05-05T00:00:00"/>
    <x v="33"/>
    <m/>
    <m/>
    <s v="SOLAR CELLS"/>
  </r>
  <r>
    <n v="311"/>
    <n v="5600000476"/>
    <s v="0692626IM0Y00116"/>
    <d v="2026-05-11T00:00:00"/>
    <x v="0"/>
    <n v="0.1"/>
    <s v="SHANGHAI XINZHUOZHUANG PRINTING TECHNOLOGY CO LTD"/>
    <s v="USD"/>
    <n v="66084"/>
    <n v="0"/>
    <n v="66084"/>
    <n v="96"/>
    <n v="6344064"/>
    <s v="Raw Material"/>
    <n v="30"/>
    <x v="3"/>
    <s v="GREW-XZZ2026051201"/>
    <m/>
    <m/>
    <d v="2026-05-24T00:00:00"/>
    <n v="66084"/>
    <n v="0"/>
    <n v="6344064"/>
    <m/>
    <d v="2026-06-23T00:00:00"/>
    <x v="46"/>
    <n v="6344064"/>
    <m/>
    <s v="June26"/>
    <s v="Part/Full BOE received &amp; Unpaid"/>
    <s v="Unpaid"/>
    <s v="Received"/>
    <m/>
    <s v="Open"/>
    <x v="0"/>
    <n v="43607525170"/>
    <n v="640000"/>
    <d v="2026-06-10T00:00:00"/>
    <x v="34"/>
    <m/>
    <m/>
    <s v="BUSBAR AND FINGER"/>
  </r>
  <r>
    <n v="312"/>
    <n v="5600000477"/>
    <s v="0692626IM0Y00117"/>
    <d v="2026-05-15T00:00:00"/>
    <x v="0"/>
    <n v="0.1"/>
    <s v="FUSION MATERIAL TECHNOLOGY LTD"/>
    <s v="USD"/>
    <n v="559435"/>
    <n v="0"/>
    <n v="559435"/>
    <n v="96"/>
    <n v="53705760"/>
    <s v="Raw Material"/>
    <n v="30"/>
    <x v="2"/>
    <m/>
    <m/>
    <m/>
    <d v="2026-06-15T00:00:00"/>
    <n v="559435"/>
    <n v="0"/>
    <n v="53705760"/>
    <m/>
    <d v="2026-07-15T00:00:00"/>
    <x v="47"/>
    <n v="53705760"/>
    <m/>
    <s v="July26"/>
    <s v="BOE not received"/>
    <s v="Unpaid"/>
    <s v="Not Received"/>
    <m/>
    <s v="Open"/>
    <x v="0"/>
    <n v="44803304283"/>
    <n v="5380000"/>
    <d v="2026-06-15T00:00:00"/>
    <x v="35"/>
    <m/>
    <m/>
    <s v="SILVER PASTE"/>
  </r>
  <r>
    <n v="313"/>
    <n v="5600000467"/>
    <s v="261001FLCU00082"/>
    <d v="2026-05-15T00:00:00"/>
    <x v="1"/>
    <n v="0.1"/>
    <s v="LONGI HK TRADING LIMITED"/>
    <s v="USD"/>
    <n v="235200"/>
    <n v="0"/>
    <n v="235200"/>
    <n v="96"/>
    <n v="22579200"/>
    <s v="Raw Material"/>
    <n v="60"/>
    <x v="2"/>
    <m/>
    <m/>
    <m/>
    <d v="2026-06-15T00:00:00"/>
    <n v="235200"/>
    <n v="0"/>
    <n v="22579200"/>
    <m/>
    <d v="2026-08-14T00:00:00"/>
    <x v="48"/>
    <n v="22579200"/>
    <m/>
    <s v="August26"/>
    <s v="BOE not received"/>
    <s v="Unpaid"/>
    <s v="Not Received"/>
    <m/>
    <s v="Open"/>
    <x v="0"/>
    <m/>
    <m/>
    <d v="2026-06-15T00:00:00"/>
    <x v="35"/>
    <m/>
    <m/>
    <s v="CLASS N-TYPE SIDE LENGTH 210MM"/>
  </r>
  <r>
    <n v="314"/>
    <n v="1400000931"/>
    <s v="261001FLCU00083"/>
    <d v="2026-05-15T00:00:00"/>
    <x v="1"/>
    <n v="0.1"/>
    <s v="SHANGHAI YANG ER IMPORT AND EXPORT CO.LTD"/>
    <s v="USD"/>
    <n v="66880"/>
    <n v="0"/>
    <n v="66880"/>
    <n v="96"/>
    <n v="6420480"/>
    <s v="Spares"/>
    <n v="60"/>
    <x v="2"/>
    <m/>
    <m/>
    <m/>
    <d v="2026-06-20T00:00:00"/>
    <n v="66880"/>
    <n v="0"/>
    <n v="6420480"/>
    <m/>
    <d v="2026-08-19T00:00:00"/>
    <x v="49"/>
    <n v="6420480"/>
    <m/>
    <s v="August26"/>
    <s v="BOE not received"/>
    <s v="Unpaid"/>
    <s v="Not Received"/>
    <m/>
    <s v="Open"/>
    <x v="0"/>
    <m/>
    <m/>
    <d v="2026-06-20T00:00:00"/>
    <x v="36"/>
    <m/>
    <m/>
    <s v="LAMINATE FRAME"/>
  </r>
  <r>
    <m/>
    <m/>
    <m/>
    <m/>
    <x v="3"/>
    <m/>
    <m/>
    <m/>
    <m/>
    <m/>
    <m/>
    <m/>
    <m/>
    <m/>
    <m/>
    <x v="4"/>
    <m/>
    <m/>
    <m/>
    <m/>
    <m/>
    <m/>
    <m/>
    <m/>
    <m/>
    <x v="1"/>
    <m/>
    <m/>
    <m/>
    <m/>
    <m/>
    <m/>
    <m/>
    <m/>
    <x v="0"/>
    <m/>
    <m/>
    <m/>
    <x v="4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n v="191"/>
    <n v="5600000355"/>
    <s v="0692625IM0Y00380"/>
    <d v="2025-12-18T00:00:00"/>
    <x v="0"/>
    <n v="0.1"/>
    <s v="JIETAI NEW ENERGY TECHNOLOGY (HK) LIMITED"/>
    <s v="USD"/>
    <n v="1870000"/>
    <n v="526966"/>
    <n v="1343034"/>
    <n v="95.12"/>
    <n v="127749394.08000001"/>
    <s v="Raw Material"/>
    <n v="60"/>
    <x v="0"/>
    <s v="HKCE-GREW-20260210"/>
    <d v="2026-03-03T00:00:00"/>
    <d v="2026-03-05T00:00:00"/>
    <d v="2026-02-14T00:00:00"/>
    <n v="1333841.04"/>
    <n v="9192.9599999999627"/>
    <n v="126874959.72480001"/>
    <n v="874434.3551999965"/>
    <d v="2026-04-15T00:00:00"/>
    <x v="0"/>
    <n v="127749394.08000001"/>
    <d v="2026-03-19T00:00:00"/>
    <s v="April26"/>
    <s v="BOE Received and Paid"/>
    <s v="Paid"/>
    <s v="Received"/>
    <d v="2026-04-15T00:00:00"/>
    <s v="Closed"/>
    <x v="0"/>
    <n v="44321009525"/>
    <n v="10000000"/>
    <d v="2026-02-20T00:00:00"/>
    <x v="0"/>
    <n v="7833669"/>
    <d v="2026-04-15T00:00:00"/>
    <s v="SOLAR CELLS"/>
  </r>
  <r>
    <m/>
    <n v="5600000355"/>
    <s v="0692625IM0Y00380"/>
    <d v="2025-12-18T00:00:00"/>
    <x v="0"/>
    <n v="0.1"/>
    <s v="JIETAI NEW ENERGY TECHNOLOGY (HK) LIMITED"/>
    <s v="USD"/>
    <n v="0"/>
    <n v="0"/>
    <n v="0"/>
    <n v="92.42"/>
    <n v="0"/>
    <s v="Raw Material"/>
    <n v="60"/>
    <x v="1"/>
    <m/>
    <m/>
    <m/>
    <m/>
    <n v="9192.9599999999991"/>
    <n v="-9192.9599999999991"/>
    <n v="849613.36319999991"/>
    <n v="-849613.36319999991"/>
    <d v="2026-04-15T00:00:00"/>
    <x v="1"/>
    <n v="0"/>
    <m/>
    <s v="April26"/>
    <s v="LC Cancelled"/>
    <s v="Paid"/>
    <s v="Cancelled"/>
    <d v="2026-04-15T00:00:00"/>
    <s v="Closed"/>
    <x v="0"/>
    <n v="44730457174"/>
    <n v="7050000"/>
    <d v="2026-02-20T00:00:00"/>
    <x v="0"/>
    <m/>
    <m/>
    <s v="SOLAR CELLS"/>
  </r>
  <r>
    <n v="192"/>
    <n v="5600000355"/>
    <s v="0692625IM0Y00379"/>
    <d v="2025-12-18T00:00:00"/>
    <x v="0"/>
    <n v="0.1"/>
    <s v="JIETAI NEW ENERGY TECHNOLOGY (HK) LIMITED"/>
    <s v="USD"/>
    <n v="1343034"/>
    <n v="0"/>
    <n v="1343034"/>
    <n v="95.12"/>
    <n v="127749394.08000001"/>
    <s v="Raw Material"/>
    <n v="60"/>
    <x v="0"/>
    <s v="HKCE-GREW-20260203-2"/>
    <d v="2026-03-05T00:00:00"/>
    <d v="2026-03-11T00:00:00"/>
    <d v="2026-01-31T00:00:00"/>
    <n v="1339478.9099999999"/>
    <n v="3555.0900000000838"/>
    <n v="127411233.9192"/>
    <n v="338160.16080000799"/>
    <d v="2026-04-13T00:00:00"/>
    <x v="2"/>
    <n v="127749394.08000001"/>
    <d v="2026-03-16T00:00:00"/>
    <s v="April26"/>
    <s v="BOE Received and Paid"/>
    <s v="Paid"/>
    <s v="Received"/>
    <d v="2026-04-13T00:00:00"/>
    <s v="Closed"/>
    <x v="0"/>
    <n v="43630359430"/>
    <n v="10900000"/>
    <d v="2026-02-20T00:00:00"/>
    <x v="0"/>
    <n v="7972021"/>
    <d v="2026-04-13T00:00:00"/>
    <s v="SOLAR CELLS"/>
  </r>
  <r>
    <m/>
    <n v="5600000355"/>
    <s v="0692625IM0Y00379"/>
    <d v="2025-12-18T00:00:00"/>
    <x v="0"/>
    <n v="0.1"/>
    <s v="JIETAI NEW ENERGY TECHNOLOGY (HK) LIMITED"/>
    <s v="USD"/>
    <n v="0"/>
    <n v="0"/>
    <n v="0"/>
    <n v="95.12"/>
    <n v="0"/>
    <s v="Raw Material"/>
    <n v="60"/>
    <x v="1"/>
    <m/>
    <m/>
    <m/>
    <m/>
    <n v="3555.09"/>
    <n v="-3555.09"/>
    <n v="338160.16080000001"/>
    <n v="-338160.16080000001"/>
    <d v="2026-04-13T00:00:00"/>
    <x v="1"/>
    <n v="0"/>
    <m/>
    <s v="April26"/>
    <s v="LC Cancelled"/>
    <s v="Paid"/>
    <s v="Cancelled"/>
    <d v="2026-04-13T00:00:00"/>
    <s v="Closed"/>
    <x v="0"/>
    <n v="43607525170"/>
    <n v="6150000"/>
    <d v="2026-02-20T00:00:00"/>
    <x v="0"/>
    <m/>
    <m/>
    <s v="SOLAR CELLS"/>
  </r>
  <r>
    <n v="193"/>
    <s v="5600000355/388"/>
    <s v="0692625IM0Y00377"/>
    <d v="2025-12-18T00:00:00"/>
    <x v="0"/>
    <n v="0.1"/>
    <s v="JIETAI NEW ENERGY TECHNOLOGY (HK) LIMITED"/>
    <s v="USD"/>
    <n v="2014551"/>
    <n v="0"/>
    <n v="2014551"/>
    <n v="95.12"/>
    <n v="191624091.12"/>
    <s v="Raw Material"/>
    <n v="60"/>
    <x v="0"/>
    <s v="HKCE-GREW-20260205-1/2/3 ,&amp; HKCE-GREW-20260209-1/2/3/4/5/6"/>
    <d v="2026-03-06T00:00:00"/>
    <d v="2026-03-11T00:00:00"/>
    <d v="2026-01-31T00:00:00"/>
    <n v="2007440.82"/>
    <n v="7110.1799999999348"/>
    <n v="190947770.79840001"/>
    <n v="676320.32159999385"/>
    <d v="2026-04-10T00:00:00"/>
    <x v="3"/>
    <n v="191624091.12"/>
    <d v="2026-03-17T00:00:00"/>
    <s v="April26"/>
    <s v="BOE Received and Paid"/>
    <s v="Paid"/>
    <s v="Received"/>
    <d v="2026-04-10T00:00:00"/>
    <s v="Closed"/>
    <x v="0"/>
    <n v="44730457174"/>
    <n v="17050000"/>
    <d v="2026-02-20T00:00:00"/>
    <x v="1"/>
    <s v="7466829 / 7457784 /7476535 /7606483 /7605503 /7607504 / 7607501 / 7601470 /7601488"/>
    <d v="2026-04-10T00:00:00"/>
    <s v="SOLAR CELLS"/>
  </r>
  <r>
    <m/>
    <s v="5600000355/388"/>
    <s v="0692625IM0Y00377"/>
    <d v="2025-12-18T00:00:00"/>
    <x v="0"/>
    <n v="0.1"/>
    <s v="JIETAI NEW ENERGY TECHNOLOGY (HK) LIMITED"/>
    <s v="USD"/>
    <n v="0"/>
    <n v="0"/>
    <n v="0"/>
    <n v="95.12"/>
    <n v="0"/>
    <s v="Raw Material"/>
    <n v="60"/>
    <x v="1"/>
    <m/>
    <m/>
    <m/>
    <m/>
    <n v="7110.18"/>
    <n v="-7110.18"/>
    <n v="676320.32160000002"/>
    <n v="-676320.32160000002"/>
    <d v="2026-04-10T00:00:00"/>
    <x v="3"/>
    <n v="0"/>
    <m/>
    <s v="April26"/>
    <s v="LC Cancelled"/>
    <s v="Paid"/>
    <s v="Cancelled"/>
    <d v="2026-04-10T00:00:00"/>
    <s v="Closed"/>
    <x v="0"/>
    <n v="44730457174"/>
    <n v="17050000"/>
    <d v="2026-02-20T00:00:00"/>
    <x v="1"/>
    <m/>
    <m/>
    <s v="SOLAR CELLS"/>
  </r>
  <r>
    <n v="195"/>
    <s v="5600000355/388"/>
    <s v="0692625IM0Y00378"/>
    <d v="2025-12-19T00:00:00"/>
    <x v="0"/>
    <n v="0.1"/>
    <s v="JIETAI NEW ENERGY TECHNOLOGY (HK) LIMITED"/>
    <s v="USD"/>
    <n v="1343034"/>
    <n v="0"/>
    <n v="1343034"/>
    <n v="95.12"/>
    <n v="127749394.08000001"/>
    <s v="Raw Material"/>
    <n v="60"/>
    <x v="0"/>
    <s v="HKCE-GREW-20260203-1"/>
    <d v="2026-03-05T00:00:00"/>
    <d v="2026-03-13T00:00:00"/>
    <d v="2026-02-10T00:00:00"/>
    <n v="1339909.83"/>
    <n v="3124.1699999999255"/>
    <n v="127452223.02960001"/>
    <n v="297171.05039999291"/>
    <d v="2026-04-13T00:00:00"/>
    <x v="2"/>
    <n v="127749394.08000001"/>
    <d v="2026-03-16T00:00:00"/>
    <s v="April26"/>
    <s v="BOE Received and Paid"/>
    <s v="Paid"/>
    <s v="Received"/>
    <d v="2026-04-13T00:00:00"/>
    <s v="Closed"/>
    <x v="0"/>
    <m/>
    <m/>
    <d v="2026-02-20T00:00:00"/>
    <x v="0"/>
    <n v="7972143"/>
    <d v="2026-04-13T00:00:00"/>
    <s v="SOLAR CELLS"/>
  </r>
  <r>
    <m/>
    <s v="5600000355/388"/>
    <s v="0692625IM0Y00378"/>
    <d v="2025-12-19T00:00:00"/>
    <x v="0"/>
    <n v="0.1"/>
    <s v="JIETAI NEW ENERGY TECHNOLOGY (HK) LIMITED"/>
    <s v="USD"/>
    <n v="0"/>
    <n v="0"/>
    <n v="0"/>
    <n v="95.12"/>
    <n v="0"/>
    <s v="Raw Material"/>
    <n v="60"/>
    <x v="1"/>
    <m/>
    <m/>
    <m/>
    <m/>
    <n v="3124.17"/>
    <n v="-3124.17"/>
    <n v="297171.05040000001"/>
    <n v="-297171.05040000001"/>
    <d v="2026-04-13T00:00:00"/>
    <x v="2"/>
    <n v="0"/>
    <m/>
    <s v="April26"/>
    <s v="LC Cancelled"/>
    <s v="Paid"/>
    <s v="Cancelled"/>
    <d v="2026-04-13T00:00:00"/>
    <s v="Closed"/>
    <x v="0"/>
    <m/>
    <m/>
    <d v="2026-02-20T00:00:00"/>
    <x v="0"/>
    <m/>
    <m/>
    <s v="SOLAR CELLS"/>
  </r>
  <r>
    <n v="197"/>
    <n v="5600000351"/>
    <s v="0692625IM0Y00381"/>
    <d v="2025-12-20T00:00:00"/>
    <x v="0"/>
    <n v="0.1"/>
    <s v="FIRST MATERIAL SCIENCE (THAILAND) CO LTD"/>
    <s v="USD"/>
    <n v="447499.47"/>
    <n v="0"/>
    <n v="447499.47"/>
    <n v="95.12"/>
    <n v="42566149.586400002"/>
    <s v="Raw Material"/>
    <n v="60"/>
    <x v="0"/>
    <s v="MSBT250577-1"/>
    <d v="2026-01-29T00:00:00"/>
    <d v="2026-02-05T00:00:00"/>
    <d v="2026-01-15T00:00:00"/>
    <n v="149166.49"/>
    <n v="298332.98"/>
    <n v="14188716.5288"/>
    <n v="28377433.057599999"/>
    <d v="2026-03-16T00:00:00"/>
    <x v="1"/>
    <m/>
    <d v="2026-03-11T00:00:00"/>
    <s v="March26"/>
    <s v="BOE Received and Paid"/>
    <s v="Paid"/>
    <s v="Received"/>
    <d v="2026-04-15T00:00:00"/>
    <s v="Closed"/>
    <x v="0"/>
    <m/>
    <m/>
    <d v="2026-01-31T00:00:00"/>
    <x v="2"/>
    <n v="7970293"/>
    <d v="2026-03-16T00:00:00"/>
    <s v=" EVA FILM"/>
  </r>
  <r>
    <m/>
    <n v="5600000351"/>
    <s v="0692625IM0Y00381"/>
    <d v="2025-12-20T00:00:00"/>
    <x v="0"/>
    <n v="0.1"/>
    <s v="FIRST MATERIAL SCIENCE (THAILAND) CO LTD"/>
    <s v="USD"/>
    <n v="0"/>
    <n v="0"/>
    <n v="0"/>
    <n v="95.12"/>
    <n v="0"/>
    <s v="Raw Material"/>
    <n v="60"/>
    <x v="0"/>
    <s v="MSBT250577-2"/>
    <d v="2026-03-03T00:00:00"/>
    <d v="2026-03-11T00:00:00"/>
    <d v="2026-02-13T00:00:00"/>
    <n v="298332.98"/>
    <n v="-298332.98"/>
    <n v="28377433.057599999"/>
    <n v="-28377433.057599999"/>
    <d v="2026-04-15T00:00:00"/>
    <x v="0"/>
    <n v="42566149.586400002"/>
    <d v="2026-03-18T00:00:00"/>
    <s v="April26"/>
    <s v="BOE Received and Paid"/>
    <s v="Paid"/>
    <s v="Received"/>
    <d v="2026-04-15T00:00:00"/>
    <s v="Closed"/>
    <x v="0"/>
    <m/>
    <m/>
    <d v="2026-01-31T00:00:00"/>
    <x v="2"/>
    <n v="8017928"/>
    <d v="2026-04-15T00:00:00"/>
    <s v=" EVA FILM"/>
  </r>
  <r>
    <n v="205"/>
    <n v="1400000398"/>
    <s v="0692626IM0Y00002"/>
    <d v="2026-01-05T00:00:00"/>
    <x v="0"/>
    <n v="1"/>
    <s v="GNBS ECO CO. LTD"/>
    <s v="USD"/>
    <n v="1260000"/>
    <n v="0"/>
    <n v="1260000"/>
    <n v="91.456000000000003"/>
    <n v="115234560"/>
    <s v="CAPEX"/>
    <n v="180"/>
    <x v="0"/>
    <s v="GNBS-20260109-02"/>
    <d v="2026-02-17T00:00:00"/>
    <d v="2026-02-24T00:00:00"/>
    <d v="2026-01-31T00:00:00"/>
    <n v="1260000"/>
    <n v="0"/>
    <n v="0"/>
    <n v="0"/>
    <d v="2026-07-30T00:00:00"/>
    <x v="1"/>
    <m/>
    <m/>
    <s v="July26"/>
    <s v="Part/Full BOE received &amp; Unpaid"/>
    <s v="Unpaid"/>
    <s v="Received"/>
    <m/>
    <s v="Open"/>
    <x v="0"/>
    <n v="44794347236"/>
    <n v="117180000"/>
    <d v="2026-01-31T00:00:00"/>
    <x v="3"/>
    <m/>
    <m/>
    <s v="GNBS PLASMA AND WET GAS ABATEMENT SYSTEM"/>
  </r>
  <r>
    <n v="210"/>
    <n v="5600000341"/>
    <s v="0692626IM0Y00012"/>
    <d v="2026-01-09T00:00:00"/>
    <x v="0"/>
    <n v="0.1"/>
    <s v="XINYI PV PRODUCTS (ANHUI) HOLDINGSLTD"/>
    <s v="USD"/>
    <n v="608985"/>
    <n v="0"/>
    <n v="608985"/>
    <n v="95.12"/>
    <n v="57926653.200000003"/>
    <s v="Raw Material"/>
    <n v="60"/>
    <x v="0"/>
    <s v="4206010068/70"/>
    <d v="2026-02-10T00:00:00"/>
    <d v="2026-02-12T00:00:00"/>
    <d v="2026-01-24T00:00:00"/>
    <n v="405990"/>
    <n v="202995"/>
    <n v="38617768.800000004"/>
    <n v="19308884.400000002"/>
    <d v="2026-03-25T00:00:00"/>
    <x v="1"/>
    <m/>
    <d v="2026-03-21T00:00:00"/>
    <s v="March26"/>
    <s v="BOE Received and Paid"/>
    <s v="Paid"/>
    <s v="Received"/>
    <d v="2026-04-02T00:00:00"/>
    <s v="Closed"/>
    <x v="0"/>
    <n v="44730457174"/>
    <m/>
    <d v="2026-02-21T00:00:00"/>
    <x v="4"/>
    <s v="7770706 /8126350"/>
    <d v="2026-03-25T00:00:00"/>
    <s v=" GLASS"/>
  </r>
  <r>
    <m/>
    <n v="5600000341"/>
    <s v="0692626IM0Y00012"/>
    <d v="2026-01-09T00:00:00"/>
    <x v="0"/>
    <n v="0.1"/>
    <s v="XINYI PV PRODUCTS (ANHUI) HOLDINGSLTD"/>
    <s v="USD"/>
    <m/>
    <n v="0"/>
    <n v="0"/>
    <n v="95.12"/>
    <n v="0"/>
    <s v="Raw Material"/>
    <n v="60"/>
    <x v="0"/>
    <s v="42026010071/2"/>
    <d v="2026-02-17T00:00:00"/>
    <d v="2026-02-24T00:00:00"/>
    <d v="2026-02-01T00:00:00"/>
    <n v="202995"/>
    <n v="-202995"/>
    <n v="19308884.400000002"/>
    <n v="-19308884.400000002"/>
    <d v="2026-04-02T00:00:00"/>
    <x v="4"/>
    <n v="57926653.200000003"/>
    <m/>
    <s v="April26"/>
    <s v="BOE Received and Paid"/>
    <s v="Paid"/>
    <s v="Received"/>
    <d v="2026-04-02T00:00:00"/>
    <s v="Closed"/>
    <x v="0"/>
    <n v="44730457174"/>
    <m/>
    <d v="2026-01-31T00:00:00"/>
    <x v="2"/>
    <s v="8102852 / 8102856"/>
    <d v="2026-04-02T00:00:00"/>
    <s v=" GLASS"/>
  </r>
  <r>
    <n v="211"/>
    <n v="5600000349"/>
    <s v="0692626IM0Y00011"/>
    <d v="2026-01-09T00:00:00"/>
    <x v="0"/>
    <n v="0.1"/>
    <s v="FIRST MATERIAL SCIENCE (THAILAND) CO LTD"/>
    <s v="USD"/>
    <n v="930251.17"/>
    <n v="0"/>
    <n v="930251.17"/>
    <n v="95.12"/>
    <n v="88485491.290400013"/>
    <s v="Raw Material"/>
    <n v="60"/>
    <x v="0"/>
    <s v="MSBT250575-3"/>
    <d v="2026-03-05T00:00:00"/>
    <d v="2026-03-13T00:00:00"/>
    <d v="2026-02-21T00:00:00"/>
    <n v="310083.71999999997"/>
    <n v="620167.45000000007"/>
    <n v="29495163.446399998"/>
    <n v="58990327.844000012"/>
    <d v="2026-04-22T00:00:00"/>
    <x v="1"/>
    <m/>
    <d v="2026-03-26T00:00:00"/>
    <s v="April26"/>
    <s v="BOE Received and Paid"/>
    <s v="Paid"/>
    <s v="Received"/>
    <d v="2026-05-04T00:00:00"/>
    <s v="Closed"/>
    <x v="0"/>
    <n v="44730457174"/>
    <n v="8465000"/>
    <d v="2026-02-15T00:00:00"/>
    <x v="5"/>
    <n v="7983882"/>
    <d v="2026-04-22T00:00:00"/>
    <s v=" EVA FILM"/>
  </r>
  <r>
    <m/>
    <n v="5600000349"/>
    <s v="0692626IM0Y00011"/>
    <d v="2026-01-09T00:00:00"/>
    <x v="0"/>
    <n v="0.1"/>
    <s v="FIRST MATERIAL SCIENCE (THAILAND) CO LTD"/>
    <s v="USD"/>
    <n v="0"/>
    <n v="0"/>
    <n v="0"/>
    <n v="95.12"/>
    <n v="0"/>
    <s v="Raw Material"/>
    <n v="60"/>
    <x v="0"/>
    <s v="MSBT250575-1"/>
    <d v="2026-03-03T00:00:00"/>
    <d v="2026-03-11T00:00:00"/>
    <d v="2026-02-10T00:00:00"/>
    <n v="310083.71999999997"/>
    <n v="-310083.71999999997"/>
    <n v="29495163.446399998"/>
    <n v="-29495163.446399998"/>
    <d v="2026-04-13T00:00:00"/>
    <x v="1"/>
    <m/>
    <m/>
    <s v="April26"/>
    <s v="BOE Received and Paid"/>
    <s v="Paid"/>
    <s v="Received"/>
    <d v="2026-05-04T00:00:00"/>
    <s v="Closed"/>
    <x v="0"/>
    <n v="44730457174"/>
    <m/>
    <d v="2026-02-15T00:00:00"/>
    <x v="5"/>
    <n v="7660607"/>
    <d v="2026-04-13T00:00:00"/>
    <s v=" EVA FILM"/>
  </r>
  <r>
    <m/>
    <n v="5600000349"/>
    <s v="0692626IM0Y00011"/>
    <d v="2026-01-09T00:00:00"/>
    <x v="0"/>
    <n v="0.1"/>
    <s v="FIRST MATERIAL SCIENCE (THAILAND) CO LTD"/>
    <s v="USD"/>
    <n v="0"/>
    <n v="0"/>
    <n v="0"/>
    <n v="95.12"/>
    <n v="0"/>
    <s v="Raw Material"/>
    <n v="60"/>
    <x v="0"/>
    <s v="MSBT250575-2"/>
    <d v="2026-03-20T00:00:00"/>
    <d v="2026-03-27T00:00:00"/>
    <d v="2026-03-05T00:00:00"/>
    <n v="310083.71999999997"/>
    <n v="-310083.71999999997"/>
    <n v="29495163.446399998"/>
    <n v="-29495163.446399998"/>
    <d v="2026-05-04T00:00:00"/>
    <x v="5"/>
    <n v="88485491.290400013"/>
    <m/>
    <s v="May26"/>
    <s v="BOE Received and Paid"/>
    <s v="Paid"/>
    <s v="Received"/>
    <d v="2026-05-04T00:00:00"/>
    <s v="Closed"/>
    <x v="0"/>
    <n v="44730457174"/>
    <m/>
    <d v="2026-02-15T00:00:00"/>
    <x v="5"/>
    <n v="8512490"/>
    <d v="2026-05-04T00:00:00"/>
    <s v=" EVA FILM"/>
  </r>
  <r>
    <n v="213"/>
    <n v="5600000349"/>
    <s v="0692626IM0Y00010"/>
    <d v="2026-01-12T00:00:00"/>
    <x v="0"/>
    <n v="0.1"/>
    <s v="FIRST MATERIAL SCIENCE (THAILAND) CO LTD"/>
    <s v="USD"/>
    <n v="930251.17"/>
    <n v="0"/>
    <n v="930251.17"/>
    <n v="95.12"/>
    <n v="88485491.290400013"/>
    <s v="Raw Material"/>
    <n v="60"/>
    <x v="0"/>
    <s v="MSBT250574-1"/>
    <d v="2026-02-09T00:00:00"/>
    <d v="2026-02-17T00:00:00"/>
    <d v="2026-01-28T00:00:00"/>
    <n v="620167.44999999995"/>
    <n v="310083.72000000009"/>
    <n v="58990327.843999997"/>
    <n v="29495163.446400009"/>
    <d v="2026-03-30T00:00:00"/>
    <x v="1"/>
    <m/>
    <m/>
    <s v="March26"/>
    <s v="BOE Received and Paid"/>
    <s v="Paid"/>
    <s v="Received"/>
    <d v="2026-04-13T00:00:00"/>
    <s v="Closed"/>
    <x v="0"/>
    <n v="44730457174"/>
    <m/>
    <d v="2026-02-15T00:00:00"/>
    <x v="5"/>
    <n v="7382088"/>
    <d v="2026-03-30T00:00:00"/>
    <s v=" EVA FILM"/>
  </r>
  <r>
    <m/>
    <n v="5600000349"/>
    <s v="0692626IM0Y00010"/>
    <d v="2026-01-12T00:00:00"/>
    <x v="0"/>
    <n v="0.1"/>
    <s v="FIRST MATERIAL SCIENCE (THAILAND) CO LTD"/>
    <s v="USD"/>
    <n v="0"/>
    <n v="0"/>
    <n v="0"/>
    <n v="95.12"/>
    <n v="0"/>
    <s v="Raw Material"/>
    <n v="60"/>
    <x v="0"/>
    <s v="MSBT250574-2"/>
    <d v="2026-03-03T00:00:00"/>
    <d v="2026-03-11T00:00:00"/>
    <d v="2026-02-12T00:00:00"/>
    <n v="155041.85999999999"/>
    <n v="-155041.85999999999"/>
    <n v="14747581.723199999"/>
    <n v="-14747581.723199999"/>
    <d v="2026-04-13T00:00:00"/>
    <x v="2"/>
    <n v="88485491.290400013"/>
    <m/>
    <s v="April26"/>
    <s v="BOE Received and Paid"/>
    <s v="Paid"/>
    <s v="Received"/>
    <d v="2026-04-13T00:00:00"/>
    <s v="Closed"/>
    <x v="0"/>
    <n v="44730457174"/>
    <m/>
    <d v="2026-02-15T00:00:00"/>
    <x v="5"/>
    <n v="8069916"/>
    <d v="2026-04-13T00:00:00"/>
    <s v=" EVA FILM"/>
  </r>
  <r>
    <m/>
    <n v="5600000349"/>
    <s v="0692626IM0Y00010"/>
    <d v="2026-01-12T00:00:00"/>
    <x v="0"/>
    <n v="0.1"/>
    <s v="FIRST MATERIAL SCIENCE (THAILAND) CO LTD"/>
    <s v="USD"/>
    <n v="0"/>
    <n v="0"/>
    <n v="0"/>
    <n v="95.12"/>
    <n v="0"/>
    <s v="Raw Material"/>
    <n v="60"/>
    <x v="0"/>
    <s v="MSBT250574-3"/>
    <d v="2026-03-03T00:00:00"/>
    <d v="2026-03-11T00:00:00"/>
    <d v="2026-02-10T00:00:00"/>
    <n v="155041.85999999999"/>
    <n v="-155041.85999999999"/>
    <n v="14747581.723199999"/>
    <n v="-14747581.723199999"/>
    <d v="2026-04-13T00:00:00"/>
    <x v="1"/>
    <m/>
    <d v="2026-03-30T00:00:00"/>
    <s v="April26"/>
    <s v="BOE Received and Paid"/>
    <s v="Paid"/>
    <s v="Received"/>
    <d v="2026-04-13T00:00:00"/>
    <s v="Closed"/>
    <x v="0"/>
    <n v="44730457174"/>
    <m/>
    <d v="2026-02-15T00:00:00"/>
    <x v="5"/>
    <n v="7705857"/>
    <d v="2026-04-13T00:00:00"/>
    <s v=" EVA FILM"/>
  </r>
  <r>
    <n v="214"/>
    <n v="5600000380"/>
    <s v="0692626IM0Y00018"/>
    <d v="2026-01-14T00:00:00"/>
    <x v="0"/>
    <n v="0.1"/>
    <s v="GUANGXI CSG NEW ENERGY MATERIAL TECHNOLOGY CO LTD"/>
    <s v="USD"/>
    <n v="1283400"/>
    <n v="0"/>
    <n v="1283400"/>
    <n v="95.12"/>
    <n v="122077008"/>
    <s v="Raw Material"/>
    <n v="45"/>
    <x v="0"/>
    <s v="SFG2601009-4"/>
    <d v="2026-02-17T00:00:00"/>
    <d v="2026-02-24T00:00:00"/>
    <d v="2026-02-05T00:00:00"/>
    <n v="256680"/>
    <n v="1026720"/>
    <n v="24415401.600000001"/>
    <m/>
    <d v="2026-03-20T00:00:00"/>
    <x v="1"/>
    <m/>
    <m/>
    <s v="March26"/>
    <s v="BOE Received and Paid"/>
    <s v="Paid"/>
    <s v="Received"/>
    <d v="2026-04-13T00:00:00"/>
    <s v="Closed"/>
    <x v="0"/>
    <n v="43183923893"/>
    <m/>
    <d v="2026-02-15T00:00:00"/>
    <x v="5"/>
    <n v="8058471"/>
    <d v="2026-03-20T00:00:00"/>
    <s v=" GLASS"/>
  </r>
  <r>
    <m/>
    <n v="5600000380"/>
    <s v="0692626IM0Y00018"/>
    <d v="2026-01-14T00:00:00"/>
    <x v="0"/>
    <n v="0.1"/>
    <s v="GUANGXI CSG NEW ENERGY MATERIAL TECHNOLOGY CO LTD"/>
    <s v="USD"/>
    <m/>
    <n v="0"/>
    <n v="0"/>
    <n v="95.12"/>
    <n v="0"/>
    <s v="Raw Material"/>
    <n v="45"/>
    <x v="0"/>
    <s v="SFG2601009-1"/>
    <d v="2026-02-17T00:00:00"/>
    <d v="2026-02-24T00:00:00"/>
    <d v="2026-02-05T00:00:00"/>
    <n v="256680"/>
    <n v="-256680"/>
    <n v="24415401.600000001"/>
    <m/>
    <d v="2026-03-18T00:00:00"/>
    <x v="1"/>
    <m/>
    <m/>
    <s v="March26"/>
    <s v="BOE Received and Paid"/>
    <s v="Paid"/>
    <s v="Received"/>
    <d v="2026-04-13T00:00:00"/>
    <s v="Closed"/>
    <x v="0"/>
    <n v="43183923893"/>
    <m/>
    <d v="2026-02-15T00:00:00"/>
    <x v="5"/>
    <m/>
    <m/>
    <s v=" GLASS"/>
  </r>
  <r>
    <m/>
    <n v="5600000380"/>
    <s v="0692626IM0Y00018"/>
    <d v="2026-01-14T00:00:00"/>
    <x v="0"/>
    <n v="0.1"/>
    <s v="GUANGXI CSG NEW ENERGY MATERIAL TECHNOLOGY CO LTD"/>
    <s v="USD"/>
    <m/>
    <n v="0"/>
    <n v="0"/>
    <n v="95.12"/>
    <n v="0"/>
    <s v="Raw Material"/>
    <n v="45"/>
    <x v="0"/>
    <s v="SFG2601009-3"/>
    <d v="2026-03-04T00:00:00"/>
    <d v="2026-03-11T00:00:00"/>
    <d v="2026-02-11T00:00:00"/>
    <n v="256680"/>
    <n v="-256680"/>
    <n v="24415401.600000001"/>
    <m/>
    <d v="2026-03-30T00:00:00"/>
    <x v="1"/>
    <m/>
    <m/>
    <s v="March26"/>
    <s v="BOE Received and Paid"/>
    <s v="Paid"/>
    <s v="Received"/>
    <d v="2026-04-13T00:00:00"/>
    <s v="Closed"/>
    <x v="0"/>
    <n v="43183923893"/>
    <m/>
    <d v="2026-02-15T00:00:00"/>
    <x v="5"/>
    <n v="8128834"/>
    <d v="2026-03-30T00:00:00"/>
    <s v=" GLASS"/>
  </r>
  <r>
    <m/>
    <n v="5600000380"/>
    <s v="0692626IM0Y00018"/>
    <d v="2026-01-14T00:00:00"/>
    <x v="0"/>
    <n v="0.1"/>
    <s v="GUANGXI CSG NEW ENERGY MATERIAL TECHNOLOGY CO LTD"/>
    <s v="USD"/>
    <m/>
    <n v="0"/>
    <n v="0"/>
    <n v="95.12"/>
    <n v="0"/>
    <s v="Raw Material"/>
    <n v="45"/>
    <x v="0"/>
    <s v="SFG2601009-5"/>
    <d v="2026-03-10T00:00:00"/>
    <d v="2026-03-16T00:00:00"/>
    <d v="2026-02-26T00:00:00"/>
    <n v="256680"/>
    <n v="-256680"/>
    <n v="24415401.600000001"/>
    <m/>
    <d v="2026-04-13T00:00:00"/>
    <x v="2"/>
    <n v="122077008"/>
    <m/>
    <s v="April26"/>
    <s v="BOE Received and Paid"/>
    <s v="Paid"/>
    <s v="Received"/>
    <d v="2026-04-13T00:00:00"/>
    <s v="Closed"/>
    <x v="0"/>
    <n v="43183923893"/>
    <m/>
    <d v="2026-02-15T00:00:00"/>
    <x v="5"/>
    <n v="8215860"/>
    <d v="2026-04-13T00:00:00"/>
    <s v=" GLASS"/>
  </r>
  <r>
    <m/>
    <n v="5600000380"/>
    <s v="0692626IM0Y00018"/>
    <d v="2026-01-14T00:00:00"/>
    <x v="0"/>
    <n v="0.1"/>
    <s v="GUANGXI CSG NEW ENERGY MATERIAL TECHNOLOGY CO LTD"/>
    <s v="USD"/>
    <m/>
    <n v="0"/>
    <n v="0"/>
    <n v="95.12"/>
    <n v="0"/>
    <s v="Raw Material"/>
    <n v="45"/>
    <x v="0"/>
    <s v="SFG2601009-2"/>
    <d v="2026-03-10T00:00:00"/>
    <d v="2026-03-16T00:00:00"/>
    <d v="2026-02-26T00:00:00"/>
    <n v="256680"/>
    <n v="-256680"/>
    <n v="24415401.600000001"/>
    <m/>
    <d v="2026-04-02T00:00:00"/>
    <x v="1"/>
    <m/>
    <m/>
    <s v="April26"/>
    <s v="BOE Received and Paid"/>
    <s v="Paid"/>
    <s v="Received"/>
    <d v="2026-04-13T00:00:00"/>
    <s v="Closed"/>
    <x v="0"/>
    <n v="43183923893"/>
    <m/>
    <d v="2026-02-15T00:00:00"/>
    <x v="5"/>
    <m/>
    <m/>
    <s v=" GLASS"/>
  </r>
  <r>
    <n v="217"/>
    <n v="5600000360"/>
    <s v="0692626IM0Y00025"/>
    <d v="2026-01-20T00:00:00"/>
    <x v="0"/>
    <n v="0.1"/>
    <s v="TAICANG JUREN INTERNATIONAL TRADE CO LTD"/>
    <s v="USD"/>
    <n v="351900"/>
    <n v="0"/>
    <n v="351900"/>
    <n v="95.12"/>
    <n v="33472728"/>
    <s v="Raw Material"/>
    <n v="60"/>
    <x v="0"/>
    <s v="JRIT20260126001"/>
    <d v="2026-02-17T00:00:00"/>
    <d v="2026-02-24T00:00:00"/>
    <d v="2026-02-04T00:00:00"/>
    <n v="351900"/>
    <n v="0"/>
    <n v="33472728"/>
    <m/>
    <d v="2026-04-06T00:00:00"/>
    <x v="6"/>
    <n v="33472728"/>
    <m/>
    <s v="April26"/>
    <s v="BOE Received and Paid"/>
    <s v="Paid"/>
    <s v="Received"/>
    <d v="2026-04-06T00:00:00"/>
    <s v="Closed"/>
    <x v="0"/>
    <n v="43607525170"/>
    <n v="3232000"/>
    <d v="2026-02-10T00:00:00"/>
    <x v="5"/>
    <n v="7764825"/>
    <d v="2026-04-06T00:00:00"/>
    <s v="PV RIBBON BUS BAR"/>
  </r>
  <r>
    <n v="223"/>
    <n v="5600000361"/>
    <s v="0692626IM0Y00030"/>
    <d v="2026-01-28T00:00:00"/>
    <x v="0"/>
    <n v="0.1"/>
    <s v="TAICANG JUREN INTERNATIONAL TRADE CO LTD"/>
    <s v="USD"/>
    <n v="1052825"/>
    <n v="0"/>
    <n v="1052825"/>
    <n v="95.12"/>
    <n v="100144714"/>
    <s v="Raw Material"/>
    <n v="60"/>
    <x v="0"/>
    <s v="JRIT20260203009"/>
    <d v="2026-03-05T00:00:00"/>
    <d v="2026-03-13T00:00:00"/>
    <d v="2026-02-13T00:00:00"/>
    <n v="1052825"/>
    <n v="0"/>
    <n v="100144714"/>
    <m/>
    <d v="2026-04-15T00:00:00"/>
    <x v="0"/>
    <n v="100144714"/>
    <m/>
    <s v="April26"/>
    <s v="BOE Received and Paid"/>
    <s v="Paid"/>
    <s v="Received"/>
    <d v="2026-04-15T00:00:00"/>
    <s v="Closed"/>
    <x v="0"/>
    <n v="44857149620"/>
    <m/>
    <d v="2026-02-10T00:00:00"/>
    <x v="6"/>
    <n v="7931429"/>
    <d v="2026-04-15T00:00:00"/>
    <s v="PV RIBBON BUS BAR"/>
  </r>
  <r>
    <n v="224"/>
    <n v="5600000394"/>
    <s v="0692626IM0Y00033"/>
    <d v="2026-01-28T00:00:00"/>
    <x v="0"/>
    <n v="0.1"/>
    <s v="SOLAR SPACE TECHNOLOGY HONG KONG LIMITED"/>
    <s v="USD"/>
    <n v="1230000"/>
    <n v="0"/>
    <n v="1230000"/>
    <n v="95.12"/>
    <n v="116997600"/>
    <s v="Raw Material"/>
    <n v="60"/>
    <x v="0"/>
    <s v="INV2026022011"/>
    <d v="2026-03-25T00:00:00"/>
    <d v="2026-04-03T00:00:00"/>
    <d v="2026-02-25T00:00:00"/>
    <n v="710048.1"/>
    <n v="519951.9"/>
    <n v="67539775.272"/>
    <m/>
    <d v="2026-04-27T00:00:00"/>
    <x v="1"/>
    <m/>
    <d v="2026-03-21T00:00:00"/>
    <s v="April26"/>
    <s v="BOE Received and Paid"/>
    <s v="Paid"/>
    <s v="Received"/>
    <d v="2026-05-26T00:00:00"/>
    <s v="Closed"/>
    <x v="0"/>
    <n v="43607525170"/>
    <n v="11530000"/>
    <d v="2026-02-28T00:00:00"/>
    <x v="7"/>
    <n v="7993633"/>
    <d v="2026-04-27T00:00:00"/>
    <s v="SOLAR CELLS"/>
  </r>
  <r>
    <m/>
    <n v="5600000394"/>
    <s v="0692626IM0Y00033"/>
    <d v="2026-01-28T00:00:00"/>
    <x v="0"/>
    <n v="0.1"/>
    <s v="SOLAR SPACE TECHNOLOGY HONG KONG LIMITED"/>
    <s v="USD"/>
    <n v="0"/>
    <n v="0"/>
    <n v="0"/>
    <n v="95.12"/>
    <n v="0"/>
    <s v="Raw Material"/>
    <n v="60"/>
    <x v="0"/>
    <s v="INV2026030632"/>
    <d v="2026-04-15T00:00:00"/>
    <d v="2026-04-21T00:00:00"/>
    <d v="2026-03-26T00:00:00"/>
    <n v="519674.72"/>
    <n v="-519674.72"/>
    <n v="49431459.366399996"/>
    <m/>
    <d v="2026-05-26T00:00:00"/>
    <x v="7"/>
    <n v="116997600"/>
    <m/>
    <s v="May26"/>
    <s v="BOE Received and Paid"/>
    <s v="Paid"/>
    <s v="Received"/>
    <d v="2026-05-26T00:00:00"/>
    <s v="Closed"/>
    <x v="0"/>
    <n v="43607525170"/>
    <m/>
    <d v="2026-02-28T00:00:00"/>
    <x v="7"/>
    <m/>
    <m/>
    <s v="SOLAR CELLS"/>
  </r>
  <r>
    <m/>
    <n v="5600000394"/>
    <s v="0692626IM0Y00033"/>
    <d v="2026-01-28T00:00:00"/>
    <x v="0"/>
    <n v="0.1"/>
    <s v="SOLAR SPACE TECHNOLOGY HONG KONG LIMITED"/>
    <s v="USD"/>
    <n v="0"/>
    <n v="0"/>
    <n v="0"/>
    <n v="95.12"/>
    <n v="0"/>
    <s v="Raw Material"/>
    <n v="60"/>
    <x v="1"/>
    <m/>
    <m/>
    <m/>
    <m/>
    <n v="277.18"/>
    <n v="-277.18"/>
    <n v="26365.3616"/>
    <m/>
    <d v="2026-05-26T00:00:00"/>
    <x v="1"/>
    <n v="0"/>
    <m/>
    <s v="May26"/>
    <s v="LC Cancelled"/>
    <s v="Paid"/>
    <s v="Cancelled"/>
    <d v="2026-05-26T00:00:00"/>
    <s v="Closed"/>
    <x v="0"/>
    <n v="43607525170"/>
    <m/>
    <d v="2026-02-28T00:00:00"/>
    <x v="7"/>
    <m/>
    <m/>
    <s v="SOLAR CELLS"/>
  </r>
  <r>
    <n v="228"/>
    <n v="5600000376"/>
    <s v="0692626IM0Y00031"/>
    <d v="2026-01-28T00:00:00"/>
    <x v="0"/>
    <n v="0.1"/>
    <s v="ZHEJIANG ZHONGHUAN SUNTER PV TECHNOLOGY CO. LTD"/>
    <s v="USD"/>
    <n v="997920"/>
    <n v="0"/>
    <n v="997920"/>
    <n v="95.12"/>
    <n v="94922150.400000006"/>
    <s v="Raw Material"/>
    <n v="60"/>
    <x v="0"/>
    <s v="GREW2508A"/>
    <d v="2026-02-12T00:00:00"/>
    <d v="2026-02-17T00:00:00"/>
    <d v="2026-01-31T00:00:00"/>
    <n v="399168"/>
    <n v="598752"/>
    <n v="37968860.160000004"/>
    <m/>
    <d v="2026-04-02T00:00:00"/>
    <x v="1"/>
    <m/>
    <m/>
    <s v="April26"/>
    <s v="BOE Received and Paid"/>
    <s v="Paid"/>
    <s v="Received"/>
    <d v="2026-04-06T00:00:00"/>
    <s v="Closed"/>
    <x v="0"/>
    <n v="44857149620"/>
    <n v="9290000"/>
    <d v="2026-02-15T00:00:00"/>
    <x v="5"/>
    <n v="7566638"/>
    <d v="2026-04-02T00:00:00"/>
    <s v="PV - ZH011C-5 SOLDERING"/>
  </r>
  <r>
    <m/>
    <n v="5600000376"/>
    <s v="0692626IM0Y00031"/>
    <d v="2026-01-28T00:00:00"/>
    <x v="0"/>
    <n v="0.1"/>
    <s v="ZHEJIANG ZHONGHUAN SUNTER PV TECHNOLOGY CO. LTD"/>
    <s v="USD"/>
    <n v="0"/>
    <n v="0"/>
    <n v="0"/>
    <n v="95.12"/>
    <n v="0"/>
    <s v="Raw Material"/>
    <n v="60"/>
    <x v="0"/>
    <s v="GREW2508B"/>
    <d v="2026-02-16T00:00:00"/>
    <d v="2026-02-24T00:00:00"/>
    <d v="2026-02-04T00:00:00"/>
    <n v="598752"/>
    <n v="-598752"/>
    <n v="56953290.240000002"/>
    <m/>
    <d v="2026-04-06T00:00:00"/>
    <x v="6"/>
    <n v="94922150.400000006"/>
    <m/>
    <s v="April26"/>
    <s v="BOE Received and Paid"/>
    <s v="Paid"/>
    <s v="Received"/>
    <d v="2026-04-06T00:00:00"/>
    <s v="Closed"/>
    <x v="0"/>
    <n v="44857149620"/>
    <m/>
    <d v="2026-02-15T00:00:00"/>
    <x v="5"/>
    <n v="7683760"/>
    <d v="2026-04-06T00:00:00"/>
    <s v="PV - ZH011C-5 SOLDERING"/>
  </r>
  <r>
    <n v="229"/>
    <n v="5600000384"/>
    <s v="0692626IM0Y00032"/>
    <d v="2026-01-29T00:00:00"/>
    <x v="0"/>
    <n v="0.1"/>
    <s v="FIRST MATERIAL SCIENCE (THAILAND) CO LTD"/>
    <s v="USD"/>
    <n v="1085293.04"/>
    <n v="0"/>
    <n v="1085293.04"/>
    <n v="95.12"/>
    <n v="103233073.96480002"/>
    <s v="Raw Material"/>
    <n v="60"/>
    <x v="0"/>
    <s v="MSBT250642-2"/>
    <d v="2026-02-21T00:00:00"/>
    <d v="2026-03-03T00:00:00"/>
    <d v="2026-02-10T00:00:00"/>
    <n v="310083.71999999997"/>
    <n v="775209.32000000007"/>
    <n v="29495163.446399998"/>
    <m/>
    <d v="2026-04-13T00:00:00"/>
    <x v="1"/>
    <m/>
    <m/>
    <s v="April26"/>
    <s v="BOE Received and Paid"/>
    <s v="Paid"/>
    <s v="Received"/>
    <d v="2026-04-27T00:00:00"/>
    <s v="Closed"/>
    <x v="0"/>
    <n v="43730175696"/>
    <m/>
    <d v="2026-03-10T00:00:00"/>
    <x v="8"/>
    <n v="7660610"/>
    <d v="2026-04-13T00:00:00"/>
    <s v=" EVA FILM"/>
  </r>
  <r>
    <m/>
    <n v="5600000384"/>
    <s v="0692626IM0Y00032"/>
    <d v="2026-01-29T00:00:00"/>
    <x v="0"/>
    <n v="0.1"/>
    <s v="FIRST MATERIAL SCIENCE (THAILAND) CO LTD"/>
    <s v="USD"/>
    <n v="0"/>
    <n v="0"/>
    <n v="0"/>
    <n v="95.12"/>
    <n v="0"/>
    <s v="Raw Material"/>
    <n v="60"/>
    <x v="0"/>
    <s v="MSBT250642-4"/>
    <d v="2026-03-05T00:00:00"/>
    <d v="2026-03-13T00:00:00"/>
    <d v="2026-02-21T00:00:00"/>
    <n v="310083.71999999997"/>
    <n v="-310083.71999999997"/>
    <n v="29495163.446399998"/>
    <m/>
    <d v="2026-04-22T00:00:00"/>
    <x v="1"/>
    <m/>
    <m/>
    <s v="April26"/>
    <s v="BOE Received and Paid"/>
    <s v="Paid"/>
    <s v="Received"/>
    <d v="2026-04-27T00:00:00"/>
    <s v="Closed"/>
    <x v="0"/>
    <n v="43607525170"/>
    <m/>
    <d v="2026-03-10T00:00:00"/>
    <x v="8"/>
    <n v="7921474"/>
    <d v="2026-04-22T00:00:00"/>
    <s v=" EVA FILM"/>
  </r>
  <r>
    <m/>
    <n v="5600000384"/>
    <s v="0692626IM0Y00032"/>
    <d v="2026-01-29T00:00:00"/>
    <x v="0"/>
    <n v="0.1"/>
    <s v="FIRST MATERIAL SCIENCE (THAILAND) CO LTD"/>
    <s v="USD"/>
    <n v="0"/>
    <n v="0"/>
    <n v="0"/>
    <n v="95.12"/>
    <n v="0"/>
    <s v="Raw Material"/>
    <n v="60"/>
    <x v="0"/>
    <s v="MSBT250642-1"/>
    <d v="2026-03-03T00:00:00"/>
    <d v="2026-03-11T00:00:00"/>
    <d v="2026-02-15T00:00:00"/>
    <n v="155041.87"/>
    <n v="-155041.87"/>
    <n v="14747582.6744"/>
    <m/>
    <d v="2026-04-16T00:00:00"/>
    <x v="1"/>
    <n v="0"/>
    <m/>
    <s v="April26"/>
    <s v="BOE Received and Paid"/>
    <s v="Paid"/>
    <s v="Received"/>
    <d v="2026-04-27T00:00:00"/>
    <s v="Closed"/>
    <x v="0"/>
    <m/>
    <m/>
    <d v="2026-03-10T00:00:00"/>
    <x v="8"/>
    <n v="8104396"/>
    <d v="2026-04-16T00:00:00"/>
    <s v=" EVA FILM"/>
  </r>
  <r>
    <m/>
    <n v="5600000384"/>
    <s v="0692626IM0Y00032"/>
    <d v="2026-01-29T00:00:00"/>
    <x v="0"/>
    <n v="0.1"/>
    <s v="FIRST MATERIAL SCIENCE (THAILAND) CO LTD"/>
    <s v="USD"/>
    <n v="0"/>
    <n v="0"/>
    <n v="0"/>
    <n v="95.12"/>
    <n v="0"/>
    <s v="Raw Material"/>
    <n v="60"/>
    <x v="0"/>
    <s v="MSBT250642-3"/>
    <d v="2026-03-16T00:00:00"/>
    <d v="2026-03-20T00:00:00"/>
    <d v="2026-02-25T00:00:00"/>
    <n v="310083.73"/>
    <n v="-310083.73"/>
    <n v="29495164.397599999"/>
    <m/>
    <d v="2026-04-27T00:00:00"/>
    <x v="8"/>
    <n v="103233073.96480002"/>
    <m/>
    <s v="April26"/>
    <s v="BOE Received and Paid"/>
    <s v="Paid"/>
    <s v="Received"/>
    <d v="2026-04-27T00:00:00"/>
    <s v="Closed"/>
    <x v="0"/>
    <n v="43607525170"/>
    <n v="1435000"/>
    <d v="2026-03-10T00:00:00"/>
    <x v="8"/>
    <n v="8048476"/>
    <d v="2026-04-27T00:00:00"/>
    <s v=" EVA FILM"/>
  </r>
  <r>
    <n v="234"/>
    <n v="5600000399"/>
    <s v="0692626IM0Y00039"/>
    <d v="2026-02-06T00:00:00"/>
    <x v="0"/>
    <n v="0.1"/>
    <s v="JIETAI NEW ENERGY TECHNOLOGY (HK) LIMITED"/>
    <s v="USD"/>
    <n v="4484985.12"/>
    <n v="0"/>
    <n v="4484985.12"/>
    <n v="95.12"/>
    <n v="426611784.61440003"/>
    <s v="Raw Material"/>
    <n v="60"/>
    <x v="0"/>
    <s v="HKJTGREW20260211-1/2/3/4/5/6/7/8/9/10/11/12"/>
    <d v="2026-03-30T00:00:00"/>
    <d v="2026-04-07T00:00:00"/>
    <d v="2026-03-09T00:00:00"/>
    <n v="4320848.45"/>
    <n v="164136.66999999993"/>
    <n v="410999104.56400001"/>
    <n v="15612680.050399994"/>
    <d v="2026-05-18T00:00:00"/>
    <x v="1"/>
    <m/>
    <m/>
    <s v="May26"/>
    <s v="BOE Received and Paid"/>
    <s v="Paid"/>
    <s v="Received"/>
    <d v="2026-05-18T00:00:00"/>
    <s v="Closed"/>
    <x v="0"/>
    <n v="43650012802"/>
    <n v="12727000"/>
    <d v="2026-04-05T00:00:00"/>
    <x v="9"/>
    <m/>
    <m/>
    <s v="SOLAR CELLS"/>
  </r>
  <r>
    <m/>
    <n v="5600000399"/>
    <s v="0692626IM0Y00039"/>
    <d v="2026-02-06T00:00:00"/>
    <x v="0"/>
    <n v="0.1"/>
    <s v="JIETAI NEW ENERGY TECHNOLOGY (HK) LIMITED"/>
    <s v="USD"/>
    <n v="0"/>
    <n v="0"/>
    <n v="0"/>
    <n v="95.12"/>
    <n v="0"/>
    <s v="Raw Material"/>
    <n v="60"/>
    <x v="2"/>
    <m/>
    <m/>
    <m/>
    <d v="2026-04-05T00:00:00"/>
    <n v="164136.67000000001"/>
    <n v="-164136.67000000001"/>
    <n v="15612680.050400002"/>
    <n v="-15612680.050400002"/>
    <d v="2026-05-18T00:00:00"/>
    <x v="9"/>
    <n v="426611784.61440003"/>
    <m/>
    <s v="May26"/>
    <s v="BOE Received and Paid"/>
    <s v="Paid"/>
    <s v="Cancelled"/>
    <d v="2026-05-18T00:00:00"/>
    <s v="Cancelled"/>
    <x v="0"/>
    <n v="44361399732"/>
    <n v="12645000"/>
    <d v="2026-04-05T00:00:00"/>
    <x v="9"/>
    <m/>
    <m/>
    <s v="SOLAR CELLS"/>
  </r>
  <r>
    <m/>
    <n v="5600000399"/>
    <s v="0692626IM0Y00039"/>
    <d v="2026-02-06T00:00:00"/>
    <x v="0"/>
    <n v="0.1"/>
    <s v="JIETAI NEW ENERGY TECHNOLOGY (HK) LIMITED"/>
    <s v="USD"/>
    <n v="0"/>
    <n v="0"/>
    <n v="0"/>
    <n v="95.12"/>
    <n v="0"/>
    <s v="Raw Material"/>
    <n v="60"/>
    <x v="2"/>
    <m/>
    <m/>
    <m/>
    <m/>
    <m/>
    <n v="0"/>
    <n v="0"/>
    <n v="0"/>
    <m/>
    <x v="1"/>
    <n v="0"/>
    <m/>
    <s v="-"/>
    <s v="BOE Received and Paid"/>
    <s v="Paid"/>
    <s v="Not Received"/>
    <d v="2026-05-18T00:00:00"/>
    <s v="Closed"/>
    <x v="0"/>
    <n v="43730175696"/>
    <n v="8693000"/>
    <d v="2026-04-05T00:00:00"/>
    <x v="9"/>
    <m/>
    <m/>
    <s v="SOLAR CELLS"/>
  </r>
  <r>
    <m/>
    <n v="5600000399"/>
    <s v="0692626IM0Y00039"/>
    <d v="2026-02-06T00:00:00"/>
    <x v="0"/>
    <n v="0.1"/>
    <s v="JIETAI NEW ENERGY TECHNOLOGY (HK) LIMITED"/>
    <s v="USD"/>
    <n v="0"/>
    <n v="0"/>
    <n v="0"/>
    <n v="95.12"/>
    <n v="0"/>
    <s v="Raw Material"/>
    <n v="60"/>
    <x v="2"/>
    <m/>
    <m/>
    <m/>
    <m/>
    <m/>
    <n v="0"/>
    <n v="0"/>
    <n v="0"/>
    <m/>
    <x v="1"/>
    <n v="0"/>
    <m/>
    <s v="-"/>
    <s v="BOE Received and Paid"/>
    <s v="Paid"/>
    <s v="Not Received"/>
    <d v="2026-05-18T00:00:00"/>
    <s v="Closed"/>
    <x v="0"/>
    <n v="44416414800"/>
    <n v="8"/>
    <d v="2026-04-05T00:00:00"/>
    <x v="9"/>
    <m/>
    <m/>
    <s v="SOLAR CELLS"/>
  </r>
  <r>
    <m/>
    <n v="5600000399"/>
    <s v="0692626IM0Y00039"/>
    <d v="2026-02-06T00:00:00"/>
    <x v="0"/>
    <n v="0.1"/>
    <s v="JIETAI NEW ENERGY TECHNOLOGY (HK) LIMITED"/>
    <s v="USD"/>
    <n v="0"/>
    <n v="0"/>
    <n v="0"/>
    <n v="95.12"/>
    <n v="0"/>
    <s v="Raw Material"/>
    <n v="60"/>
    <x v="2"/>
    <m/>
    <m/>
    <m/>
    <m/>
    <m/>
    <n v="0"/>
    <n v="0"/>
    <n v="0"/>
    <m/>
    <x v="1"/>
    <n v="0"/>
    <m/>
    <s v="-"/>
    <s v="BOE Received and Paid"/>
    <s v="Paid"/>
    <s v="Not Received"/>
    <d v="2026-05-18T00:00:00"/>
    <s v="Closed"/>
    <x v="0"/>
    <n v="44803304283"/>
    <n v="177000"/>
    <d v="2026-04-05T00:00:00"/>
    <x v="9"/>
    <m/>
    <m/>
    <s v="SOLAR CELLS"/>
  </r>
  <r>
    <n v="236"/>
    <n v="5600000401"/>
    <s v="0692626IM0Y00040"/>
    <d v="2026-02-06T00:00:00"/>
    <x v="0"/>
    <n v="0.1"/>
    <s v="JIETAI NEW ENERGY TECHNOLOGY (HK) LIMITED"/>
    <s v="USD"/>
    <n v="3737487.6"/>
    <n v="0"/>
    <n v="3737487.6"/>
    <n v="96"/>
    <n v="358798809.60000002"/>
    <s v="Raw Material"/>
    <n v="60"/>
    <x v="0"/>
    <s v="HKJTGREW20260225-1/2/3/4"/>
    <d v="2026-03-25T00:00:00"/>
    <d v="2026-04-02T00:00:00"/>
    <d v="2026-03-09T00:00:00"/>
    <n v="1428451.92"/>
    <n v="2309035.6800000002"/>
    <n v="137131384.31999999"/>
    <n v="221667425.28000003"/>
    <d v="2026-05-08T00:00:00"/>
    <x v="1"/>
    <m/>
    <d v="2026-03-18T00:00:00"/>
    <s v="May26"/>
    <s v="Part/Full BOE received &amp; Unpaid"/>
    <s v="Paid"/>
    <s v="Received"/>
    <m/>
    <s v="Open"/>
    <x v="0"/>
    <n v="43630359430"/>
    <n v="22339000"/>
    <d v="2026-04-09T00:00:00"/>
    <x v="10"/>
    <s v="8067419 /8067418 /8080855 /8080986"/>
    <d v="2026-05-08T00:00:00"/>
    <s v="SOLAR CELLS"/>
  </r>
  <r>
    <m/>
    <n v="5600000401"/>
    <s v="0692626IM0Y00040"/>
    <d v="2026-02-06T00:00:00"/>
    <x v="0"/>
    <n v="0.1"/>
    <s v="JIETAI NEW ENERGY TECHNOLOGY (HK) LIMITED"/>
    <s v="USD"/>
    <n v="0"/>
    <n v="0"/>
    <n v="0"/>
    <n v="96"/>
    <n v="0"/>
    <s v="Raw Material"/>
    <n v="60"/>
    <x v="0"/>
    <s v="HKJTGREW20260225-5/6/7/8/9"/>
    <d v="2026-04-21T00:00:00"/>
    <d v="2026-04-23T00:00:00"/>
    <d v="2026-04-09T00:00:00"/>
    <n v="1436361.7"/>
    <n v="-1436361.7"/>
    <n v="137890723.19999999"/>
    <n v="-137890723.19999999"/>
    <d v="2026-06-09T00:00:00"/>
    <x v="10"/>
    <n v="358798809.60000002"/>
    <m/>
    <s v="June26"/>
    <s v="Part/Full BOE received &amp; Unpaid"/>
    <s v="Unpaid"/>
    <s v="Received"/>
    <m/>
    <s v="Open"/>
    <x v="0"/>
    <n v="42371819184"/>
    <n v="172000"/>
    <d v="2026-04-09T00:00:00"/>
    <x v="10"/>
    <m/>
    <m/>
    <s v="SOLAR CELLS"/>
  </r>
  <r>
    <m/>
    <n v="5600000401"/>
    <s v="0692626IM0Y00040"/>
    <d v="2026-02-06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872673.98"/>
    <n v="-872673.98"/>
    <n v="83776702.079999998"/>
    <n v="-83776702.079999998"/>
    <d v="2026-06-09T00:00:00"/>
    <x v="1"/>
    <n v="0"/>
    <m/>
    <s v="June26"/>
    <s v="BOE not received"/>
    <s v="Cancelled"/>
    <s v="Cancelled"/>
    <m/>
    <s v="Open"/>
    <x v="0"/>
    <n v="43649959856"/>
    <n v="11569000"/>
    <d v="2026-04-09T00:00:00"/>
    <x v="10"/>
    <m/>
    <m/>
    <s v="SOLAR CELLS"/>
  </r>
  <r>
    <n v="238"/>
    <n v="5600000383"/>
    <s v="0692626IM0Y00043"/>
    <d v="2026-02-13T00:00:00"/>
    <x v="0"/>
    <n v="0.1"/>
    <s v="FIRST MATERIAL SCIENCE (THAILAND) CO LTD"/>
    <s v="USD"/>
    <n v="930251.17"/>
    <n v="0"/>
    <n v="930251.17"/>
    <n v="95.12"/>
    <n v="88485491.290400013"/>
    <s v="Raw Material"/>
    <n v="60"/>
    <x v="0"/>
    <s v="MSBT250645-4"/>
    <d v="2026-04-06T00:00:00"/>
    <d v="2026-04-10T00:00:00"/>
    <d v="2026-03-18T00:00:00"/>
    <n v="155041.85999999999"/>
    <n v="775209.31"/>
    <n v="14747581.723199999"/>
    <m/>
    <d v="2026-05-18T00:00:00"/>
    <x v="1"/>
    <m/>
    <m/>
    <s v="May26"/>
    <s v="BOE Received and Paid"/>
    <s v="Paid"/>
    <s v="Received"/>
    <d v="2026-05-26T00:00:00"/>
    <s v="Closed"/>
    <x v="0"/>
    <n v="43749450461"/>
    <n v="5000000"/>
    <d v="2026-03-31T00:00:00"/>
    <x v="11"/>
    <m/>
    <m/>
    <s v=" EVA FILM"/>
  </r>
  <r>
    <m/>
    <n v="5600000383"/>
    <s v="0692626IM0Y00043"/>
    <d v="2026-02-13T00:00:00"/>
    <x v="0"/>
    <n v="0.1"/>
    <s v="FIRST MATERIAL SCIENCE (THAILAND) CO LTD"/>
    <s v="USD"/>
    <n v="0"/>
    <n v="0"/>
    <n v="0"/>
    <n v="95.12"/>
    <n v="0"/>
    <s v="Raw Material"/>
    <n v="60"/>
    <x v="0"/>
    <s v="MSBT250645-2"/>
    <d v="2026-04-04T00:00:00"/>
    <d v="2026-04-08T00:00:00"/>
    <d v="2026-03-18T00:00:00"/>
    <n v="155041.85999999999"/>
    <n v="-155041.85999999999"/>
    <n v="14747581.723199999"/>
    <m/>
    <d v="2026-05-18T00:00:00"/>
    <x v="1"/>
    <m/>
    <m/>
    <s v="May26"/>
    <s v="BOE Received and Paid"/>
    <s v="Paid"/>
    <s v="Received"/>
    <d v="2026-05-26T00:00:00"/>
    <s v="Closed"/>
    <x v="0"/>
    <n v="43749450461"/>
    <m/>
    <d v="2026-03-31T00:00:00"/>
    <x v="11"/>
    <m/>
    <m/>
    <s v=" EVA FILM"/>
  </r>
  <r>
    <m/>
    <n v="5600000383"/>
    <s v="0692626IM0Y00043"/>
    <d v="2026-02-13T00:00:00"/>
    <x v="0"/>
    <n v="0.1"/>
    <s v="FIRST MATERIAL SCIENCE (THAILAND) CO LTD"/>
    <s v="USD"/>
    <n v="0"/>
    <n v="0"/>
    <n v="0"/>
    <n v="95.12"/>
    <n v="0"/>
    <s v="Raw Material"/>
    <n v="60"/>
    <x v="0"/>
    <s v="MSBT250645-3"/>
    <d v="2026-04-04T00:00:00"/>
    <d v="2026-04-08T00:00:00"/>
    <d v="2026-03-18T00:00:00"/>
    <n v="155041.85999999999"/>
    <n v="-155041.85999999999"/>
    <n v="14747581.723199999"/>
    <m/>
    <d v="2026-05-18T00:00:00"/>
    <x v="1"/>
    <m/>
    <m/>
    <s v="May26"/>
    <s v="BOE Received and Paid"/>
    <s v="Paid"/>
    <s v="Received"/>
    <d v="2026-05-26T00:00:00"/>
    <s v="Closed"/>
    <x v="0"/>
    <n v="43749450461"/>
    <m/>
    <d v="2026-03-31T00:00:00"/>
    <x v="11"/>
    <m/>
    <m/>
    <s v=" EVA FILM"/>
  </r>
  <r>
    <m/>
    <n v="5600000383"/>
    <s v="0692626IM0Y00043"/>
    <d v="2026-02-13T00:00:00"/>
    <x v="0"/>
    <n v="0.1"/>
    <s v="FIRST MATERIAL SCIENCE (THAILAND) CO LTD"/>
    <s v="USD"/>
    <n v="0"/>
    <n v="0"/>
    <n v="0"/>
    <n v="95.12"/>
    <n v="0"/>
    <s v="Raw Material"/>
    <n v="60"/>
    <x v="0"/>
    <s v="MSBT250645-1"/>
    <d v="2026-04-06T00:00:00"/>
    <d v="2026-04-10T00:00:00"/>
    <d v="2026-03-16T00:00:00"/>
    <n v="155041.85999999999"/>
    <n v="-155041.85999999999"/>
    <n v="14747581.723199999"/>
    <m/>
    <d v="2026-05-15T00:00:00"/>
    <x v="1"/>
    <m/>
    <m/>
    <s v="May26"/>
    <s v="BOE Received and Paid"/>
    <s v="Paid"/>
    <s v="Received"/>
    <d v="2026-05-26T00:00:00"/>
    <s v="Closed"/>
    <x v="0"/>
    <n v="43749450461"/>
    <m/>
    <d v="2026-03-31T00:00:00"/>
    <x v="11"/>
    <m/>
    <m/>
    <s v=" EVA FILM"/>
  </r>
  <r>
    <m/>
    <n v="5600000383"/>
    <s v="0692626IM0Y00043"/>
    <d v="2026-02-13T00:00:00"/>
    <x v="0"/>
    <n v="0.1"/>
    <s v="FIRST MATERIAL SCIENCE (THAILAND) CO LTD"/>
    <s v="USD"/>
    <n v="0"/>
    <n v="0"/>
    <n v="0"/>
    <n v="95.12"/>
    <n v="0"/>
    <s v="Raw Material"/>
    <n v="60"/>
    <x v="0"/>
    <s v="MSBT250645-5"/>
    <d v="2026-04-20T00:00:00"/>
    <d v="2026-04-23T00:00:00"/>
    <d v="2026-03-26T00:00:00"/>
    <n v="310083.71999999997"/>
    <n v="-310083.71999999997"/>
    <n v="29495163.446399998"/>
    <m/>
    <d v="2026-05-26T00:00:00"/>
    <x v="7"/>
    <n v="88485491.290400013"/>
    <m/>
    <s v="May26"/>
    <s v="BOE Received and Paid"/>
    <s v="Paid"/>
    <s v="Received"/>
    <d v="2026-05-26T00:00:00"/>
    <s v="Closed"/>
    <x v="0"/>
    <n v="44485511084"/>
    <n v="3505000"/>
    <d v="2026-03-31T00:00:00"/>
    <x v="11"/>
    <m/>
    <m/>
    <s v=" EVA FILM"/>
  </r>
  <r>
    <n v="239"/>
    <n v="5600000387"/>
    <s v="0692626IM0Y00044"/>
    <d v="2026-02-13T00:00:00"/>
    <x v="0"/>
    <n v="0.1"/>
    <s v="FUTURE ALUMINUM NEW MATERIALS SDN BHD"/>
    <s v="USD"/>
    <n v="588000"/>
    <n v="0"/>
    <n v="588000"/>
    <n v="95.12"/>
    <n v="55930560"/>
    <s v="Raw Material"/>
    <n v="60"/>
    <x v="0"/>
    <s v="FA-GREW2026-02-26"/>
    <d v="2026-03-05T00:00:00"/>
    <d v="2026-03-13T00:00:00"/>
    <d v="2026-02-26T00:00:00"/>
    <n v="588000"/>
    <n v="0"/>
    <n v="55930560"/>
    <m/>
    <d v="2026-04-27T00:00:00"/>
    <x v="8"/>
    <n v="55930560"/>
    <m/>
    <s v="April26"/>
    <s v="BOE Received and Paid"/>
    <s v="Paid"/>
    <s v="Received"/>
    <d v="2026-04-27T00:00:00"/>
    <s v="Closed"/>
    <x v="0"/>
    <n v="44450034472"/>
    <m/>
    <d v="2026-02-28T00:00:00"/>
    <x v="7"/>
    <n v="7931820"/>
    <d v="2026-04-27T00:00:00"/>
    <s v="AL FRAME"/>
  </r>
  <r>
    <n v="240"/>
    <n v="5600000371"/>
    <s v="0692626IM0Y00047"/>
    <d v="2026-02-16T00:00:00"/>
    <x v="0"/>
    <n v="0.1"/>
    <s v="PT GREEN SOLAR ENERGY TUNAS"/>
    <s v="USD"/>
    <n v="310356.25"/>
    <n v="0"/>
    <n v="310356.25"/>
    <n v="95.12"/>
    <n v="29521086.5"/>
    <s v="Raw Material"/>
    <n v="60"/>
    <x v="0"/>
    <s v="SNP20260210"/>
    <d v="2026-04-02T00:00:00"/>
    <d v="2026-04-07T00:00:00"/>
    <d v="2026-03-12T00:00:00"/>
    <n v="310356.25"/>
    <n v="0"/>
    <n v="29521086.5"/>
    <m/>
    <d v="2026-05-11T00:00:00"/>
    <x v="11"/>
    <n v="29521086.5"/>
    <m/>
    <s v="May26"/>
    <s v="BOE Received and Paid"/>
    <s v="Paid"/>
    <s v="Received"/>
    <d v="2026-05-11T00:00:00"/>
    <s v="Closed"/>
    <x v="0"/>
    <n v="44450034472"/>
    <n v="2842000"/>
    <d v="2026-03-20T00:00:00"/>
    <x v="12"/>
    <m/>
    <m/>
    <s v="SOLAR CELLS"/>
  </r>
  <r>
    <n v="241"/>
    <n v="5600000413"/>
    <s v="0692626IM0Y00050"/>
    <d v="2026-02-17T00:00:00"/>
    <x v="0"/>
    <n v="0.1"/>
    <s v="JIETAI NEW ENERGY TECHNOLOGY (HK) LIMITED"/>
    <s v="USD"/>
    <n v="3039498"/>
    <n v="0"/>
    <n v="3039498"/>
    <n v="96"/>
    <n v="291791808"/>
    <s v="Raw Material"/>
    <n v="60"/>
    <x v="0"/>
    <s v="HKJTGREW20260226-3/4"/>
    <d v="2026-04-17T00:00:00"/>
    <d v="2026-04-21T00:00:00"/>
    <d v="2026-03-31T00:00:00"/>
    <n v="2992494.02"/>
    <n v="47003.979999999981"/>
    <n v="287279425.92000002"/>
    <n v="4512382.0799999982"/>
    <d v="2026-06-01T00:00:00"/>
    <x v="12"/>
    <n v="291791808"/>
    <m/>
    <s v="June26"/>
    <s v="BOE Received and Paid"/>
    <s v="Paid"/>
    <s v="Received"/>
    <d v="2026-06-01T00:00:00"/>
    <s v="Closed"/>
    <x v="0"/>
    <n v="43792161126"/>
    <n v="3381000"/>
    <d v="2026-04-15T00:00:00"/>
    <x v="13"/>
    <m/>
    <m/>
    <s v="SOLAR CELLS"/>
  </r>
  <r>
    <m/>
    <n v="5600000413"/>
    <s v="0692626IM0Y00050"/>
    <d v="2026-02-17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47003.98"/>
    <n v="-47003.98"/>
    <n v="4512382.08"/>
    <n v="-4512382.08"/>
    <d v="2026-06-01T00:00:00"/>
    <x v="1"/>
    <n v="0"/>
    <m/>
    <s v="June26"/>
    <s v="LC Cancelled"/>
    <s v="Paid"/>
    <s v="Cancelled"/>
    <d v="2026-06-01T00:00:00"/>
    <s v="Closed"/>
    <x v="0"/>
    <n v="44450034472"/>
    <n v="5390000"/>
    <d v="2026-04-15T00:00:00"/>
    <x v="13"/>
    <m/>
    <m/>
    <s v="SOLAR CELLS"/>
  </r>
  <r>
    <m/>
    <n v="5600000413"/>
    <s v="0692626IM0Y00050"/>
    <d v="2026-02-17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0"/>
    <n v="0"/>
    <n v="0"/>
    <n v="0"/>
    <d v="2026-06-01T00:00:00"/>
    <x v="1"/>
    <n v="0"/>
    <m/>
    <s v="June26"/>
    <s v="LC Cancelled"/>
    <s v="Paid"/>
    <s v="Cancelled"/>
    <d v="2026-06-01T00:00:00"/>
    <s v="Closed"/>
    <x v="0"/>
    <n v="44803304283"/>
    <n v="19049000"/>
    <d v="2026-04-15T00:00:00"/>
    <x v="13"/>
    <m/>
    <m/>
    <s v="SOLAR CELLS"/>
  </r>
  <r>
    <n v="242"/>
    <n v="5600000414"/>
    <s v="0692626IM0Y00049"/>
    <d v="2026-02-17T00:00:00"/>
    <x v="0"/>
    <n v="0.1"/>
    <s v="JIETAI NEW ENERGY TECHNOLOGY (HK) LIMITED"/>
    <s v="USD"/>
    <n v="3039498"/>
    <n v="0"/>
    <n v="3039498"/>
    <n v="96"/>
    <n v="291791808"/>
    <s v="Raw Material"/>
    <n v="60"/>
    <x v="0"/>
    <s v="HKJTGREW20260226-5/6"/>
    <d v="2026-04-20T00:00:00"/>
    <d v="2026-04-23T00:00:00"/>
    <d v="2026-03-31T00:00:00"/>
    <n v="2989373.63"/>
    <n v="50124.370000000112"/>
    <n v="286979868.48000002"/>
    <n v="4811939.5200000107"/>
    <d v="2026-06-01T00:00:00"/>
    <x v="12"/>
    <n v="291791808"/>
    <m/>
    <s v="June26"/>
    <s v="BOE Received and Paid"/>
    <s v="Paid"/>
    <s v="Received"/>
    <d v="2026-06-01T00:00:00"/>
    <s v="Closed"/>
    <x v="0"/>
    <n v="43607525170"/>
    <n v="7264000"/>
    <d v="2026-04-15T00:00:00"/>
    <x v="13"/>
    <m/>
    <m/>
    <s v="SOLAR CELLS"/>
  </r>
  <r>
    <m/>
    <n v="5600000414"/>
    <s v="0692626IM0Y00049"/>
    <d v="2026-02-17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50124.37"/>
    <n v="-50124.37"/>
    <n v="4811939.5200000005"/>
    <n v="-4811939.5200000005"/>
    <d v="2026-06-01T00:00:00"/>
    <x v="1"/>
    <n v="0"/>
    <m/>
    <s v="June26"/>
    <s v="LC Cancelled"/>
    <s v="Paid"/>
    <s v="Cancelled"/>
    <d v="2026-06-01T00:00:00"/>
    <s v="Closed"/>
    <x v="0"/>
    <n v="44325393960"/>
    <n v="10778000"/>
    <d v="2026-04-15T00:00:00"/>
    <x v="13"/>
    <m/>
    <m/>
    <s v="SOLAR CELLS"/>
  </r>
  <r>
    <m/>
    <n v="5600000414"/>
    <s v="0692626IM0Y00049"/>
    <d v="2026-02-17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0"/>
    <n v="0"/>
    <n v="0"/>
    <n v="0"/>
    <d v="2026-06-01T00:00:00"/>
    <x v="1"/>
    <n v="0"/>
    <m/>
    <s v="June26"/>
    <s v="LC Cancelled"/>
    <s v="Paid"/>
    <s v="Cancelled"/>
    <d v="2026-06-01T00:00:00"/>
    <s v="Closed"/>
    <x v="0"/>
    <n v="44803304283"/>
    <n v="9778000"/>
    <d v="2026-04-15T00:00:00"/>
    <x v="13"/>
    <m/>
    <m/>
    <s v="SOLAR CELLS"/>
  </r>
  <r>
    <n v="244"/>
    <n v="5600000422"/>
    <s v="0692626IM0Y00053"/>
    <d v="2026-02-23T00:00:00"/>
    <x v="0"/>
    <n v="0.1"/>
    <s v="PT BINTAN CELLULAR INDONESIA"/>
    <s v="USD"/>
    <n v="6450000"/>
    <n v="0"/>
    <n v="6450000"/>
    <n v="95.12"/>
    <n v="613524000"/>
    <s v="Raw Material"/>
    <n v="60"/>
    <x v="0"/>
    <s v="BCI26022411"/>
    <d v="2026-03-20T00:00:00"/>
    <d v="2026-03-20T00:00:00"/>
    <d v="2026-02-28T00:00:00"/>
    <n v="477999.98"/>
    <n v="5972000.0199999996"/>
    <n v="45467358.097599998"/>
    <m/>
    <d v="2026-04-29T00:00:00"/>
    <x v="13"/>
    <n v="613524000"/>
    <d v="2026-03-12T00:00:00"/>
    <s v="April26"/>
    <s v="BOE Received and Paid"/>
    <s v="Paid"/>
    <s v="Received"/>
    <d v="2026-04-29T00:00:00"/>
    <s v="Closed"/>
    <x v="0"/>
    <m/>
    <m/>
    <d v="2026-03-31T00:00:00"/>
    <x v="11"/>
    <n v="7998661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126022406"/>
    <d v="2026-03-20T00:00:00"/>
    <d v="2026-03-24T00:00:00"/>
    <d v="2026-02-28T00:00:00"/>
    <n v="746591.73"/>
    <n v="-746591.73"/>
    <n v="71015805.357600003"/>
    <m/>
    <d v="2026-04-29T00:00:00"/>
    <x v="1"/>
    <n v="0"/>
    <d v="2026-03-12T00:00:00"/>
    <s v="April26"/>
    <s v="BOE Received and Paid"/>
    <s v="Paid"/>
    <s v="Received"/>
    <d v="2026-04-29T00:00:00"/>
    <s v="Closed"/>
    <x v="0"/>
    <m/>
    <m/>
    <d v="2026-03-31T00:00:00"/>
    <x v="11"/>
    <n v="7998664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10"/>
    <d v="2026-03-20T00:00:00"/>
    <d v="2026-03-24T00:00:00"/>
    <d v="2026-02-28T00:00:00"/>
    <n v="746349.01"/>
    <n v="-746349.01"/>
    <n v="70992717.831200004"/>
    <m/>
    <d v="2026-04-29T00:00:00"/>
    <x v="1"/>
    <n v="0"/>
    <d v="2026-03-12T00:00:00"/>
    <s v="April26"/>
    <s v="BOE Received and Paid"/>
    <s v="Paid"/>
    <s v="Received"/>
    <d v="2026-04-29T00:00:00"/>
    <s v="Closed"/>
    <x v="0"/>
    <m/>
    <m/>
    <d v="2026-03-31T00:00:00"/>
    <x v="11"/>
    <n v="8027729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8"/>
    <d v="2026-03-20T00:00:00"/>
    <d v="2026-03-24T00:00:00"/>
    <d v="2026-02-28T00:00:00"/>
    <n v="746591.73"/>
    <n v="-746591.73"/>
    <n v="71015805.357600003"/>
    <m/>
    <d v="2026-04-29T00:00:00"/>
    <x v="1"/>
    <n v="0"/>
    <d v="2026-03-12T00:00:00"/>
    <s v="April26"/>
    <s v="BOE Received and Paid"/>
    <s v="Paid"/>
    <s v="Received"/>
    <d v="2026-04-29T00:00:00"/>
    <s v="Closed"/>
    <x v="0"/>
    <m/>
    <m/>
    <d v="2026-03-31T00:00:00"/>
    <x v="11"/>
    <n v="7967766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3"/>
    <d v="2026-03-20T00:00:00"/>
    <d v="2026-03-20T00:00:00"/>
    <d v="2026-02-28T00:00:00"/>
    <n v="746071.61"/>
    <n v="-746071.61"/>
    <n v="70966331.543200001"/>
    <m/>
    <d v="2026-04-28T00:00:00"/>
    <x v="1"/>
    <n v="0"/>
    <d v="2026-03-14T00:00:00"/>
    <s v="April26"/>
    <s v="BOE Received and Paid"/>
    <s v="Paid"/>
    <s v="Received"/>
    <d v="2026-04-29T00:00:00"/>
    <s v="Closed"/>
    <x v="0"/>
    <m/>
    <m/>
    <d v="2026-03-31T00:00:00"/>
    <x v="11"/>
    <n v="7886048"/>
    <d v="2026-04-28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7"/>
    <d v="2026-03-20T00:00:00"/>
    <d v="2026-03-24T00:00:00"/>
    <d v="2026-02-28T00:00:00"/>
    <n v="746591.73"/>
    <n v="-746591.73"/>
    <n v="71015805.357600003"/>
    <m/>
    <d v="2026-04-29T00:00:00"/>
    <x v="1"/>
    <n v="0"/>
    <d v="2026-03-19T00:00:00"/>
    <s v="April26"/>
    <s v="BOE Received and Paid"/>
    <s v="Paid"/>
    <s v="Received"/>
    <d v="2026-04-29T00:00:00"/>
    <s v="Closed"/>
    <x v="0"/>
    <m/>
    <m/>
    <d v="2026-03-31T00:00:00"/>
    <x v="11"/>
    <n v="7967237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9"/>
    <d v="2026-03-20T00:00:00"/>
    <d v="2026-03-24T00:00:00"/>
    <d v="2026-02-28T00:00:00"/>
    <n v="746591.73"/>
    <n v="-746591.73"/>
    <n v="71015805.357600003"/>
    <m/>
    <d v="2026-04-29T00:00:00"/>
    <x v="1"/>
    <n v="0"/>
    <d v="2026-03-19T00:00:00"/>
    <s v="April26"/>
    <s v="BOE Received and Paid"/>
    <s v="Paid"/>
    <s v="Received"/>
    <d v="2026-04-29T00:00:00"/>
    <s v="Closed"/>
    <x v="0"/>
    <m/>
    <m/>
    <d v="2026-03-31T00:00:00"/>
    <x v="11"/>
    <n v="7931077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4"/>
    <d v="2026-03-20T00:00:00"/>
    <d v="2026-03-20T00:00:00"/>
    <d v="2026-02-28T00:00:00"/>
    <n v="746591.73"/>
    <n v="-746591.73"/>
    <n v="71015805.357600003"/>
    <m/>
    <d v="2026-04-28T00:00:00"/>
    <x v="1"/>
    <n v="0"/>
    <d v="2026-03-16T00:00:00"/>
    <s v="April26"/>
    <s v="BOE Received and Paid"/>
    <s v="Paid"/>
    <s v="Received"/>
    <d v="2026-04-29T00:00:00"/>
    <s v="Closed"/>
    <x v="0"/>
    <m/>
    <m/>
    <d v="2026-03-31T00:00:00"/>
    <x v="11"/>
    <n v="7917366"/>
    <d v="2026-04-28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5"/>
    <d v="2026-03-20T00:00:00"/>
    <d v="2026-03-20T00:00:00"/>
    <d v="2026-02-28T00:00:00"/>
    <n v="746591.73"/>
    <n v="-746591.73"/>
    <n v="71015805.357600003"/>
    <m/>
    <d v="2026-04-28T00:00:00"/>
    <x v="1"/>
    <m/>
    <d v="2026-03-08T00:00:00"/>
    <s v="April26"/>
    <s v="BOE Received and Paid"/>
    <s v="Paid"/>
    <s v="Received"/>
    <d v="2026-04-29T00:00:00"/>
    <s v="Closed"/>
    <x v="0"/>
    <m/>
    <m/>
    <d v="2026-03-31T00:00:00"/>
    <x v="11"/>
    <n v="7915721"/>
    <d v="2026-04-28T00:00:00"/>
    <s v="SOLAR CELLS"/>
  </r>
  <r>
    <n v="245"/>
    <n v="5600000390"/>
    <s v="0692626IM0Y00054"/>
    <d v="2026-02-23T00:00:00"/>
    <x v="0"/>
    <n v="0.1"/>
    <s v="ARVEE INTERNATIONAL PTE LTD"/>
    <s v="USD"/>
    <n v="2020311.91"/>
    <n v="0"/>
    <n v="2020311.91"/>
    <n v="95.12"/>
    <n v="192172068.87920001"/>
    <s v="Raw Material"/>
    <n v="55"/>
    <x v="0"/>
    <s v="IDA20260108A"/>
    <d v="2026-03-16T00:00:00"/>
    <d v="2026-03-25T00:00:00"/>
    <d v="2026-02-10T00:00:00"/>
    <n v="2011633.59"/>
    <n v="8678.3199999998324"/>
    <n v="191346587.08080003"/>
    <m/>
    <d v="2026-04-06T00:00:00"/>
    <x v="6"/>
    <n v="192172068.87920001"/>
    <d v="2026-03-06T00:00:00"/>
    <s v="April26"/>
    <s v="BOE Received and Paid"/>
    <s v="Paid"/>
    <s v="Received"/>
    <d v="2026-04-06T00:00:00"/>
    <s v="Closed"/>
    <x v="0"/>
    <m/>
    <m/>
    <d v="2026-03-31T00:00:00"/>
    <x v="11"/>
    <n v="7830736"/>
    <d v="2026-04-06T00:00:00"/>
    <s v="SOLAR CELLS"/>
  </r>
  <r>
    <m/>
    <n v="5600000390"/>
    <s v="0692626IM0Y00054"/>
    <d v="2026-02-23T00:00:00"/>
    <x v="0"/>
    <n v="0.1"/>
    <s v="ARVEE INTERNATIONAL PTE LTD"/>
    <s v="USD"/>
    <n v="0"/>
    <n v="0"/>
    <n v="0"/>
    <n v="95.12"/>
    <n v="0"/>
    <s v="Raw Material"/>
    <n v="55"/>
    <x v="1"/>
    <m/>
    <m/>
    <m/>
    <m/>
    <n v="8678.32"/>
    <n v="-8678.32"/>
    <n v="825481.79839999997"/>
    <m/>
    <d v="2026-04-06T00:00:00"/>
    <x v="14"/>
    <n v="0"/>
    <m/>
    <s v="April26"/>
    <s v="LC Cancelled"/>
    <s v="Paid"/>
    <s v="Cancelled"/>
    <d v="2026-04-06T00:00:00"/>
    <s v="Closed"/>
    <x v="0"/>
    <m/>
    <m/>
    <d v="2026-03-31T00:00:00"/>
    <x v="11"/>
    <m/>
    <m/>
    <s v="SOLAR CELLS"/>
  </r>
  <r>
    <n v="246"/>
    <n v="5600000387"/>
    <s v="0692626IM0Y00052"/>
    <d v="2026-02-25T00:00:00"/>
    <x v="0"/>
    <n v="0.1"/>
    <s v="FUTURE ALUMINUM NEW MATERIALS SDN BHD"/>
    <s v="USD"/>
    <n v="588000"/>
    <n v="0"/>
    <n v="588000"/>
    <n v="95.12"/>
    <n v="55930560"/>
    <s v="Raw Material"/>
    <n v="60"/>
    <x v="0"/>
    <s v="FA-GREW2026-03-03"/>
    <d v="2026-03-16T00:00:00"/>
    <d v="2026-03-20T00:00:00"/>
    <d v="2026-03-04T00:00:00"/>
    <n v="588000"/>
    <n v="0"/>
    <n v="55930560"/>
    <m/>
    <d v="2026-05-04T00:00:00"/>
    <x v="5"/>
    <n v="55930560"/>
    <m/>
    <s v="May26"/>
    <s v="BOE Received and Paid"/>
    <s v="Paid"/>
    <s v="Received"/>
    <d v="2026-05-04T00:00:00"/>
    <s v="Closed"/>
    <x v="0"/>
    <m/>
    <m/>
    <d v="2026-03-20T00:00:00"/>
    <x v="12"/>
    <n v="8060758"/>
    <d v="2026-05-04T00:00:00"/>
    <s v="AL FRAME"/>
  </r>
  <r>
    <n v="247"/>
    <n v="5600000407"/>
    <s v="0692626IM0Y00057"/>
    <d v="2026-02-25T00:00:00"/>
    <x v="0"/>
    <n v="0.1"/>
    <s v="FIRST MATERIAL SCIENCE (THAILAND) CO LTD"/>
    <s v="USD"/>
    <n v="894998.94"/>
    <n v="0"/>
    <n v="894998.94"/>
    <n v="95.12"/>
    <n v="85132299.172800004"/>
    <s v="Raw Material"/>
    <n v="60"/>
    <x v="0"/>
    <s v="MSBT260063-1"/>
    <d v="2026-04-02T00:00:00"/>
    <d v="2026-04-07T00:00:00"/>
    <d v="2026-03-18T00:00:00"/>
    <n v="357999.57"/>
    <n v="536999.36999999988"/>
    <n v="34052919.098400004"/>
    <m/>
    <d v="2026-05-18T00:00:00"/>
    <x v="1"/>
    <m/>
    <m/>
    <s v="May26"/>
    <s v="BOE Received and Paid"/>
    <s v="Paid"/>
    <s v="Received"/>
    <d v="2026-05-26T00:00:00"/>
    <s v="Closed"/>
    <x v="0"/>
    <n v="44028685576"/>
    <n v="8225000"/>
    <d v="2026-03-31T00:00:00"/>
    <x v="11"/>
    <m/>
    <m/>
    <s v=" EVA FILM"/>
  </r>
  <r>
    <m/>
    <n v="5600000407"/>
    <s v="0692626IM0Y00057"/>
    <d v="2026-02-25T00:00:00"/>
    <x v="0"/>
    <n v="0.1"/>
    <s v="FIRST MATERIAL SCIENCE (THAILAND) CO LTD"/>
    <s v="USD"/>
    <n v="0"/>
    <n v="0"/>
    <n v="0"/>
    <n v="95.12"/>
    <n v="0"/>
    <s v="Raw Material"/>
    <n v="60"/>
    <x v="0"/>
    <s v="MSBT260063-3"/>
    <d v="2026-04-24T00:00:00"/>
    <d v="2026-05-05T00:00:00"/>
    <d v="2026-03-24T00:00:00"/>
    <n v="387832.87"/>
    <n v="-387832.87"/>
    <n v="36890662.594400004"/>
    <m/>
    <d v="2026-05-26T00:00:00"/>
    <x v="1"/>
    <m/>
    <m/>
    <s v="May26"/>
    <s v="BOE Received and Paid"/>
    <s v="Paid"/>
    <s v="Received"/>
    <d v="2026-05-26T00:00:00"/>
    <s v="Closed"/>
    <x v="0"/>
    <m/>
    <m/>
    <d v="2026-03-31T00:00:00"/>
    <x v="11"/>
    <m/>
    <m/>
    <s v=" EVA FILM"/>
  </r>
  <r>
    <m/>
    <n v="5600000407"/>
    <s v="0692626IM0Y00057"/>
    <d v="2026-02-25T00:00:00"/>
    <x v="0"/>
    <n v="0.1"/>
    <s v="FIRST MATERIAL SCIENCE (THAILAND) CO LTD"/>
    <s v="USD"/>
    <n v="0"/>
    <n v="0"/>
    <n v="0"/>
    <n v="95.12"/>
    <n v="0"/>
    <s v="Raw Material"/>
    <n v="60"/>
    <x v="0"/>
    <s v="MSBT260063-2"/>
    <d v="2026-04-10T00:00:00"/>
    <d v="2026-04-21T00:00:00"/>
    <d v="2026-03-24T00:00:00"/>
    <n v="149166.49"/>
    <n v="-149166.49"/>
    <n v="14188716.5288"/>
    <m/>
    <d v="2026-05-26T00:00:00"/>
    <x v="7"/>
    <n v="85132299.172800004"/>
    <m/>
    <s v="May26"/>
    <s v="BOE Received and Paid"/>
    <s v="Paid"/>
    <s v="Received"/>
    <d v="2026-05-26T00:00:00"/>
    <s v="Closed"/>
    <x v="0"/>
    <m/>
    <m/>
    <d v="2026-03-31T00:00:00"/>
    <x v="11"/>
    <m/>
    <m/>
    <s v=" EVA FILM"/>
  </r>
  <r>
    <n v="248"/>
    <n v="5600000427"/>
    <s v="0692626IM0Y00058"/>
    <d v="2026-03-02T00:00:00"/>
    <x v="0"/>
    <n v="0.1"/>
    <s v="JIETAI NEW ENERGY TECHNOLOGY (HK) LIMITED"/>
    <s v="USD"/>
    <n v="3441715.2000000002"/>
    <n v="34417.152000000002"/>
    <n v="3476132.352"/>
    <n v="96"/>
    <n v="333708705.792"/>
    <s v="Raw Material"/>
    <n v="60"/>
    <x v="0"/>
    <s v="HKJTGREW20260310-4"/>
    <d v="2026-04-20T00:00:00"/>
    <d v="2026-04-23T00:00:00"/>
    <d v="2026-04-14T00:00:00"/>
    <n v="2068376.08"/>
    <n v="1407756.2719999999"/>
    <n v="198564103.68000001"/>
    <n v="135144602.11199999"/>
    <d v="2026-06-15T00:00:00"/>
    <x v="1"/>
    <m/>
    <m/>
    <s v="June26"/>
    <s v="Part/Full BOE received &amp; Unpaid"/>
    <s v="Unpaid"/>
    <s v="Received"/>
    <m/>
    <s v="Open"/>
    <x v="0"/>
    <n v="44707855866"/>
    <n v="30000000"/>
    <d v="2026-04-20T00:00:00"/>
    <x v="14"/>
    <m/>
    <m/>
    <s v="SOLAR CELLS"/>
  </r>
  <r>
    <m/>
    <n v="5600000427"/>
    <s v="0692626IM0Y00058"/>
    <d v="2026-03-02T00:00:00"/>
    <x v="0"/>
    <n v="0.1"/>
    <s v="JIETAI NEW ENERGY TECHNOLOGY (HK) LIMITED"/>
    <s v="USD"/>
    <n v="0"/>
    <n v="0"/>
    <n v="0"/>
    <n v="96"/>
    <n v="0"/>
    <s v="Raw Material"/>
    <n v="60"/>
    <x v="0"/>
    <s v="HKJTGREW20260310-5"/>
    <d v="2026-04-28T00:00:00"/>
    <d v="2026-05-05T00:00:00"/>
    <d v="2026-04-18T00:00:00"/>
    <n v="1384612.19"/>
    <n v="-1384612.19"/>
    <n v="132922770.23999999"/>
    <n v="-132922770.23999999"/>
    <d v="2026-06-17T00:00:00"/>
    <x v="1"/>
    <m/>
    <m/>
    <s v="June26"/>
    <s v="Part/Full BOE received &amp; Unpaid"/>
    <s v="Unpaid"/>
    <s v="Received"/>
    <m/>
    <s v="Open"/>
    <x v="0"/>
    <n v="42814707478"/>
    <n v="1760000"/>
    <d v="2026-04-20T00:00:00"/>
    <x v="14"/>
    <m/>
    <m/>
    <s v="SOLAR CELLS"/>
  </r>
  <r>
    <m/>
    <n v="5600000427"/>
    <s v="0692626IM0Y00058"/>
    <d v="2026-03-02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23144.080000000002"/>
    <n v="-23144.080000000002"/>
    <n v="2221831.6800000002"/>
    <n v="-2221831.6800000002"/>
    <d v="2026-06-17T00:00:00"/>
    <x v="15"/>
    <n v="333708705.792"/>
    <m/>
    <s v="June26"/>
    <s v="BOE not received"/>
    <s v="Cancelled"/>
    <s v="Cancelled"/>
    <m/>
    <s v="Open"/>
    <x v="0"/>
    <n v="42840339454"/>
    <n v="892000"/>
    <d v="2026-04-20T00:00:00"/>
    <x v="14"/>
    <m/>
    <m/>
    <s v="SOLAR CELLS"/>
  </r>
  <r>
    <n v="249"/>
    <n v="5600000426"/>
    <s v="0692626IM0Y00059"/>
    <d v="2026-03-02T00:00:00"/>
    <x v="0"/>
    <n v="0.1"/>
    <s v="JIETAI NEW ENERGY TECHNOLOGY (HK) LIMITED"/>
    <s v="USD"/>
    <n v="3441715.2000000002"/>
    <n v="34417.152000000002"/>
    <n v="3476132.352"/>
    <n v="96"/>
    <n v="333708705.792"/>
    <s v="Raw Material"/>
    <n v="60"/>
    <x v="0"/>
    <s v="HKJTGREW20260310-1/2"/>
    <d v="2026-04-20T00:00:00"/>
    <d v="2026-04-23T00:00:00"/>
    <d v="2026-04-04T00:00:00"/>
    <n v="2764823.85"/>
    <n v="711308.50199999986"/>
    <n v="265423089.60000002"/>
    <n v="68285616.191999987"/>
    <d v="2026-06-03T00:00:00"/>
    <x v="1"/>
    <m/>
    <m/>
    <s v="June26"/>
    <s v="Part/Full BOE received &amp; Unpaid"/>
    <s v="Paid"/>
    <s v="Received"/>
    <m/>
    <s v="Open"/>
    <x v="0"/>
    <n v="43607525170"/>
    <n v="1148000"/>
    <d v="2026-04-20T00:00:00"/>
    <x v="14"/>
    <m/>
    <m/>
    <s v="SOLAR CELLS"/>
  </r>
  <r>
    <m/>
    <n v="5600000426"/>
    <s v="0692626IM0Y00059"/>
    <d v="2026-03-02T00:00:00"/>
    <x v="0"/>
    <n v="0.1"/>
    <s v="JIETAI NEW ENERGY TECHNOLOGY (HK) LIMITED"/>
    <s v="USD"/>
    <n v="0"/>
    <n v="0"/>
    <n v="0"/>
    <n v="96"/>
    <n v="0"/>
    <s v="Raw Material"/>
    <n v="60"/>
    <x v="0"/>
    <s v="HKJTGREW20260310-3"/>
    <d v="2026-04-20T00:00:00"/>
    <d v="2026-04-23T00:00:00"/>
    <d v="2026-04-15T00:00:00"/>
    <n v="688293.85"/>
    <n v="-688293.85"/>
    <n v="66076209.599999994"/>
    <n v="-66076209.599999994"/>
    <d v="2026-06-15T00:00:00"/>
    <x v="16"/>
    <n v="333708705.792"/>
    <m/>
    <s v="June26"/>
    <s v="Part/Full BOE received &amp; Unpaid"/>
    <s v="Unpaid"/>
    <s v="Received"/>
    <m/>
    <s v="Open"/>
    <x v="0"/>
    <n v="43792161126"/>
    <n v="6996000"/>
    <d v="2026-04-20T00:00:00"/>
    <x v="14"/>
    <m/>
    <m/>
    <s v="SOLAR CELLS"/>
  </r>
  <r>
    <m/>
    <n v="5600000426"/>
    <s v="0692626IM0Y00059"/>
    <d v="2026-03-02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23014.65"/>
    <n v="-23014.65"/>
    <n v="2209406.4000000004"/>
    <n v="-2209406.4000000004"/>
    <d v="2026-06-15T00:00:00"/>
    <x v="1"/>
    <n v="0"/>
    <m/>
    <s v="June26"/>
    <s v="BOE not received"/>
    <s v="Cancelled"/>
    <s v="Cancelled"/>
    <m/>
    <s v="Open"/>
    <x v="0"/>
    <n v="44803304283"/>
    <n v="2316000"/>
    <d v="2026-04-20T00:00:00"/>
    <x v="14"/>
    <m/>
    <m/>
    <s v="SOLAR CELLS"/>
  </r>
  <r>
    <n v="254"/>
    <n v="5600000391"/>
    <s v="0692626IM0Y00063"/>
    <d v="2026-03-10T00:00:00"/>
    <x v="0"/>
    <n v="0.1"/>
    <s v="ARVEE INTERNATIONAL PTE LTD"/>
    <s v="USD"/>
    <n v="669762.42000000004"/>
    <n v="0"/>
    <n v="669762.42000000004"/>
    <n v="95.12"/>
    <n v="63707801.390400007"/>
    <s v="Raw Material"/>
    <n v="55"/>
    <x v="0"/>
    <s v="ID20260108B"/>
    <d v="2026-03-30T00:00:00"/>
    <d v="2026-04-06T00:00:00"/>
    <d v="2026-02-28T00:00:00"/>
    <n v="669655.96"/>
    <n v="106.46000000007916"/>
    <n v="63697674.915200002"/>
    <m/>
    <d v="2026-04-24T00:00:00"/>
    <x v="17"/>
    <n v="63707801.390400007"/>
    <m/>
    <s v="April26"/>
    <s v="BOE Received and Paid"/>
    <s v="Paid"/>
    <s v="Received"/>
    <d v="2026-04-24T00:00:00"/>
    <s v="Closed"/>
    <x v="0"/>
    <m/>
    <m/>
    <d v="2026-03-15T00:00:00"/>
    <x v="15"/>
    <n v="8248503"/>
    <d v="2026-04-24T00:00:00"/>
    <s v="SOLAR CELLS"/>
  </r>
  <r>
    <m/>
    <n v="5600000391"/>
    <s v="0692626IM0Y00063"/>
    <d v="2026-03-10T00:00:00"/>
    <x v="0"/>
    <n v="0.1"/>
    <s v="ARVEE INTERNATIONAL PTE LTD"/>
    <s v="USD"/>
    <n v="0"/>
    <n v="0"/>
    <n v="0"/>
    <n v="95.12"/>
    <n v="0"/>
    <s v="Raw Material"/>
    <n v="55"/>
    <x v="1"/>
    <m/>
    <m/>
    <m/>
    <m/>
    <n v="106.46"/>
    <n v="-106.46"/>
    <n v="10126.475200000001"/>
    <m/>
    <d v="2026-04-24T00:00:00"/>
    <x v="1"/>
    <n v="0"/>
    <m/>
    <s v="April26"/>
    <s v="LC Cancelled"/>
    <s v="Paid"/>
    <s v="Cancelled"/>
    <d v="2026-04-24T00:00:00"/>
    <s v="Closed"/>
    <x v="0"/>
    <m/>
    <m/>
    <d v="2026-03-15T00:00:00"/>
    <x v="15"/>
    <m/>
    <m/>
    <s v="SOLAR CELLS"/>
  </r>
  <r>
    <n v="255"/>
    <n v="5600000390"/>
    <s v="0692626IM0Y00064"/>
    <d v="2026-03-13T00:00:00"/>
    <x v="0"/>
    <n v="0.1"/>
    <s v="ARVEE INTERNATIONAL PTE LTD"/>
    <s v="USD"/>
    <n v="1344018.83"/>
    <n v="0"/>
    <n v="1344018.83"/>
    <n v="95.12"/>
    <n v="127843071.10960001"/>
    <s v="Raw Material"/>
    <n v="55"/>
    <x v="0"/>
    <s v="ID20260115B-1"/>
    <d v="2026-04-06T00:00:00"/>
    <d v="2026-04-08T00:00:00"/>
    <d v="2026-02-28T00:00:00"/>
    <n v="1344065.61"/>
    <n v="-46.78000000002794"/>
    <n v="127847520.82320002"/>
    <m/>
    <d v="2026-04-24T00:00:00"/>
    <x v="17"/>
    <n v="127843071.10960001"/>
    <d v="2026-03-20T00:00:00"/>
    <s v="April26"/>
    <s v="BOE Received and Paid"/>
    <s v="Paid"/>
    <s v="Received"/>
    <d v="2026-04-24T00:00:00"/>
    <s v="Closed"/>
    <x v="0"/>
    <m/>
    <m/>
    <d v="2026-03-15T00:00:00"/>
    <x v="15"/>
    <n v="8112424"/>
    <d v="2026-04-24T00:00:00"/>
    <s v="SOLAR CELLS"/>
  </r>
  <r>
    <n v="256"/>
    <n v="5600000406"/>
    <s v="0692626IM0Y00066"/>
    <d v="2026-03-13T00:00:00"/>
    <x v="0"/>
    <n v="0.1"/>
    <s v="TAICANG JUREN INTERNATIONAL TRADE CO LTD"/>
    <s v="USD"/>
    <n v="804980"/>
    <n v="0"/>
    <n v="804980"/>
    <n v="94.920500000000004"/>
    <n v="76409104.090000004"/>
    <s v="Raw Material"/>
    <n v="60"/>
    <x v="0"/>
    <s v="JRIT20260318001"/>
    <d v="2026-04-06T00:00:00"/>
    <d v="2026-04-10T00:00:00"/>
    <d v="2026-03-26T00:00:00"/>
    <n v="804980"/>
    <n v="0"/>
    <n v="76409104.090000004"/>
    <m/>
    <d v="2026-05-26T00:00:00"/>
    <x v="7"/>
    <n v="76409104.090000004"/>
    <m/>
    <s v="May26"/>
    <s v="BOE Received and Paid"/>
    <s v="Paid"/>
    <s v="Received"/>
    <d v="2026-05-26T00:00:00"/>
    <s v="Closed"/>
    <x v="0"/>
    <n v="42371819184"/>
    <n v="7505000"/>
    <d v="2026-04-10T00:00:00"/>
    <x v="16"/>
    <m/>
    <m/>
    <s v="PV RIBBON BUS BAR"/>
  </r>
  <r>
    <n v="258"/>
    <n v="5600000412"/>
    <s v="0692626IM0Y00068"/>
    <d v="2026-03-16T00:00:00"/>
    <x v="0"/>
    <n v="0.1"/>
    <s v="FLAT HONG KONG CO LTD"/>
    <s v="USD"/>
    <n v="1307700"/>
    <n v="0"/>
    <n v="1307700"/>
    <n v="94.920500000000004"/>
    <n v="124127537.85000001"/>
    <s v="Raw Material"/>
    <n v="45"/>
    <x v="0"/>
    <s v="81005224 /5420/5600/5667/5683"/>
    <d v="2026-04-06T00:00:00"/>
    <d v="2026-04-10T00:00:00"/>
    <d v="2026-03-23T00:00:00"/>
    <n v="1307700"/>
    <n v="0"/>
    <n v="124127537.85000001"/>
    <m/>
    <d v="2026-05-07T00:00:00"/>
    <x v="18"/>
    <n v="124127537.85000001"/>
    <m/>
    <s v="May26"/>
    <s v="BOE Received and Paid"/>
    <s v="Paid"/>
    <s v="Received"/>
    <d v="2026-05-07T00:00:00"/>
    <s v="Closed"/>
    <x v="0"/>
    <m/>
    <m/>
    <d v="2026-04-15T00:00:00"/>
    <x v="17"/>
    <m/>
    <m/>
    <s v=" GLASS"/>
  </r>
  <r>
    <n v="259"/>
    <n v="5600000412"/>
    <s v="0692626IM0Y00067"/>
    <d v="2026-03-16T00:00:00"/>
    <x v="0"/>
    <n v="0.1"/>
    <s v="FLAT HONG KONG CO LTD"/>
    <s v="USD"/>
    <n v="1307700"/>
    <n v="0"/>
    <n v="1307700"/>
    <n v="95.12"/>
    <n v="124388424"/>
    <s v="Raw Material"/>
    <n v="45"/>
    <x v="0"/>
    <s v="81003332/3737/3329/3831/3836"/>
    <d v="2026-04-04T00:00:00"/>
    <d v="2026-04-08T00:00:00"/>
    <d v="2026-03-19T00:00:00"/>
    <n v="1307700"/>
    <n v="0"/>
    <n v="124388424"/>
    <m/>
    <d v="2026-05-04T00:00:00"/>
    <x v="5"/>
    <n v="124388424"/>
    <m/>
    <s v="May26"/>
    <s v="BOE Received and Paid"/>
    <s v="Paid"/>
    <s v="Received"/>
    <d v="2026-05-04T00:00:00"/>
    <s v="Closed"/>
    <x v="0"/>
    <m/>
    <m/>
    <d v="2026-04-15T00:00:00"/>
    <x v="17"/>
    <s v="8849791 / 8849792 /8850556 /8847569 /8850714"/>
    <d v="2026-05-04T00:00:00"/>
    <s v=" GLASS"/>
  </r>
  <r>
    <n v="260"/>
    <n v="5600000412"/>
    <s v="0692626IM0Y00069"/>
    <d v="2026-03-18T00:00:00"/>
    <x v="0"/>
    <n v="0.1"/>
    <s v="FLAT HONG KONG CO LTD"/>
    <s v="USD"/>
    <n v="1307700"/>
    <n v="0"/>
    <n v="1307700"/>
    <n v="96"/>
    <n v="125539200"/>
    <s v="Raw Material"/>
    <n v="45"/>
    <x v="0"/>
    <s v="81015302/4671/5417/5804/5806"/>
    <d v="2026-05-05T00:00:00"/>
    <d v="2026-05-12T00:00:00"/>
    <d v="2026-04-25T00:00:00"/>
    <n v="1307700"/>
    <n v="0"/>
    <n v="125539200"/>
    <m/>
    <d v="2026-06-09T00:00:00"/>
    <x v="10"/>
    <n v="125539200"/>
    <m/>
    <s v="June26"/>
    <s v="Part/Full BOE received &amp; Unpaid"/>
    <s v="Unpaid"/>
    <s v="Received"/>
    <m/>
    <s v="Open"/>
    <x v="0"/>
    <n v="44730457174"/>
    <n v="12197000"/>
    <d v="2026-05-15T00:00:00"/>
    <x v="18"/>
    <m/>
    <m/>
    <s v=" GLASS"/>
  </r>
  <r>
    <n v="261"/>
    <n v="5600000444"/>
    <s v="0692626IM0Y00070"/>
    <d v="2026-03-18T00:00:00"/>
    <x v="0"/>
    <n v="0.1"/>
    <s v="PT BINTAN CELLULAR INDONESIA"/>
    <s v="USD"/>
    <n v="3203988.48"/>
    <n v="0"/>
    <n v="3203988.48"/>
    <n v="96"/>
    <n v="307582894.07999998"/>
    <s v="Raw Material"/>
    <n v="60"/>
    <x v="0"/>
    <s v="BCI26032308"/>
    <d v="2026-04-22T00:00:00"/>
    <d v="2026-04-27T00:00:00"/>
    <d v="2026-04-01T00:00:00"/>
    <n v="361972.8"/>
    <n v="2842015.68"/>
    <n v="34749388.799999997"/>
    <m/>
    <d v="2026-06-02T00:00:00"/>
    <x v="19"/>
    <n v="307582894.07999998"/>
    <m/>
    <s v="June26"/>
    <s v="BOE Received and Paid"/>
    <s v="Paid"/>
    <s v="Received"/>
    <d v="2026-06-02T00:00:00"/>
    <s v="Closed"/>
    <x v="0"/>
    <n v="42815340031"/>
    <n v="300000"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3"/>
    <d v="2026-04-22T00:00:00"/>
    <d v="2026-04-27T00:00:00"/>
    <d v="2026-03-30T00:00:00"/>
    <n v="433266.62"/>
    <n v="-433266.62"/>
    <n v="41593595.519999996"/>
    <m/>
    <d v="2026-05-29T00:00:00"/>
    <x v="1"/>
    <m/>
    <m/>
    <s v="May26"/>
    <s v="BOE Received and Paid"/>
    <s v="Paid"/>
    <s v="Received"/>
    <d v="2026-06-02T00:00:00"/>
    <s v="Closed"/>
    <x v="0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2"/>
    <d v="2026-04-22T00:00:00"/>
    <d v="2026-04-27T00:00:00"/>
    <d v="2026-03-26T00:00:00"/>
    <n v="361972.8"/>
    <n v="-361972.8"/>
    <n v="34749388.799999997"/>
    <m/>
    <d v="2026-05-26T00:00:00"/>
    <x v="1"/>
    <m/>
    <m/>
    <s v="May26"/>
    <s v="BOE Received and Paid"/>
    <s v="Paid"/>
    <s v="Received"/>
    <d v="2026-06-02T00:00:00"/>
    <s v="Closed"/>
    <x v="0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1"/>
    <d v="2026-04-22T00:00:00"/>
    <d v="2026-04-29T00:00:00"/>
    <d v="2026-03-26T00:00:00"/>
    <n v="433266.62"/>
    <n v="-433266.62"/>
    <n v="41593595.519999996"/>
    <m/>
    <d v="2026-05-26T00:00:00"/>
    <x v="1"/>
    <m/>
    <m/>
    <s v="May26"/>
    <s v="BOE Received and Paid"/>
    <s v="Paid"/>
    <s v="Received"/>
    <d v="2026-06-02T00:00:00"/>
    <s v="Closed"/>
    <x v="0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4"/>
    <d v="2026-04-22T00:00:00"/>
    <d v="2026-04-29T00:00:00"/>
    <d v="2026-03-26T00:00:00"/>
    <n v="361972.8"/>
    <n v="-361972.8"/>
    <n v="34749388.799999997"/>
    <m/>
    <d v="2026-05-26T00:00:00"/>
    <x v="1"/>
    <m/>
    <m/>
    <s v="May26"/>
    <s v="BOE Received and Paid"/>
    <s v="Paid"/>
    <s v="Received"/>
    <d v="2026-06-02T00:00:00"/>
    <s v="Closed"/>
    <x v="0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5"/>
    <d v="2026-04-22T00:00:00"/>
    <d v="2026-04-29T00:00:00"/>
    <d v="2026-04-01T00:00:00"/>
    <n v="433266.62"/>
    <n v="-433266.62"/>
    <n v="41593595.519999996"/>
    <m/>
    <d v="2026-06-01T00:00:00"/>
    <x v="1"/>
    <m/>
    <m/>
    <s v="June26"/>
    <s v="BOE Received and Paid"/>
    <s v="Paid"/>
    <s v="Received"/>
    <d v="2026-06-02T00:00:00"/>
    <s v="Closed"/>
    <x v="1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7"/>
    <d v="2026-04-22T00:00:00"/>
    <d v="2026-04-29T00:00:00"/>
    <d v="2026-04-01T00:00:00"/>
    <n v="433266.62"/>
    <n v="-433266.62"/>
    <n v="41593595.519999996"/>
    <m/>
    <d v="2026-06-01T00:00:00"/>
    <x v="1"/>
    <m/>
    <m/>
    <s v="June26"/>
    <s v="BOE Received and Paid"/>
    <s v="Paid"/>
    <s v="Received"/>
    <d v="2026-06-02T00:00:00"/>
    <s v="Closed"/>
    <x v="1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6"/>
    <d v="2026-04-22T00:00:00"/>
    <d v="2026-04-29T00:00:00"/>
    <d v="2026-04-01T00:00:00"/>
    <n v="361972.8"/>
    <n v="-361972.8"/>
    <n v="34749388.799999997"/>
    <m/>
    <d v="2026-06-01T00:00:00"/>
    <x v="1"/>
    <m/>
    <m/>
    <s v="June26"/>
    <s v="BOE Received and Paid"/>
    <s v="Paid"/>
    <s v="Received"/>
    <d v="2026-06-02T00:00:00"/>
    <s v="Closed"/>
    <x v="1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1"/>
    <m/>
    <m/>
    <m/>
    <m/>
    <n v="23030.799999999999"/>
    <n v="-23030.799999999999"/>
    <n v="2210956.7999999998"/>
    <m/>
    <d v="2026-06-02T00:00:00"/>
    <x v="1"/>
    <m/>
    <m/>
    <s v="June26"/>
    <s v="LC Cancelled"/>
    <s v="Paid"/>
    <s v="Cancelled"/>
    <d v="2026-06-02T00:00:00"/>
    <s v="Closed"/>
    <x v="0"/>
    <m/>
    <m/>
    <d v="2026-04-15T00:00:00"/>
    <x v="17"/>
    <m/>
    <m/>
    <s v="SOLAR CELLS"/>
  </r>
  <r>
    <n v="270"/>
    <n v="5600000446"/>
    <s v="0692626IM0Y00074"/>
    <d v="2026-03-20T00:00:00"/>
    <x v="0"/>
    <n v="0.1"/>
    <s v="FLAT HONG KONG CO LTD"/>
    <s v="USD"/>
    <n v="1307700"/>
    <n v="0"/>
    <n v="1307700"/>
    <n v="94.920500000000004"/>
    <n v="124127537.85000001"/>
    <s v="Raw Material"/>
    <n v="45"/>
    <x v="0"/>
    <s v="81007400 /7403/7405/7674/7678"/>
    <d v="2026-04-07T00:00:00"/>
    <d v="2026-04-10T00:00:00"/>
    <d v="2026-03-26T00:00:00"/>
    <n v="1307700"/>
    <n v="0"/>
    <n v="124127537.85000001"/>
    <m/>
    <d v="2026-05-11T00:00:00"/>
    <x v="11"/>
    <n v="124127537.85000001"/>
    <m/>
    <s v="May26"/>
    <s v="BOE Received and Paid"/>
    <s v="Paid"/>
    <s v="Received"/>
    <d v="2026-05-11T00:00:00"/>
    <s v="Closed"/>
    <x v="1"/>
    <m/>
    <m/>
    <d v="2026-04-15T00:00:00"/>
    <x v="17"/>
    <m/>
    <m/>
    <s v=" GLASS"/>
  </r>
  <r>
    <n v="271"/>
    <n v="5600000446"/>
    <s v="0692626IM0Y00075"/>
    <d v="2026-03-20T00:00:00"/>
    <x v="0"/>
    <n v="0.1"/>
    <s v="FLAT HONG KONG CO LTD"/>
    <s v="USD"/>
    <n v="1307700"/>
    <n v="0"/>
    <n v="1307700"/>
    <n v="96"/>
    <n v="125539200"/>
    <s v="Raw Material"/>
    <n v="45"/>
    <x v="0"/>
    <s v="81006010/81013207/81010631"/>
    <d v="2026-04-21T00:00:00"/>
    <d v="2026-04-23T00:00:00"/>
    <d v="2026-04-10T00:00:00"/>
    <n v="652950"/>
    <n v="654750"/>
    <n v="62683200"/>
    <m/>
    <d v="2026-05-29T00:00:00"/>
    <x v="1"/>
    <m/>
    <m/>
    <s v="May26"/>
    <s v="Part/Full BOE received &amp; Unpaid"/>
    <s v="Paid"/>
    <s v="Received"/>
    <m/>
    <s v="Open"/>
    <x v="0"/>
    <n v="4281470748"/>
    <n v="2151000"/>
    <d v="2026-04-30T00:00:00"/>
    <x v="19"/>
    <m/>
    <m/>
    <s v=" GLASS"/>
  </r>
  <r>
    <m/>
    <n v="5600000446"/>
    <s v="0692626IM0Y00075"/>
    <d v="2026-03-20T00:00:00"/>
    <x v="0"/>
    <n v="0.1"/>
    <s v="FLAT HONG KONG CO LTD"/>
    <s v="USD"/>
    <n v="0"/>
    <n v="0"/>
    <n v="0"/>
    <n v="96"/>
    <n v="0"/>
    <s v="Raw Material"/>
    <n v="45"/>
    <x v="0"/>
    <n v="81013533"/>
    <d v="2026-05-02T00:00:00"/>
    <d v="2026-05-07T00:00:00"/>
    <d v="2026-04-21T00:00:00"/>
    <n v="130770"/>
    <n v="-130770"/>
    <n v="12553920"/>
    <m/>
    <d v="2026-06-05T00:00:00"/>
    <x v="1"/>
    <m/>
    <m/>
    <s v="June26"/>
    <s v="Part/Full BOE received &amp; Unpaid"/>
    <s v="Unpaid"/>
    <s v="Received"/>
    <m/>
    <s v="Open"/>
    <x v="0"/>
    <n v="44674538206"/>
    <n v="10179000"/>
    <d v="2026-04-30T00:00:00"/>
    <x v="19"/>
    <m/>
    <m/>
    <s v=" GLASS"/>
  </r>
  <r>
    <m/>
    <n v="5600000446"/>
    <s v="0692626IM0Y00075"/>
    <d v="2026-03-20T00:00:00"/>
    <x v="0"/>
    <n v="0.1"/>
    <s v="FLAT HONG KONG CO LTD"/>
    <s v="USD"/>
    <n v="0"/>
    <n v="0"/>
    <n v="0"/>
    <n v="96"/>
    <n v="0"/>
    <s v="Raw Material"/>
    <n v="45"/>
    <x v="0"/>
    <s v="81013211/81010648"/>
    <d v="2026-05-12T00:00:00"/>
    <d v="2026-05-16T00:00:00"/>
    <d v="2026-04-28T00:00:00"/>
    <n v="523980"/>
    <n v="-523980"/>
    <n v="50302080"/>
    <m/>
    <d v="2026-06-12T00:00:00"/>
    <x v="20"/>
    <n v="125539200"/>
    <m/>
    <s v="June26"/>
    <s v="Part/Full BOE received &amp; Unpaid"/>
    <s v="Unpaid"/>
    <s v="Received"/>
    <m/>
    <s v="Open"/>
    <x v="0"/>
    <m/>
    <m/>
    <d v="2026-04-30T00:00:00"/>
    <x v="19"/>
    <m/>
    <m/>
    <s v=" GLASS"/>
  </r>
  <r>
    <n v="272"/>
    <n v="5600000446"/>
    <s v="0692626IM0Y00076"/>
    <d v="2026-03-20T00:00:00"/>
    <x v="0"/>
    <n v="0.1"/>
    <s v="FLAT HONG KONG CO LTD"/>
    <s v="USD"/>
    <n v="1307700"/>
    <n v="0"/>
    <n v="1307700"/>
    <n v="96"/>
    <n v="125539200"/>
    <s v="Raw Material"/>
    <n v="45"/>
    <x v="0"/>
    <n v="81012295"/>
    <d v="2026-05-02T00:00:00"/>
    <d v="2026-05-07T00:00:00"/>
    <d v="2026-04-21T00:00:00"/>
    <n v="262440"/>
    <n v="1045260"/>
    <n v="25194240"/>
    <m/>
    <d v="2026-06-05T00:00:00"/>
    <x v="1"/>
    <m/>
    <m/>
    <s v="June26"/>
    <s v="Part/Full BOE received &amp; Unpaid"/>
    <s v="Unpaid"/>
    <s v="Received"/>
    <m/>
    <s v="Open"/>
    <x v="0"/>
    <n v="43792161126"/>
    <n v="2293000"/>
    <d v="2026-04-30T00:00:00"/>
    <x v="19"/>
    <m/>
    <m/>
    <s v=" GLASS"/>
  </r>
  <r>
    <m/>
    <n v="5600000446"/>
    <s v="0692626IM0Y00076"/>
    <d v="2026-03-20T00:00:00"/>
    <x v="0"/>
    <n v="0.1"/>
    <s v="FLAT HONG KONG CO LTD"/>
    <s v="USD"/>
    <n v="0"/>
    <n v="0"/>
    <n v="0"/>
    <n v="96"/>
    <n v="0"/>
    <s v="Raw Material"/>
    <n v="45"/>
    <x v="0"/>
    <s v="81012449/4293/3478/3458"/>
    <d v="2026-05-13T00:00:00"/>
    <d v="2026-05-16T00:00:00"/>
    <d v="2026-04-28T00:00:00"/>
    <n v="1045260"/>
    <n v="-1045260"/>
    <n v="100344960"/>
    <m/>
    <d v="2026-06-12T00:00:00"/>
    <x v="20"/>
    <n v="125539200"/>
    <m/>
    <s v="June26"/>
    <s v="Part/Full BOE received &amp; Unpaid"/>
    <s v="Unpaid"/>
    <s v="Received"/>
    <m/>
    <s v="Open"/>
    <x v="0"/>
    <n v="42815340031"/>
    <n v="67000"/>
    <d v="2026-04-30T00:00:00"/>
    <x v="19"/>
    <m/>
    <m/>
    <s v=" GLASS"/>
  </r>
  <r>
    <m/>
    <n v="5600000446"/>
    <s v="0692626IM0Y00076"/>
    <d v="2026-03-20T00:00:00"/>
    <x v="0"/>
    <n v="0.1"/>
    <s v="FLAT HONG KONG CO LTD"/>
    <s v="USD"/>
    <n v="0"/>
    <n v="0"/>
    <n v="0"/>
    <n v="96"/>
    <n v="0"/>
    <s v="Raw Material"/>
    <n v="45"/>
    <x v="1"/>
    <m/>
    <m/>
    <m/>
    <m/>
    <n v="0"/>
    <n v="0"/>
    <n v="0"/>
    <m/>
    <d v="2026-06-12T00:00:00"/>
    <x v="1"/>
    <n v="0"/>
    <m/>
    <s v="June26"/>
    <s v="BOE not received"/>
    <s v="Cancelled"/>
    <s v="Cancelled"/>
    <m/>
    <s v="Open"/>
    <x v="0"/>
    <n v="43649959856"/>
    <n v="9970000"/>
    <d v="2026-04-30T00:00:00"/>
    <x v="19"/>
    <m/>
    <m/>
    <s v=" GLASS"/>
  </r>
  <r>
    <n v="273"/>
    <n v="1400000527"/>
    <s v="0692626IM0Y00071"/>
    <d v="2026-03-20T00:00:00"/>
    <x v="0"/>
    <n v="1"/>
    <s v="ISRA VISION GMBH"/>
    <s v="EUR"/>
    <n v="43600"/>
    <n v="0"/>
    <n v="43600"/>
    <n v="107.31238500000001"/>
    <n v="4678819.9860000005"/>
    <s v="CAPEX"/>
    <s v="Sight"/>
    <x v="0"/>
    <n v="1025026312"/>
    <d v="2026-05-02T00:00:00"/>
    <d v="2026-05-07T00:00:00"/>
    <d v="2026-04-13T00:00:00"/>
    <n v="43600"/>
    <n v="0"/>
    <n v="0"/>
    <m/>
    <d v="2026-05-07T00:00:00"/>
    <x v="1"/>
    <m/>
    <m/>
    <s v="May26"/>
    <s v="BOE Received and Paid"/>
    <s v="Paid"/>
    <s v="Received"/>
    <d v="2026-05-07T00:00:00"/>
    <s v="Closed"/>
    <x v="0"/>
    <n v="45011160322"/>
    <n v="4578000"/>
    <d v="2026-04-15T00:00:00"/>
    <x v="17"/>
    <m/>
    <m/>
    <s v="COATING OFFLINE PL TESTER"/>
  </r>
  <r>
    <m/>
    <n v="1400000527"/>
    <s v="0692626IM0Y00071"/>
    <d v="2026-03-20T00:00:00"/>
    <x v="0"/>
    <n v="1"/>
    <s v="ISRA VISION GMBH"/>
    <s v="EUR"/>
    <n v="0"/>
    <n v="0"/>
    <n v="0"/>
    <n v="107.31238500000001"/>
    <n v="0"/>
    <s v="CAPEX"/>
    <s v="Sight"/>
    <x v="1"/>
    <m/>
    <m/>
    <m/>
    <m/>
    <m/>
    <n v="0"/>
    <n v="0"/>
    <m/>
    <m/>
    <x v="1"/>
    <m/>
    <m/>
    <s v="-"/>
    <s v="BOE Received and Paid"/>
    <s v="Paid"/>
    <s v="Cancelled"/>
    <d v="2026-05-07T00:00:00"/>
    <s v="Closed"/>
    <x v="0"/>
    <n v="42815340031"/>
    <n v="150000"/>
    <d v="2026-04-15T00:00:00"/>
    <x v="17"/>
    <m/>
    <m/>
    <s v="COATING OFFLINE PL TESTER"/>
  </r>
  <r>
    <n v="274"/>
    <n v="1400000545"/>
    <s v="0692626IM0Y00072"/>
    <d v="2026-03-20T00:00:00"/>
    <x v="0"/>
    <n v="1"/>
    <s v="SEMILAB SEMICONDUCTOR PHYSICS LABORATORY CO LTD"/>
    <s v="EUR"/>
    <n v="81600"/>
    <n v="0"/>
    <n v="81600"/>
    <n v="107.31238500000001"/>
    <n v="8756690.6160000004"/>
    <s v="CAPEX"/>
    <s v="Sight"/>
    <x v="0"/>
    <s v="2026KV000010733"/>
    <d v="2026-04-10T00:00:00"/>
    <d v="2026-04-27T00:00:00"/>
    <m/>
    <n v="21600"/>
    <n v="60000"/>
    <n v="0"/>
    <m/>
    <d v="2026-04-20T00:00:00"/>
    <x v="1"/>
    <m/>
    <m/>
    <s v="April26"/>
    <s v="Part/Full BOE received &amp; Unpaid"/>
    <s v="Paid"/>
    <s v="Received"/>
    <m/>
    <s v="Open"/>
    <x v="0"/>
    <n v="45011162091"/>
    <n v="8568000"/>
    <d v="2026-05-16T00:00:00"/>
    <x v="20"/>
    <m/>
    <m/>
    <s v="SPECTROSCOPIC ELLIPSOMETER"/>
  </r>
  <r>
    <m/>
    <n v="1400000545"/>
    <s v="0692626IM0Y00072"/>
    <d v="2026-03-20T00:00:00"/>
    <x v="0"/>
    <n v="1"/>
    <s v="SEMILAB SEMICONDUCTOR PHYSICS LABORATORY CO LTD"/>
    <s v="EUR"/>
    <n v="0"/>
    <n v="0"/>
    <n v="0"/>
    <n v="107.31238500000001"/>
    <n v="0"/>
    <s v="CAPEX"/>
    <s v="Sight"/>
    <x v="0"/>
    <s v="2026KV000010788"/>
    <d v="2026-04-27T00:00:00"/>
    <d v="2026-05-04T00:00:00"/>
    <d v="2026-04-15T00:00:00"/>
    <n v="30000"/>
    <n v="-30000"/>
    <n v="0"/>
    <m/>
    <d v="2026-05-05T00:00:00"/>
    <x v="1"/>
    <m/>
    <m/>
    <s v="May26"/>
    <s v="Part/Full BOE received &amp; Unpaid"/>
    <s v="Paid"/>
    <s v="Received"/>
    <m/>
    <s v="Open"/>
    <x v="0"/>
    <n v="45011162091"/>
    <m/>
    <d v="2026-05-16T00:00:00"/>
    <x v="20"/>
    <m/>
    <m/>
    <s v="SPECTROSCOPIC ELLIPSOMETER"/>
  </r>
  <r>
    <m/>
    <n v="1400000545"/>
    <s v="0692626IM0Y00072"/>
    <d v="2026-03-20T00:00:00"/>
    <x v="0"/>
    <n v="1"/>
    <s v="SEMILAB SEMICONDUCTOR PHYSICS LABORATORY CO LTD"/>
    <s v="EUR"/>
    <n v="0"/>
    <n v="0"/>
    <n v="0"/>
    <n v="111.9575"/>
    <n v="0"/>
    <s v="CAPEX"/>
    <s v="Sight"/>
    <x v="0"/>
    <s v="2026KV000010901"/>
    <d v="2026-06-03T00:00:00"/>
    <m/>
    <d v="2026-05-08T00:00:00"/>
    <n v="30000"/>
    <n v="-30000"/>
    <n v="0"/>
    <m/>
    <d v="2026-06-09T00:00:00"/>
    <x v="1"/>
    <m/>
    <m/>
    <s v="June26"/>
    <s v="Part/Full BOE received &amp; Unpaid"/>
    <s v="Unpaid"/>
    <s v="Received"/>
    <m/>
    <s v="Open"/>
    <x v="0"/>
    <n v="45011162091"/>
    <m/>
    <d v="2026-05-16T00:00:00"/>
    <x v="20"/>
    <m/>
    <m/>
    <s v="SPECTROSCOPIC ELLIPSOMETER"/>
  </r>
  <r>
    <n v="219"/>
    <n v="5600000360"/>
    <s v="261001FLCU00013"/>
    <d v="2026-01-20T00:00:00"/>
    <x v="1"/>
    <n v="0.1"/>
    <s v="TAICANG JUREN INTERNATIONAL TRADE CO LTD"/>
    <s v="USD"/>
    <n v="1052825"/>
    <n v="0"/>
    <n v="1052825"/>
    <n v="93.36"/>
    <n v="98291742"/>
    <s v="Raw Material"/>
    <n v="60"/>
    <x v="0"/>
    <s v="JRIT20260203008"/>
    <d v="2026-03-04T00:00:00"/>
    <d v="2026-03-12T00:00:00"/>
    <d v="2026-02-13T00:00:00"/>
    <n v="1052825"/>
    <n v="0"/>
    <n v="98291742"/>
    <m/>
    <d v="2026-04-15T00:00:00"/>
    <x v="0"/>
    <n v="98291742"/>
    <m/>
    <s v="April26"/>
    <s v="BOE Received and Paid"/>
    <s v="Paid"/>
    <s v="Received"/>
    <d v="2026-04-15T00:00:00"/>
    <s v="Closed"/>
    <x v="0"/>
    <m/>
    <m/>
    <d v="2026-02-10T00:00:00"/>
    <x v="5"/>
    <n v="7931785"/>
    <d v="2026-04-15T00:00:00"/>
    <s v="PV RIBBON BUS BAR"/>
  </r>
  <r>
    <n v="225"/>
    <n v="5600000373"/>
    <s v="261001FLCU00015"/>
    <d v="2026-01-23T00:00:00"/>
    <x v="1"/>
    <n v="0.1"/>
    <s v="SHANGHAI HUITIAN NEW MATERIAL CO LTD"/>
    <s v="USD"/>
    <n v="279835.2"/>
    <n v="0"/>
    <n v="279835.2"/>
    <n v="93.15"/>
    <n v="26066648.880000003"/>
    <s v="Raw Material"/>
    <n v="60"/>
    <x v="0"/>
    <s v="HT-GEW-2025123001"/>
    <d v="2026-03-10T00:00:00"/>
    <d v="2026-03-18T00:00:00"/>
    <m/>
    <n v="279835.2"/>
    <n v="0"/>
    <n v="26066648.880000003"/>
    <m/>
    <d v="2026-04-23T00:00:00"/>
    <x v="21"/>
    <n v="26066648.880000003"/>
    <m/>
    <s v="April26"/>
    <s v="BOE Received and Paid"/>
    <s v="Paid"/>
    <s v="Received"/>
    <d v="2026-04-23T00:00:00"/>
    <s v="Closed"/>
    <x v="0"/>
    <m/>
    <m/>
    <d v="2026-02-15T00:00:00"/>
    <x v="5"/>
    <n v="8189187"/>
    <d v="2026-04-23T00:00:00"/>
    <s v="HT 960 SEALANT"/>
  </r>
  <r>
    <n v="226"/>
    <n v="5600000374"/>
    <s v="261001FLCU00016"/>
    <d v="2026-01-23T00:00:00"/>
    <x v="1"/>
    <n v="0.1"/>
    <s v="SHANGHAI HUITIAN NEW MATERIAL CO LTD"/>
    <s v="USD"/>
    <n v="239795.20000000001"/>
    <n v="0"/>
    <n v="239795.20000000001"/>
    <n v="93.15"/>
    <n v="22336922.880000003"/>
    <s v="Raw Material"/>
    <n v="60"/>
    <x v="0"/>
    <s v="HT-GEW-2025123002"/>
    <d v="2026-03-10T00:00:00"/>
    <d v="2026-03-24T00:00:00"/>
    <m/>
    <n v="239795.20000000001"/>
    <n v="0"/>
    <n v="22336922.880000003"/>
    <m/>
    <d v="2026-04-23T00:00:00"/>
    <x v="21"/>
    <n v="22336922.880000003"/>
    <m/>
    <s v="April26"/>
    <s v="BOE Received and Paid"/>
    <s v="Paid"/>
    <s v="Received"/>
    <d v="2026-04-23T00:00:00"/>
    <s v="Closed"/>
    <x v="0"/>
    <m/>
    <m/>
    <d v="2026-02-15T00:00:00"/>
    <x v="5"/>
    <n v="8170407"/>
    <d v="2026-04-23T00:00:00"/>
    <s v="HT 960 SEALANT"/>
  </r>
  <r>
    <n v="230"/>
    <n v="5600000359"/>
    <s v="261001FLCU00021"/>
    <d v="2026-02-02T00:00:00"/>
    <x v="1"/>
    <n v="0.1"/>
    <s v="TAICANG JUREN INTERNATIONAL TRADE CO LTD"/>
    <s v="USD"/>
    <n v="702650"/>
    <n v="0"/>
    <n v="702650"/>
    <n v="93.5"/>
    <n v="65697775"/>
    <s v="Raw Material"/>
    <n v="60"/>
    <x v="0"/>
    <s v="JRIT20260211002"/>
    <d v="2026-03-10T00:00:00"/>
    <d v="2026-03-18T00:00:00"/>
    <m/>
    <n v="702650"/>
    <n v="0"/>
    <n v="65697775"/>
    <m/>
    <d v="2026-04-27T00:00:00"/>
    <x v="8"/>
    <n v="65697775"/>
    <m/>
    <s v="April26"/>
    <s v="BOE Received and Paid"/>
    <s v="Paid"/>
    <s v="Received"/>
    <d v="2026-04-27T00:00:00"/>
    <s v="Closed"/>
    <x v="0"/>
    <m/>
    <m/>
    <d v="2026-02-10T00:00:00"/>
    <x v="6"/>
    <n v="8264043"/>
    <d v="2026-04-27T00:00:00"/>
    <s v="PV RIBBON BUS BAR"/>
  </r>
  <r>
    <n v="231"/>
    <n v="5600000383"/>
    <s v="261001FLCU00023"/>
    <d v="2026-02-03T00:00:00"/>
    <x v="1"/>
    <n v="0.1"/>
    <s v="FIRST MATERIAL SCIENCE (THAILAND) CO LTD"/>
    <s v="USD"/>
    <n v="930251.17"/>
    <n v="0"/>
    <n v="930251.17"/>
    <n v="93.5"/>
    <n v="86978484.395000011"/>
    <s v="Raw Material"/>
    <n v="60"/>
    <x v="0"/>
    <s v="MSBT250644-1"/>
    <d v="2026-03-10T00:00:00"/>
    <d v="2026-03-18T00:00:00"/>
    <m/>
    <n v="465125.59"/>
    <n v="465125.58"/>
    <n v="43489242.664999999"/>
    <m/>
    <d v="2026-04-24T00:00:00"/>
    <x v="1"/>
    <m/>
    <m/>
    <s v="April26"/>
    <s v="BOE Received and Paid"/>
    <s v="Paid"/>
    <s v="Received"/>
    <d v="2026-05-08T00:00:00"/>
    <s v="Closed"/>
    <x v="2"/>
    <m/>
    <m/>
    <d v="2026-03-10T00:00:00"/>
    <x v="8"/>
    <n v="7897020"/>
    <d v="2026-04-24T00:00:00"/>
    <s v=" EVA FILM"/>
  </r>
  <r>
    <m/>
    <n v="5600000383"/>
    <s v="261001FLCU00023"/>
    <d v="2026-02-03T00:00:00"/>
    <x v="1"/>
    <n v="0.1"/>
    <s v="FIRST MATERIAL SCIENCE (THAILAND) CO LTD"/>
    <s v="USD"/>
    <n v="0"/>
    <n v="0"/>
    <n v="0"/>
    <n v="93.5"/>
    <n v="0"/>
    <s v="Raw Material"/>
    <n v="60"/>
    <x v="0"/>
    <s v="MSBT250644-2"/>
    <d v="2026-04-02T00:00:00"/>
    <d v="2026-04-10T00:00:00"/>
    <d v="2026-03-09T00:00:00"/>
    <n v="465125.58"/>
    <n v="-465125.58"/>
    <n v="43489241.730000004"/>
    <m/>
    <d v="2026-05-08T00:00:00"/>
    <x v="22"/>
    <n v="86978484.395000011"/>
    <m/>
    <s v="May26"/>
    <s v="BOE Received and Paid"/>
    <s v="Paid"/>
    <s v="Received"/>
    <d v="2026-05-08T00:00:00"/>
    <s v="Closed"/>
    <x v="0"/>
    <m/>
    <m/>
    <d v="2026-03-10T00:00:00"/>
    <x v="8"/>
    <m/>
    <m/>
    <s v=" EVA FILM"/>
  </r>
  <r>
    <n v="233"/>
    <n v="5600000384"/>
    <s v="261001FLCU00022"/>
    <d v="2026-02-03T00:00:00"/>
    <x v="1"/>
    <n v="0.1"/>
    <s v="FIRST MATERIAL SCIENCE (THAILAND) CO LTD"/>
    <s v="USD"/>
    <n v="1085293.04"/>
    <n v="0"/>
    <n v="1085293.04"/>
    <n v="93.5"/>
    <n v="101474899.24000001"/>
    <s v="Raw Material"/>
    <n v="60"/>
    <x v="0"/>
    <s v="MSBT250643-3"/>
    <d v="2026-04-02T00:00:00"/>
    <d v="2026-04-10T00:00:00"/>
    <d v="2026-03-16T00:00:00"/>
    <n v="310083.71999999997"/>
    <n v="775209.32000000007"/>
    <n v="28992827.819999997"/>
    <m/>
    <d v="2026-05-15T00:00:00"/>
    <x v="23"/>
    <n v="28992827.819999997"/>
    <m/>
    <s v="May26"/>
    <s v="BOE Received and Paid"/>
    <s v="Paid"/>
    <s v="Received"/>
    <d v="2026-05-15T00:00:00"/>
    <s v="Closed"/>
    <x v="2"/>
    <s v="100110-7000002998"/>
    <n v="108529.3"/>
    <m/>
    <x v="21"/>
    <m/>
    <m/>
    <s v=" EVA FILM"/>
  </r>
  <r>
    <m/>
    <n v="5600000384"/>
    <s v="261001FLCU00022"/>
    <d v="2026-02-03T00:00:00"/>
    <x v="1"/>
    <n v="0.1"/>
    <s v="FIRST MATERIAL SCIENCE (THAILAND) CO LTD"/>
    <s v="USD"/>
    <n v="0"/>
    <n v="0"/>
    <n v="0"/>
    <n v="93.5"/>
    <n v="0"/>
    <s v="Raw Material"/>
    <n v="60"/>
    <x v="0"/>
    <s v="MSBT250643-2"/>
    <d v="2026-04-02T00:00:00"/>
    <d v="2026-04-10T00:00:00"/>
    <d v="2026-03-16T00:00:00"/>
    <n v="155041.85999999999"/>
    <n v="-155041.85999999999"/>
    <n v="14496413.909999998"/>
    <m/>
    <d v="2026-05-15T00:00:00"/>
    <x v="23"/>
    <n v="14496413.909999998"/>
    <m/>
    <s v="May26"/>
    <s v="BOE Received and Paid"/>
    <s v="Paid"/>
    <s v="Received"/>
    <d v="2026-05-15T00:00:00"/>
    <s v="Closed"/>
    <x v="2"/>
    <s v="100110-7000003001"/>
    <m/>
    <d v="2026-03-16T00:00:00"/>
    <x v="21"/>
    <m/>
    <m/>
    <s v=" EVA FILM"/>
  </r>
  <r>
    <m/>
    <n v="5600000384"/>
    <s v="261001FLCU00022"/>
    <d v="2026-02-03T00:00:00"/>
    <x v="1"/>
    <n v="0.1"/>
    <s v="FIRST MATERIAL SCIENCE (THAILAND) CO LTD"/>
    <s v="USD"/>
    <n v="0"/>
    <n v="0"/>
    <n v="0"/>
    <n v="93.5"/>
    <n v="0"/>
    <s v="Raw Material"/>
    <n v="60"/>
    <x v="0"/>
    <s v="MSBT250643-1"/>
    <d v="2026-04-02T00:00:00"/>
    <d v="2026-04-10T00:00:00"/>
    <d v="2026-03-16T00:00:00"/>
    <n v="310083.71999999997"/>
    <n v="-310083.71999999997"/>
    <n v="28992827.819999997"/>
    <m/>
    <d v="2026-05-15T00:00:00"/>
    <x v="23"/>
    <n v="28992827.819999997"/>
    <m/>
    <s v="May26"/>
    <s v="BOE Received and Paid"/>
    <s v="Paid"/>
    <s v="Received"/>
    <d v="2026-05-15T00:00:00"/>
    <s v="Closed"/>
    <x v="2"/>
    <m/>
    <m/>
    <d v="2026-03-16T00:00:00"/>
    <x v="21"/>
    <m/>
    <m/>
    <s v=" EVA FILM"/>
  </r>
  <r>
    <m/>
    <n v="5600000384"/>
    <s v="261001FLCU00022"/>
    <d v="2026-02-03T00:00:00"/>
    <x v="1"/>
    <n v="0.1"/>
    <s v="FIRST MATERIAL SCIENCE (THAILAND) CO LTD"/>
    <s v="USD"/>
    <n v="0"/>
    <n v="0"/>
    <n v="0"/>
    <n v="96"/>
    <n v="0"/>
    <s v="Raw Material"/>
    <n v="60"/>
    <x v="0"/>
    <s v="MSBT250643-4"/>
    <d v="2026-04-20T00:00:00"/>
    <d v="2026-05-01T00:00:00"/>
    <d v="2026-03-30T00:00:00"/>
    <n v="217058.61"/>
    <n v="-217058.61"/>
    <n v="20837626.559999999"/>
    <m/>
    <d v="2026-05-29T00:00:00"/>
    <x v="24"/>
    <n v="20294980.035"/>
    <m/>
    <s v="May26"/>
    <s v="BOE Received and Paid"/>
    <s v="Paid"/>
    <s v="Received"/>
    <d v="2026-05-29T00:00:00"/>
    <s v="Closed"/>
    <x v="2"/>
    <m/>
    <m/>
    <d v="2026-03-16T00:00:00"/>
    <x v="21"/>
    <m/>
    <m/>
    <s v=" EVA FILM"/>
  </r>
  <r>
    <m/>
    <n v="5600000384"/>
    <s v="261001FLCU00022"/>
    <d v="2026-02-03T00:00:00"/>
    <x v="1"/>
    <n v="0.1"/>
    <s v="FIRST MATERIAL SCIENCE (THAILAND) CO LTD"/>
    <s v="USD"/>
    <n v="0"/>
    <n v="0"/>
    <n v="0"/>
    <n v="96"/>
    <n v="0"/>
    <s v="Raw Material"/>
    <n v="60"/>
    <x v="0"/>
    <s v="MSBT250643-5"/>
    <d v="2026-04-20T00:00:00"/>
    <d v="2026-05-01T00:00:00"/>
    <d v="2026-04-05T00:00:00"/>
    <n v="93025.12"/>
    <n v="-93025.12"/>
    <n v="8930411.5199999996"/>
    <m/>
    <d v="2026-06-04T00:00:00"/>
    <x v="25"/>
    <n v="8697848.7199999988"/>
    <m/>
    <s v="June26"/>
    <s v="BOE Received and Paid"/>
    <s v="Paid"/>
    <s v="Received"/>
    <d v="2026-06-04T00:00:00"/>
    <s v="Closed"/>
    <x v="2"/>
    <m/>
    <m/>
    <d v="2026-03-16T00:00:00"/>
    <x v="21"/>
    <m/>
    <m/>
    <s v=" EVA FILM"/>
  </r>
  <r>
    <n v="235"/>
    <n v="5600000400"/>
    <s v="261001FLCU00026"/>
    <d v="2026-02-06T00:00:00"/>
    <x v="1"/>
    <n v="0.1"/>
    <s v="JIETAI NEW ENERGY TECHNOLOGY (HK) LIMITED"/>
    <s v="USD"/>
    <n v="2242492.56"/>
    <n v="0"/>
    <n v="2242492.56"/>
    <n v="96"/>
    <n v="215279285.75999999"/>
    <s v="Raw Material"/>
    <n v="60"/>
    <x v="0"/>
    <s v="HKJTGREW20260212"/>
    <d v="2026-04-20T00:00:00"/>
    <d v="2026-04-28T00:00:00"/>
    <d v="2026-04-02T00:00:00"/>
    <n v="2080121.91"/>
    <n v="162370.65000000014"/>
    <n v="199691703.35999998"/>
    <m/>
    <d v="2026-06-01T00:00:00"/>
    <x v="12"/>
    <n v="199691703.35999998"/>
    <m/>
    <s v="June26"/>
    <s v="BOE Received and Paid"/>
    <s v="Paid"/>
    <s v="Received"/>
    <d v="2026-06-01T00:00:00"/>
    <s v="Closed"/>
    <x v="2"/>
    <m/>
    <m/>
    <d v="2026-04-20T00:00:00"/>
    <x v="22"/>
    <m/>
    <m/>
    <s v="SOLAR CELLS"/>
  </r>
  <r>
    <n v="243"/>
    <n v="3100000365"/>
    <s v="261001FLCS00003"/>
    <d v="2026-02-13T00:00:00"/>
    <x v="1"/>
    <n v="0.1"/>
    <s v="SUZHOU SOLUPLUS NEW ENRGY SCIENCE AND TECHNOLOGY"/>
    <s v="USD"/>
    <n v="88656"/>
    <n v="0"/>
    <n v="88656"/>
    <n v="94"/>
    <n v="8333664"/>
    <s v="Spares"/>
    <s v="Sight"/>
    <x v="0"/>
    <s v="SZSP-CI-20260129"/>
    <d v="2026-03-30T00:00:00"/>
    <d v="2026-04-08T00:00:00"/>
    <d v="2026-03-15T00:00:00"/>
    <n v="88656"/>
    <n v="0"/>
    <n v="8333664"/>
    <m/>
    <d v="2026-04-06T00:00:00"/>
    <x v="6"/>
    <n v="8333664"/>
    <m/>
    <s v="April26"/>
    <s v="BOE Received and Paid"/>
    <s v="Paid"/>
    <s v="Received"/>
    <d v="2026-04-06T00:00:00"/>
    <s v="Closed"/>
    <x v="0"/>
    <m/>
    <m/>
    <d v="2026-04-30T00:00:00"/>
    <x v="19"/>
    <n v="8483105"/>
    <d v="2026-05-14T00:00:00"/>
    <s v="MEMBRANE SHEET"/>
  </r>
  <r>
    <m/>
    <n v="5600000400"/>
    <s v="261001FLCU00026"/>
    <d v="2026-02-06T00:00:00"/>
    <x v="1"/>
    <n v="0.1"/>
    <s v="JIETAI NEW ENERGY TECHNOLOGY (HK) LIMITED"/>
    <s v="USD"/>
    <n v="0"/>
    <n v="0"/>
    <n v="0"/>
    <n v="96"/>
    <n v="0"/>
    <s v="Raw Material"/>
    <n v="60"/>
    <x v="1"/>
    <m/>
    <m/>
    <m/>
    <d v="2026-04-02T00:00:00"/>
    <n v="162370.65"/>
    <n v="-162370.65"/>
    <n v="15587582.399999999"/>
    <m/>
    <d v="2026-06-01T00:00:00"/>
    <x v="12"/>
    <n v="15587582.399999999"/>
    <m/>
    <s v="June26"/>
    <s v="LC Cancelled"/>
    <s v="Paid"/>
    <s v="Cancelled"/>
    <d v="2026-06-01T00:00:00"/>
    <s v="Closed"/>
    <x v="3"/>
    <m/>
    <m/>
    <d v="2026-04-20T00:00:00"/>
    <x v="22"/>
    <m/>
    <m/>
    <s v="SOLAR CELLS"/>
  </r>
  <r>
    <n v="243"/>
    <n v="5600000398"/>
    <s v="261001FLCU00040"/>
    <d v="2026-02-21T00:00:00"/>
    <x v="1"/>
    <n v="0.1"/>
    <s v="JIETAI NEW ENERGY TECHNOLOGY (HK) LIMITED"/>
    <s v="USD"/>
    <n v="3799372.5"/>
    <n v="0"/>
    <n v="3799372.5"/>
    <n v="96"/>
    <n v="364739760"/>
    <s v="Raw Material"/>
    <n v="60"/>
    <x v="0"/>
    <s v="HKJTGREW20260226 -1 /HKJTGREW20260226-2"/>
    <d v="2026-04-20T00:00:00"/>
    <d v="2026-05-01T00:00:00"/>
    <d v="2026-03-30T00:00:00"/>
    <n v="3730346.24"/>
    <n v="69026.259999999776"/>
    <n v="358113239.04000002"/>
    <m/>
    <d v="2026-05-29T00:00:00"/>
    <x v="24"/>
    <n v="358113239.04000002"/>
    <m/>
    <s v="May26"/>
    <s v="BOE Received and Paid"/>
    <s v="Paid"/>
    <s v="Received"/>
    <d v="2026-05-29T00:00:00"/>
    <s v="Closed"/>
    <x v="2"/>
    <m/>
    <m/>
    <d v="2026-04-15T00:00:00"/>
    <x v="13"/>
    <m/>
    <m/>
    <s v="SOLAR CELLS"/>
  </r>
  <r>
    <m/>
    <n v="5600000398"/>
    <s v="261001FLCU00040"/>
    <d v="2026-02-21T00:00:00"/>
    <x v="1"/>
    <n v="0.1"/>
    <s v="JIETAI NEW ENERGY TECHNOLOGY (HK) LIMITED"/>
    <s v="USD"/>
    <n v="0"/>
    <n v="0"/>
    <n v="0"/>
    <n v="96"/>
    <n v="0"/>
    <s v="Raw Material"/>
    <n v="60"/>
    <x v="1"/>
    <m/>
    <m/>
    <m/>
    <m/>
    <n v="69026.259999999995"/>
    <n v="-69026.259999999995"/>
    <n v="6626520.959999999"/>
    <m/>
    <d v="2026-05-29T00:00:00"/>
    <x v="24"/>
    <n v="6626520.959999999"/>
    <m/>
    <s v="May26"/>
    <s v="LC Cancelled"/>
    <s v="Paid"/>
    <s v="Cancelled"/>
    <d v="2026-05-29T00:00:00"/>
    <s v="Closed"/>
    <x v="0"/>
    <m/>
    <m/>
    <d v="2026-04-15T00:00:00"/>
    <x v="13"/>
    <m/>
    <m/>
    <s v="SOLAR CELLS"/>
  </r>
  <r>
    <n v="250"/>
    <n v="5600000425"/>
    <s v="261001FLCU00044"/>
    <d v="2026-03-04T00:00:00"/>
    <x v="1"/>
    <n v="0.1"/>
    <s v="JIETAI NEW ENERGY TECHNOLOGY (HK) LIMITED"/>
    <s v="USD"/>
    <n v="3740467.5"/>
    <n v="0"/>
    <n v="3740467.5"/>
    <n v="96"/>
    <n v="359084880"/>
    <s v="Raw Material"/>
    <n v="60"/>
    <x v="0"/>
    <s v="HKJTGREW20260316-1 /HKJTGREW202603162"/>
    <d v="2026-05-05T00:00:00"/>
    <d v="2026-06-01T00:00:00"/>
    <d v="2026-04-23T00:00:00"/>
    <n v="3731866.43"/>
    <n v="8601.0699999998324"/>
    <n v="358259177.28000003"/>
    <m/>
    <d v="2026-06-22T00:00:00"/>
    <x v="26"/>
    <n v="358259177.28000003"/>
    <m/>
    <s v="June26"/>
    <s v="Part/Full BOE received &amp; Unpaid"/>
    <s v="Unpaid"/>
    <s v="Received"/>
    <m/>
    <s v="Open"/>
    <x v="0"/>
    <m/>
    <m/>
    <d v="2026-05-09T00:00:00"/>
    <x v="23"/>
    <m/>
    <m/>
    <s v="SOLAR CELLS"/>
  </r>
  <r>
    <m/>
    <n v="5600000425"/>
    <s v="261001FLCU00044"/>
    <d v="2026-03-04T00:00:00"/>
    <x v="1"/>
    <n v="0.1"/>
    <s v="JIETAI NEW ENERGY TECHNOLOGY (HK) LIMITED"/>
    <s v="USD"/>
    <n v="0"/>
    <n v="0"/>
    <n v="0"/>
    <n v="96"/>
    <n v="0"/>
    <s v="Raw Material"/>
    <n v="60"/>
    <x v="1"/>
    <m/>
    <m/>
    <m/>
    <d v="2026-04-23T00:00:00"/>
    <n v="8601.07"/>
    <n v="-8601.07"/>
    <n v="825702.72"/>
    <m/>
    <d v="2026-06-22T00:00:00"/>
    <x v="26"/>
    <n v="825702.72"/>
    <m/>
    <s v="June26"/>
    <s v="BOE not received"/>
    <s v="Cancelled"/>
    <s v="Cancelled"/>
    <m/>
    <s v="Open"/>
    <x v="0"/>
    <m/>
    <m/>
    <d v="2026-05-09T00:00:00"/>
    <x v="23"/>
    <m/>
    <m/>
    <s v="SOLAR CELLS"/>
  </r>
  <r>
    <n v="251"/>
    <n v="5600000387"/>
    <s v="2035FLCDA260017"/>
    <d v="2026-03-05T00:00:00"/>
    <x v="2"/>
    <n v="0.1"/>
    <s v="FUTURE ALUMINUM NEW MATERIALS SDN BHD"/>
    <s v="USD"/>
    <n v="784000"/>
    <n v="0"/>
    <n v="784000"/>
    <n v="93.5"/>
    <n v="73304000"/>
    <s v="Raw Material"/>
    <n v="60"/>
    <x v="0"/>
    <s v="FA-GREW2026-03-13"/>
    <d v="2026-03-24T00:00:00"/>
    <d v="2026-04-02T00:00:00"/>
    <d v="2026-03-15T00:00:00"/>
    <n v="784000"/>
    <n v="0"/>
    <n v="73304000"/>
    <m/>
    <d v="2026-05-14T00:00:00"/>
    <x v="27"/>
    <n v="73304000"/>
    <m/>
    <s v="May26"/>
    <s v="BOE Received and Paid"/>
    <s v="Paid"/>
    <s v="Received"/>
    <d v="2026-05-14T00:00:00"/>
    <s v="Closed"/>
    <x v="0"/>
    <m/>
    <m/>
    <d v="2026-03-25T00:00:00"/>
    <x v="24"/>
    <m/>
    <m/>
    <s v="AL FRAME"/>
  </r>
  <r>
    <n v="252"/>
    <n v="5600000416"/>
    <s v="2035FLCDA260022"/>
    <d v="2026-03-10T00:00:00"/>
    <x v="2"/>
    <n v="0.1"/>
    <s v="ZHONGHUAN (HONG KONG) HOLDING LTD"/>
    <s v="USD"/>
    <n v="266112"/>
    <n v="0"/>
    <n v="266112"/>
    <n v="93.5"/>
    <n v="24881472"/>
    <s v="Raw Material"/>
    <n v="60"/>
    <x v="0"/>
    <s v="YC-HK-GREW-26001"/>
    <d v="2026-04-21T00:00:00"/>
    <d v="2026-04-27T00:00:00"/>
    <d v="2026-03-27T00:00:00"/>
    <n v="266112"/>
    <n v="0"/>
    <n v="24881472"/>
    <m/>
    <d v="2026-05-26T00:00:00"/>
    <x v="7"/>
    <n v="24881472"/>
    <m/>
    <s v="May26"/>
    <s v="BOE Received and Paid"/>
    <s v="Paid"/>
    <s v="Received"/>
    <d v="2026-05-26T00:00:00"/>
    <s v="Closed"/>
    <x v="2"/>
    <m/>
    <m/>
    <d v="2026-04-10T00:00:00"/>
    <x v="16"/>
    <m/>
    <m/>
    <s v="WAFFER"/>
  </r>
  <r>
    <n v="253"/>
    <n v="5600000415"/>
    <s v="2035FLCDA260023"/>
    <d v="2026-03-10T00:00:00"/>
    <x v="2"/>
    <n v="0.1"/>
    <s v="GOKIN SOLAR (HONGKONG) COMPANY LIMITED"/>
    <s v="USD"/>
    <n v="249984"/>
    <n v="0"/>
    <n v="249984"/>
    <n v="93.5"/>
    <n v="23373504"/>
    <s v="Raw Material"/>
    <n v="60"/>
    <x v="0"/>
    <s v="CI-GREW-20260313"/>
    <d v="2026-04-13T00:00:00"/>
    <m/>
    <d v="2026-03-24T00:00:00"/>
    <n v="249984"/>
    <n v="0"/>
    <n v="23373504"/>
    <m/>
    <d v="2026-05-26T00:00:00"/>
    <x v="7"/>
    <n v="23373504"/>
    <m/>
    <s v="May26"/>
    <s v="BOE Received and Paid"/>
    <s v="Paid"/>
    <s v="Received"/>
    <d v="2026-05-26T00:00:00"/>
    <s v="Closed"/>
    <x v="2"/>
    <m/>
    <m/>
    <d v="2026-04-10T00:00:00"/>
    <x v="16"/>
    <m/>
    <m/>
    <s v="WAFFER"/>
  </r>
  <r>
    <n v="257"/>
    <n v="5600000402"/>
    <s v="2035FLCDA260026"/>
    <d v="2026-03-13T00:00:00"/>
    <x v="2"/>
    <n v="0.1"/>
    <s v="SHUANGLIANG INTERNATIONAL(SHANGHAI) CO LTD"/>
    <s v="USD"/>
    <n v="274176"/>
    <n v="0"/>
    <n v="274176"/>
    <n v="93.5"/>
    <n v="25635456"/>
    <s v="Raw Material"/>
    <n v="60"/>
    <x v="0"/>
    <s v="W20260201"/>
    <d v="2026-04-13T00:00:00"/>
    <d v="2026-04-22T00:00:00"/>
    <d v="2026-03-26T00:00:00"/>
    <n v="274176"/>
    <n v="0"/>
    <n v="25635456"/>
    <m/>
    <d v="2026-05-26T00:00:00"/>
    <x v="7"/>
    <n v="25635456"/>
    <m/>
    <s v="May26"/>
    <s v="BOE Received and Paid"/>
    <s v="Paid"/>
    <s v="Received"/>
    <d v="2026-05-26T00:00:00"/>
    <s v="Closed"/>
    <x v="2"/>
    <m/>
    <m/>
    <d v="2026-04-10T00:00:00"/>
    <x v="16"/>
    <m/>
    <m/>
    <s v="WAFFER"/>
  </r>
  <r>
    <n v="262"/>
    <n v="5600000438"/>
    <s v="2035FLCDA260027"/>
    <d v="2026-03-18T00:00:00"/>
    <x v="2"/>
    <n v="0.1"/>
    <s v="JIANGYIN TINZE NEW ENERGY TECHNOLOGY CO., LTD"/>
    <s v="USD"/>
    <n v="500400"/>
    <n v="0"/>
    <n v="500400"/>
    <n v="96"/>
    <n v="48038400"/>
    <s v="Raw Material"/>
    <n v="60"/>
    <x v="0"/>
    <s v="STG2026-0322 /STG2026-0323"/>
    <d v="2026-04-16T00:00:00"/>
    <d v="2026-04-22T00:00:00"/>
    <d v="2026-03-25T00:00:00"/>
    <n v="500400"/>
    <n v="0"/>
    <n v="48038400"/>
    <m/>
    <d v="2026-06-01T00:00:00"/>
    <x v="12"/>
    <n v="48038400"/>
    <m/>
    <s v="June26"/>
    <s v="BOE Received and Paid"/>
    <s v="Paid"/>
    <s v="Received"/>
    <d v="2026-06-01T00:00:00"/>
    <s v="Closed"/>
    <x v="2"/>
    <m/>
    <m/>
    <d v="2026-04-10T00:00:00"/>
    <x v="16"/>
    <m/>
    <m/>
    <s v="PV RIBBON BUS BAR"/>
  </r>
  <r>
    <n v="263"/>
    <n v="5600000412"/>
    <s v="2035FLCDA260033"/>
    <d v="2026-03-18T00:00:00"/>
    <x v="2"/>
    <n v="0.1"/>
    <s v="FLAT HONG KONG CO LTD"/>
    <s v="USD"/>
    <n v="1307700"/>
    <n v="0"/>
    <n v="1307700"/>
    <n v="96"/>
    <n v="125539200"/>
    <s v="Raw Material"/>
    <n v="45"/>
    <x v="0"/>
    <s v="81013482/3218/3534/4297/3582"/>
    <d v="2026-05-15T00:00:00"/>
    <d v="2026-05-21T00:00:00"/>
    <d v="2026-04-28T00:00:00"/>
    <n v="1307700"/>
    <n v="0"/>
    <n v="125539200"/>
    <m/>
    <d v="2026-06-12T00:00:00"/>
    <x v="20"/>
    <n v="125539200"/>
    <m/>
    <s v="June26"/>
    <s v="Part/Full BOE received &amp; Unpaid"/>
    <s v="Unpaid"/>
    <s v="Received"/>
    <m/>
    <s v="Open"/>
    <x v="0"/>
    <m/>
    <m/>
    <d v="2026-05-15T00:00:00"/>
    <x v="18"/>
    <m/>
    <m/>
    <s v=" GLASS"/>
  </r>
  <r>
    <n v="264"/>
    <n v="5600000411"/>
    <s v="2035FLCDA260029"/>
    <d v="2026-03-18T00:00:00"/>
    <x v="2"/>
    <n v="0.1"/>
    <s v="FLAT HONG KONG CO LTD"/>
    <s v="USD"/>
    <n v="1354275"/>
    <n v="0"/>
    <n v="1354275"/>
    <n v="93.5"/>
    <n v="126624712.5"/>
    <s v="Raw Material"/>
    <n v="45"/>
    <x v="0"/>
    <s v="81002864/2865/3357/3365/3370"/>
    <d v="2026-04-06T00:00:00"/>
    <d v="2026-04-13T00:00:00"/>
    <d v="2026-03-19T00:00:00"/>
    <n v="1354275"/>
    <n v="0"/>
    <n v="126624712.5"/>
    <m/>
    <d v="2026-05-04T00:00:00"/>
    <x v="5"/>
    <n v="126624712.5"/>
    <m/>
    <s v="May26"/>
    <s v="BOE Received and Paid"/>
    <s v="Paid"/>
    <s v="Received"/>
    <d v="2026-05-04T00:00:00"/>
    <s v="Closed"/>
    <x v="0"/>
    <m/>
    <m/>
    <d v="2026-04-15T00:00:00"/>
    <x v="17"/>
    <s v="8775546 /8777001/8778588/8780100/8784774"/>
    <d v="2026-05-04T00:00:00"/>
    <s v=" GLASS"/>
  </r>
  <r>
    <n v="265"/>
    <n v="5600000439"/>
    <s v="2035FLCDA260031"/>
    <d v="2026-03-18T00:00:00"/>
    <x v="2"/>
    <n v="0.1"/>
    <s v="JIANGYIN HAIHONG NEW ENERGY TECHNOLOGY CO LTD"/>
    <s v="USD"/>
    <n v="479700"/>
    <n v="0"/>
    <n v="479700"/>
    <n v="96"/>
    <n v="46051200"/>
    <s v="Raw Material"/>
    <n v="60"/>
    <x v="0"/>
    <s v="H-GREW-260402"/>
    <d v="2026-04-30T00:00:00"/>
    <d v="2026-05-04T00:00:00"/>
    <d v="2026-04-10T00:00:00"/>
    <n v="479700"/>
    <n v="0"/>
    <n v="46051200"/>
    <m/>
    <d v="2026-06-09T00:00:00"/>
    <x v="10"/>
    <n v="46051200"/>
    <m/>
    <s v="June26"/>
    <s v="Part/Full BOE received &amp; Unpaid"/>
    <s v="Unpaid"/>
    <s v="Received"/>
    <m/>
    <s v="Open"/>
    <x v="4"/>
    <m/>
    <m/>
    <d v="2026-04-10T00:00:00"/>
    <x v="16"/>
    <m/>
    <m/>
    <s v="AL FRAME"/>
  </r>
  <r>
    <n v="266"/>
    <n v="5600000409"/>
    <s v="2035FLCDA260030"/>
    <d v="2026-03-18T00:00:00"/>
    <x v="2"/>
    <n v="0.1"/>
    <s v="GUANGXI CSG NEW ENERGY MATERIAL TECHNOLOGY CO LTD"/>
    <s v="USD"/>
    <n v="1324050"/>
    <n v="0"/>
    <n v="1324050"/>
    <n v="93.5"/>
    <n v="123798675"/>
    <s v="Raw Material"/>
    <n v="45"/>
    <x v="0"/>
    <s v="SFG2602015-5"/>
    <d v="2026-04-22T00:00:00"/>
    <d v="2026-04-27T00:00:00"/>
    <d v="2026-03-31T00:00:00"/>
    <n v="264810"/>
    <n v="1059240"/>
    <n v="24759735"/>
    <m/>
    <d v="2026-05-15T00:00:00"/>
    <x v="23"/>
    <n v="24759735"/>
    <m/>
    <s v="May26"/>
    <s v="BOE Received and Paid"/>
    <s v="Paid"/>
    <s v="Received"/>
    <d v="2026-05-15T00:00:00"/>
    <s v="Closed"/>
    <x v="2"/>
    <m/>
    <m/>
    <d v="2026-04-15T00:00:00"/>
    <x v="17"/>
    <m/>
    <m/>
    <s v=" GLASS"/>
  </r>
  <r>
    <m/>
    <n v="5600000409"/>
    <s v="2035FLCDA260030"/>
    <d v="2026-03-18T00:00:00"/>
    <x v="2"/>
    <n v="0.1"/>
    <s v="GUANGXI CSG NEW ENERGY MATERIAL TECHNOLOGY CO LTD"/>
    <s v="USD"/>
    <n v="0"/>
    <n v="0"/>
    <n v="0"/>
    <n v="93.5"/>
    <n v="0"/>
    <s v="Raw Material"/>
    <n v="45"/>
    <x v="0"/>
    <s v="SFG2602015-4"/>
    <d v="2026-04-22T00:00:00"/>
    <d v="2026-04-27T00:00:00"/>
    <d v="2026-03-31T00:00:00"/>
    <n v="264810"/>
    <n v="-264810"/>
    <n v="24759735"/>
    <m/>
    <d v="2026-05-15T00:00:00"/>
    <x v="23"/>
    <n v="24759735"/>
    <m/>
    <s v="May26"/>
    <s v="BOE Received and Paid"/>
    <s v="Paid"/>
    <s v="Received"/>
    <d v="2026-05-15T00:00:00"/>
    <s v="Closed"/>
    <x v="2"/>
    <m/>
    <m/>
    <d v="2026-04-15T00:00:00"/>
    <x v="17"/>
    <m/>
    <m/>
    <s v=" GLASS"/>
  </r>
  <r>
    <m/>
    <n v="5600000409"/>
    <s v="2035FLCDA260030"/>
    <d v="2026-03-18T00:00:00"/>
    <x v="2"/>
    <n v="0.1"/>
    <s v="GUANGXI CSG NEW ENERGY MATERIAL TECHNOLOGY CO LTD"/>
    <s v="USD"/>
    <n v="0"/>
    <n v="0"/>
    <n v="0"/>
    <n v="93.5"/>
    <n v="0"/>
    <s v="Raw Material"/>
    <n v="45"/>
    <x v="0"/>
    <s v="SFG2602015-3"/>
    <d v="2026-04-22T00:00:00"/>
    <d v="2026-04-27T00:00:00"/>
    <d v="2026-04-06T00:00:00"/>
    <n v="264810"/>
    <n v="-264810"/>
    <n v="24759735"/>
    <m/>
    <d v="2026-05-21T00:00:00"/>
    <x v="28"/>
    <n v="24759735"/>
    <m/>
    <s v="May26"/>
    <s v="BOE Received and Paid"/>
    <s v="Paid"/>
    <s v="Received"/>
    <d v="2026-05-21T00:00:00"/>
    <s v="Closed"/>
    <x v="2"/>
    <m/>
    <m/>
    <d v="2026-04-15T00:00:00"/>
    <x v="17"/>
    <m/>
    <m/>
    <s v=" GLASS"/>
  </r>
  <r>
    <m/>
    <n v="5600000409"/>
    <s v="2035FLCDA260030"/>
    <d v="2026-03-18T00:00:00"/>
    <x v="2"/>
    <n v="0.1"/>
    <s v="GUANGXI CSG NEW ENERGY MATERIAL TECHNOLOGY CO LTD"/>
    <s v="USD"/>
    <n v="0"/>
    <n v="0"/>
    <n v="0"/>
    <n v="93.5"/>
    <n v="0"/>
    <s v="Raw Material"/>
    <n v="45"/>
    <x v="0"/>
    <s v="SFG2602015-2"/>
    <d v="2026-04-22T00:00:00"/>
    <d v="2026-04-27T00:00:00"/>
    <d v="2026-04-06T00:00:00"/>
    <n v="264810"/>
    <n v="-264810"/>
    <n v="24759735"/>
    <m/>
    <d v="2026-05-21T00:00:00"/>
    <x v="28"/>
    <n v="24759735"/>
    <m/>
    <s v="May26"/>
    <s v="BOE Received and Paid"/>
    <s v="Paid"/>
    <s v="Received"/>
    <d v="2026-05-21T00:00:00"/>
    <s v="Closed"/>
    <x v="2"/>
    <m/>
    <m/>
    <d v="2026-04-15T00:00:00"/>
    <x v="17"/>
    <m/>
    <m/>
    <s v=" GLASS"/>
  </r>
  <r>
    <m/>
    <n v="5600000409"/>
    <s v="2035FLCDA260030"/>
    <d v="2026-03-18T00:00:00"/>
    <x v="2"/>
    <n v="0.1"/>
    <s v="GUANGXI CSG NEW ENERGY MATERIAL TECHNOLOGY CO LTD"/>
    <s v="USD"/>
    <n v="0"/>
    <n v="0"/>
    <n v="0"/>
    <n v="93.5"/>
    <n v="0"/>
    <s v="Raw Material"/>
    <n v="45"/>
    <x v="0"/>
    <s v="SFG2602015-1"/>
    <d v="2026-04-22T00:00:00"/>
    <d v="2026-04-27T00:00:00"/>
    <d v="2026-03-31T00:00:00"/>
    <n v="264810"/>
    <n v="-264810"/>
    <n v="24759735"/>
    <m/>
    <d v="2026-05-15T00:00:00"/>
    <x v="23"/>
    <n v="24759735"/>
    <m/>
    <s v="May26"/>
    <s v="BOE Received and Paid"/>
    <s v="Paid"/>
    <s v="Received"/>
    <d v="2026-05-15T00:00:00"/>
    <s v="Closed"/>
    <x v="2"/>
    <m/>
    <m/>
    <d v="2026-04-15T00:00:00"/>
    <x v="17"/>
    <m/>
    <m/>
    <s v=" GLASS"/>
  </r>
  <r>
    <n v="267"/>
    <n v="5600000407"/>
    <s v="2035FLCDA260028"/>
    <d v="2026-03-18T00:00:00"/>
    <x v="2"/>
    <n v="0.1"/>
    <s v="FIRST MATERIAL SCIENCE (THAILAND) CO LTD"/>
    <s v="USD"/>
    <n v="894998.94"/>
    <n v="0"/>
    <n v="894998.94"/>
    <n v="96"/>
    <n v="85919898.239999995"/>
    <s v="Raw Material"/>
    <n v="60"/>
    <x v="0"/>
    <s v="MSBT260064-1"/>
    <d v="2026-04-20T00:00:00"/>
    <d v="2026-04-27T00:00:00"/>
    <d v="2026-03-29T00:00:00"/>
    <n v="477332.76"/>
    <n v="417666.17999999993"/>
    <n v="45823944.960000001"/>
    <m/>
    <d v="2026-05-29T00:00:00"/>
    <x v="24"/>
    <n v="45823944.960000001"/>
    <m/>
    <s v="May26"/>
    <s v="BOE Received and Paid"/>
    <s v="Paid"/>
    <s v="Received"/>
    <d v="2026-05-29T00:00:00"/>
    <s v="Closed"/>
    <x v="2"/>
    <m/>
    <m/>
    <d v="2026-04-15T00:00:00"/>
    <x v="17"/>
    <m/>
    <m/>
    <s v=" GLASS"/>
  </r>
  <r>
    <m/>
    <n v="5600000407"/>
    <s v="2035FLCDA260028"/>
    <d v="2026-03-18T00:00:00"/>
    <x v="2"/>
    <n v="0.1"/>
    <s v="FIRST MATERIAL SCIENCE (THAILAND) CO LTD"/>
    <s v="USD"/>
    <n v="0"/>
    <n v="0"/>
    <n v="0"/>
    <n v="96"/>
    <n v="0"/>
    <s v="Raw Material"/>
    <n v="60"/>
    <x v="0"/>
    <s v="MSBT260064-2"/>
    <d v="2026-04-23T00:00:00"/>
    <d v="2026-05-01T00:00:00"/>
    <d v="2026-04-05T00:00:00"/>
    <n v="417666.17"/>
    <n v="-417666.17"/>
    <n v="40095952.32"/>
    <m/>
    <d v="2026-06-04T00:00:00"/>
    <x v="25"/>
    <n v="40095952.32"/>
    <m/>
    <s v="June26"/>
    <s v="BOE Received and Paid"/>
    <s v="Paid"/>
    <s v="Received"/>
    <d v="2026-06-04T00:00:00"/>
    <s v="Closed"/>
    <x v="2"/>
    <m/>
    <m/>
    <d v="2026-04-15T00:00:00"/>
    <x v="17"/>
    <m/>
    <m/>
    <s v=" GLASS"/>
  </r>
  <r>
    <n v="268"/>
    <n v="5600000410"/>
    <s v="2035FLCDA260036"/>
    <d v="2026-03-18T00:00:00"/>
    <x v="2"/>
    <n v="0.1"/>
    <s v="ANHUI CSG NEW ENERGY MATERIAL TECHNOLOGY CO LTD"/>
    <s v="USD"/>
    <n v="1283400"/>
    <n v="0"/>
    <n v="1283400"/>
    <n v="93.5"/>
    <n v="119997900"/>
    <s v="Raw Material"/>
    <n v="45"/>
    <x v="0"/>
    <s v="SFG2602016-5"/>
    <d v="2026-04-24T00:00:00"/>
    <d v="2026-05-01T00:00:00"/>
    <d v="2026-03-30T00:00:00"/>
    <n v="256680"/>
    <n v="1026720"/>
    <n v="23999580"/>
    <m/>
    <d v="2026-05-14T00:00:00"/>
    <x v="27"/>
    <n v="23999580"/>
    <m/>
    <s v="May26"/>
    <s v="BOE Received and Paid"/>
    <s v="Paid"/>
    <s v="Received"/>
    <d v="2026-05-14T00:00:00"/>
    <s v="Closed"/>
    <x v="2"/>
    <m/>
    <m/>
    <d v="2026-04-15T00:00:00"/>
    <x v="17"/>
    <m/>
    <m/>
    <s v=" GLASS"/>
  </r>
  <r>
    <m/>
    <n v="5600000410"/>
    <s v="2035FLCDA260036"/>
    <d v="2026-03-18T00:00:00"/>
    <x v="2"/>
    <n v="0.1"/>
    <s v="ANHUI CSG NEW ENERGY MATERIAL TECHNOLOGY CO LTD"/>
    <s v="USD"/>
    <n v="0"/>
    <n v="0"/>
    <n v="0"/>
    <n v="93.5"/>
    <n v="0"/>
    <s v="Raw Material"/>
    <n v="45"/>
    <x v="0"/>
    <s v="SFG2602016-4"/>
    <d v="2026-04-24T00:00:00"/>
    <d v="2026-05-01T00:00:00"/>
    <d v="2026-03-30T00:00:00"/>
    <n v="256680"/>
    <n v="-256680"/>
    <n v="23999580"/>
    <m/>
    <d v="2026-05-14T00:00:00"/>
    <x v="27"/>
    <n v="23999580"/>
    <m/>
    <s v="May26"/>
    <s v="BOE Received and Paid"/>
    <s v="Paid"/>
    <s v="Received"/>
    <d v="2026-05-14T00:00:00"/>
    <s v="Closed"/>
    <x v="2"/>
    <m/>
    <m/>
    <d v="2026-04-15T00:00:00"/>
    <x v="17"/>
    <m/>
    <m/>
    <s v=" GLASS"/>
  </r>
  <r>
    <m/>
    <n v="5600000410"/>
    <s v="2035FLCDA260036"/>
    <d v="2026-03-18T00:00:00"/>
    <x v="2"/>
    <n v="0.1"/>
    <s v="ANHUI CSG NEW ENERGY MATERIAL TECHNOLOGY CO LTD"/>
    <s v="USD"/>
    <n v="0"/>
    <n v="0"/>
    <n v="0"/>
    <n v="93.5"/>
    <n v="0"/>
    <s v="Raw Material"/>
    <n v="45"/>
    <x v="0"/>
    <s v="SFG2602016-3"/>
    <d v="2026-04-24T00:00:00"/>
    <d v="2026-05-01T00:00:00"/>
    <d v="2026-03-30T00:00:00"/>
    <n v="256680"/>
    <n v="-256680"/>
    <n v="23999580"/>
    <m/>
    <d v="2026-05-14T00:00:00"/>
    <x v="27"/>
    <n v="23999580"/>
    <m/>
    <s v="May26"/>
    <s v="BOE Received and Paid"/>
    <s v="Paid"/>
    <s v="Received"/>
    <d v="2026-05-14T00:00:00"/>
    <s v="Closed"/>
    <x v="2"/>
    <m/>
    <m/>
    <d v="2026-04-15T00:00:00"/>
    <x v="17"/>
    <m/>
    <m/>
    <s v=" GLASS"/>
  </r>
  <r>
    <m/>
    <n v="5600000410"/>
    <s v="2035FLCDA260036"/>
    <d v="2026-03-18T00:00:00"/>
    <x v="2"/>
    <n v="0.1"/>
    <s v="ANHUI CSG NEW ENERGY MATERIAL TECHNOLOGY CO LTD"/>
    <s v="USD"/>
    <n v="0"/>
    <n v="0"/>
    <n v="0"/>
    <n v="93.5"/>
    <n v="0"/>
    <s v="Raw Material"/>
    <n v="45"/>
    <x v="0"/>
    <s v="SFG2602016-2"/>
    <d v="2026-04-22T00:00:00"/>
    <d v="2026-05-01T00:00:00"/>
    <d v="2026-03-30T00:00:00"/>
    <n v="256680"/>
    <n v="-256680"/>
    <n v="23999580"/>
    <m/>
    <d v="2026-05-14T00:00:00"/>
    <x v="27"/>
    <n v="23999580"/>
    <m/>
    <s v="May26"/>
    <s v="BOE Received and Paid"/>
    <s v="Paid"/>
    <s v="Received"/>
    <d v="2026-05-14T00:00:00"/>
    <s v="Closed"/>
    <x v="2"/>
    <m/>
    <m/>
    <d v="2026-04-15T00:00:00"/>
    <x v="17"/>
    <m/>
    <m/>
    <s v=" GLASS"/>
  </r>
  <r>
    <m/>
    <n v="5600000410"/>
    <s v="2035FLCDA260036"/>
    <d v="2026-03-18T00:00:00"/>
    <x v="2"/>
    <n v="0.1"/>
    <s v="ANHUI CSG NEW ENERGY MATERIAL TECHNOLOGY CO LTD"/>
    <s v="USD"/>
    <n v="0"/>
    <n v="0"/>
    <n v="0"/>
    <n v="93.5"/>
    <n v="0"/>
    <s v="Raw Material"/>
    <n v="45"/>
    <x v="0"/>
    <s v="SFG2602016-1"/>
    <d v="2026-04-23T00:00:00"/>
    <d v="2026-05-01T00:00:00"/>
    <d v="2026-03-30T00:00:00"/>
    <n v="256680"/>
    <n v="-256680"/>
    <n v="23999580"/>
    <m/>
    <d v="2026-05-14T00:00:00"/>
    <x v="27"/>
    <n v="23999580"/>
    <m/>
    <s v="May26"/>
    <s v="BOE Received and Paid"/>
    <s v="Paid"/>
    <s v="Received"/>
    <d v="2026-05-14T00:00:00"/>
    <s v="Closed"/>
    <x v="2"/>
    <m/>
    <m/>
    <d v="2026-04-15T00:00:00"/>
    <x v="17"/>
    <m/>
    <m/>
    <s v=" GLASS"/>
  </r>
  <r>
    <n v="269"/>
    <n v="5600000440"/>
    <s v="2035FLCDA260034"/>
    <d v="2026-03-18T00:00:00"/>
    <x v="2"/>
    <n v="0.1"/>
    <s v="JIANGSU SULV PRECISION TECHNOLOGY CO LTD"/>
    <s v="USD"/>
    <n v="1825200"/>
    <n v="0"/>
    <n v="1825200"/>
    <n v="93.5"/>
    <n v="170656200"/>
    <s v="Raw Material"/>
    <n v="45"/>
    <x v="0"/>
    <s v="SL-GREW-2026-3-25"/>
    <d v="2026-04-21T00:00:00"/>
    <d v="2026-04-27T00:00:00"/>
    <d v="2026-04-01T00:00:00"/>
    <n v="456300"/>
    <n v="1368900"/>
    <n v="42664050"/>
    <m/>
    <d v="2026-05-18T00:00:00"/>
    <x v="9"/>
    <n v="42664050"/>
    <m/>
    <s v="May26"/>
    <s v="BOE Received and Paid"/>
    <s v="Paid"/>
    <s v="Received"/>
    <d v="2026-05-18T00:00:00"/>
    <s v="Closed"/>
    <x v="2"/>
    <m/>
    <m/>
    <d v="2026-04-15T00:00:00"/>
    <x v="17"/>
    <m/>
    <m/>
    <s v="AL FRAME"/>
  </r>
  <r>
    <m/>
    <n v="5600000440"/>
    <s v="2035FLCDA260034"/>
    <d v="2026-03-18T00:00:00"/>
    <x v="2"/>
    <n v="0.1"/>
    <s v="JIANGSU SULV PRECISION TECHNOLOGY CO LTD"/>
    <s v="USD"/>
    <n v="0"/>
    <n v="0"/>
    <n v="0"/>
    <n v="93.5"/>
    <n v="0"/>
    <s v="Raw Material"/>
    <n v="45"/>
    <x v="0"/>
    <s v="SL-GREW-2026-3-20"/>
    <d v="2026-04-16T00:00:00"/>
    <d v="2026-04-22T00:00:00"/>
    <d v="2026-03-27T00:00:00"/>
    <n v="456300"/>
    <n v="-456300"/>
    <n v="42664050"/>
    <m/>
    <d v="2026-05-11T00:00:00"/>
    <x v="11"/>
    <n v="42664050"/>
    <m/>
    <s v="May26"/>
    <s v="BOE Received and Paid"/>
    <s v="Paid"/>
    <s v="Received"/>
    <d v="2026-05-11T00:00:00"/>
    <s v="Closed"/>
    <x v="2"/>
    <m/>
    <m/>
    <d v="2026-04-15T00:00:00"/>
    <x v="17"/>
    <n v="8617467"/>
    <d v="2026-05-11T00:00:00"/>
    <s v="AL FRAME"/>
  </r>
  <r>
    <m/>
    <n v="5600000440"/>
    <s v="2035FLCDA260034"/>
    <d v="2026-03-18T00:00:00"/>
    <x v="2"/>
    <n v="0.1"/>
    <s v="JIANGSU SULV PRECISION TECHNOLOGY CO LTD"/>
    <s v="USD"/>
    <n v="0"/>
    <n v="0"/>
    <n v="0"/>
    <n v="93.5"/>
    <n v="0"/>
    <s v="Raw Material"/>
    <n v="45"/>
    <x v="0"/>
    <s v="SL-GREW-2026-3-17"/>
    <d v="2026-04-16T00:00:00"/>
    <d v="2026-04-22T00:00:00"/>
    <d v="2026-03-25T00:00:00"/>
    <n v="456300"/>
    <n v="-456300"/>
    <n v="42664050"/>
    <m/>
    <d v="2026-05-11T00:00:00"/>
    <x v="11"/>
    <n v="42664050"/>
    <m/>
    <s v="May26"/>
    <s v="BOE Received and Paid"/>
    <s v="Paid"/>
    <s v="Received"/>
    <d v="2026-05-11T00:00:00"/>
    <s v="Closed"/>
    <x v="2"/>
    <m/>
    <m/>
    <d v="2026-04-15T00:00:00"/>
    <x v="17"/>
    <n v="8652283"/>
    <d v="2026-05-11T00:00:00"/>
    <s v="AL FRAME"/>
  </r>
  <r>
    <m/>
    <n v="5600000440"/>
    <s v="2035FLCDA260034"/>
    <d v="2026-03-18T00:00:00"/>
    <x v="2"/>
    <n v="0.1"/>
    <s v="JIANGSU SULV PRECISION TECHNOLOGY CO LTD"/>
    <s v="USD"/>
    <n v="0"/>
    <n v="0"/>
    <n v="0"/>
    <n v="93.5"/>
    <n v="0"/>
    <s v="Raw Material"/>
    <n v="45"/>
    <x v="0"/>
    <s v="SL-GREW-2026-3-30"/>
    <d v="2026-04-21T00:00:00"/>
    <d v="2026-04-27T00:00:00"/>
    <d v="2026-04-03T00:00:00"/>
    <n v="456300"/>
    <n v="-456300"/>
    <n v="42664050"/>
    <m/>
    <d v="2026-05-18T00:00:00"/>
    <x v="9"/>
    <n v="42664050"/>
    <m/>
    <s v="May26"/>
    <s v="BOE Received and Paid"/>
    <s v="Paid"/>
    <s v="Received"/>
    <d v="2026-05-18T00:00:00"/>
    <s v="Closed"/>
    <x v="2"/>
    <m/>
    <m/>
    <d v="2026-04-15T00:00:00"/>
    <x v="17"/>
    <m/>
    <m/>
    <s v="AL FRAME"/>
  </r>
  <r>
    <n v="275"/>
    <n v="5600000406"/>
    <s v="2035FLCDA260037"/>
    <d v="2026-03-20T00:00:00"/>
    <x v="2"/>
    <n v="0.1"/>
    <s v="TAICANG JUREN INTERNATIONAL TRADE CO LTD"/>
    <s v="USD"/>
    <n v="1207470"/>
    <n v="0"/>
    <n v="1207470"/>
    <n v="96"/>
    <n v="115917120"/>
    <s v="Raw Material"/>
    <n v="60"/>
    <x v="0"/>
    <s v="JRIT20260323003"/>
    <d v="2026-04-13T00:00:00"/>
    <d v="2026-04-22T00:00:00"/>
    <d v="2026-04-01T00:00:00"/>
    <n v="1207470"/>
    <n v="0"/>
    <n v="115917120"/>
    <m/>
    <d v="2026-06-01T00:00:00"/>
    <x v="12"/>
    <n v="115917120"/>
    <m/>
    <s v="June26"/>
    <s v="BOE Received and Paid"/>
    <s v="Paid"/>
    <s v="Received"/>
    <d v="2026-06-01T00:00:00"/>
    <s v="Closed"/>
    <x v="2"/>
    <m/>
    <m/>
    <d v="2026-04-10T00:00:00"/>
    <x v="16"/>
    <m/>
    <m/>
    <s v="PV RIBBON BUS BAR"/>
  </r>
  <r>
    <n v="276"/>
    <n v="5600000419"/>
    <s v="2035FLCDA260042"/>
    <d v="2026-03-24T00:00:00"/>
    <x v="2"/>
    <n v="0.1"/>
    <s v="SHANGHAI HUITIAN NEW MATERIAL CO LTD"/>
    <s v="USD"/>
    <n v="282158.40000000002"/>
    <n v="0"/>
    <n v="282158.40000000002"/>
    <n v="96"/>
    <n v="27087206.400000002"/>
    <s v="Raw Material"/>
    <n v="60"/>
    <x v="0"/>
    <s v="HT-GEW-2026021201"/>
    <d v="2026-04-20T00:00:00"/>
    <d v="2026-04-27T00:00:00"/>
    <d v="2026-03-29T00:00:00"/>
    <n v="282158.40000000002"/>
    <n v="0"/>
    <n v="27087206.400000002"/>
    <m/>
    <d v="2026-05-29T00:00:00"/>
    <x v="24"/>
    <n v="27087206.400000002"/>
    <m/>
    <s v="May26"/>
    <s v="BOE Received and Paid"/>
    <s v="Paid"/>
    <s v="Received"/>
    <d v="2026-05-29T00:00:00"/>
    <s v="Closed"/>
    <x v="2"/>
    <m/>
    <m/>
    <d v="2026-04-20T00:00:00"/>
    <x v="22"/>
    <m/>
    <m/>
    <s v="HT 960 SEALANT"/>
  </r>
  <r>
    <n v="277"/>
    <n v="5600000418"/>
    <s v="2035FLCDA260043"/>
    <d v="2026-03-24T00:00:00"/>
    <x v="2"/>
    <n v="0.1"/>
    <s v="SHANGHAI HUITIAN NEW MATERIAL CO LTD"/>
    <s v="USD"/>
    <n v="278716.79999999999"/>
    <n v="0"/>
    <n v="278716.79999999999"/>
    <n v="96"/>
    <n v="26756812.799999997"/>
    <s v="Raw Material"/>
    <n v="60"/>
    <x v="0"/>
    <s v="HT-GEW-2026021202"/>
    <d v="2026-04-24T00:00:00"/>
    <d v="2026-05-04T00:00:00"/>
    <d v="2026-04-10T00:00:00"/>
    <n v="278716.79999999999"/>
    <n v="0"/>
    <n v="26756812.799999997"/>
    <m/>
    <d v="2026-06-09T00:00:00"/>
    <x v="10"/>
    <n v="26756812.799999997"/>
    <m/>
    <s v="June26"/>
    <s v="Part/Full BOE received &amp; Unpaid"/>
    <s v="Unpaid"/>
    <s v="Received"/>
    <m/>
    <s v="Open"/>
    <x v="4"/>
    <m/>
    <m/>
    <d v="2026-04-20T00:00:00"/>
    <x v="22"/>
    <m/>
    <m/>
    <s v="HT 960 SEALANT"/>
  </r>
  <r>
    <n v="278"/>
    <n v="5600000390"/>
    <s v="0692626IM0Y00077"/>
    <d v="2026-03-24T00:00:00"/>
    <x v="0"/>
    <n v="0.1"/>
    <s v="ARVEE INTERNATIONAL PTE LTD"/>
    <s v="USD"/>
    <n v="1344021.44"/>
    <n v="0"/>
    <n v="1344021.44"/>
    <n v="95.12"/>
    <n v="127843319.37280001"/>
    <s v="Raw Material"/>
    <n v="55"/>
    <x v="0"/>
    <s v="ID20260115B"/>
    <d v="2026-04-02T00:00:00"/>
    <d v="2026-04-06T00:00:00"/>
    <d v="2026-02-26T00:00:00"/>
    <n v="1344021.44"/>
    <n v="0"/>
    <n v="127843319.37280001"/>
    <m/>
    <d v="2026-04-22T00:00:00"/>
    <x v="29"/>
    <n v="127843319.37280001"/>
    <m/>
    <s v="April26"/>
    <s v="BOE Received and Paid"/>
    <s v="Paid"/>
    <s v="Received"/>
    <d v="2026-04-22T00:00:00"/>
    <s v="Closed"/>
    <x v="0"/>
    <m/>
    <m/>
    <d v="2026-03-27T00:00:00"/>
    <x v="25"/>
    <n v="8112424"/>
    <d v="2026-04-22T00:00:00"/>
    <s v="SOLAR CELLS"/>
  </r>
  <r>
    <n v="279"/>
    <n v="1400000537"/>
    <s v="0692626IM0Y00073"/>
    <d v="2026-03-25T00:00:00"/>
    <x v="0"/>
    <n v="1"/>
    <s v="SIW MANUFACTURING SDN BHD"/>
    <s v="USD"/>
    <n v="320000"/>
    <n v="0"/>
    <n v="320000"/>
    <n v="93.03"/>
    <n v="29769600"/>
    <s v="CAPEX"/>
    <s v="Sight"/>
    <x v="0"/>
    <s v="PI-MY-25-5648"/>
    <d v="2026-04-27T00:00:00"/>
    <d v="2026-05-04T00:00:00"/>
    <d v="2026-04-16T00:00:00"/>
    <n v="320000"/>
    <n v="0"/>
    <n v="0"/>
    <m/>
    <d v="2026-05-05T00:00:00"/>
    <x v="1"/>
    <m/>
    <m/>
    <s v="May26"/>
    <s v="BOE Received and Paid"/>
    <s v="Paid"/>
    <s v="Received"/>
    <d v="2026-05-05T00:00:00"/>
    <s v="Closed"/>
    <x v="0"/>
    <n v="45011161451"/>
    <n v="29600000"/>
    <d v="2026-04-15T00:00:00"/>
    <x v="17"/>
    <m/>
    <m/>
    <s v="GAS ABATEMENT SYSTEM COMPRISING"/>
  </r>
  <r>
    <m/>
    <n v="1400000537"/>
    <s v="0692626IM0Y00073"/>
    <d v="2026-03-25T00:00:00"/>
    <x v="0"/>
    <n v="1"/>
    <s v="SIW MANUFACTURING SDN BHD"/>
    <s v="USD"/>
    <n v="0"/>
    <n v="0"/>
    <n v="0"/>
    <n v="93.03"/>
    <n v="0"/>
    <s v="CAPEX"/>
    <s v="Sight"/>
    <x v="1"/>
    <m/>
    <m/>
    <m/>
    <m/>
    <n v="0"/>
    <n v="0"/>
    <n v="0"/>
    <m/>
    <m/>
    <x v="1"/>
    <m/>
    <m/>
    <s v="-"/>
    <s v="BOE Received and Paid"/>
    <s v="Paid"/>
    <s v="Cancelled"/>
    <d v="2026-05-05T00:00:00"/>
    <s v="Closed"/>
    <x v="0"/>
    <n v="42371819184"/>
    <n v="300000"/>
    <d v="2026-04-15T00:00:00"/>
    <x v="17"/>
    <m/>
    <m/>
    <s v="GAS ABATEMENT SYSTEM COMPRISING"/>
  </r>
  <r>
    <n v="280"/>
    <n v="5600000391"/>
    <s v="0692626IM0Y00078"/>
    <d v="2026-03-25T00:00:00"/>
    <x v="0"/>
    <n v="0.1"/>
    <s v="ARVEE INTERNATIONAL PTE LTD"/>
    <s v="USD"/>
    <n v="2013393.93"/>
    <n v="0"/>
    <n v="2013393.93"/>
    <n v="95.12"/>
    <n v="191514030.6216"/>
    <s v="Raw Material"/>
    <n v="55"/>
    <x v="0"/>
    <s v="ID20260115A"/>
    <d v="2026-04-02T00:00:00"/>
    <d v="2026-04-06T00:00:00"/>
    <d v="2026-03-10T00:00:00"/>
    <n v="2013393.93"/>
    <n v="0"/>
    <n v="191514030.6216"/>
    <m/>
    <d v="2026-05-04T00:00:00"/>
    <x v="5"/>
    <n v="191514030.6216"/>
    <m/>
    <s v="May26"/>
    <s v="BOE Received and Paid"/>
    <s v="Paid"/>
    <s v="Received"/>
    <d v="2026-05-04T00:00:00"/>
    <s v="Closed"/>
    <x v="0"/>
    <m/>
    <m/>
    <d v="2026-03-27T00:00:00"/>
    <x v="25"/>
    <n v="8453497"/>
    <d v="2026-05-04T00:00:00"/>
    <s v="SOLAR CELLS"/>
  </r>
  <r>
    <n v="281"/>
    <n v="1400000413"/>
    <s v="0692626IM0Y00079"/>
    <d v="2026-03-25T00:00:00"/>
    <x v="0"/>
    <n v="1"/>
    <s v="FREIBERG INSTRUMENTS GMBH"/>
    <s v="EUR"/>
    <n v="22500"/>
    <n v="0"/>
    <n v="22500"/>
    <n v="107.31238500000001"/>
    <n v="2414528.6625000001"/>
    <s v="CAPEX"/>
    <s v="Sight"/>
    <x v="0"/>
    <s v="PI2026-0009"/>
    <d v="2026-05-02T00:00:00"/>
    <d v="2026-05-07T00:00:00"/>
    <d v="2026-04-15T00:00:00"/>
    <n v="22500"/>
    <n v="0"/>
    <n v="0"/>
    <m/>
    <d v="2026-05-07T00:00:00"/>
    <x v="1"/>
    <m/>
    <m/>
    <s v="May26"/>
    <s v="BOE Received and Paid"/>
    <s v="Paid"/>
    <s v="Received"/>
    <d v="2026-05-07T00:00:00"/>
    <s v="Closed"/>
    <x v="0"/>
    <n v="45011108066"/>
    <n v="2363000"/>
    <d v="2026-04-15T00:00:00"/>
    <x v="17"/>
    <m/>
    <m/>
    <s v="MDPSPOT BASIC SYSTEM"/>
  </r>
  <r>
    <m/>
    <n v="1400000413"/>
    <s v="0692626IM0Y00079"/>
    <d v="2026-03-25T00:00:00"/>
    <x v="0"/>
    <n v="1"/>
    <s v="FREIBERG INSTRUMENTS GMBH"/>
    <s v="EUR"/>
    <n v="0"/>
    <n v="0"/>
    <n v="0"/>
    <n v="107.31238500000001"/>
    <n v="0"/>
    <s v="CAPEX"/>
    <s v="Sight"/>
    <x v="1"/>
    <m/>
    <m/>
    <m/>
    <m/>
    <m/>
    <n v="0"/>
    <n v="0"/>
    <m/>
    <m/>
    <x v="1"/>
    <m/>
    <m/>
    <s v="-"/>
    <s v="BOE Received and Paid"/>
    <s v="Paid"/>
    <s v="Cancelled"/>
    <d v="2026-05-07T00:00:00"/>
    <s v="Closed"/>
    <x v="0"/>
    <n v="42814707478"/>
    <n v="133000"/>
    <d v="2026-04-15T00:00:00"/>
    <x v="17"/>
    <m/>
    <m/>
    <s v="MDPSPOT BASIC SYSTEM"/>
  </r>
  <r>
    <n v="281"/>
    <n v="1400000577"/>
    <s v="0692626IM0Y00080"/>
    <d v="2026-03-25T00:00:00"/>
    <x v="0"/>
    <n v="1"/>
    <s v="KLA CORPORATION"/>
    <s v="USD"/>
    <n v="85674"/>
    <n v="0"/>
    <n v="85674"/>
    <n v="94.532499999999999"/>
    <n v="8098977.4050000003"/>
    <s v="CAPEX"/>
    <s v="Sight"/>
    <x v="2"/>
    <m/>
    <m/>
    <m/>
    <d v="2026-04-15T00:00:00"/>
    <n v="85674"/>
    <n v="0"/>
    <n v="0"/>
    <m/>
    <d v="2026-06-10T00:00:00"/>
    <x v="1"/>
    <m/>
    <m/>
    <s v="June26"/>
    <s v="BOE not received"/>
    <s v="Unpaid"/>
    <s v="Not Received"/>
    <m/>
    <s v="Open"/>
    <x v="0"/>
    <n v="45011318971"/>
    <n v="7968000"/>
    <d v="2026-06-03T00:00:00"/>
    <x v="26"/>
    <m/>
    <m/>
    <s v="MODEL, ZETA-20 IMAGING"/>
  </r>
  <r>
    <m/>
    <n v="1400000577"/>
    <s v="0692626IM0Y00080"/>
    <d v="2026-03-25T00:00:00"/>
    <x v="0"/>
    <n v="1"/>
    <s v="KLA CORPORATION"/>
    <s v="USD"/>
    <n v="0"/>
    <n v="0"/>
    <n v="0"/>
    <n v="94.532499999999999"/>
    <n v="0"/>
    <s v="CAPEX"/>
    <s v="Sight"/>
    <x v="2"/>
    <m/>
    <m/>
    <m/>
    <m/>
    <m/>
    <n v="0"/>
    <n v="0"/>
    <m/>
    <m/>
    <x v="1"/>
    <m/>
    <m/>
    <s v="-"/>
    <s v="BOE not received"/>
    <s v="Unpaid"/>
    <s v="Not Received"/>
    <m/>
    <s v="Open"/>
    <x v="0"/>
    <n v="42814707478"/>
    <n v="160000"/>
    <d v="2026-06-03T00:00:00"/>
    <x v="26"/>
    <m/>
    <m/>
    <s v="MODEL, ZETA-20 IMAGING"/>
  </r>
  <r>
    <n v="282"/>
    <n v="5600000395"/>
    <s v="0692626IM0Y00081"/>
    <d v="2026-03-30T00:00:00"/>
    <x v="0"/>
    <n v="0.1"/>
    <s v="ARVEE INTERNATIONAL PTE LTD"/>
    <s v="USD"/>
    <n v="1285464.25"/>
    <n v="0"/>
    <n v="1285464.25"/>
    <n v="94.920500000000004"/>
    <n v="122016909.342125"/>
    <s v="Raw Material"/>
    <n v="55"/>
    <x v="0"/>
    <s v="HKJTGREW20260207-1"/>
    <d v="2026-04-15T00:00:00"/>
    <d v="2026-04-16T00:00:00"/>
    <d v="2026-03-18T00:00:00"/>
    <n v="1285464.25"/>
    <n v="0"/>
    <n v="122016909.342125"/>
    <m/>
    <d v="2026-05-12T00:00:00"/>
    <x v="30"/>
    <n v="122016909.342125"/>
    <m/>
    <s v="May26"/>
    <s v="BOE Received and Paid"/>
    <s v="Paid"/>
    <s v="Received"/>
    <d v="2026-05-12T00:00:00"/>
    <s v="Closed"/>
    <x v="1"/>
    <m/>
    <m/>
    <d v="2026-03-31T00:00:00"/>
    <x v="11"/>
    <m/>
    <m/>
    <s v="SOLAR CELLS"/>
  </r>
  <r>
    <n v="283"/>
    <n v="5600000395"/>
    <s v="0692626IM0Y00082"/>
    <d v="2026-03-27T00:00:00"/>
    <x v="0"/>
    <n v="0.1"/>
    <s v="ARVEE INTERNATIONAL PTE LTD"/>
    <s v="USD"/>
    <n v="1933513.2"/>
    <n v="0"/>
    <n v="1933513.2"/>
    <n v="94.920500000000004"/>
    <n v="183530039.7006"/>
    <s v="Raw Material"/>
    <n v="55"/>
    <x v="0"/>
    <s v="HKJTREW20260207-2"/>
    <d v="2026-04-15T00:00:00"/>
    <d v="2026-04-16T00:00:00"/>
    <d v="2026-03-20T00:00:00"/>
    <n v="1933513.2"/>
    <n v="0"/>
    <n v="183530039.7006"/>
    <m/>
    <d v="2026-05-14T00:00:00"/>
    <x v="27"/>
    <n v="183530039.7006"/>
    <m/>
    <s v="May26"/>
    <s v="BOE Received and Paid"/>
    <s v="Paid"/>
    <s v="Received"/>
    <d v="2026-05-14T00:00:00"/>
    <s v="Closed"/>
    <x v="1"/>
    <m/>
    <m/>
    <d v="2026-03-31T00:00:00"/>
    <x v="11"/>
    <m/>
    <m/>
    <s v="SOLAR CELLS"/>
  </r>
  <r>
    <n v="284"/>
    <n v="5600000405"/>
    <s v="2035FLCDA260044"/>
    <d v="2026-03-27T00:00:00"/>
    <x v="2"/>
    <n v="0.1"/>
    <s v="TAICANG JUREN INTERNATIONAL TRADE CO LTD"/>
    <s v="USD"/>
    <n v="1210950"/>
    <n v="0"/>
    <n v="1210950"/>
    <n v="96"/>
    <n v="116251200"/>
    <s v="Raw Material"/>
    <n v="60"/>
    <x v="0"/>
    <s v="JRIT20260330001"/>
    <d v="2026-04-24T00:00:00"/>
    <d v="2026-05-01T00:00:00"/>
    <d v="2026-04-14T00:00:00"/>
    <n v="1210950"/>
    <n v="0"/>
    <n v="116251200"/>
    <m/>
    <d v="2026-06-15T00:00:00"/>
    <x v="16"/>
    <n v="116251200"/>
    <m/>
    <s v="June26"/>
    <s v="Part/Full BOE received &amp; Unpaid"/>
    <s v="Unpaid"/>
    <s v="Received"/>
    <m/>
    <s v="Open"/>
    <x v="0"/>
    <m/>
    <m/>
    <d v="2026-04-20T00:00:00"/>
    <x v="22"/>
    <m/>
    <m/>
    <s v="PV RIBBON BUS BAR"/>
  </r>
  <r>
    <n v="285"/>
    <n v="5600000405"/>
    <s v="2035FLCDA260045"/>
    <d v="2026-03-27T00:00:00"/>
    <x v="2"/>
    <n v="0.1"/>
    <s v="TAICANG JUREN INTERNATIONAL TRADE CO LTD"/>
    <s v="USD"/>
    <n v="1210950"/>
    <n v="0"/>
    <n v="1210950"/>
    <n v="96"/>
    <n v="116251200"/>
    <s v="Raw Material"/>
    <n v="60"/>
    <x v="0"/>
    <s v="JRIT20260330002"/>
    <d v="2026-04-24T00:00:00"/>
    <d v="2026-05-04T00:00:00"/>
    <d v="2026-04-14T00:00:00"/>
    <n v="1210950"/>
    <n v="0"/>
    <n v="116251200"/>
    <m/>
    <d v="2026-06-15T00:00:00"/>
    <x v="16"/>
    <n v="116251200"/>
    <m/>
    <s v="June26"/>
    <s v="Part/Full BOE received &amp; Unpaid"/>
    <s v="Unpaid"/>
    <s v="Received"/>
    <m/>
    <s v="Open"/>
    <x v="0"/>
    <m/>
    <m/>
    <d v="2026-04-20T00:00:00"/>
    <x v="22"/>
    <m/>
    <m/>
    <s v="PV RIBBON BUS BAR"/>
  </r>
  <r>
    <n v="286"/>
    <n v="5600000392"/>
    <s v="0692626IM0Y00083"/>
    <d v="2026-03-30T00:00:00"/>
    <x v="0"/>
    <n v="0.1"/>
    <s v="ARVEE INTERNATIONAL PTE LTD"/>
    <s v="USD"/>
    <n v="671924.77"/>
    <n v="0"/>
    <n v="671924.77"/>
    <n v="94.920500000000004"/>
    <n v="63779435.130785003"/>
    <s v="Raw Material"/>
    <n v="55"/>
    <x v="0"/>
    <s v="ID20260115A-1"/>
    <d v="2026-04-15T00:00:00"/>
    <d v="2026-04-16T00:00:00"/>
    <d v="2026-03-18T00:00:00"/>
    <n v="671924.77"/>
    <n v="0"/>
    <n v="63779435.130785003"/>
    <m/>
    <d v="2026-05-12T00:00:00"/>
    <x v="30"/>
    <n v="63779435.130785003"/>
    <m/>
    <s v="May26"/>
    <s v="BOE Received and Paid"/>
    <s v="Paid"/>
    <s v="Received"/>
    <d v="2026-05-12T00:00:00"/>
    <s v="Closed"/>
    <x v="1"/>
    <m/>
    <m/>
    <d v="2026-03-31T00:00:00"/>
    <x v="11"/>
    <m/>
    <m/>
    <s v="SOLAR CELLS"/>
  </r>
  <r>
    <n v="287"/>
    <n v="5600000392"/>
    <s v="0692626IM0Y00084"/>
    <d v="2026-03-30T00:00:00"/>
    <x v="0"/>
    <n v="0.1"/>
    <s v="ARVEE INTERNATIONAL PTE LTD"/>
    <s v="USD"/>
    <n v="670124.13"/>
    <n v="0"/>
    <n v="670124.13"/>
    <n v="94.920500000000004"/>
    <n v="63608517.481665"/>
    <s v="Raw Material"/>
    <n v="55"/>
    <x v="0"/>
    <s v="ID20260115A-2"/>
    <d v="2026-04-18T00:00:00"/>
    <d v="2026-04-22T00:00:00"/>
    <d v="2026-03-18T00:00:00"/>
    <n v="670124.13"/>
    <n v="0"/>
    <n v="63608517.481665"/>
    <m/>
    <d v="2026-05-12T00:00:00"/>
    <x v="30"/>
    <n v="63608517.481665"/>
    <m/>
    <s v="May26"/>
    <s v="BOE Received and Paid"/>
    <s v="Paid"/>
    <s v="Received"/>
    <d v="2026-05-12T00:00:00"/>
    <s v="Closed"/>
    <x v="1"/>
    <m/>
    <m/>
    <d v="2026-03-31T00:00:00"/>
    <x v="11"/>
    <m/>
    <m/>
    <s v="SOLAR CELLS"/>
  </r>
  <r>
    <n v="288"/>
    <n v="5600000452"/>
    <s v="2035FLCDA260047"/>
    <d v="2026-04-02T00:00:00"/>
    <x v="2"/>
    <n v="0.1"/>
    <s v="JIANGSU SULV PRECISION TECHNOLOGY CO LTD"/>
    <s v="USD"/>
    <n v="926100"/>
    <n v="0"/>
    <n v="926100"/>
    <n v="96"/>
    <n v="88905600"/>
    <s v="Raw Material"/>
    <n v="45"/>
    <x v="0"/>
    <s v="SL-GREW-2026-4-12"/>
    <d v="2026-04-24T00:00:00"/>
    <d v="2026-05-04T00:00:00"/>
    <d v="2026-04-14T00:00:00"/>
    <n v="463050"/>
    <n v="463050"/>
    <n v="44452800"/>
    <m/>
    <d v="2026-05-29T00:00:00"/>
    <x v="24"/>
    <n v="44452800"/>
    <m/>
    <s v="May26"/>
    <s v="BOE Received and Paid"/>
    <s v="Paid"/>
    <s v="Received"/>
    <d v="2026-05-29T00:00:00"/>
    <s v="Closed"/>
    <x v="2"/>
    <m/>
    <m/>
    <d v="2026-05-06T00:00:00"/>
    <x v="27"/>
    <m/>
    <m/>
    <s v="AL FRAME"/>
  </r>
  <r>
    <m/>
    <n v="5600000452"/>
    <s v="2035FLCDA260047"/>
    <d v="2026-04-02T00:00:00"/>
    <x v="2"/>
    <n v="0.1"/>
    <s v="JIANGSU SULV PRECISION TECHNOLOGY CO LTD"/>
    <s v="USD"/>
    <n v="0"/>
    <n v="0"/>
    <n v="0"/>
    <n v="96"/>
    <n v="0"/>
    <s v="Raw Material"/>
    <n v="45"/>
    <x v="0"/>
    <s v="SL-GREW-2026-4-16"/>
    <d v="2026-05-15T00:00:00"/>
    <d v="2026-05-21T00:00:00"/>
    <d v="2026-04-28T00:00:00"/>
    <n v="463050"/>
    <n v="-463050"/>
    <n v="44452800"/>
    <m/>
    <d v="2026-06-12T00:00:00"/>
    <x v="20"/>
    <n v="44452800"/>
    <m/>
    <s v="June26"/>
    <s v="Part/Full BOE received &amp; Unpaid"/>
    <s v="Unpaid"/>
    <s v="Received"/>
    <m/>
    <s v="Open"/>
    <x v="0"/>
    <m/>
    <m/>
    <d v="2026-05-06T00:00:00"/>
    <x v="27"/>
    <m/>
    <m/>
    <s v="AL FRAME"/>
  </r>
  <r>
    <n v="289"/>
    <n v="5600000447"/>
    <s v="2035FLCDA260048"/>
    <d v="2026-04-02T00:00:00"/>
    <x v="2"/>
    <n v="0.1"/>
    <s v="FIRST MATERIAL SCIENCE (THAILAND) CO LTD"/>
    <s v="USD"/>
    <n v="1021695.77"/>
    <n v="0"/>
    <n v="1021695.77"/>
    <n v="96"/>
    <n v="98082793.920000002"/>
    <s v="Raw Material"/>
    <n v="60"/>
    <x v="0"/>
    <s v="MSBT260065-2"/>
    <d v="2026-05-15T00:00:00"/>
    <d v="2026-05-21T00:00:00"/>
    <d v="2026-04-26T00:00:00"/>
    <n v="272452.2"/>
    <n v="749243.57000000007"/>
    <n v="26155411.200000003"/>
    <m/>
    <d v="2026-06-25T00:00:00"/>
    <x v="31"/>
    <n v="26155411.200000003"/>
    <m/>
    <s v="June26"/>
    <s v="Part/Full BOE received &amp; Unpaid"/>
    <s v="Unpaid"/>
    <s v="Received"/>
    <m/>
    <s v="Open"/>
    <x v="4"/>
    <m/>
    <m/>
    <d v="2026-05-20T00:00:00"/>
    <x v="28"/>
    <m/>
    <m/>
    <s v="EPE FILM"/>
  </r>
  <r>
    <m/>
    <n v="5600000447"/>
    <s v="2035FLCDA260048"/>
    <d v="2026-04-02T00:00:00"/>
    <x v="2"/>
    <n v="0.1"/>
    <s v="FIRST MATERIAL SCIENCE (THAILAND) CO LTD"/>
    <s v="USD"/>
    <n v="0"/>
    <n v="0"/>
    <n v="0"/>
    <n v="96"/>
    <n v="0"/>
    <s v="Raw Material"/>
    <n v="60"/>
    <x v="0"/>
    <s v="MSBT260065-1"/>
    <d v="2026-05-15T00:00:00"/>
    <d v="2026-05-21T00:00:00"/>
    <d v="2026-04-26T00:00:00"/>
    <n v="272452.2"/>
    <n v="-272452.2"/>
    <n v="26155411.200000003"/>
    <m/>
    <d v="2026-06-25T00:00:00"/>
    <x v="31"/>
    <n v="26155411.200000003"/>
    <m/>
    <s v="June26"/>
    <s v="Part/Full BOE received &amp; Unpaid"/>
    <s v="Unpaid"/>
    <s v="Received"/>
    <m/>
    <s v="Open"/>
    <x v="4"/>
    <m/>
    <m/>
    <d v="2026-05-20T00:00:00"/>
    <x v="28"/>
    <m/>
    <m/>
    <s v="EPE FILM"/>
  </r>
  <r>
    <m/>
    <n v="5600000447"/>
    <s v="2035FLCDA260048"/>
    <d v="2026-04-02T00:00:00"/>
    <x v="2"/>
    <n v="0.1"/>
    <s v="FIRST MATERIAL SCIENCE (THAILAND) CO LTD"/>
    <s v="USD"/>
    <n v="0"/>
    <n v="0"/>
    <n v="0"/>
    <n v="96"/>
    <n v="0"/>
    <s v="Raw Material"/>
    <n v="60"/>
    <x v="0"/>
    <s v="MSBT260065-3"/>
    <d v="2026-05-21T00:00:00"/>
    <d v="2026-05-27T00:00:00"/>
    <d v="2026-05-03T00:00:00"/>
    <n v="272452.2"/>
    <n v="-272452.2"/>
    <n v="26155411.200000003"/>
    <m/>
    <d v="2026-07-02T00:00:00"/>
    <x v="32"/>
    <n v="26155411.200000003"/>
    <m/>
    <s v="July26"/>
    <s v="Part/Full BOE received &amp; Unpaid"/>
    <s v="Unpaid"/>
    <s v="Received"/>
    <m/>
    <s v="Open"/>
    <x v="0"/>
    <m/>
    <m/>
    <d v="2026-05-20T00:00:00"/>
    <x v="28"/>
    <m/>
    <m/>
    <s v="EPE FILM"/>
  </r>
  <r>
    <m/>
    <n v="5600000447"/>
    <s v="2035FLCDA260048"/>
    <d v="2026-04-02T00:00:00"/>
    <x v="2"/>
    <n v="0.1"/>
    <s v="FIRST MATERIAL SCIENCE (THAILAND) CO LTD"/>
    <s v="USD"/>
    <n v="0"/>
    <n v="0"/>
    <n v="0"/>
    <n v="96"/>
    <n v="0"/>
    <s v="Raw Material"/>
    <n v="60"/>
    <x v="0"/>
    <s v="MSBT260065-4"/>
    <d v="2026-05-21T00:00:00"/>
    <d v="2026-05-27T00:00:00"/>
    <d v="2026-05-03T00:00:00"/>
    <n v="204339.15"/>
    <n v="-204339.15"/>
    <n v="19616558.399999999"/>
    <m/>
    <d v="2026-07-02T00:00:00"/>
    <x v="32"/>
    <n v="19616558.399999999"/>
    <m/>
    <s v="July26"/>
    <s v="Part/Full BOE received &amp; Unpaid"/>
    <s v="Unpaid"/>
    <s v="Received"/>
    <m/>
    <s v="Open"/>
    <x v="0"/>
    <m/>
    <m/>
    <d v="2026-05-20T00:00:00"/>
    <x v="28"/>
    <m/>
    <m/>
    <s v="EPE FILM"/>
  </r>
  <r>
    <n v="290"/>
    <n v="5600000452"/>
    <s v="0692626IM0Y00085"/>
    <d v="2026-04-04T00:00:00"/>
    <x v="0"/>
    <n v="0.1"/>
    <s v="JIANGSU SULV PRECISION TECHNOLOGY CO LTD"/>
    <s v="USD"/>
    <n v="926100"/>
    <n v="0"/>
    <n v="926100"/>
    <n v="96"/>
    <n v="88905600"/>
    <s v="Raw Material"/>
    <n v="45"/>
    <x v="0"/>
    <s v="SL-GREW-2026-4-10"/>
    <d v="2026-05-02T00:00:00"/>
    <d v="2026-05-07T00:00:00"/>
    <d v="2026-04-17T00:00:00"/>
    <n v="463050"/>
    <n v="463050"/>
    <n v="44452800"/>
    <m/>
    <d v="2026-06-01T00:00:00"/>
    <x v="1"/>
    <m/>
    <m/>
    <s v="June26"/>
    <s v="BOE Received and Paid"/>
    <s v="Paid"/>
    <s v="Received"/>
    <d v="2026-06-01T00:00:00"/>
    <s v="Closed"/>
    <x v="1"/>
    <n v="42456259384"/>
    <n v="6326000"/>
    <d v="2026-04-30T00:00:00"/>
    <x v="19"/>
    <m/>
    <m/>
    <s v="AL FRAME"/>
  </r>
  <r>
    <m/>
    <n v="5600000452"/>
    <s v="0692626IM0Y00085"/>
    <d v="2026-04-04T00:00:00"/>
    <x v="0"/>
    <n v="0.1"/>
    <s v="JIANGSU SULV PRECISION TECHNOLOGY CO LTD"/>
    <s v="USD"/>
    <n v="0"/>
    <n v="0"/>
    <n v="0"/>
    <n v="96"/>
    <n v="0"/>
    <s v="Raw Material"/>
    <n v="45"/>
    <x v="0"/>
    <s v="SL-GREW-2026-4-11"/>
    <d v="2026-05-02T00:00:00"/>
    <d v="2026-05-07T00:00:00"/>
    <d v="2026-04-17T00:00:00"/>
    <n v="463050"/>
    <n v="-463050"/>
    <n v="44452800"/>
    <m/>
    <d v="2026-06-01T00:00:00"/>
    <x v="12"/>
    <n v="88905600"/>
    <m/>
    <s v="June26"/>
    <s v="BOE Received and Paid"/>
    <s v="Paid"/>
    <s v="Received"/>
    <d v="2026-06-01T00:00:00"/>
    <s v="Closed"/>
    <x v="1"/>
    <n v="42561333063"/>
    <n v="642000"/>
    <d v="2026-04-30T00:00:00"/>
    <x v="19"/>
    <m/>
    <m/>
    <s v="AL FRAME"/>
  </r>
  <r>
    <m/>
    <n v="5600000452"/>
    <s v="0692626IM0Y00085"/>
    <d v="2026-04-04T00:00:00"/>
    <x v="0"/>
    <n v="0.1"/>
    <s v="JIANGSU SULV PRECISION TECHNOLOGY CO LTD"/>
    <s v="USD"/>
    <n v="0"/>
    <n v="0"/>
    <n v="0"/>
    <n v="96"/>
    <n v="0"/>
    <s v="Raw Material"/>
    <n v="45"/>
    <x v="1"/>
    <m/>
    <m/>
    <m/>
    <m/>
    <n v="0"/>
    <n v="0"/>
    <n v="0"/>
    <m/>
    <d v="2026-06-01T00:00:00"/>
    <x v="1"/>
    <m/>
    <m/>
    <s v="June26"/>
    <s v="LC Cancelled"/>
    <s v="Paid"/>
    <s v="Cancelled"/>
    <d v="2026-06-01T00:00:00"/>
    <s v="Closed"/>
    <x v="3"/>
    <n v="44325393960"/>
    <n v="1722000"/>
    <d v="2026-04-30T00:00:00"/>
    <x v="19"/>
    <m/>
    <m/>
    <s v="AL FRAME"/>
  </r>
  <r>
    <n v="291"/>
    <n v="5600000448"/>
    <s v="0692626IM0Y00086"/>
    <d v="2026-04-06T00:00:00"/>
    <x v="0"/>
    <n v="0.1"/>
    <s v="JIANGYIN HAIHONG NEW ENERGY TECHNOLOGY CO LTD"/>
    <s v="USD"/>
    <n v="978000"/>
    <n v="0"/>
    <n v="978000"/>
    <n v="96"/>
    <n v="93888000"/>
    <s v="Raw Material"/>
    <n v="60"/>
    <x v="0"/>
    <s v="H-GREW-260411"/>
    <d v="2026-04-27T00:00:00"/>
    <d v="2026-05-04T00:00:00"/>
    <d v="2026-04-14T00:00:00"/>
    <n v="489000"/>
    <n v="489000"/>
    <n v="46944000"/>
    <m/>
    <d v="2026-06-15T00:00:00"/>
    <x v="1"/>
    <m/>
    <m/>
    <s v="June26"/>
    <s v="Part/Full BOE received &amp; Unpaid"/>
    <s v="Unpaid"/>
    <s v="Received"/>
    <m/>
    <s v="Open"/>
    <x v="0"/>
    <n v="43607525170"/>
    <n v="4053000"/>
    <d v="2026-04-30T00:00:00"/>
    <x v="19"/>
    <m/>
    <m/>
    <s v="AL FRAME"/>
  </r>
  <r>
    <m/>
    <n v="5600000448"/>
    <s v="0692626IM0Y00086"/>
    <d v="2026-04-06T00:00:00"/>
    <x v="0"/>
    <n v="0.1"/>
    <s v="JIANGYIN HAIHONG NEW ENERGY TECHNOLOGY CO LTD"/>
    <s v="USD"/>
    <n v="0"/>
    <n v="0"/>
    <n v="0"/>
    <n v="96"/>
    <n v="0"/>
    <s v="Raw Material"/>
    <n v="60"/>
    <x v="0"/>
    <s v="H-GREW-260415"/>
    <d v="2026-05-07T00:00:00"/>
    <d v="2026-05-12T00:00:00"/>
    <d v="2026-04-21T00:00:00"/>
    <n v="489000"/>
    <n v="-489000"/>
    <n v="46944000"/>
    <m/>
    <d v="2026-06-22T00:00:00"/>
    <x v="26"/>
    <n v="93888000"/>
    <m/>
    <s v="June26"/>
    <s v="Part/Full BOE received &amp; Unpaid"/>
    <s v="Unpaid"/>
    <s v="Received"/>
    <m/>
    <s v="Open"/>
    <x v="0"/>
    <n v="43650012802"/>
    <n v="3094000"/>
    <d v="2026-04-30T00:00:00"/>
    <x v="19"/>
    <m/>
    <m/>
    <s v="AL FRAME"/>
  </r>
  <r>
    <n v="292"/>
    <n v="5600000396"/>
    <s v="0692626IM0Y00087"/>
    <d v="2026-04-06T00:00:00"/>
    <x v="0"/>
    <n v="0.1"/>
    <s v="ARVEE INTERNATIONAL PTE LTD"/>
    <s v="USD"/>
    <n v="1944168.13"/>
    <n v="0"/>
    <n v="1944168.13"/>
    <n v="94.920500000000004"/>
    <n v="184541410.98366499"/>
    <s v="Raw Material"/>
    <n v="55"/>
    <x v="0"/>
    <s v="HKJTGREW20260207-6"/>
    <d v="2026-04-20T00:00:00"/>
    <d v="2026-04-22T00:00:00"/>
    <d v="2026-03-31T00:00:00"/>
    <n v="1944168.13"/>
    <n v="0"/>
    <n v="184541410.98366499"/>
    <m/>
    <d v="2026-05-26T00:00:00"/>
    <x v="7"/>
    <n v="184541410.98366499"/>
    <m/>
    <s v="May26"/>
    <s v="BOE Received and Paid"/>
    <s v="Paid"/>
    <s v="Received"/>
    <d v="2026-05-26T00:00:00"/>
    <s v="Closed"/>
    <x v="0"/>
    <n v="43649959856"/>
    <n v="27620000"/>
    <d v="2026-04-10T00:00:00"/>
    <x v="16"/>
    <m/>
    <m/>
    <s v="SOLAR CELLS"/>
  </r>
  <r>
    <m/>
    <n v="5600000396"/>
    <s v="0692626IM0Y00087"/>
    <d v="2026-04-06T00:00:00"/>
    <x v="0"/>
    <n v="0.1"/>
    <s v="ARVEE INTERNATIONAL PTE LTD"/>
    <s v="USD"/>
    <n v="0"/>
    <n v="0"/>
    <n v="0"/>
    <n v="94.920500000000004"/>
    <n v="0"/>
    <s v="Raw Material"/>
    <n v="55"/>
    <x v="1"/>
    <m/>
    <m/>
    <m/>
    <m/>
    <n v="0"/>
    <n v="0"/>
    <n v="0"/>
    <m/>
    <d v="2026-05-26T00:00:00"/>
    <x v="1"/>
    <m/>
    <m/>
    <s v="May26"/>
    <s v="BOE Received and Paid"/>
    <s v="Paid"/>
    <s v="Cancelled"/>
    <d v="2026-05-26T00:00:00"/>
    <s v="Closed"/>
    <x v="0"/>
    <n v="43707298765"/>
    <n v="15479000"/>
    <d v="2026-04-10T00:00:00"/>
    <x v="16"/>
    <m/>
    <m/>
    <s v="SOLAR CELLS"/>
  </r>
  <r>
    <n v="293"/>
    <n v="5600000396"/>
    <s v="0692626IM0Y00088"/>
    <d v="2026-04-07T00:00:00"/>
    <x v="0"/>
    <n v="0.1"/>
    <s v="ARVEE INTERNATIONAL PTE LTD"/>
    <s v="USD"/>
    <n v="1291989.45"/>
    <n v="0"/>
    <n v="1291989.45"/>
    <n v="94.920500000000004"/>
    <n v="122636284.588725"/>
    <s v="Raw Material"/>
    <n v="55"/>
    <x v="0"/>
    <s v="HKJTGREW20260207-5"/>
    <d v="2026-04-20T00:00:00"/>
    <d v="2026-04-22T00:00:00"/>
    <d v="2026-03-28T00:00:00"/>
    <n v="1291989.45"/>
    <n v="0"/>
    <n v="122636284.588725"/>
    <m/>
    <d v="2026-05-22T00:00:00"/>
    <x v="33"/>
    <n v="122636284.588725"/>
    <m/>
    <s v="May26"/>
    <s v="BOE Received and Paid"/>
    <s v="Paid"/>
    <s v="Received"/>
    <d v="2026-05-22T00:00:00"/>
    <s v="Closed"/>
    <x v="1"/>
    <m/>
    <m/>
    <d v="2026-04-10T00:00:00"/>
    <x v="16"/>
    <m/>
    <m/>
    <s v="SOLAR CELLS"/>
  </r>
  <r>
    <n v="294"/>
    <n v="5600000447"/>
    <s v="0692626IM0Y00089"/>
    <d v="2026-04-07T00:00:00"/>
    <x v="0"/>
    <n v="0.1"/>
    <s v="FIRST MATERIAL SCIENCE (THAILAND) CO LTD"/>
    <s v="USD"/>
    <n v="1021695.77"/>
    <n v="0"/>
    <n v="1021695.77"/>
    <n v="96"/>
    <n v="98082793.920000002"/>
    <s v="Raw Material"/>
    <n v="60"/>
    <x v="0"/>
    <s v="MSBT260066-1"/>
    <d v="2026-06-26T00:00:00"/>
    <d v="2026-06-02T00:00:00"/>
    <d v="2026-05-05T00:00:00"/>
    <n v="272452.2"/>
    <n v="749243.57000000007"/>
    <n v="26155411.200000003"/>
    <n v="71927382.719999999"/>
    <d v="2026-07-06T00:00:00"/>
    <x v="1"/>
    <m/>
    <m/>
    <s v="July26"/>
    <s v="Part/Full BOE received &amp; Unpaid"/>
    <s v="Unpaid"/>
    <s v="Received"/>
    <m/>
    <s v="Open"/>
    <x v="0"/>
    <n v="44028685576"/>
    <n v="6607000"/>
    <d v="2026-05-30T00:00:00"/>
    <x v="29"/>
    <m/>
    <m/>
    <s v="EPE FILM"/>
  </r>
  <r>
    <m/>
    <n v="5600000447"/>
    <s v="0692626IM0Y00089"/>
    <d v="2026-04-07T00:00:00"/>
    <x v="0"/>
    <n v="0.1"/>
    <s v="FIRST MATERIAL SCIENCE (THAILAND) CO LTD"/>
    <s v="USD"/>
    <n v="0"/>
    <n v="0"/>
    <n v="0"/>
    <n v="96"/>
    <n v="0"/>
    <s v="Raw Material"/>
    <n v="60"/>
    <x v="0"/>
    <s v="MSBT260066-2"/>
    <d v="2026-05-26T00:00:00"/>
    <d v="2026-06-02T00:00:00"/>
    <d v="2026-05-09T00:00:00"/>
    <n v="272452.2"/>
    <n v="-272452.2"/>
    <n v="26155411.200000003"/>
    <n v="-26155411.200000003"/>
    <d v="2026-07-08T00:00:00"/>
    <x v="1"/>
    <n v="0"/>
    <m/>
    <s v="July26"/>
    <s v="Part/Full BOE received &amp; Unpaid"/>
    <s v="Unpaid"/>
    <s v="Received"/>
    <m/>
    <s v="Open"/>
    <x v="0"/>
    <n v="44485511084"/>
    <n v="2979000"/>
    <d v="2026-05-30T00:00:00"/>
    <x v="29"/>
    <m/>
    <m/>
    <s v="EPE FILM"/>
  </r>
  <r>
    <m/>
    <n v="5600000447"/>
    <s v="0692626IM0Y00089"/>
    <d v="2026-04-07T00:00:00"/>
    <x v="0"/>
    <n v="0.1"/>
    <s v="FIRST MATERIAL SCIENCE (THAILAND) CO LTD"/>
    <s v="USD"/>
    <n v="0"/>
    <n v="0"/>
    <n v="0"/>
    <n v="96"/>
    <n v="0"/>
    <s v="Raw Material"/>
    <n v="60"/>
    <x v="0"/>
    <s v="MSBT260066-3"/>
    <d v="2026-05-26T00:00:00"/>
    <d v="2026-06-02T00:00:00"/>
    <d v="2026-05-09T00:00:00"/>
    <n v="272452.2"/>
    <n v="-272452.2"/>
    <n v="26155411.200000003"/>
    <n v="-26155411.200000003"/>
    <d v="2026-07-08T00:00:00"/>
    <x v="1"/>
    <n v="0"/>
    <m/>
    <s v="July26"/>
    <s v="Part/Full BOE received &amp; Unpaid"/>
    <s v="Unpaid"/>
    <s v="Received"/>
    <m/>
    <s v="Open"/>
    <x v="0"/>
    <n v="44485511084"/>
    <n v="2979000"/>
    <d v="2026-05-30T00:00:00"/>
    <x v="29"/>
    <m/>
    <m/>
    <s v="EPE FILM"/>
  </r>
  <r>
    <m/>
    <n v="5600000447"/>
    <s v="0692626IM0Y00089"/>
    <d v="2026-04-07T00:00:00"/>
    <x v="0"/>
    <n v="0.1"/>
    <s v="FIRST MATERIAL SCIENCE (THAILAND) CO LTD"/>
    <s v="USD"/>
    <n v="0"/>
    <n v="0"/>
    <n v="0"/>
    <n v="96"/>
    <n v="0"/>
    <s v="Raw Material"/>
    <n v="60"/>
    <x v="0"/>
    <s v="MSBT260066-4"/>
    <d v="2026-05-30T00:00:00"/>
    <m/>
    <d v="2026-05-09T00:00:00"/>
    <n v="204339.15"/>
    <n v="-204339.15"/>
    <n v="19616558.399999999"/>
    <n v="-19616558.399999999"/>
    <d v="2026-07-08T00:00:00"/>
    <x v="34"/>
    <n v="98082793.920000002"/>
    <m/>
    <s v="July26"/>
    <s v="Part/Full BOE received &amp; Unpaid"/>
    <s v="Unpaid"/>
    <s v="Received"/>
    <m/>
    <s v="Open"/>
    <x v="0"/>
    <n v="44485511084"/>
    <n v="2979000"/>
    <d v="2026-05-30T00:00:00"/>
    <x v="29"/>
    <m/>
    <m/>
    <s v="EPE FILM"/>
  </r>
  <r>
    <n v="295"/>
    <n v="5600000455"/>
    <s v="0692626IM0Y00090"/>
    <d v="2026-04-07T00:00:00"/>
    <x v="0"/>
    <n v="0.1"/>
    <s v="ZHEJIANG ZHONGHUAN SUNTER PV TECHNOLOGY CO. LTD"/>
    <s v="USD"/>
    <n v="801024"/>
    <n v="0"/>
    <n v="801024"/>
    <n v="96"/>
    <n v="76898304"/>
    <s v="Raw Material"/>
    <n v="60"/>
    <x v="0"/>
    <s v="GREW2604-1"/>
    <d v="2026-05-02T00:00:00"/>
    <d v="2026-05-07T00:00:00"/>
    <d v="2026-04-17T00:00:00"/>
    <n v="801024"/>
    <n v="0"/>
    <n v="76898304"/>
    <m/>
    <d v="2026-06-16T00:00:00"/>
    <x v="35"/>
    <n v="76898304"/>
    <m/>
    <s v="June26"/>
    <s v="Part/Full BOE received &amp; Unpaid"/>
    <s v="Unpaid"/>
    <s v="Received"/>
    <m/>
    <s v="Open"/>
    <x v="0"/>
    <n v="44028685576"/>
    <n v="7516000"/>
    <d v="2026-04-30T00:00:00"/>
    <x v="19"/>
    <m/>
    <m/>
    <s v="JUNCTION BOX"/>
  </r>
  <r>
    <n v="296"/>
    <n v="5600000395"/>
    <s v="0692626IM0Y00093"/>
    <d v="2026-04-08T00:00:00"/>
    <x v="0"/>
    <n v="0.1"/>
    <s v="ARVEE INTERNATIONAL PTE LTD"/>
    <s v="USD"/>
    <n v="1290476.82"/>
    <n v="0"/>
    <n v="1290476.82"/>
    <n v="94.920500000000004"/>
    <n v="122492704.99281001"/>
    <s v="Raw Material"/>
    <n v="55"/>
    <x v="0"/>
    <s v="HKJTGREW20260207-3"/>
    <d v="2026-04-21T00:00:00"/>
    <d v="2026-04-23T00:00:00"/>
    <d v="2026-03-26T00:00:00"/>
    <n v="1290476.82"/>
    <n v="0"/>
    <n v="122492704.99281001"/>
    <m/>
    <d v="2026-05-20T00:00:00"/>
    <x v="36"/>
    <n v="122492704.99281001"/>
    <m/>
    <s v="May26"/>
    <s v="BOE Received and Paid"/>
    <s v="Paid"/>
    <s v="Received"/>
    <d v="2026-05-20T00:00:00"/>
    <s v="Closed"/>
    <x v="1"/>
    <m/>
    <m/>
    <d v="2026-04-08T00:00:00"/>
    <x v="30"/>
    <m/>
    <m/>
    <s v="SOLAR CELLS"/>
  </r>
  <r>
    <n v="297"/>
    <n v="5600000462"/>
    <s v="0692626IM0Y00097"/>
    <d v="2026-04-15T00:00:00"/>
    <x v="0"/>
    <n v="0.1"/>
    <s v="ANHUI CSG NEW ENERGY MATERIAL TECHNOLOGY CO LTD"/>
    <s v="USD"/>
    <n v="1099800"/>
    <n v="0"/>
    <n v="1099800"/>
    <n v="96"/>
    <n v="105580800"/>
    <s v="Raw Material"/>
    <n v="45"/>
    <x v="0"/>
    <s v="SFG2604015-2"/>
    <d v="2026-05-11T00:00:00"/>
    <d v="2026-05-16T00:00:00"/>
    <d v="2026-04-21T00:00:00"/>
    <n v="274950"/>
    <n v="824850"/>
    <n v="26395200"/>
    <m/>
    <d v="2026-06-05T00:00:00"/>
    <x v="1"/>
    <m/>
    <m/>
    <s v="June26"/>
    <s v="Part/Full BOE received &amp; Unpaid"/>
    <s v="Unpaid"/>
    <s v="Received"/>
    <m/>
    <s v="Open"/>
    <x v="0"/>
    <n v="44803304283"/>
    <n v="10370000"/>
    <d v="2026-05-10T00:00:00"/>
    <x v="31"/>
    <m/>
    <m/>
    <s v=" GLASS"/>
  </r>
  <r>
    <m/>
    <n v="5600000462"/>
    <s v="0692626IM0Y00097"/>
    <d v="2026-04-15T00:00:00"/>
    <x v="0"/>
    <n v="0.1"/>
    <s v="ANHUI CSG NEW ENERGY MATERIAL TECHNOLOGY CO LTD"/>
    <s v="USD"/>
    <n v="0"/>
    <n v="0"/>
    <n v="0"/>
    <n v="96"/>
    <n v="0"/>
    <s v="Raw Material"/>
    <n v="45"/>
    <x v="0"/>
    <s v="SFG2604015-1"/>
    <d v="2026-05-12T00:00:00"/>
    <d v="2026-05-16T00:00:00"/>
    <d v="2026-04-21T00:00:00"/>
    <n v="412425"/>
    <n v="-412425"/>
    <n v="39592800"/>
    <m/>
    <d v="2026-06-05T00:00:00"/>
    <x v="1"/>
    <m/>
    <m/>
    <s v="June26"/>
    <s v="Part/Full BOE received &amp; Unpaid"/>
    <s v="Unpaid"/>
    <s v="Received"/>
    <m/>
    <s v="Open"/>
    <x v="0"/>
    <m/>
    <m/>
    <d v="2026-05-10T00:00:00"/>
    <x v="31"/>
    <m/>
    <m/>
    <s v=" GLASS"/>
  </r>
  <r>
    <m/>
    <n v="5600000462"/>
    <s v="0692626IM0Y00097"/>
    <d v="2026-04-15T00:00:00"/>
    <x v="0"/>
    <n v="0.1"/>
    <s v="ANHUI CSG NEW ENERGY MATERIAL TECHNOLOGY CO LTD"/>
    <s v="USD"/>
    <n v="0"/>
    <n v="0"/>
    <n v="0"/>
    <n v="96"/>
    <n v="0"/>
    <s v="Raw Material"/>
    <n v="45"/>
    <x v="0"/>
    <s v="SFG2604015-4"/>
    <d v="2026-05-18T00:00:00"/>
    <d v="2026-05-21T00:00:00"/>
    <d v="2026-05-06T00:00:00"/>
    <n v="274950"/>
    <n v="-274950"/>
    <n v="26395200"/>
    <m/>
    <d v="2026-06-22T00:00:00"/>
    <x v="1"/>
    <m/>
    <m/>
    <s v="June26"/>
    <s v="Part/Full BOE received &amp; Unpaid"/>
    <s v="Unpaid"/>
    <s v="Received"/>
    <m/>
    <s v="Open"/>
    <x v="0"/>
    <m/>
    <m/>
    <d v="2026-05-10T00:00:00"/>
    <x v="31"/>
    <m/>
    <m/>
    <s v=" GLASS"/>
  </r>
  <r>
    <m/>
    <n v="5600000462"/>
    <s v="0692626IM0Y00097"/>
    <d v="2026-04-15T00:00:00"/>
    <x v="0"/>
    <n v="0.1"/>
    <s v="ANHUI CSG NEW ENERGY MATERIAL TECHNOLOGY CO LTD"/>
    <s v="USD"/>
    <n v="0"/>
    <n v="0"/>
    <n v="0"/>
    <n v="96"/>
    <n v="0"/>
    <s v="Raw Material"/>
    <n v="45"/>
    <x v="0"/>
    <s v="SFG2604015-3"/>
    <d v="2026-05-26T00:00:00"/>
    <d v="2026-06-02T00:00:00"/>
    <d v="2026-05-12T00:00:00"/>
    <n v="137475"/>
    <n v="-137475"/>
    <n v="13197600"/>
    <m/>
    <d v="2026-06-29T00:00:00"/>
    <x v="37"/>
    <n v="105580800"/>
    <m/>
    <s v="June26"/>
    <s v="Part/Full BOE received &amp; Unpaid"/>
    <s v="Unpaid"/>
    <s v="Received"/>
    <m/>
    <s v="Open"/>
    <x v="0"/>
    <m/>
    <m/>
    <d v="2026-05-10T00:00:00"/>
    <x v="31"/>
    <m/>
    <m/>
    <s v=" GLASS"/>
  </r>
  <r>
    <n v="298"/>
    <n v="5600000448"/>
    <s v="0692626IM0Y00098"/>
    <d v="2026-04-17T00:00:00"/>
    <x v="0"/>
    <n v="0.1"/>
    <s v="JIANGYIN HAIHONG NEW ENERGY TECHNOLOGY CO LTD"/>
    <s v="USD"/>
    <n v="978000"/>
    <n v="0"/>
    <n v="978000"/>
    <n v="96"/>
    <n v="93888000"/>
    <s v="Raw Material"/>
    <n v="60"/>
    <x v="0"/>
    <s v="H-GREW-260425"/>
    <d v="2026-05-12T00:00:00"/>
    <d v="2026-05-16T00:00:00"/>
    <d v="2026-05-04T00:00:00"/>
    <n v="489000"/>
    <n v="489000"/>
    <n v="46944000"/>
    <m/>
    <d v="2026-07-03T00:00:00"/>
    <x v="1"/>
    <m/>
    <m/>
    <s v="July26"/>
    <s v="Part/Full BOE received &amp; Unpaid"/>
    <s v="Unpaid"/>
    <s v="Received"/>
    <m/>
    <s v="Open"/>
    <x v="0"/>
    <n v="42896923356"/>
    <n v="9220000"/>
    <d v="2026-05-10T00:00:00"/>
    <x v="31"/>
    <m/>
    <m/>
    <s v="AL FRAME"/>
  </r>
  <r>
    <m/>
    <n v="5600000448"/>
    <s v="0692626IM0Y00098"/>
    <d v="2026-04-17T00:00:00"/>
    <x v="0"/>
    <n v="0.1"/>
    <s v="JIANGYIN HAIHONG NEW ENERGY TECHNOLOGY CO LTD"/>
    <s v="USD"/>
    <n v="0"/>
    <n v="0"/>
    <n v="0"/>
    <n v="96"/>
    <n v="0"/>
    <s v="Raw Material"/>
    <n v="60"/>
    <x v="0"/>
    <s v="H-GREW-260424"/>
    <d v="2026-05-18T00:00:00"/>
    <d v="2026-05-21T00:00:00"/>
    <d v="2026-05-08T00:00:00"/>
    <n v="489000"/>
    <n v="-489000"/>
    <n v="46944000"/>
    <m/>
    <d v="2026-07-07T00:00:00"/>
    <x v="38"/>
    <n v="93888000"/>
    <m/>
    <s v="July26"/>
    <s v="Part/Full BOE received &amp; Unpaid"/>
    <s v="Unpaid"/>
    <s v="Received"/>
    <m/>
    <s v="Open"/>
    <x v="0"/>
    <m/>
    <m/>
    <d v="2026-05-10T00:00:00"/>
    <x v="31"/>
    <m/>
    <m/>
    <s v="AL FRAME"/>
  </r>
  <r>
    <n v="299"/>
    <n v="5600000452"/>
    <s v="0692626IM0Y00099"/>
    <d v="2026-04-18T00:00:00"/>
    <x v="0"/>
    <n v="0.1"/>
    <s v="JIANGSU SULV PRECISION TECHNOLOGY CO LTD"/>
    <s v="USD"/>
    <n v="926100"/>
    <n v="0"/>
    <n v="926100"/>
    <n v="96"/>
    <n v="88905600"/>
    <s v="Raw Material"/>
    <n v="45"/>
    <x v="0"/>
    <s v="SL-GREW-2026-4-22"/>
    <d v="2026-05-12T00:00:00"/>
    <d v="2026-05-16T00:00:00"/>
    <d v="2026-04-28T00:00:00"/>
    <n v="463050"/>
    <n v="463050"/>
    <n v="44452800"/>
    <m/>
    <d v="2026-06-12T00:00:00"/>
    <x v="1"/>
    <m/>
    <m/>
    <s v="June26"/>
    <s v="Part/Full BOE received &amp; Unpaid"/>
    <s v="Unpaid"/>
    <s v="Received"/>
    <m/>
    <s v="Open"/>
    <x v="0"/>
    <n v="43607525170"/>
    <n v="4076000"/>
    <d v="2026-05-15T00:00:00"/>
    <x v="18"/>
    <m/>
    <m/>
    <s v="AL FRAME"/>
  </r>
  <r>
    <m/>
    <n v="5600000452"/>
    <s v="0692626IM0Y00099"/>
    <d v="2026-04-18T00:00:00"/>
    <x v="0"/>
    <n v="0.1"/>
    <s v="JIANGSU SULV PRECISION TECHNOLOGY CO LTD"/>
    <s v="USD"/>
    <n v="0"/>
    <n v="0"/>
    <n v="0"/>
    <n v="96"/>
    <n v="0"/>
    <s v="Raw Material"/>
    <n v="45"/>
    <x v="0"/>
    <s v="SL-GREW-2026-4-29"/>
    <d v="2026-05-26T00:00:00"/>
    <d v="2026-06-02T00:00:00"/>
    <d v="2026-05-08T00:00:00"/>
    <n v="463050"/>
    <n v="-463050"/>
    <n v="44452800"/>
    <m/>
    <d v="2026-06-22T00:00:00"/>
    <x v="26"/>
    <n v="88905600"/>
    <m/>
    <s v="June26"/>
    <s v="Part/Full BOE received &amp; Unpaid"/>
    <s v="Unpaid"/>
    <s v="Received"/>
    <m/>
    <s v="Open"/>
    <x v="0"/>
    <n v="44803304283"/>
    <n v="4585000"/>
    <d v="2026-05-15T00:00:00"/>
    <x v="18"/>
    <m/>
    <m/>
    <s v="AL FRAME"/>
  </r>
  <r>
    <n v="300"/>
    <n v="5600000433"/>
    <s v="0692626IM0Y00100"/>
    <d v="2026-04-18T00:00:00"/>
    <x v="0"/>
    <n v="0.1"/>
    <s v="ARVEE INTERNATIONAL PTE LTD"/>
    <s v="USD"/>
    <n v="1357075.35"/>
    <n v="0"/>
    <n v="1357075.35"/>
    <n v="96"/>
    <n v="130279233.60000001"/>
    <s v="Raw Material"/>
    <n v="55"/>
    <x v="0"/>
    <s v="HKJTGREW20260312-1"/>
    <d v="2026-04-28T00:00:00"/>
    <d v="2026-05-01T00:00:00"/>
    <d v="2026-04-09T00:00:00"/>
    <n v="1357075.35"/>
    <n v="0"/>
    <n v="130279233.60000001"/>
    <m/>
    <d v="2026-06-03T00:00:00"/>
    <x v="39"/>
    <n v="130279233.60000001"/>
    <m/>
    <s v="June26"/>
    <s v="BOE Received and Paid"/>
    <s v="Paid"/>
    <s v="Received"/>
    <d v="2026-06-03T00:00:00"/>
    <s v="Closed"/>
    <x v="1"/>
    <n v="44485511084"/>
    <n v="3217000"/>
    <d v="2026-04-24T00:00:00"/>
    <x v="14"/>
    <m/>
    <m/>
    <s v="SOLAR CELLS"/>
  </r>
  <r>
    <m/>
    <n v="5600000433"/>
    <s v="0692626IM0Y00100"/>
    <d v="2026-04-18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0"/>
    <n v="0"/>
    <n v="0"/>
    <m/>
    <d v="2026-06-03T00:00:00"/>
    <x v="1"/>
    <m/>
    <m/>
    <s v="June26"/>
    <s v="BOE Received and Paid"/>
    <s v="Paid"/>
    <s v="Received"/>
    <d v="2026-06-03T00:00:00"/>
    <s v="Closed"/>
    <x v="0"/>
    <n v="44803304283"/>
    <n v="9475000"/>
    <d v="2026-04-24T00:00:00"/>
    <x v="14"/>
    <m/>
    <m/>
    <s v="SOLAR CELLS"/>
  </r>
  <r>
    <n v="301"/>
    <n v="5600000456"/>
    <s v="0692626IM0Y00101"/>
    <d v="2026-04-18T00:00:00"/>
    <x v="0"/>
    <n v="0.1"/>
    <s v="ZHEJIANG ZHONGHUAN SUNTER PV TECHNOLOGY CO. LTD"/>
    <s v="USD"/>
    <n v="600768"/>
    <n v="0"/>
    <n v="600768"/>
    <n v="96"/>
    <n v="57673728"/>
    <s v="Raw Material"/>
    <n v="60"/>
    <x v="2"/>
    <m/>
    <m/>
    <m/>
    <d v="2026-05-15T00:00:00"/>
    <n v="600768"/>
    <n v="0"/>
    <n v="57673728"/>
    <m/>
    <d v="2026-07-14T00:00:00"/>
    <x v="40"/>
    <n v="57673728"/>
    <m/>
    <s v="July26"/>
    <s v="BOE not received"/>
    <s v="Unpaid"/>
    <s v="Not Received"/>
    <m/>
    <s v="Open"/>
    <x v="0"/>
    <n v="42814707478"/>
    <n v="4164000"/>
    <d v="2026-06-10T00:00:00"/>
    <x v="32"/>
    <m/>
    <m/>
    <s v="JUNCTION BOX"/>
  </r>
  <r>
    <m/>
    <n v="5600000456"/>
    <s v="0692626IM0Y00101"/>
    <d v="2026-04-18T00:00:00"/>
    <x v="0"/>
    <n v="0.1"/>
    <s v="ZHEJIANG ZHONGHUAN SUNTER PV TECHNOLOGY CO. LTD"/>
    <s v="USD"/>
    <n v="0"/>
    <n v="0"/>
    <n v="0"/>
    <n v="96"/>
    <n v="0"/>
    <s v="Raw Material"/>
    <n v="60"/>
    <x v="1"/>
    <m/>
    <m/>
    <m/>
    <m/>
    <n v="0"/>
    <n v="0"/>
    <n v="0"/>
    <m/>
    <d v="2026-07-14T00:00:00"/>
    <x v="1"/>
    <m/>
    <m/>
    <s v="July26"/>
    <s v="BOE not received"/>
    <s v="Unpaid"/>
    <s v="Cancelled"/>
    <m/>
    <s v="Open"/>
    <x v="0"/>
    <n v="42840339454"/>
    <n v="1456000"/>
    <d v="2026-06-10T00:00:00"/>
    <x v="32"/>
    <m/>
    <m/>
    <s v="JUNCTION BOX"/>
  </r>
  <r>
    <n v="302"/>
    <n v="5600000396"/>
    <s v="261001FLCU00073"/>
    <d v="2026-04-20T00:00:00"/>
    <x v="1"/>
    <n v="0.1"/>
    <s v="ARVEE INTERNATIONAL PTE LTD"/>
    <s v="USD"/>
    <n v="1291989.45"/>
    <n v="0"/>
    <n v="1291989.45"/>
    <n v="95.12"/>
    <n v="122894036.484"/>
    <s v="Raw Material"/>
    <n v="55"/>
    <x v="0"/>
    <s v="HKJTGREW20260207-4"/>
    <d v="2026-04-28T00:00:00"/>
    <d v="2026-05-02T00:00:00"/>
    <d v="2026-03-28T00:00:00"/>
    <n v="1291989.45"/>
    <n v="0"/>
    <n v="122894036.484"/>
    <m/>
    <d v="2026-05-22T00:00:00"/>
    <x v="33"/>
    <n v="122894036.484"/>
    <m/>
    <s v="May26"/>
    <s v="BOE Received and Paid"/>
    <s v="Paid"/>
    <s v="Received"/>
    <d v="2026-05-22T00:00:00"/>
    <s v="Closed"/>
    <x v="2"/>
    <m/>
    <m/>
    <d v="2026-04-10T00:00:00"/>
    <x v="16"/>
    <m/>
    <m/>
    <s v="SOLAR CELLS"/>
  </r>
  <r>
    <n v="304"/>
    <n v="5600000468"/>
    <s v="261001FLCU00074"/>
    <d v="2026-04-21T00:00:00"/>
    <x v="1"/>
    <n v="0.1"/>
    <s v="YIBIN YINGFA DEYAO TECHNOLOGY CO. LTD"/>
    <s v="USD"/>
    <n v="511948.79999999999"/>
    <n v="0"/>
    <n v="511948.79999999999"/>
    <n v="96"/>
    <n v="49147084.799999997"/>
    <s v="Raw Material"/>
    <n v="60"/>
    <x v="3"/>
    <s v="YFDY26042701"/>
    <m/>
    <m/>
    <d v="2026-05-20T00:00:00"/>
    <n v="511948.79999999999"/>
    <n v="0"/>
    <n v="49147084.799999997"/>
    <m/>
    <d v="2026-07-19T00:00:00"/>
    <x v="41"/>
    <n v="49147084.799999997"/>
    <m/>
    <s v="July26"/>
    <s v="Part/Full BOE received &amp; Unpaid"/>
    <s v="Unpaid"/>
    <s v="Received"/>
    <m/>
    <s v="Open"/>
    <x v="0"/>
    <m/>
    <m/>
    <d v="2026-05-15T00:00:00"/>
    <x v="18"/>
    <m/>
    <m/>
    <s v="WAFFER"/>
  </r>
  <r>
    <n v="305"/>
    <n v="5600000472"/>
    <s v="261001FLCU00078"/>
    <d v="2026-04-27T00:00:00"/>
    <x v="1"/>
    <n v="0.1"/>
    <s v="SCENERGY TECHNOLOGY LTD,"/>
    <s v="USD"/>
    <n v="56576"/>
    <n v="0"/>
    <n v="56576"/>
    <n v="96"/>
    <n v="5431296"/>
    <s v="Raw Material"/>
    <n v="60"/>
    <x v="0"/>
    <s v="SCDLPGREW20260428"/>
    <d v="2026-06-02T00:00:00"/>
    <m/>
    <d v="2026-05-12T00:00:00"/>
    <n v="56576"/>
    <n v="0"/>
    <n v="5431296"/>
    <m/>
    <d v="2026-07-13T00:00:00"/>
    <x v="42"/>
    <n v="5431296"/>
    <m/>
    <s v="July26"/>
    <s v="Part/Full BOE received &amp; Unpaid"/>
    <s v="Unpaid"/>
    <s v="Received"/>
    <m/>
    <s v="Open"/>
    <x v="0"/>
    <m/>
    <m/>
    <d v="2026-05-20T00:00:00"/>
    <x v="28"/>
    <m/>
    <m/>
    <s v="WAFFER"/>
  </r>
  <r>
    <n v="306"/>
    <n v="5600000449"/>
    <s v="0692626IM0Y00104"/>
    <d v="2026-04-29T00:00:00"/>
    <x v="0"/>
    <n v="0.1"/>
    <s v="FUTURE ALUMINUM NEW MATERIALS SDN BHD"/>
    <s v="USD"/>
    <n v="1107400"/>
    <n v="0"/>
    <n v="1107400"/>
    <n v="96"/>
    <n v="106310400"/>
    <s v="Raw Material"/>
    <n v="60"/>
    <x v="2"/>
    <m/>
    <m/>
    <m/>
    <d v="2026-05-31T00:00:00"/>
    <n v="1107400"/>
    <n v="0"/>
    <n v="106310400"/>
    <m/>
    <d v="2026-07-30T00:00:00"/>
    <x v="43"/>
    <n v="106310400"/>
    <m/>
    <s v="July26"/>
    <s v="BOE not received"/>
    <s v="Unpaid"/>
    <s v="Not Received"/>
    <m/>
    <s v="Open"/>
    <x v="0"/>
    <n v="44730457174"/>
    <n v="10570000"/>
    <d v="2026-05-31T00:00:00"/>
    <x v="33"/>
    <m/>
    <m/>
    <s v="AL FRAME"/>
  </r>
  <r>
    <n v="307"/>
    <n v="5600000432"/>
    <s v="0692626IM0Y00105"/>
    <d v="2026-04-29T00:00:00"/>
    <x v="0"/>
    <n v="0.1"/>
    <s v="ARVEE INTERNATIONAL PTE LTD"/>
    <s v="USD"/>
    <n v="2520343.42"/>
    <n v="0"/>
    <n v="2520343.42"/>
    <n v="96"/>
    <n v="241952968.31999999"/>
    <s v="Raw Material"/>
    <n v="55"/>
    <x v="0"/>
    <s v="HKJTGREW20260311-2 /HKJTGREW20260311-3"/>
    <d v="2026-05-11T00:00:00"/>
    <d v="2026-05-13T00:00:00"/>
    <d v="2026-04-17T00:00:00"/>
    <n v="2520342.9300000002"/>
    <n v="0.48999999975785613"/>
    <n v="241952921.28000003"/>
    <m/>
    <d v="2026-06-11T00:00:00"/>
    <x v="44"/>
    <n v="241952968.31999999"/>
    <m/>
    <s v="June26"/>
    <s v="Part/Full BOE received &amp; Unpaid"/>
    <s v="Unpaid"/>
    <s v="Received"/>
    <m/>
    <s v="Open"/>
    <x v="0"/>
    <n v="44730457174"/>
    <n v="24040000"/>
    <d v="2026-05-05T00:00:00"/>
    <x v="34"/>
    <m/>
    <m/>
    <s v="SOLAR CELLS"/>
  </r>
  <r>
    <m/>
    <n v="5600000432"/>
    <s v="0692626IM0Y00105"/>
    <d v="2026-04-29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0.49"/>
    <n v="-0.49"/>
    <n v="47.04"/>
    <m/>
    <d v="2026-06-11T00:00:00"/>
    <x v="1"/>
    <n v="0"/>
    <m/>
    <s v="June26"/>
    <s v="BOE not received"/>
    <s v="Cancelled"/>
    <s v="Cancelled"/>
    <m/>
    <s v="Open"/>
    <x v="0"/>
    <m/>
    <m/>
    <d v="2026-05-05T00:00:00"/>
    <x v="34"/>
    <m/>
    <m/>
    <s v="SOLAR CELLS"/>
  </r>
  <r>
    <n v="308"/>
    <n v="5600000433"/>
    <s v="0692626IM0Y00111"/>
    <d v="2026-05-01T00:00:00"/>
    <x v="0"/>
    <n v="0.1"/>
    <s v="ARVEE INTERNATIONAL PTE LTD"/>
    <s v="USD"/>
    <n v="1358963.51"/>
    <n v="0"/>
    <n v="1358963.51"/>
    <n v="96"/>
    <n v="130460496.96000001"/>
    <s v="Raw Material"/>
    <n v="55"/>
    <x v="0"/>
    <s v="HKJTGREW20260312-3"/>
    <d v="2026-05-15T00:00:00"/>
    <d v="2026-05-16T00:00:00"/>
    <d v="2026-04-23T00:00:00"/>
    <n v="1355332.44"/>
    <n v="3631.0700000000652"/>
    <n v="130111914.23999999"/>
    <m/>
    <d v="2026-06-17T00:00:00"/>
    <x v="15"/>
    <n v="130460496.96000001"/>
    <m/>
    <s v="June26"/>
    <s v="Part/Full BOE received &amp; Unpaid"/>
    <s v="Unpaid"/>
    <s v="Received"/>
    <m/>
    <s v="Open"/>
    <x v="0"/>
    <n v="43183823893"/>
    <n v="13065000"/>
    <d v="2026-05-05T00:00:00"/>
    <x v="34"/>
    <m/>
    <m/>
    <s v="SOLAR CELLS"/>
  </r>
  <r>
    <m/>
    <n v="5600000433"/>
    <s v="0692626IM0Y00111"/>
    <d v="2026-05-01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3631.07"/>
    <n v="-3631.07"/>
    <n v="348582.72000000003"/>
    <m/>
    <d v="2026-06-17T00:00:00"/>
    <x v="1"/>
    <m/>
    <m/>
    <s v="June26"/>
    <s v="BOE not received"/>
    <s v="Cancelled"/>
    <s v="Cancelled"/>
    <m/>
    <s v="Open"/>
    <x v="0"/>
    <m/>
    <m/>
    <d v="2026-05-05T00:00:00"/>
    <x v="34"/>
    <m/>
    <m/>
    <s v="SOLAR CELLS"/>
  </r>
  <r>
    <n v="309"/>
    <n v="5600000434"/>
    <s v="0692626IM0Y00110"/>
    <d v="2026-05-01T00:00:00"/>
    <x v="0"/>
    <n v="0.1"/>
    <s v="ARVEE INTERNATIONAL PTE LTD"/>
    <s v="USD"/>
    <n v="2716038.86"/>
    <n v="0"/>
    <n v="2716038.86"/>
    <n v="96"/>
    <n v="260739730.56"/>
    <s v="Raw Material"/>
    <n v="55"/>
    <x v="0"/>
    <s v="HKJTGREW20260312-2"/>
    <d v="2026-05-11T00:00:00"/>
    <d v="2026-05-13T00:00:00"/>
    <d v="2026-04-15T00:00:00"/>
    <n v="2026462.73"/>
    <n v="689576.12999999989"/>
    <n v="194540422.07999998"/>
    <m/>
    <d v="2026-06-09T00:00:00"/>
    <x v="1"/>
    <m/>
    <m/>
    <s v="June26"/>
    <s v="Part/Full BOE received &amp; Unpaid"/>
    <s v="Unpaid"/>
    <s v="Received"/>
    <m/>
    <s v="Open"/>
    <x v="0"/>
    <n v="42461936258"/>
    <n v="1268000"/>
    <d v="2026-05-05T00:00:00"/>
    <x v="34"/>
    <m/>
    <m/>
    <s v="SOLAR CELLS"/>
  </r>
  <r>
    <m/>
    <n v="5600000434"/>
    <s v="0692626IM0Y00110"/>
    <d v="2026-05-01T00:00:00"/>
    <x v="0"/>
    <n v="0.1"/>
    <s v="ARVEE INTERNATIONAL PTE LTD"/>
    <s v="USD"/>
    <n v="0"/>
    <n v="0"/>
    <n v="0"/>
    <n v="96"/>
    <n v="0"/>
    <s v="Raw Material"/>
    <n v="55"/>
    <x v="0"/>
    <s v="HKJTGREW20260324-1"/>
    <d v="2026-05-15T00:00:00"/>
    <d v="2026-05-16T00:00:00"/>
    <d v="2026-04-21T00:00:00"/>
    <n v="677484.99"/>
    <n v="-677484.99"/>
    <n v="65038559.039999999"/>
    <m/>
    <d v="2026-06-15T00:00:00"/>
    <x v="16"/>
    <n v="260739730.56"/>
    <m/>
    <s v="June26"/>
    <s v="Part/Full BOE received &amp; Unpaid"/>
    <s v="Unpaid"/>
    <s v="Received"/>
    <m/>
    <s v="Open"/>
    <x v="0"/>
    <n v="44028685576"/>
    <n v="2652000"/>
    <d v="2026-05-05T00:00:00"/>
    <x v="34"/>
    <m/>
    <m/>
    <s v="SOLAR CELLS"/>
  </r>
  <r>
    <m/>
    <n v="5600000434"/>
    <s v="0692626IM0Y00110"/>
    <d v="2026-05-01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12091.14"/>
    <n v="-12091.14"/>
    <n v="1160749.44"/>
    <m/>
    <d v="2026-06-15T00:00:00"/>
    <x v="1"/>
    <m/>
    <m/>
    <s v="June26"/>
    <s v="BOE not received"/>
    <s v="Cancelled"/>
    <s v="Cancelled"/>
    <m/>
    <s v="Open"/>
    <x v="0"/>
    <n v="44857149620"/>
    <n v="22190000"/>
    <d v="2026-05-05T00:00:00"/>
    <x v="34"/>
    <m/>
    <m/>
    <s v="SOLAR CELLS"/>
  </r>
  <r>
    <n v="310"/>
    <n v="5600000431"/>
    <s v="0692626IM0Y00112"/>
    <d v="2026-05-02T00:00:00"/>
    <x v="0"/>
    <n v="0.1"/>
    <s v="ARVEE INTERNATIONAL PTE LTD"/>
    <s v="USD"/>
    <n v="3123679.2"/>
    <n v="0"/>
    <n v="3123679.2"/>
    <n v="96"/>
    <n v="299873203.20000005"/>
    <s v="Raw Material"/>
    <n v="55"/>
    <x v="0"/>
    <s v="HKJTGREW20260311-1"/>
    <d v="2026-05-08T00:00:00"/>
    <d v="2026-05-12T00:00:00"/>
    <d v="2026-04-14T00:00:00"/>
    <n v="1247949.3600000001"/>
    <n v="1875729.84"/>
    <n v="119803138.56"/>
    <m/>
    <d v="2026-06-08T00:00:00"/>
    <x v="1"/>
    <m/>
    <m/>
    <s v="June26"/>
    <s v="Part/Full BOE received &amp; Unpaid"/>
    <s v="Unpaid"/>
    <s v="Received"/>
    <m/>
    <s v="Open"/>
    <x v="5"/>
    <n v="44707855866"/>
    <n v="20000000"/>
    <d v="2026-05-05T00:00:00"/>
    <x v="34"/>
    <m/>
    <m/>
    <s v="SOLAR CELLS"/>
  </r>
  <r>
    <m/>
    <n v="5600000431"/>
    <s v="0692626IM0Y00112"/>
    <d v="2026-05-02T00:00:00"/>
    <x v="0"/>
    <n v="0.1"/>
    <s v="ARVEE INTERNATIONAL PTE LTD"/>
    <s v="USD"/>
    <n v="0"/>
    <n v="0"/>
    <n v="0"/>
    <n v="96"/>
    <n v="0"/>
    <s v="Raw Material"/>
    <n v="55"/>
    <x v="0"/>
    <s v="HKJTGREW20260311-4"/>
    <d v="2026-05-08T00:00:00"/>
    <d v="2026-05-12T00:00:00"/>
    <d v="2026-04-15T00:00:00"/>
    <n v="1875079.27"/>
    <n v="-1875079.27"/>
    <n v="180007609.92000002"/>
    <m/>
    <d v="2026-06-12T00:00:00"/>
    <x v="20"/>
    <n v="299873203.20000005"/>
    <m/>
    <s v="June26"/>
    <s v="Part/Full BOE received &amp; Unpaid"/>
    <s v="Unpaid"/>
    <s v="Received"/>
    <m/>
    <s v="Open"/>
    <x v="0"/>
    <n v="42461936258"/>
    <n v="25000"/>
    <d v="2026-05-05T00:00:00"/>
    <x v="34"/>
    <m/>
    <m/>
    <s v="SOLAR CELLS"/>
  </r>
  <r>
    <m/>
    <n v="5600000431"/>
    <s v="0692626IM0Y00112"/>
    <d v="2026-05-02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650.57000000000005"/>
    <n v="-650.57000000000005"/>
    <n v="62454.720000000001"/>
    <m/>
    <d v="2026-06-12T00:00:00"/>
    <x v="1"/>
    <n v="0"/>
    <m/>
    <s v="June26"/>
    <s v="BOE not received"/>
    <s v="Cancelled"/>
    <s v="Cancelled"/>
    <m/>
    <s v="Open"/>
    <x v="0"/>
    <n v="44321009525"/>
    <n v="10000000"/>
    <d v="2026-05-05T00:00:00"/>
    <x v="34"/>
    <m/>
    <m/>
    <s v="SOLAR CELLS"/>
  </r>
  <r>
    <n v="311"/>
    <n v="5600000476"/>
    <s v="0692626IM0Y00116"/>
    <d v="2026-05-11T00:00:00"/>
    <x v="0"/>
    <n v="0.1"/>
    <s v="SHANGHAI XINZHUOZHUANG PRINTING TECHNOLOGY CO LTD"/>
    <s v="USD"/>
    <n v="66084"/>
    <n v="0"/>
    <n v="66084"/>
    <n v="96"/>
    <n v="6344064"/>
    <s v="Raw Material"/>
    <n v="30"/>
    <x v="0"/>
    <s v="GREW-XZZ2026051201"/>
    <d v="2026-06-04T00:00:00"/>
    <m/>
    <d v="2026-05-24T00:00:00"/>
    <n v="66084"/>
    <n v="0"/>
    <n v="6344064"/>
    <m/>
    <d v="2026-06-23T00:00:00"/>
    <x v="45"/>
    <n v="6344064"/>
    <m/>
    <s v="June26"/>
    <s v="Part/Full BOE received &amp; Unpaid"/>
    <s v="Unpaid"/>
    <s v="Received"/>
    <m/>
    <s v="Open"/>
    <x v="0"/>
    <n v="43607525170"/>
    <n v="640000"/>
    <d v="2026-06-10T00:00:00"/>
    <x v="32"/>
    <m/>
    <m/>
    <s v="BUSBAR AND FINGER"/>
  </r>
  <r>
    <n v="312"/>
    <n v="5600000477"/>
    <s v="0692626IM0Y00117"/>
    <d v="2026-05-15T00:00:00"/>
    <x v="0"/>
    <n v="0.1"/>
    <s v="FUSION MATERIAL TECHNOLOGY LTD"/>
    <s v="USD"/>
    <n v="559435"/>
    <n v="0"/>
    <n v="559435"/>
    <n v="96"/>
    <n v="53705760"/>
    <s v="Raw Material"/>
    <n v="30"/>
    <x v="2"/>
    <m/>
    <m/>
    <m/>
    <d v="2026-06-15T00:00:00"/>
    <n v="559435"/>
    <n v="0"/>
    <n v="53705760"/>
    <m/>
    <d v="2026-07-15T00:00:00"/>
    <x v="46"/>
    <n v="53705760"/>
    <m/>
    <s v="July26"/>
    <s v="BOE not received"/>
    <s v="Unpaid"/>
    <s v="Not Received"/>
    <m/>
    <s v="Open"/>
    <x v="0"/>
    <n v="44803304283"/>
    <n v="5380000"/>
    <d v="2026-06-15T00:00:00"/>
    <x v="35"/>
    <m/>
    <m/>
    <s v="SILVER PASTE"/>
  </r>
  <r>
    <n v="313"/>
    <n v="5600000467"/>
    <s v="261001FLCU00082"/>
    <d v="2026-05-15T00:00:00"/>
    <x v="1"/>
    <n v="0.1"/>
    <s v="LONGI HK TRADING LIMITED"/>
    <s v="USD"/>
    <n v="235200"/>
    <n v="0"/>
    <n v="235200"/>
    <n v="96"/>
    <n v="22579200"/>
    <s v="Raw Material"/>
    <n v="60"/>
    <x v="2"/>
    <m/>
    <m/>
    <m/>
    <d v="2026-06-15T00:00:00"/>
    <n v="235200"/>
    <n v="0"/>
    <n v="22579200"/>
    <m/>
    <d v="2026-08-14T00:00:00"/>
    <x v="47"/>
    <n v="22579200"/>
    <m/>
    <s v="August26"/>
    <s v="BOE not received"/>
    <s v="Unpaid"/>
    <s v="Not Received"/>
    <m/>
    <s v="Open"/>
    <x v="0"/>
    <m/>
    <m/>
    <d v="2026-06-15T00:00:00"/>
    <x v="35"/>
    <m/>
    <m/>
    <s v="CLASS N-TYPE SIDE LENGTH 210MM"/>
  </r>
  <r>
    <n v="314"/>
    <n v="1400000931"/>
    <s v="261001FLCU00083"/>
    <d v="2026-05-15T00:00:00"/>
    <x v="1"/>
    <n v="0.1"/>
    <s v="SHANGHAI YANG ER IMPORT AND EXPORT CO.LTD"/>
    <s v="USD"/>
    <n v="66880"/>
    <n v="0"/>
    <n v="66880"/>
    <n v="96"/>
    <n v="6420480"/>
    <s v="Spares"/>
    <n v="60"/>
    <x v="2"/>
    <m/>
    <m/>
    <m/>
    <d v="2026-06-20T00:00:00"/>
    <n v="66880"/>
    <n v="0"/>
    <n v="6420480"/>
    <m/>
    <d v="2026-08-19T00:00:00"/>
    <x v="48"/>
    <n v="6420480"/>
    <m/>
    <s v="August26"/>
    <s v="BOE not received"/>
    <s v="Unpaid"/>
    <s v="Not Received"/>
    <m/>
    <s v="Open"/>
    <x v="0"/>
    <m/>
    <m/>
    <d v="2026-06-20T00:00:00"/>
    <x v="36"/>
    <m/>
    <m/>
    <s v="LAMINATE FRAME"/>
  </r>
  <r>
    <n v="315"/>
    <n v="5600000478"/>
    <s v="0692626IM0Y00127"/>
    <d v="2026-05-30T00:00:00"/>
    <x v="0"/>
    <n v="0.1"/>
    <s v="ISILVER MATERIALS (MALAYSIA) SDN BHD"/>
    <s v="USD"/>
    <n v="559718.25"/>
    <n v="0"/>
    <n v="559718.25"/>
    <n v="96"/>
    <n v="53732952"/>
    <s v="Spares"/>
    <n v="30"/>
    <x v="2"/>
    <m/>
    <m/>
    <m/>
    <d v="2026-06-30T00:00:00"/>
    <n v="559718.25"/>
    <n v="0"/>
    <n v="53732952"/>
    <m/>
    <d v="2026-07-30T00:00:00"/>
    <x v="43"/>
    <n v="53732952"/>
    <m/>
    <s v="July26"/>
    <s v="BOE not received"/>
    <s v="Unpaid"/>
    <s v="Not Received"/>
    <m/>
    <s v="Open"/>
    <x v="0"/>
    <n v="43707298765"/>
    <n v="5370000"/>
    <d v="2026-06-30T00:00:00"/>
    <x v="37"/>
    <m/>
    <m/>
    <s v="SILVER PASTE"/>
  </r>
  <r>
    <n v="316"/>
    <n v="5600000469"/>
    <s v="0692626IM0Y00126"/>
    <d v="2026-05-30T00:00:00"/>
    <x v="0"/>
    <n v="0.1"/>
    <s v="ARVEE INTERNATIONAL PTE LTD"/>
    <s v="USD"/>
    <n v="6907048.4299999997"/>
    <n v="0"/>
    <n v="6907048.4299999997"/>
    <n v="96"/>
    <n v="663076649.27999997"/>
    <s v="Raw Material"/>
    <n v="55"/>
    <x v="2"/>
    <m/>
    <m/>
    <m/>
    <d v="2026-06-01T00:00:00"/>
    <n v="6907048.4299999997"/>
    <n v="0"/>
    <n v="663076649.27999997"/>
    <m/>
    <d v="2026-07-26T00:00:00"/>
    <x v="49"/>
    <n v="663076649.27999997"/>
    <m/>
    <s v="July26"/>
    <s v="BOE not received"/>
    <s v="Unpaid"/>
    <s v="Not Received"/>
    <m/>
    <s v="Open"/>
    <x v="0"/>
    <n v="43607525170"/>
    <n v="35150000"/>
    <d v="2026-06-01T00:00:00"/>
    <x v="38"/>
    <m/>
    <m/>
    <s v="SOLAR CELLS"/>
  </r>
  <r>
    <m/>
    <n v="5600000469"/>
    <s v="0692626IM0Y00126"/>
    <d v="2026-05-30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0"/>
    <n v="0"/>
    <n v="0"/>
    <m/>
    <m/>
    <x v="1"/>
    <n v="0"/>
    <m/>
    <s v="-"/>
    <s v="BOE not received"/>
    <s v="Cancelled"/>
    <s v="Cancelled"/>
    <m/>
    <s v="Open"/>
    <x v="0"/>
    <n v="43792161126"/>
    <n v="14380000"/>
    <d v="2026-06-01T00:00:00"/>
    <x v="38"/>
    <m/>
    <m/>
    <s v="SOLAR CELLS"/>
  </r>
  <r>
    <m/>
    <n v="5600000469"/>
    <s v="0692626IM0Y00126"/>
    <d v="2026-05-30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0"/>
    <n v="0"/>
    <n v="0"/>
    <m/>
    <m/>
    <x v="1"/>
    <n v="0"/>
    <m/>
    <s v="-"/>
    <s v="BOE not received"/>
    <s v="Cancelled"/>
    <s v="Cancelled"/>
    <m/>
    <s v="Open"/>
    <x v="0"/>
    <n v="43630359430"/>
    <n v="16730000"/>
    <d v="2026-06-01T00:00:00"/>
    <x v="38"/>
    <m/>
    <m/>
    <s v="SOLAR CELLS"/>
  </r>
  <r>
    <n v="317"/>
    <n v="5600000486"/>
    <s v="0692626IM0Y00129"/>
    <d v="2026-06-01T00:00:00"/>
    <x v="0"/>
    <n v="0.1"/>
    <s v="YIBIN YINGFA DEYAO TECHNOLOGY CO. LTD"/>
    <s v="USD"/>
    <n v="1279872"/>
    <n v="0"/>
    <n v="1279872"/>
    <n v="96"/>
    <n v="122867712"/>
    <s v="Raw Material"/>
    <n v="60"/>
    <x v="2"/>
    <m/>
    <m/>
    <m/>
    <d v="2026-07-15T00:00:00"/>
    <n v="1279872"/>
    <n v="0"/>
    <n v="122867712"/>
    <m/>
    <d v="2026-09-13T00:00:00"/>
    <x v="50"/>
    <n v="122867712"/>
    <m/>
    <s v="September26"/>
    <s v="BOE not received"/>
    <s v="Unpaid"/>
    <s v="Not Received"/>
    <m/>
    <s v="Open"/>
    <x v="0"/>
    <n v="42815340031"/>
    <n v="12280000"/>
    <d v="2026-07-15T00:00:00"/>
    <x v="39"/>
    <m/>
    <m/>
    <s v="WAFFER"/>
  </r>
  <r>
    <m/>
    <m/>
    <m/>
    <m/>
    <x v="3"/>
    <m/>
    <m/>
    <m/>
    <m/>
    <m/>
    <m/>
    <m/>
    <m/>
    <m/>
    <m/>
    <x v="4"/>
    <m/>
    <m/>
    <m/>
    <m/>
    <m/>
    <m/>
    <m/>
    <m/>
    <m/>
    <x v="1"/>
    <m/>
    <m/>
    <m/>
    <m/>
    <m/>
    <m/>
    <m/>
    <m/>
    <x v="0"/>
    <m/>
    <m/>
    <m/>
    <x v="4"/>
    <m/>
    <m/>
    <m/>
  </r>
  <r>
    <m/>
    <m/>
    <m/>
    <m/>
    <x v="3"/>
    <m/>
    <m/>
    <m/>
    <m/>
    <m/>
    <m/>
    <m/>
    <m/>
    <m/>
    <m/>
    <x v="4"/>
    <m/>
    <m/>
    <m/>
    <m/>
    <m/>
    <m/>
    <m/>
    <m/>
    <m/>
    <x v="1"/>
    <m/>
    <m/>
    <m/>
    <m/>
    <m/>
    <m/>
    <m/>
    <m/>
    <x v="0"/>
    <m/>
    <m/>
    <m/>
    <x v="4"/>
    <m/>
    <m/>
    <m/>
  </r>
  <r>
    <m/>
    <m/>
    <m/>
    <m/>
    <x v="3"/>
    <m/>
    <m/>
    <m/>
    <n v="138476576.21000001"/>
    <m/>
    <n v="138018444.514"/>
    <m/>
    <n v="13167005526.126074"/>
    <m/>
    <m/>
    <x v="4"/>
    <m/>
    <m/>
    <m/>
    <m/>
    <n v="138018462.17999998"/>
    <n v="-17.665999999437531"/>
    <n v="12998804418.14818"/>
    <n v="24824.24720004946"/>
    <m/>
    <x v="1"/>
    <m/>
    <m/>
    <m/>
    <m/>
    <m/>
    <m/>
    <m/>
    <m/>
    <x v="0"/>
    <m/>
    <n v="826867537.29999995"/>
    <m/>
    <x v="4"/>
    <m/>
    <m/>
    <m/>
  </r>
  <r>
    <m/>
    <m/>
    <m/>
    <m/>
    <x v="3"/>
    <m/>
    <m/>
    <m/>
    <m/>
    <m/>
    <m/>
    <m/>
    <m/>
    <m/>
    <m/>
    <x v="4"/>
    <m/>
    <m/>
    <m/>
    <m/>
    <m/>
    <m/>
    <m/>
    <m/>
    <m/>
    <x v="1"/>
    <m/>
    <m/>
    <m/>
    <m/>
    <m/>
    <m/>
    <m/>
    <m/>
    <x v="0"/>
    <m/>
    <m/>
    <m/>
    <x v="4"/>
    <m/>
    <m/>
    <m/>
  </r>
  <r>
    <m/>
    <m/>
    <m/>
    <m/>
    <x v="3"/>
    <m/>
    <m/>
    <m/>
    <m/>
    <m/>
    <m/>
    <m/>
    <m/>
    <m/>
    <m/>
    <x v="4"/>
    <m/>
    <m/>
    <m/>
    <m/>
    <m/>
    <m/>
    <m/>
    <m/>
    <m/>
    <x v="1"/>
    <m/>
    <m/>
    <m/>
    <m/>
    <m/>
    <m/>
    <m/>
    <m/>
    <x v="0"/>
    <m/>
    <m/>
    <m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111D60-A2B1-45B6-8B92-3A9C61FAED92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">
  <location ref="A5:K35" firstHeaderRow="1" firstDataRow="3" firstDataCol="1" rowPageCount="1" colPageCount="1"/>
  <pivotFields count="45">
    <pivotField subtotalTop="0" showAll="0" insertBlankRow="1" defaultSubtotal="0"/>
    <pivotField subtotalTop="0" showAll="0" insertBlankRow="1" defaultSubtotal="0"/>
    <pivotField subtotalTop="0" showAll="0" insertBlankRow="1" defaultSubtotal="0"/>
    <pivotField numFmtId="14" subtotalTop="0" showAll="0" insertBlankRow="1" defaultSubtotal="0"/>
    <pivotField axis="axisCol" subtotalTop="0" showAll="0" insertBlankRow="1" defaultSubtotal="0">
      <items count="5">
        <item x="1"/>
        <item x="0"/>
        <item x="2"/>
        <item x="3"/>
        <item m="1" x="4"/>
      </items>
    </pivotField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axis="axisCol" subtotalTop="0" showAll="0" insertBlankRow="1" defaultSubtotal="0">
      <items count="6">
        <item x="1"/>
        <item x="2"/>
        <item x="0"/>
        <item x="3"/>
        <item h="1" x="4"/>
        <item h="1" m="1" x="5"/>
      </items>
    </pivotField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axis="axisRow" subtotalTop="0" showAll="0" insertBlankRow="1" sortType="ascending" defaultSubtotal="0">
      <items count="58">
        <item h="1" x="14"/>
        <item h="1" x="4"/>
        <item h="1" x="6"/>
        <item h="1" x="3"/>
        <item h="1" x="2"/>
        <item h="1" x="0"/>
        <item h="1" x="30"/>
        <item h="1" x="21"/>
        <item h="1" x="17"/>
        <item h="1" x="8"/>
        <item h="1" x="13"/>
        <item h="1" x="5"/>
        <item h="1" x="18"/>
        <item h="1" x="22"/>
        <item h="1" x="11"/>
        <item h="1" x="31"/>
        <item h="1" x="28"/>
        <item h="1" x="23"/>
        <item h="1" x="9"/>
        <item h="1" x="37"/>
        <item h="1" x="29"/>
        <item h="1" x="34"/>
        <item h="1" x="7"/>
        <item x="24"/>
        <item x="12"/>
        <item x="19"/>
        <item x="40"/>
        <item x="25"/>
        <item x="10"/>
        <item x="45"/>
        <item x="20"/>
        <item m="1" x="57"/>
        <item x="16"/>
        <item x="36"/>
        <item x="15"/>
        <item x="26"/>
        <item m="1" x="53"/>
        <item x="27"/>
        <item x="46"/>
        <item m="1" x="55"/>
        <item x="32"/>
        <item m="1" x="50"/>
        <item x="38"/>
        <item m="1" x="56"/>
        <item x="33"/>
        <item x="39"/>
        <item x="35"/>
        <item m="1" x="54"/>
        <item m="1" x="51"/>
        <item x="43"/>
        <item x="41"/>
        <item x="47"/>
        <item x="42"/>
        <item m="1" x="52"/>
        <item x="44"/>
        <item x="48"/>
        <item x="49"/>
        <item x="1"/>
      </items>
    </pivotField>
    <pivotField dataField="1" subtotalTop="0" showAll="0" insertBlankRow="1" defaultSubtotal="0"/>
    <pivotField subtotalTop="0" showAll="0" insertBlankRow="1" defaultSubtotal="0"/>
    <pivotField subtotalTop="0" multipleItemSelectionAllowed="1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axis="axisPage" subtotalTop="0" multipleItemSelectionAllowed="1" showAll="0" insertBlankRow="1" defaultSubtotal="0">
      <items count="6">
        <item h="1" x="4"/>
        <item m="1" x="5"/>
        <item h="1" x="3"/>
        <item x="0"/>
        <item x="1"/>
        <item x="2"/>
      </items>
    </pivotField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>
      <items count="37">
        <item x="2"/>
        <item x="3"/>
        <item x="6"/>
        <item x="5"/>
        <item x="0"/>
        <item x="7"/>
        <item x="8"/>
        <item x="21"/>
        <item x="12"/>
        <item x="11"/>
        <item x="19"/>
        <item x="4"/>
        <item x="1"/>
        <item x="9"/>
        <item x="24"/>
        <item x="13"/>
        <item x="15"/>
        <item x="16"/>
        <item x="17"/>
        <item x="22"/>
        <item x="25"/>
        <item x="27"/>
        <item x="28"/>
        <item x="29"/>
        <item x="14"/>
        <item x="18"/>
        <item x="30"/>
        <item x="20"/>
        <item x="31"/>
        <item x="23"/>
        <item x="10"/>
        <item x="32"/>
        <item x="33"/>
        <item x="26"/>
        <item x="34"/>
        <item x="35"/>
        <item x="36"/>
      </items>
    </pivotField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ubtotalTop="0" showAll="0" insertBlankRow="1" defaultSubtotal="0">
      <items count="6">
        <item x="1"/>
        <item x="2"/>
        <item x="3"/>
        <item x="4"/>
        <item x="0"/>
        <item x="5"/>
      </items>
    </pivotField>
    <pivotField subtotalTop="0" showAll="0" insertBlankRow="1" defaultSubtotal="0">
      <items count="3">
        <item x="1"/>
        <item x="0"/>
        <item x="2"/>
      </items>
    </pivotField>
  </pivotFields>
  <rowFields count="1">
    <field x="25"/>
  </rowFields>
  <rowItems count="28"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2"/>
    </i>
    <i>
      <x v="33"/>
    </i>
    <i>
      <x v="34"/>
    </i>
    <i>
      <x v="35"/>
    </i>
    <i>
      <x v="37"/>
    </i>
    <i>
      <x v="38"/>
    </i>
    <i>
      <x v="40"/>
    </i>
    <i>
      <x v="42"/>
    </i>
    <i>
      <x v="44"/>
    </i>
    <i>
      <x v="45"/>
    </i>
    <i>
      <x v="46"/>
    </i>
    <i>
      <x v="49"/>
    </i>
    <i>
      <x v="50"/>
    </i>
    <i>
      <x v="51"/>
    </i>
    <i>
      <x v="52"/>
    </i>
    <i>
      <x v="54"/>
    </i>
    <i>
      <x v="55"/>
    </i>
    <i>
      <x v="56"/>
    </i>
    <i>
      <x v="57"/>
    </i>
    <i t="grand">
      <x/>
    </i>
  </rowItems>
  <colFields count="2">
    <field x="15"/>
    <field x="4"/>
  </colFields>
  <colItems count="10">
    <i>
      <x/>
      <x/>
    </i>
    <i r="1">
      <x v="1"/>
    </i>
    <i>
      <x v="1"/>
      <x/>
    </i>
    <i r="1">
      <x v="1"/>
    </i>
    <i>
      <x v="2"/>
      <x/>
    </i>
    <i r="1">
      <x v="1"/>
    </i>
    <i r="1">
      <x v="2"/>
    </i>
    <i>
      <x v="3"/>
      <x/>
    </i>
    <i r="1">
      <x v="1"/>
    </i>
    <i t="grand">
      <x/>
    </i>
  </colItems>
  <pageFields count="1">
    <pageField fld="34" hier="-1"/>
  </pageFields>
  <dataFields count="1">
    <dataField name="Sum of LC Limit Available" fld="26" baseField="0" baseItem="0" numFmtId="165"/>
  </dataFields>
  <formats count="17">
    <format dxfId="59">
      <pivotArea outline="0" collapsedLevelsAreSubtotals="1" fieldPosition="0"/>
    </format>
    <format dxfId="58">
      <pivotArea dataOnly="0" labelOnly="1" outline="0" axis="axisValues" fieldPosition="0"/>
    </format>
    <format dxfId="57">
      <pivotArea outline="0" collapsedLevelsAreSubtotals="1" fieldPosition="0"/>
    </format>
    <format dxfId="56">
      <pivotArea type="origin" dataOnly="0" labelOnly="1" outline="0" offset="A3:A4" fieldPosition="0"/>
    </format>
    <format dxfId="55">
      <pivotArea field="25" type="button" dataOnly="0" labelOnly="1" outline="0" axis="axisRow" fieldPosition="0"/>
    </format>
    <format dxfId="54">
      <pivotArea dataOnly="0" labelOnly="1" fieldPosition="0">
        <references count="1">
          <reference field="25" count="4">
            <x v="2"/>
            <x v="4"/>
            <x v="9"/>
            <x v="10"/>
          </reference>
        </references>
      </pivotArea>
    </format>
    <format dxfId="53">
      <pivotArea dataOnly="0" labelOnly="1" grandRow="1" outline="0" fieldPosition="0"/>
    </format>
    <format dxfId="52">
      <pivotArea dataOnly="0" labelOnly="1" grandCol="1" outline="0" offset="IV2:IV256" fieldPosition="0"/>
    </format>
    <format dxfId="51">
      <pivotArea dataOnly="0" labelOnly="1" fieldPosition="0">
        <references count="2">
          <reference field="4" count="0"/>
          <reference field="15" count="1" selected="0">
            <x v="1"/>
          </reference>
        </references>
      </pivotArea>
    </format>
    <format dxfId="50">
      <pivotArea dataOnly="0" labelOnly="1" fieldPosition="0">
        <references count="2">
          <reference field="4" count="1">
            <x v="0"/>
          </reference>
          <reference field="15" count="1" selected="0">
            <x v="1"/>
          </reference>
        </references>
      </pivotArea>
    </format>
    <format dxfId="49">
      <pivotArea dataOnly="0" labelOnly="1" fieldPosition="0">
        <references count="1">
          <reference field="15" count="1">
            <x v="1"/>
          </reference>
        </references>
      </pivotArea>
    </format>
    <format dxfId="48">
      <pivotArea dataOnly="0" labelOnly="1" fieldPosition="0">
        <references count="1">
          <reference field="15" count="1">
            <x v="2"/>
          </reference>
        </references>
      </pivotArea>
    </format>
    <format dxfId="47">
      <pivotArea type="origin" dataOnly="0" labelOnly="1" outline="0" offset="A2" fieldPosition="0"/>
    </format>
    <format dxfId="46">
      <pivotArea dataOnly="0" labelOnly="1" fieldPosition="0">
        <references count="1">
          <reference field="15" count="1">
            <x v="1"/>
          </reference>
        </references>
      </pivotArea>
    </format>
    <format dxfId="45">
      <pivotArea dataOnly="0" labelOnly="1" fieldPosition="0">
        <references count="1">
          <reference field="15" count="1">
            <x v="1"/>
          </reference>
        </references>
      </pivotArea>
    </format>
    <format dxfId="44">
      <pivotArea dataOnly="0" labelOnly="1" fieldPosition="0">
        <references count="1">
          <reference field="15" count="1">
            <x v="2"/>
          </reference>
        </references>
      </pivotArea>
    </format>
    <format dxfId="43">
      <pivotArea dataOnly="0" labelOnly="1" fieldPosition="0">
        <references count="1">
          <reference field="15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 InsertBlankRowDefault="1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1157A-6FB3-4F15-AFF0-740108D33C4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">
  <location ref="A174:J198" firstHeaderRow="1" firstDataRow="3" firstDataCol="1" rowPageCount="1" colPageCount="1"/>
  <pivotFields count="45">
    <pivotField subtotalTop="0" showAll="0" insertBlankRow="1" defaultSubtotal="0"/>
    <pivotField subtotalTop="0" showAll="0" insertBlankRow="1" defaultSubtotal="0"/>
    <pivotField subtotalTop="0" showAll="0" insertBlankRow="1" defaultSubtotal="0"/>
    <pivotField numFmtId="14" subtotalTop="0" showAll="0" insertBlankRow="1" defaultSubtotal="0"/>
    <pivotField axis="axisCol" subtotalTop="0" showAll="0" insertBlankRow="1" defaultSubtotal="0">
      <items count="4">
        <item x="0"/>
        <item x="1"/>
        <item x="2"/>
        <item x="3"/>
      </items>
    </pivotField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axis="axisCol" subtotalTop="0" showAll="0" insertBlankRow="1" defaultSubtotal="0">
      <items count="5">
        <item x="1"/>
        <item x="2"/>
        <item x="0"/>
        <item x="3"/>
        <item h="1" x="4"/>
      </items>
    </pivotField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axis="axisRow" subtotalTop="0" showAll="0" insertBlankRow="1" sortType="ascending" defaultSubtotal="0">
      <items count="52">
        <item h="1" x="14"/>
        <item h="1" x="4"/>
        <item h="1" x="6"/>
        <item h="1" x="3"/>
        <item h="1" x="2"/>
        <item h="1" x="0"/>
        <item h="1" x="29"/>
        <item h="1" x="21"/>
        <item h="1" x="17"/>
        <item h="1" x="8"/>
        <item h="1" x="13"/>
        <item h="1" x="5"/>
        <item h="1" x="18"/>
        <item h="1" x="22"/>
        <item h="1" x="11"/>
        <item h="1" x="30"/>
        <item h="1" x="27"/>
        <item h="1" x="23"/>
        <item h="1" x="9"/>
        <item h="1" x="36"/>
        <item h="1" x="28"/>
        <item h="1" x="33"/>
        <item h="1" x="7"/>
        <item h="1" x="24"/>
        <item h="1" x="12"/>
        <item h="1" x="19"/>
        <item x="39"/>
        <item x="25"/>
        <item x="10"/>
        <item x="44"/>
        <item x="20"/>
        <item x="16"/>
        <item x="35"/>
        <item x="15"/>
        <item x="26"/>
        <item x="45"/>
        <item x="31"/>
        <item x="37"/>
        <item x="32"/>
        <item x="38"/>
        <item x="34"/>
        <item m="1" x="51"/>
        <item h="1" x="42"/>
        <item x="40"/>
        <item x="46"/>
        <item x="41"/>
        <item h="1" x="49"/>
        <item x="43"/>
        <item x="47"/>
        <item x="48"/>
        <item x="50"/>
        <item x="1"/>
      </items>
    </pivotField>
    <pivotField dataField="1" subtotalTop="0" showAll="0" insertBlankRow="1" defaultSubtotal="0"/>
    <pivotField subtotalTop="0" showAll="0" insertBlankRow="1" defaultSubtotal="0"/>
    <pivotField subtotalTop="0" multipleItemSelectionAllowed="1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axis="axisPage" subtotalTop="0" multipleItemSelectionAllowed="1" showAll="0" insertBlankRow="1" defaultSubtotal="0">
      <items count="7">
        <item x="3"/>
        <item h="1" x="2"/>
        <item x="0"/>
        <item m="1" x="6"/>
        <item x="1"/>
        <item x="5"/>
        <item h="1" x="4"/>
      </items>
    </pivotField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>
      <items count="40">
        <item x="2"/>
        <item x="3"/>
        <item x="6"/>
        <item x="5"/>
        <item x="0"/>
        <item x="7"/>
        <item x="8"/>
        <item x="21"/>
        <item x="12"/>
        <item x="11"/>
        <item x="19"/>
        <item x="4"/>
        <item x="1"/>
        <item x="9"/>
        <item x="24"/>
        <item x="13"/>
        <item x="15"/>
        <item x="16"/>
        <item x="17"/>
        <item x="22"/>
        <item x="25"/>
        <item x="27"/>
        <item x="28"/>
        <item x="29"/>
        <item x="14"/>
        <item x="18"/>
        <item x="30"/>
        <item x="20"/>
        <item x="31"/>
        <item x="23"/>
        <item x="10"/>
        <item x="33"/>
        <item x="34"/>
        <item x="26"/>
        <item x="32"/>
        <item x="35"/>
        <item x="36"/>
        <item x="37"/>
        <item x="38"/>
        <item x="39"/>
      </items>
    </pivotField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ubtotalTop="0" showAll="0" insertBlankRow="1" defaultSubtotal="0">
      <items count="6">
        <item x="1"/>
        <item x="2"/>
        <item x="3"/>
        <item x="4"/>
        <item x="0"/>
        <item x="5"/>
      </items>
    </pivotField>
    <pivotField subtotalTop="0" showAll="0" insertBlankRow="1" defaultSubtotal="0">
      <items count="3">
        <item x="1"/>
        <item x="0"/>
        <item x="2"/>
      </items>
    </pivotField>
  </pivotFields>
  <rowFields count="1">
    <field x="25"/>
  </rowFields>
  <rowItems count="22">
    <i>
      <x v="26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7"/>
    </i>
    <i>
      <x v="38"/>
    </i>
    <i>
      <x v="39"/>
    </i>
    <i>
      <x v="40"/>
    </i>
    <i>
      <x v="43"/>
    </i>
    <i>
      <x v="44"/>
    </i>
    <i>
      <x v="45"/>
    </i>
    <i>
      <x v="47"/>
    </i>
    <i>
      <x v="48"/>
    </i>
    <i>
      <x v="49"/>
    </i>
    <i>
      <x v="50"/>
    </i>
    <i>
      <x v="51"/>
    </i>
    <i t="grand">
      <x/>
    </i>
  </rowItems>
  <colFields count="2">
    <field x="15"/>
    <field x="4"/>
  </colFields>
  <colItems count="9">
    <i>
      <x/>
      <x/>
    </i>
    <i r="1">
      <x v="1"/>
    </i>
    <i>
      <x v="1"/>
      <x/>
    </i>
    <i r="1">
      <x v="1"/>
    </i>
    <i>
      <x v="2"/>
      <x/>
    </i>
    <i r="1">
      <x v="1"/>
    </i>
    <i r="1">
      <x v="2"/>
    </i>
    <i>
      <x v="3"/>
      <x v="1"/>
    </i>
    <i t="grand">
      <x/>
    </i>
  </colItems>
  <pageFields count="1">
    <pageField fld="34" hier="-1"/>
  </pageFields>
  <dataFields count="1">
    <dataField name="Sum of LC Limit Available" fld="26" baseField="0" baseItem="0" numFmtId="165"/>
  </dataFields>
  <formats count="40">
    <format dxfId="42">
      <pivotArea outline="0" collapsedLevelsAreSubtotals="1" fieldPosition="0"/>
    </format>
    <format dxfId="41">
      <pivotArea dataOnly="0" labelOnly="1" outline="0" axis="axisValues" fieldPosition="0"/>
    </format>
    <format dxfId="40">
      <pivotArea outline="0" collapsedLevelsAreSubtotals="1" fieldPosition="0"/>
    </format>
    <format dxfId="39">
      <pivotArea type="origin" dataOnly="0" labelOnly="1" outline="0" offset="A3:A4" fieldPosition="0"/>
    </format>
    <format dxfId="38">
      <pivotArea dataOnly="0" labelOnly="1" fieldPosition="0">
        <references count="1">
          <reference field="25" count="4">
            <x v="2"/>
            <x v="4"/>
            <x v="9"/>
            <x v="10"/>
          </reference>
        </references>
      </pivotArea>
    </format>
    <format dxfId="37">
      <pivotArea dataOnly="0" labelOnly="1" grandRow="1" outline="0" fieldPosition="0"/>
    </format>
    <format dxfId="36">
      <pivotArea dataOnly="0" labelOnly="1" grandCol="1" outline="0" offset="IV2:IV256" fieldPosition="0"/>
    </format>
    <format dxfId="35">
      <pivotArea dataOnly="0" labelOnly="1" fieldPosition="0">
        <references count="2">
          <reference field="4" count="0"/>
          <reference field="15" count="1" selected="0">
            <x v="1"/>
          </reference>
        </references>
      </pivotArea>
    </format>
    <format dxfId="34">
      <pivotArea dataOnly="0" labelOnly="1" fieldPosition="0">
        <references count="1">
          <reference field="15" count="1">
            <x v="1"/>
          </reference>
        </references>
      </pivotArea>
    </format>
    <format dxfId="33">
      <pivotArea dataOnly="0" labelOnly="1" fieldPosition="0">
        <references count="1">
          <reference field="15" count="1">
            <x v="2"/>
          </reference>
        </references>
      </pivotArea>
    </format>
    <format dxfId="32">
      <pivotArea dataOnly="0" labelOnly="1" fieldPosition="0">
        <references count="1">
          <reference field="15" count="1">
            <x v="1"/>
          </reference>
        </references>
      </pivotArea>
    </format>
    <format dxfId="31">
      <pivotArea dataOnly="0" labelOnly="1" fieldPosition="0">
        <references count="1">
          <reference field="15" count="1">
            <x v="1"/>
          </reference>
        </references>
      </pivotArea>
    </format>
    <format dxfId="30">
      <pivotArea dataOnly="0" labelOnly="1" fieldPosition="0">
        <references count="1">
          <reference field="15" count="1">
            <x v="2"/>
          </reference>
        </references>
      </pivotArea>
    </format>
    <format dxfId="29">
      <pivotArea dataOnly="0" labelOnly="1" fieldPosition="0">
        <references count="1">
          <reference field="15" count="1">
            <x v="2"/>
          </reference>
        </references>
      </pivotArea>
    </format>
    <format dxfId="28">
      <pivotArea dataOnly="0" labelOnly="1" offset="A256" fieldPosition="0">
        <references count="1">
          <reference field="15" count="1">
            <x v="0"/>
          </reference>
        </references>
      </pivotArea>
    </format>
    <format dxfId="27">
      <pivotArea dataOnly="0" labelOnly="1" offset="A256" fieldPosition="0">
        <references count="1">
          <reference field="15" count="1">
            <x v="1"/>
          </reference>
        </references>
      </pivotArea>
    </format>
    <format dxfId="26">
      <pivotArea dataOnly="0" labelOnly="1" grandCol="1" outline="0" offset="IV1" fieldPosition="0"/>
    </format>
    <format dxfId="25">
      <pivotArea dataOnly="0" labelOnly="1" fieldPosition="0">
        <references count="1">
          <reference field="15" count="0"/>
        </references>
      </pivotArea>
    </format>
    <format dxfId="24">
      <pivotArea dataOnly="0" labelOnly="1" grandCol="1" outline="0" fieldPosition="0"/>
    </format>
    <format dxfId="23">
      <pivotArea dataOnly="0" labelOnly="1" fieldPosition="0">
        <references count="1">
          <reference field="15" count="0"/>
        </references>
      </pivotArea>
    </format>
    <format dxfId="22">
      <pivotArea dataOnly="0" labelOnly="1" grandCol="1" outline="0" fieldPosition="0"/>
    </format>
    <format dxfId="21">
      <pivotArea type="origin" dataOnly="0" labelOnly="1" outline="0" offset="A2" fieldPosition="0"/>
    </format>
    <format dxfId="20">
      <pivotArea field="25" type="button" dataOnly="0" labelOnly="1" outline="0" axis="axisRow" fieldPosition="0"/>
    </format>
    <format dxfId="19">
      <pivotArea dataOnly="0" labelOnly="1" fieldPosition="0">
        <references count="1">
          <reference field="15" count="0"/>
        </references>
      </pivotArea>
    </format>
    <format dxfId="18">
      <pivotArea dataOnly="0" labelOnly="1" grandCol="1" outline="0" fieldPosition="0"/>
    </format>
    <format dxfId="17">
      <pivotArea dataOnly="0" labelOnly="1" fieldPosition="0">
        <references count="2">
          <reference field="4" count="2">
            <x v="0"/>
            <x v="1"/>
          </reference>
          <reference field="15" count="1" selected="0">
            <x v="0"/>
          </reference>
        </references>
      </pivotArea>
    </format>
    <format dxfId="16">
      <pivotArea dataOnly="0" labelOnly="1" fieldPosition="0">
        <references count="2">
          <reference field="4" count="2">
            <x v="0"/>
            <x v="1"/>
          </reference>
          <reference field="15" count="1" selected="0">
            <x v="1"/>
          </reference>
        </references>
      </pivotArea>
    </format>
    <format dxfId="15">
      <pivotArea dataOnly="0" labelOnly="1" fieldPosition="0">
        <references count="2">
          <reference field="4" count="3">
            <x v="0"/>
            <x v="1"/>
            <x v="2"/>
          </reference>
          <reference field="15" count="1" selected="0">
            <x v="2"/>
          </reference>
        </references>
      </pivotArea>
    </format>
    <format dxfId="14">
      <pivotArea dataOnly="0" labelOnly="1" fieldPosition="0">
        <references count="2">
          <reference field="4" count="1">
            <x v="1"/>
          </reference>
          <reference field="15" count="1" selected="0">
            <x v="3"/>
          </reference>
        </references>
      </pivotArea>
    </format>
    <format dxfId="13">
      <pivotArea field="25" type="button" dataOnly="0" labelOnly="1" outline="0" axis="axisRow" fieldPosition="0"/>
    </format>
    <format dxfId="12">
      <pivotArea dataOnly="0" labelOnly="1" grandCol="1" outline="0" offset="IV256" fieldPosition="0"/>
    </format>
    <format dxfId="11">
      <pivotArea dataOnly="0" labelOnly="1" fieldPosition="0">
        <references count="2">
          <reference field="4" count="2">
            <x v="0"/>
            <x v="1"/>
          </reference>
          <reference field="15" count="1" selected="0">
            <x v="0"/>
          </reference>
        </references>
      </pivotArea>
    </format>
    <format dxfId="10">
      <pivotArea dataOnly="0" labelOnly="1" fieldPosition="0">
        <references count="2">
          <reference field="4" count="2">
            <x v="0"/>
            <x v="1"/>
          </reference>
          <reference field="15" count="1" selected="0">
            <x v="1"/>
          </reference>
        </references>
      </pivotArea>
    </format>
    <format dxfId="9">
      <pivotArea dataOnly="0" labelOnly="1" fieldPosition="0">
        <references count="2">
          <reference field="4" count="3">
            <x v="0"/>
            <x v="1"/>
            <x v="2"/>
          </reference>
          <reference field="15" count="1" selected="0">
            <x v="2"/>
          </reference>
        </references>
      </pivotArea>
    </format>
    <format dxfId="8">
      <pivotArea dataOnly="0" labelOnly="1" fieldPosition="0">
        <references count="2">
          <reference field="4" count="1">
            <x v="1"/>
          </reference>
          <reference field="15" count="1" selected="0">
            <x v="3"/>
          </reference>
        </references>
      </pivotArea>
    </format>
    <format dxfId="7">
      <pivotArea dataOnly="0" labelOnly="1" fieldPosition="0">
        <references count="1">
          <reference field="15" count="1">
            <x v="1"/>
          </reference>
        </references>
      </pivotArea>
    </format>
    <format dxfId="6">
      <pivotArea dataOnly="0" labelOnly="1" offset="IV256" fieldPosition="0">
        <references count="1">
          <reference field="15" count="1">
            <x v="0"/>
          </reference>
        </references>
      </pivotArea>
    </format>
    <format dxfId="5">
      <pivotArea dataOnly="0" labelOnly="1" fieldPosition="0">
        <references count="1">
          <reference field="15" count="1">
            <x v="0"/>
          </reference>
        </references>
      </pivotArea>
    </format>
    <format dxfId="4">
      <pivotArea dataOnly="0" labelOnly="1" fieldPosition="0">
        <references count="1">
          <reference field="15" count="1">
            <x v="1"/>
          </reference>
        </references>
      </pivotArea>
    </format>
    <format dxfId="3">
      <pivotArea dataOnly="0" labelOnly="1" fieldPosition="0">
        <references count="1">
          <reference field="15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 InsertBlankRowDefault="1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57" dT="2026-05-15T11:11:11.25" personId="{999BBB6B-DC0B-4435-8A44-01BE98C3C6EB}" id="{DF4F7CFA-3FF6-41FD-8712-1B1F96190E81}">
    <text xml:space="preserve">Cover All Months Data
</text>
  </threadedComment>
  <threadedComment ref="E157" dT="2026-05-15T11:11:36.90" personId="{999BBB6B-DC0B-4435-8A44-01BE98C3C6EB}" id="{DE7B75B9-69FE-4D84-8F90-5BC869510D3C}">
    <text xml:space="preserve">Cover All Dates Data
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2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FE7AF-F514-48D8-A1CE-A778EFA1C5CF}">
  <sheetPr>
    <tabColor theme="8" tint="0.59999389629810485"/>
  </sheetPr>
  <dimension ref="A2:H39"/>
  <sheetViews>
    <sheetView workbookViewId="0">
      <pane ySplit="2" topLeftCell="A18" activePane="bottomLeft" state="frozen"/>
      <selection pane="bottomLeft" activeCell="D7" sqref="D7"/>
    </sheetView>
  </sheetViews>
  <sheetFormatPr defaultRowHeight="15" x14ac:dyDescent="0.25"/>
  <cols>
    <col min="1" max="1" width="25.7109375" customWidth="1"/>
    <col min="2" max="2" width="20" style="2" customWidth="1"/>
    <col min="3" max="4" width="12.5703125" style="2" bestFit="1" customWidth="1"/>
    <col min="5" max="5" width="24" style="2" bestFit="1" customWidth="1"/>
    <col min="6" max="6" width="3.85546875" style="254" customWidth="1"/>
    <col min="7" max="7" width="25.7109375" customWidth="1"/>
    <col min="8" max="8" width="20.7109375" customWidth="1"/>
    <col min="9" max="9" width="4" customWidth="1"/>
  </cols>
  <sheetData>
    <row r="2" spans="1:8" x14ac:dyDescent="0.25">
      <c r="A2" s="282" t="s">
        <v>0</v>
      </c>
      <c r="B2" s="284" t="s">
        <v>1</v>
      </c>
      <c r="C2" s="284" t="s">
        <v>2</v>
      </c>
      <c r="D2" s="284" t="s">
        <v>3</v>
      </c>
      <c r="E2" s="284" t="s">
        <v>4</v>
      </c>
      <c r="F2" s="283"/>
      <c r="G2" s="282" t="s">
        <v>5</v>
      </c>
      <c r="H2" s="282" t="s">
        <v>6</v>
      </c>
    </row>
    <row r="3" spans="1:8" x14ac:dyDescent="0.25">
      <c r="A3" s="281">
        <f ca="1">WORKDAY(TODAY(), 0)</f>
        <v>46178</v>
      </c>
      <c r="B3" s="220">
        <f ca="1">SUMIFS('LC-Final List'!$W:$W,'LC-Final List'!$Y:$Y,$A3,'LC-Final List'!$AE:$AE,"*Unpaid*",'LC-Final List'!$E:$E,B$2)</f>
        <v>103736160</v>
      </c>
      <c r="C3" s="220">
        <f ca="1">SUMIFS('LC-Final List'!$W:$W,'LC-Final List'!$Y:$Y,$A3,'LC-Final List'!$AE:$AE,"*Unpaid*",'LC-Final List'!$E:$E,C$2)</f>
        <v>0</v>
      </c>
      <c r="D3" s="220">
        <f ca="1">SUMIFS('LC-Final List'!$W:$W,'LC-Final List'!$Y:$Y,$A3,'LC-Final List'!$AE:$AE,"*Unpaid*",'LC-Final List'!$E:$E,D$2)</f>
        <v>0</v>
      </c>
      <c r="E3" s="220">
        <f ca="1">SUMIFS('LC-Final List'!$W:$W,'LC-Final List'!$Y:$Y,$A3,'LC-Final List'!$AE:$AE,"*Unpaid*")</f>
        <v>103736160</v>
      </c>
      <c r="G3" s="280" t="s">
        <v>7</v>
      </c>
      <c r="H3" s="279">
        <f>SUMIFS('LC-Final List'!$W:$W, 'LC-Final List'!$AC:$AC, G3, 'LC-Final List'!$AE:$AE, "*Unpaid*")</f>
        <v>0</v>
      </c>
    </row>
    <row r="4" spans="1:8" x14ac:dyDescent="0.25">
      <c r="A4" s="281">
        <f ca="1">WORKDAY(TODAY(), 1)</f>
        <v>46181</v>
      </c>
      <c r="B4" s="220">
        <f ca="1">SUMIFS('LC-Final List'!$W:$W,'LC-Final List'!$Y:$Y,$A4,'LC-Final List'!$AE:$AE,"*Unpaid*",'LC-Final List'!$E:$E,B$2)</f>
        <v>119803138.56</v>
      </c>
      <c r="C4" s="220">
        <f ca="1">SUMIFS('LC-Final List'!$W:$W,'LC-Final List'!$Y:$Y,$A4,'LC-Final List'!$AE:$AE,"*Unpaid*",'LC-Final List'!$E:$E,C$2)</f>
        <v>0</v>
      </c>
      <c r="D4" s="220">
        <f ca="1">SUMIFS('LC-Final List'!$W:$W,'LC-Final List'!$Y:$Y,$A4,'LC-Final List'!$AE:$AE,"*Unpaid*",'LC-Final List'!$E:$E,D$2)</f>
        <v>0</v>
      </c>
      <c r="E4" s="220">
        <f ca="1">SUMIFS('LC-Final List'!$W:$W,'LC-Final List'!$Y:$Y,$A4,'LC-Final List'!$AE:$AE,"*Unpaid*")</f>
        <v>119803138.56</v>
      </c>
      <c r="G4" s="280" t="s">
        <v>8</v>
      </c>
      <c r="H4" s="279">
        <f>SUMIFS('LC-Final List'!$W:$W, 'LC-Final List'!$AC:$AC, G4, 'LC-Final List'!$AE:$AE, "*Unpaid*")</f>
        <v>0</v>
      </c>
    </row>
    <row r="5" spans="1:8" x14ac:dyDescent="0.25">
      <c r="A5" s="281">
        <f ca="1">WORKDAY(TODAY(), 2)</f>
        <v>46182</v>
      </c>
      <c r="B5" s="220">
        <f ca="1">SUMIFS('LC-Final List'!$W:$W,'LC-Final List'!$Y:$Y,$A5,'LC-Final List'!$AE:$AE,"*Unpaid*",'LC-Final List'!$E:$E,B$2)</f>
        <v>457970345.27999997</v>
      </c>
      <c r="C5" s="220">
        <f ca="1">SUMIFS('LC-Final List'!$W:$W,'LC-Final List'!$Y:$Y,$A5,'LC-Final List'!$AE:$AE,"*Unpaid*",'LC-Final List'!$E:$E,C$2)</f>
        <v>0</v>
      </c>
      <c r="D5" s="220">
        <f ca="1">SUMIFS('LC-Final List'!$W:$W,'LC-Final List'!$Y:$Y,$A5,'LC-Final List'!$AE:$AE,"*Unpaid*",'LC-Final List'!$E:$E,D$2)</f>
        <v>72808012.799999997</v>
      </c>
      <c r="E5" s="220">
        <f ca="1">SUMIFS('LC-Final List'!$W:$W,'LC-Final List'!$Y:$Y,$A5,'LC-Final List'!$AE:$AE,"*Unpaid*")</f>
        <v>530778358.07999998</v>
      </c>
      <c r="G5" s="280" t="s">
        <v>9</v>
      </c>
      <c r="H5" s="279">
        <f>SUMIFS('LC-Final List'!$W:$W, 'LC-Final List'!$AC:$AC, G5, 'LC-Final List'!$AE:$AE, "*Unpaid*")</f>
        <v>0</v>
      </c>
    </row>
    <row r="6" spans="1:8" x14ac:dyDescent="0.25">
      <c r="A6" s="281">
        <f ca="1">WORKDAY(TODAY(), 3)</f>
        <v>46183</v>
      </c>
      <c r="B6" s="220">
        <f ca="1">SUMIFS('LC-Final List'!$W:$W,'LC-Final List'!$Y:$Y,$A6,'LC-Final List'!$AE:$AE,"*Unpaid*",'LC-Final List'!$E:$E,B$2)</f>
        <v>0</v>
      </c>
      <c r="C6" s="220">
        <f ca="1">SUMIFS('LC-Final List'!$W:$W,'LC-Final List'!$Y:$Y,$A6,'LC-Final List'!$AE:$AE,"*Unpaid*",'LC-Final List'!$E:$E,C$2)</f>
        <v>0</v>
      </c>
      <c r="D6" s="220">
        <f ca="1">SUMIFS('LC-Final List'!$W:$W,'LC-Final List'!$Y:$Y,$A6,'LC-Final List'!$AE:$AE,"*Unpaid*",'LC-Final List'!$E:$E,D$2)</f>
        <v>0</v>
      </c>
      <c r="E6" s="220">
        <f ca="1">SUMIFS('LC-Final List'!$W:$W,'LC-Final List'!$Y:$Y,$A6,'LC-Final List'!$AE:$AE,"*Unpaid*")</f>
        <v>0</v>
      </c>
      <c r="G6" s="280" t="s">
        <v>10</v>
      </c>
      <c r="H6" s="279">
        <f>SUMIFS('LC-Final List'!$W:$W, 'LC-Final List'!$AC:$AC, G6, 'LC-Final List'!$AE:$AE, "*Unpaid*")</f>
        <v>0</v>
      </c>
    </row>
    <row r="7" spans="1:8" x14ac:dyDescent="0.25">
      <c r="A7" s="281">
        <f ca="1">WORKDAY(TODAY(), 4)</f>
        <v>46184</v>
      </c>
      <c r="B7" s="220">
        <f ca="1">SUMIFS('LC-Final List'!$W:$W,'LC-Final List'!$Y:$Y,$A7,'LC-Final List'!$AE:$AE,"*Unpaid*",'LC-Final List'!$E:$E,B$2)</f>
        <v>241952921.28000003</v>
      </c>
      <c r="C7" s="220">
        <f ca="1">SUMIFS('LC-Final List'!$W:$W,'LC-Final List'!$Y:$Y,$A7,'LC-Final List'!$AE:$AE,"*Unpaid*",'LC-Final List'!$E:$E,C$2)</f>
        <v>0</v>
      </c>
      <c r="D7" s="220">
        <f ca="1">SUMIFS('LC-Final List'!$W:$W,'LC-Final List'!$Y:$Y,$A7,'LC-Final List'!$AE:$AE,"*Unpaid*",'LC-Final List'!$E:$E,D$2)</f>
        <v>0</v>
      </c>
      <c r="E7" s="220">
        <f ca="1">SUMIFS('LC-Final List'!$W:$W,'LC-Final List'!$Y:$Y,$A7,'LC-Final List'!$AE:$AE,"*Unpaid*")</f>
        <v>241952921.28000003</v>
      </c>
      <c r="G7" s="280" t="s">
        <v>11</v>
      </c>
      <c r="H7" s="279">
        <f>SUMIFS('LC-Final List'!$W:$W, 'LC-Final List'!$AC:$AC, G7, 'LC-Final List'!$AE:$AE, "*Unpaid*")</f>
        <v>0</v>
      </c>
    </row>
    <row r="8" spans="1:8" x14ac:dyDescent="0.25">
      <c r="A8" s="281">
        <f ca="1">WORKDAY(TODAY(), 5)</f>
        <v>46185</v>
      </c>
      <c r="B8" s="220">
        <f ca="1">SUMIFS('LC-Final List'!$W:$W,'LC-Final List'!$Y:$Y,$A8,'LC-Final List'!$AE:$AE,"*Unpaid*",'LC-Final List'!$E:$E,B$2)</f>
        <v>375107449.92000002</v>
      </c>
      <c r="C8" s="220">
        <f ca="1">SUMIFS('LC-Final List'!$W:$W,'LC-Final List'!$Y:$Y,$A8,'LC-Final List'!$AE:$AE,"*Unpaid*",'LC-Final List'!$E:$E,C$2)</f>
        <v>0</v>
      </c>
      <c r="D8" s="220">
        <f ca="1">SUMIFS('LC-Final List'!$W:$W,'LC-Final List'!$Y:$Y,$A8,'LC-Final List'!$AE:$AE,"*Unpaid*",'LC-Final List'!$E:$E,D$2)</f>
        <v>169992000</v>
      </c>
      <c r="E8" s="220">
        <f ca="1">SUMIFS('LC-Final List'!$W:$W,'LC-Final List'!$Y:$Y,$A8,'LC-Final List'!$AE:$AE,"*Unpaid*")</f>
        <v>545099449.92000008</v>
      </c>
      <c r="G8" s="289">
        <v>46174</v>
      </c>
      <c r="H8" s="279">
        <f>SUMIFS('LC-Final List'!$W:$W, 'LC-Final List'!$AC:$AC, G8, 'LC-Final List'!$AE:$AE, "*Unpaid*")</f>
        <v>3038331952.3199997</v>
      </c>
    </row>
    <row r="9" spans="1:8" x14ac:dyDescent="0.25">
      <c r="A9" s="281">
        <f ca="1">WORKDAY(TODAY(), 6)</f>
        <v>46188</v>
      </c>
      <c r="B9" s="220">
        <f ca="1">SUMIFS('LC-Final List'!$W:$W,'LC-Final List'!$Y:$Y,$A9,'LC-Final List'!$AE:$AE,"*Unpaid*",'LC-Final List'!$E:$E,B$2)</f>
        <v>376622872.31999999</v>
      </c>
      <c r="C9" s="220">
        <f ca="1">SUMIFS('LC-Final List'!$W:$W,'LC-Final List'!$Y:$Y,$A9,'LC-Final List'!$AE:$AE,"*Unpaid*",'LC-Final List'!$E:$E,C$2)</f>
        <v>0</v>
      </c>
      <c r="D9" s="220">
        <f ca="1">SUMIFS('LC-Final List'!$W:$W,'LC-Final List'!$Y:$Y,$A9,'LC-Final List'!$AE:$AE,"*Unpaid*",'LC-Final List'!$E:$E,D$2)</f>
        <v>232502400</v>
      </c>
      <c r="E9" s="220">
        <f ca="1">SUMIFS('LC-Final List'!$W:$W,'LC-Final List'!$Y:$Y,$A9,'LC-Final List'!$AE:$AE,"*Unpaid*")</f>
        <v>609125272.31999993</v>
      </c>
      <c r="G9" s="289">
        <v>46204</v>
      </c>
      <c r="H9" s="279">
        <f>SUMIFS('LC-Final List'!$W:$W, 'LC-Final List'!$AC:$AC, G9, 'LC-Final List'!$AE:$AE, "*Unpaid*")</f>
        <v>1226820631.6800001</v>
      </c>
    </row>
    <row r="10" spans="1:8" x14ac:dyDescent="0.25">
      <c r="A10" s="281">
        <f ca="1">WORKDAY(TODAY(), 7)</f>
        <v>46189</v>
      </c>
      <c r="B10" s="220">
        <f ca="1">SUMIFS('LC-Final List'!$W:$W,'LC-Final List'!$Y:$Y,$A10,'LC-Final List'!$AE:$AE,"*Unpaid*",'LC-Final List'!$E:$E,B$2)</f>
        <v>76898304</v>
      </c>
      <c r="C10" s="220">
        <f ca="1">SUMIFS('LC-Final List'!$W:$W,'LC-Final List'!$Y:$Y,$A10,'LC-Final List'!$AE:$AE,"*Unpaid*",'LC-Final List'!$E:$E,C$2)</f>
        <v>0</v>
      </c>
      <c r="D10" s="220">
        <f ca="1">SUMIFS('LC-Final List'!$W:$W,'LC-Final List'!$Y:$Y,$A10,'LC-Final List'!$AE:$AE,"*Unpaid*",'LC-Final List'!$E:$E,D$2)</f>
        <v>0</v>
      </c>
      <c r="E10" s="220">
        <f ca="1">SUMIFS('LC-Final List'!$W:$W,'LC-Final List'!$Y:$Y,$A10,'LC-Final List'!$AE:$AE,"*Unpaid*")</f>
        <v>76898304</v>
      </c>
      <c r="G10" s="289">
        <v>46235</v>
      </c>
      <c r="H10" s="279">
        <f>SUMIFS('LC-Final List'!$W:$W, 'LC-Final List'!$AC:$AC, G10, 'LC-Final List'!$AE:$AE, "*Unpaid*")</f>
        <v>28999680</v>
      </c>
    </row>
    <row r="11" spans="1:8" x14ac:dyDescent="0.25">
      <c r="A11" s="281">
        <f ca="1">WORKDAY(TODAY(), 8)</f>
        <v>46190</v>
      </c>
      <c r="B11" s="220">
        <f ca="1">SUMIFS('LC-Final List'!$W:$W,'LC-Final List'!$Y:$Y,$A11,'LC-Final List'!$AE:$AE,"*Unpaid*",'LC-Final List'!$E:$E,B$2)</f>
        <v>263034684.47999999</v>
      </c>
      <c r="C11" s="220">
        <f ca="1">SUMIFS('LC-Final List'!$W:$W,'LC-Final List'!$Y:$Y,$A11,'LC-Final List'!$AE:$AE,"*Unpaid*",'LC-Final List'!$E:$E,C$2)</f>
        <v>0</v>
      </c>
      <c r="D11" s="220">
        <f ca="1">SUMIFS('LC-Final List'!$W:$W,'LC-Final List'!$Y:$Y,$A11,'LC-Final List'!$AE:$AE,"*Unpaid*",'LC-Final List'!$E:$E,D$2)</f>
        <v>0</v>
      </c>
      <c r="E11" s="220">
        <f ca="1">SUMIFS('LC-Final List'!$W:$W,'LC-Final List'!$Y:$Y,$A11,'LC-Final List'!$AE:$AE,"*Unpaid*")</f>
        <v>263034684.47999999</v>
      </c>
      <c r="G11" s="289">
        <v>46266</v>
      </c>
      <c r="H11" s="279">
        <f>SUMIFS('LC-Final List'!$W:$W, 'LC-Final List'!$AC:$AC, G11, 'LC-Final List'!$AE:$AE, "*Unpaid*")</f>
        <v>122867712</v>
      </c>
    </row>
    <row r="12" spans="1:8" x14ac:dyDescent="0.25">
      <c r="A12" s="281">
        <f ca="1">WORKDAY(TODAY(), 9)</f>
        <v>46191</v>
      </c>
      <c r="B12" s="220">
        <f ca="1">SUMIFS('LC-Final List'!$W:$W,'LC-Final List'!$Y:$Y,$A12,'LC-Final List'!$AE:$AE,"*Unpaid*",'LC-Final List'!$E:$E,B$2)</f>
        <v>0</v>
      </c>
      <c r="C12" s="220">
        <f ca="1">SUMIFS('LC-Final List'!$W:$W,'LC-Final List'!$Y:$Y,$A12,'LC-Final List'!$AE:$AE,"*Unpaid*",'LC-Final List'!$E:$E,C$2)</f>
        <v>0</v>
      </c>
      <c r="D12" s="220">
        <f ca="1">SUMIFS('LC-Final List'!$W:$W,'LC-Final List'!$Y:$Y,$A12,'LC-Final List'!$AE:$AE,"*Unpaid*",'LC-Final List'!$E:$E,D$2)</f>
        <v>0</v>
      </c>
      <c r="E12" s="220">
        <f ca="1">SUMIFS('LC-Final List'!$W:$W,'LC-Final List'!$Y:$Y,$A12,'LC-Final List'!$AE:$AE,"*Unpaid*")</f>
        <v>0</v>
      </c>
      <c r="G12" s="280"/>
      <c r="H12" s="279"/>
    </row>
    <row r="13" spans="1:8" x14ac:dyDescent="0.25">
      <c r="A13" s="281">
        <f ca="1">WORKDAY(TODAY(),10)</f>
        <v>46192</v>
      </c>
      <c r="B13" s="220">
        <f ca="1">SUMIFS('LC-Final List'!$W:$W,'LC-Final List'!$Y:$Y,$A13,'LC-Final List'!$AE:$AE,"*Unpaid*",'LC-Final List'!$E:$E,B$2)</f>
        <v>0</v>
      </c>
      <c r="C13" s="220">
        <f ca="1">SUMIFS('LC-Final List'!$W:$W,'LC-Final List'!$Y:$Y,$A13,'LC-Final List'!$AE:$AE,"*Unpaid*",'LC-Final List'!$E:$E,C$2)</f>
        <v>0</v>
      </c>
      <c r="D13" s="220">
        <f ca="1">SUMIFS('LC-Final List'!$W:$W,'LC-Final List'!$Y:$Y,$A13,'LC-Final List'!$AE:$AE,"*Unpaid*",'LC-Final List'!$E:$E,D$2)</f>
        <v>0</v>
      </c>
      <c r="E13" s="220">
        <f ca="1">SUMIFS('LC-Final List'!$W:$W,'LC-Final List'!$Y:$Y,$A13,'LC-Final List'!$AE:$AE,"*Unpaid*")</f>
        <v>0</v>
      </c>
      <c r="G13" s="280"/>
      <c r="H13" s="279"/>
    </row>
    <row r="14" spans="1:8" x14ac:dyDescent="0.25">
      <c r="A14" s="281">
        <f ca="1">WORKDAY(TODAY(),11)</f>
        <v>46195</v>
      </c>
      <c r="B14" s="220">
        <f ca="1">SUMIFS('LC-Final List'!$W:$W,'LC-Final List'!$Y:$Y,$A14,'LC-Final List'!$AE:$AE,"*Unpaid*",'LC-Final List'!$E:$E,B$2)</f>
        <v>117792000</v>
      </c>
      <c r="C14" s="220">
        <f ca="1">SUMIFS('LC-Final List'!$W:$W,'LC-Final List'!$Y:$Y,$A14,'LC-Final List'!$AE:$AE,"*Unpaid*",'LC-Final List'!$E:$E,C$2)</f>
        <v>358259177.28000003</v>
      </c>
      <c r="D14" s="220">
        <f ca="1">SUMIFS('LC-Final List'!$W:$W,'LC-Final List'!$Y:$Y,$A14,'LC-Final List'!$AE:$AE,"*Unpaid*",'LC-Final List'!$E:$E,D$2)</f>
        <v>0</v>
      </c>
      <c r="E14" s="220">
        <f ca="1">SUMIFS('LC-Final List'!$W:$W,'LC-Final List'!$Y:$Y,$A14,'LC-Final List'!$AE:$AE,"*Unpaid*")</f>
        <v>476051177.28000003</v>
      </c>
      <c r="G14" s="280"/>
      <c r="H14" s="279"/>
    </row>
    <row r="15" spans="1:8" x14ac:dyDescent="0.25">
      <c r="A15" s="281">
        <f ca="1">WORKDAY(TODAY(),12)</f>
        <v>46196</v>
      </c>
      <c r="B15" s="220">
        <f ca="1">SUMIFS('LC-Final List'!$W:$W,'LC-Final List'!$Y:$Y,$A15,'LC-Final List'!$AE:$AE,"*Unpaid*",'LC-Final List'!$E:$E,B$2)</f>
        <v>6344064</v>
      </c>
      <c r="C15" s="220">
        <f ca="1">SUMIFS('LC-Final List'!$W:$W,'LC-Final List'!$Y:$Y,$A15,'LC-Final List'!$AE:$AE,"*Unpaid*",'LC-Final List'!$E:$E,C$2)</f>
        <v>0</v>
      </c>
      <c r="D15" s="220">
        <f ca="1">SUMIFS('LC-Final List'!$W:$W,'LC-Final List'!$Y:$Y,$A15,'LC-Final List'!$AE:$AE,"*Unpaid*",'LC-Final List'!$E:$E,D$2)</f>
        <v>0</v>
      </c>
      <c r="E15" s="220">
        <f ca="1">SUMIFS('LC-Final List'!$W:$W,'LC-Final List'!$Y:$Y,$A15,'LC-Final List'!$AE:$AE,"*Unpaid*")</f>
        <v>6344064</v>
      </c>
      <c r="G15" s="280"/>
      <c r="H15" s="279"/>
    </row>
    <row r="16" spans="1:8" x14ac:dyDescent="0.25">
      <c r="A16" s="281">
        <f ca="1">WORKDAY(TODAY(),13)</f>
        <v>46197</v>
      </c>
      <c r="B16" s="220">
        <f ca="1">SUMIFS('LC-Final List'!$W:$W,'LC-Final List'!$Y:$Y,$A16,'LC-Final List'!$AE:$AE,"*Unpaid*",'LC-Final List'!$E:$E,B$2)</f>
        <v>0</v>
      </c>
      <c r="C16" s="220">
        <f ca="1">SUMIFS('LC-Final List'!$W:$W,'LC-Final List'!$Y:$Y,$A16,'LC-Final List'!$AE:$AE,"*Unpaid*",'LC-Final List'!$E:$E,C$2)</f>
        <v>0</v>
      </c>
      <c r="D16" s="220">
        <f ca="1">SUMIFS('LC-Final List'!$W:$W,'LC-Final List'!$Y:$Y,$A16,'LC-Final List'!$AE:$AE,"*Unpaid*",'LC-Final List'!$E:$E,D$2)</f>
        <v>0</v>
      </c>
      <c r="E16" s="220">
        <f ca="1">SUMIFS('LC-Final List'!$W:$W,'LC-Final List'!$Y:$Y,$A16,'LC-Final List'!$AE:$AE,"*Unpaid*")</f>
        <v>0</v>
      </c>
      <c r="G16" s="280"/>
      <c r="H16" s="279"/>
    </row>
    <row r="17" spans="1:8" x14ac:dyDescent="0.25">
      <c r="A17" s="281">
        <f ca="1">WORKDAY(TODAY(),14)</f>
        <v>46198</v>
      </c>
      <c r="B17" s="220">
        <f ca="1">SUMIFS('LC-Final List'!$W:$W,'LC-Final List'!$Y:$Y,$A17,'LC-Final List'!$AE:$AE,"*Unpaid*",'LC-Final List'!$E:$E,B$2)</f>
        <v>0</v>
      </c>
      <c r="C17" s="220">
        <f ca="1">SUMIFS('LC-Final List'!$W:$W,'LC-Final List'!$Y:$Y,$A17,'LC-Final List'!$AE:$AE,"*Unpaid*",'LC-Final List'!$E:$E,C$2)</f>
        <v>0</v>
      </c>
      <c r="D17" s="220">
        <f ca="1">SUMIFS('LC-Final List'!$W:$W,'LC-Final List'!$Y:$Y,$A17,'LC-Final List'!$AE:$AE,"*Unpaid*",'LC-Final List'!$E:$E,D$2)</f>
        <v>52310822.400000006</v>
      </c>
      <c r="E17" s="220">
        <f ca="1">SUMIFS('LC-Final List'!$W:$W,'LC-Final List'!$Y:$Y,$A17,'LC-Final List'!$AE:$AE,"*Unpaid*")</f>
        <v>52310822.400000006</v>
      </c>
      <c r="G17" s="280"/>
      <c r="H17" s="279"/>
    </row>
    <row r="18" spans="1:8" x14ac:dyDescent="0.25">
      <c r="A18" s="281">
        <f ca="1">WORKDAY(TODAY(),15)</f>
        <v>46199</v>
      </c>
      <c r="B18" s="220">
        <f ca="1">SUMIFS('LC-Final List'!$W:$W,'LC-Final List'!$Y:$Y,$A18,'LC-Final List'!$AE:$AE,"*Unpaid*",'LC-Final List'!$E:$E,B$2)</f>
        <v>0</v>
      </c>
      <c r="C18" s="220">
        <f ca="1">SUMIFS('LC-Final List'!$W:$W,'LC-Final List'!$Y:$Y,$A18,'LC-Final List'!$AE:$AE,"*Unpaid*",'LC-Final List'!$E:$E,C$2)</f>
        <v>0</v>
      </c>
      <c r="D18" s="220">
        <f ca="1">SUMIFS('LC-Final List'!$W:$W,'LC-Final List'!$Y:$Y,$A18,'LC-Final List'!$AE:$AE,"*Unpaid*",'LC-Final List'!$E:$E,D$2)</f>
        <v>0</v>
      </c>
      <c r="E18" s="220">
        <f ca="1">SUMIFS('LC-Final List'!$W:$W,'LC-Final List'!$Y:$Y,$A18,'LC-Final List'!$AE:$AE,"*Unpaid*")</f>
        <v>0</v>
      </c>
      <c r="G18" s="280"/>
      <c r="H18" s="279"/>
    </row>
    <row r="19" spans="1:8" x14ac:dyDescent="0.25">
      <c r="A19" s="281">
        <f ca="1">WORKDAY(TODAY(),16)</f>
        <v>46202</v>
      </c>
      <c r="B19" s="220">
        <f ca="1">SUMIFS('LC-Final List'!$W:$W,'LC-Final List'!$Y:$Y,$A19,'LC-Final List'!$AE:$AE,"*Unpaid*",'LC-Final List'!$E:$E,B$2)</f>
        <v>13197600</v>
      </c>
      <c r="C19" s="220">
        <f ca="1">SUMIFS('LC-Final List'!$W:$W,'LC-Final List'!$Y:$Y,$A19,'LC-Final List'!$AE:$AE,"*Unpaid*",'LC-Final List'!$E:$E,C$2)</f>
        <v>0</v>
      </c>
      <c r="D19" s="220">
        <f ca="1">SUMIFS('LC-Final List'!$W:$W,'LC-Final List'!$Y:$Y,$A19,'LC-Final List'!$AE:$AE,"*Unpaid*",'LC-Final List'!$E:$E,D$2)</f>
        <v>0</v>
      </c>
      <c r="E19" s="220">
        <f ca="1">SUMIFS('LC-Final List'!$W:$W,'LC-Final List'!$Y:$Y,$A19,'LC-Final List'!$AE:$AE,"*Unpaid*")</f>
        <v>13197600</v>
      </c>
      <c r="G19" s="280"/>
      <c r="H19" s="279"/>
    </row>
    <row r="20" spans="1:8" x14ac:dyDescent="0.25">
      <c r="A20" s="281">
        <f ca="1">WORKDAY(TODAY(),17)</f>
        <v>46203</v>
      </c>
      <c r="B20" s="220">
        <f ca="1">SUMIFS('LC-Final List'!$W:$W,'LC-Final List'!$Y:$Y,$A20,'LC-Final List'!$AE:$AE,"*Unpaid*",'LC-Final List'!$E:$E,B$2)</f>
        <v>0</v>
      </c>
      <c r="C20" s="220">
        <f ca="1">SUMIFS('LC-Final List'!$W:$W,'LC-Final List'!$Y:$Y,$A20,'LC-Final List'!$AE:$AE,"*Unpaid*",'LC-Final List'!$E:$E,C$2)</f>
        <v>0</v>
      </c>
      <c r="D20" s="220">
        <f ca="1">SUMIFS('LC-Final List'!$W:$W,'LC-Final List'!$Y:$Y,$A20,'LC-Final List'!$AE:$AE,"*Unpaid*",'LC-Final List'!$E:$E,D$2)</f>
        <v>0</v>
      </c>
      <c r="E20" s="220">
        <f ca="1">SUMIFS('LC-Final List'!$W:$W,'LC-Final List'!$Y:$Y,$A20,'LC-Final List'!$AE:$AE,"*Unpaid*")</f>
        <v>0</v>
      </c>
      <c r="G20" s="280"/>
      <c r="H20" s="279"/>
    </row>
    <row r="21" spans="1:8" x14ac:dyDescent="0.25">
      <c r="A21" s="281">
        <f ca="1">WORKDAY(TODAY(),18)</f>
        <v>46204</v>
      </c>
      <c r="B21" s="220">
        <f ca="1">SUMIFS('LC-Final List'!$W:$W,'LC-Final List'!$Y:$Y,$A21,'LC-Final List'!$AE:$AE,"*Unpaid*",'LC-Final List'!$E:$E,B$2)</f>
        <v>0</v>
      </c>
      <c r="C21" s="220">
        <f ca="1">SUMIFS('LC-Final List'!$W:$W,'LC-Final List'!$Y:$Y,$A21,'LC-Final List'!$AE:$AE,"*Unpaid*",'LC-Final List'!$E:$E,C$2)</f>
        <v>0</v>
      </c>
      <c r="D21" s="220">
        <f ca="1">SUMIFS('LC-Final List'!$W:$W,'LC-Final List'!$Y:$Y,$A21,'LC-Final List'!$AE:$AE,"*Unpaid*",'LC-Final List'!$E:$E,D$2)</f>
        <v>0</v>
      </c>
      <c r="E21" s="220">
        <f ca="1">SUMIFS('LC-Final List'!$W:$W,'LC-Final List'!$Y:$Y,$A21,'LC-Final List'!$AE:$AE,"*Unpaid*")</f>
        <v>0</v>
      </c>
      <c r="G21" s="280"/>
      <c r="H21" s="279"/>
    </row>
    <row r="22" spans="1:8" x14ac:dyDescent="0.25">
      <c r="A22" s="281">
        <f ca="1">WORKDAY(TODAY(),19)</f>
        <v>46205</v>
      </c>
      <c r="B22" s="220">
        <f ca="1">SUMIFS('LC-Final List'!$W:$W,'LC-Final List'!$Y:$Y,$A22,'LC-Final List'!$AE:$AE,"*Unpaid*",'LC-Final List'!$E:$E,B$2)</f>
        <v>0</v>
      </c>
      <c r="C22" s="220">
        <f ca="1">SUMIFS('LC-Final List'!$W:$W,'LC-Final List'!$Y:$Y,$A22,'LC-Final List'!$AE:$AE,"*Unpaid*",'LC-Final List'!$E:$E,C$2)</f>
        <v>0</v>
      </c>
      <c r="D22" s="220">
        <f ca="1">SUMIFS('LC-Final List'!$W:$W,'LC-Final List'!$Y:$Y,$A22,'LC-Final List'!$AE:$AE,"*Unpaid*",'LC-Final List'!$E:$E,D$2)</f>
        <v>45771969.600000001</v>
      </c>
      <c r="E22" s="220">
        <f ca="1">SUMIFS('LC-Final List'!$W:$W,'LC-Final List'!$Y:$Y,$A22,'LC-Final List'!$AE:$AE,"*Unpaid*")</f>
        <v>45771969.600000001</v>
      </c>
      <c r="G22" s="280"/>
      <c r="H22" s="279"/>
    </row>
    <row r="23" spans="1:8" x14ac:dyDescent="0.25">
      <c r="A23" s="281">
        <f ca="1">WORKDAY(TODAY(),20)</f>
        <v>46206</v>
      </c>
      <c r="B23" s="220">
        <f ca="1">SUMIFS('LC-Final List'!$W:$W,'LC-Final List'!$Y:$Y,$A23,'LC-Final List'!$AE:$AE,"*Unpaid*",'LC-Final List'!$E:$E,B$2)</f>
        <v>46944000</v>
      </c>
      <c r="C23" s="220">
        <f ca="1">SUMIFS('LC-Final List'!$W:$W,'LC-Final List'!$Y:$Y,$A23,'LC-Final List'!$AE:$AE,"*Unpaid*",'LC-Final List'!$E:$E,C$2)</f>
        <v>0</v>
      </c>
      <c r="D23" s="220">
        <f ca="1">SUMIFS('LC-Final List'!$W:$W,'LC-Final List'!$Y:$Y,$A23,'LC-Final List'!$AE:$AE,"*Unpaid*",'LC-Final List'!$E:$E,D$2)</f>
        <v>0</v>
      </c>
      <c r="E23" s="220">
        <f ca="1">SUMIFS('LC-Final List'!$W:$W,'LC-Final List'!$Y:$Y,$A23,'LC-Final List'!$AE:$AE,"*Unpaid*")</f>
        <v>46944000</v>
      </c>
      <c r="G23" s="280"/>
      <c r="H23" s="279"/>
    </row>
    <row r="24" spans="1:8" x14ac:dyDescent="0.25">
      <c r="A24" s="281">
        <f ca="1">WORKDAY(TODAY(),21)</f>
        <v>46209</v>
      </c>
      <c r="B24" s="220">
        <f ca="1">SUMIFS('LC-Final List'!$W:$W,'LC-Final List'!$Y:$Y,$A24,'LC-Final List'!$AE:$AE,"*Unpaid*",'LC-Final List'!$E:$E,B$2)</f>
        <v>26155411.200000003</v>
      </c>
      <c r="C24" s="220">
        <f ca="1">SUMIFS('LC-Final List'!$W:$W,'LC-Final List'!$Y:$Y,$A24,'LC-Final List'!$AE:$AE,"*Unpaid*",'LC-Final List'!$E:$E,C$2)</f>
        <v>0</v>
      </c>
      <c r="D24" s="220">
        <f ca="1">SUMIFS('LC-Final List'!$W:$W,'LC-Final List'!$Y:$Y,$A24,'LC-Final List'!$AE:$AE,"*Unpaid*",'LC-Final List'!$E:$E,D$2)</f>
        <v>0</v>
      </c>
      <c r="E24" s="220">
        <f ca="1">SUMIFS('LC-Final List'!$W:$W,'LC-Final List'!$Y:$Y,$A24,'LC-Final List'!$AE:$AE,"*Unpaid*")</f>
        <v>26155411.200000003</v>
      </c>
      <c r="G24" s="280"/>
      <c r="H24" s="279"/>
    </row>
    <row r="25" spans="1:8" x14ac:dyDescent="0.25">
      <c r="A25" s="281">
        <f ca="1">WORKDAY(TODAY(),22)</f>
        <v>46210</v>
      </c>
      <c r="B25" s="220">
        <f ca="1">SUMIFS('LC-Final List'!$W:$W,'LC-Final List'!$Y:$Y,$A25,'LC-Final List'!$AE:$AE,"*Unpaid*",'LC-Final List'!$E:$E,B$2)</f>
        <v>46944000</v>
      </c>
      <c r="C25" s="220">
        <f ca="1">SUMIFS('LC-Final List'!$W:$W,'LC-Final List'!$Y:$Y,$A25,'LC-Final List'!$AE:$AE,"*Unpaid*",'LC-Final List'!$E:$E,C$2)</f>
        <v>0</v>
      </c>
      <c r="D25" s="220">
        <f ca="1">SUMIFS('LC-Final List'!$W:$W,'LC-Final List'!$Y:$Y,$A25,'LC-Final List'!$AE:$AE,"*Unpaid*",'LC-Final List'!$E:$E,D$2)</f>
        <v>0</v>
      </c>
      <c r="E25" s="220">
        <f ca="1">SUMIFS('LC-Final List'!$W:$W,'LC-Final List'!$Y:$Y,$A25,'LC-Final List'!$AE:$AE,"*Unpaid*")</f>
        <v>46944000</v>
      </c>
      <c r="G25" s="280"/>
      <c r="H25" s="279"/>
    </row>
    <row r="26" spans="1:8" x14ac:dyDescent="0.25">
      <c r="A26" s="281">
        <f ca="1">WORKDAY(TODAY(),23)</f>
        <v>46211</v>
      </c>
      <c r="B26" s="220">
        <f ca="1">SUMIFS('LC-Final List'!$W:$W,'LC-Final List'!$Y:$Y,$A26,'LC-Final List'!$AE:$AE,"*Unpaid*",'LC-Final List'!$E:$E,B$2)</f>
        <v>71927380.800000012</v>
      </c>
      <c r="C26" s="220">
        <f ca="1">SUMIFS('LC-Final List'!$W:$W,'LC-Final List'!$Y:$Y,$A26,'LC-Final List'!$AE:$AE,"*Unpaid*",'LC-Final List'!$E:$E,C$2)</f>
        <v>0</v>
      </c>
      <c r="D26" s="220">
        <f ca="1">SUMIFS('LC-Final List'!$W:$W,'LC-Final List'!$Y:$Y,$A26,'LC-Final List'!$AE:$AE,"*Unpaid*",'LC-Final List'!$E:$E,D$2)</f>
        <v>0</v>
      </c>
      <c r="E26" s="220">
        <f ca="1">SUMIFS('LC-Final List'!$W:$W,'LC-Final List'!$Y:$Y,$A26,'LC-Final List'!$AE:$AE,"*Unpaid*")</f>
        <v>71927380.800000012</v>
      </c>
      <c r="G26" s="280"/>
      <c r="H26" s="279"/>
    </row>
    <row r="27" spans="1:8" x14ac:dyDescent="0.25">
      <c r="A27" s="281">
        <f ca="1">WORKDAY(TODAY(),24)</f>
        <v>46212</v>
      </c>
      <c r="B27" s="220">
        <f ca="1">SUMIFS('LC-Final List'!$W:$W,'LC-Final List'!$Y:$Y,$A27,'LC-Final List'!$AE:$AE,"*Unpaid*",'LC-Final List'!$E:$E,B$2)</f>
        <v>0</v>
      </c>
      <c r="C27" s="220">
        <f ca="1">SUMIFS('LC-Final List'!$W:$W,'LC-Final List'!$Y:$Y,$A27,'LC-Final List'!$AE:$AE,"*Unpaid*",'LC-Final List'!$E:$E,C$2)</f>
        <v>0</v>
      </c>
      <c r="D27" s="220">
        <f ca="1">SUMIFS('LC-Final List'!$W:$W,'LC-Final List'!$Y:$Y,$A27,'LC-Final List'!$AE:$AE,"*Unpaid*",'LC-Final List'!$E:$E,D$2)</f>
        <v>0</v>
      </c>
      <c r="E27" s="220">
        <f ca="1">SUMIFS('LC-Final List'!$W:$W,'LC-Final List'!$Y:$Y,$A27,'LC-Final List'!$AE:$AE,"*Unpaid*")</f>
        <v>0</v>
      </c>
      <c r="G27" s="280"/>
      <c r="H27" s="279"/>
    </row>
    <row r="28" spans="1:8" x14ac:dyDescent="0.25">
      <c r="A28" s="281">
        <f ca="1">WORKDAY(TODAY(),25)</f>
        <v>46213</v>
      </c>
      <c r="B28" s="220">
        <f ca="1">SUMIFS('LC-Final List'!$W:$W,'LC-Final List'!$Y:$Y,$A28,'LC-Final List'!$AE:$AE,"*Unpaid*",'LC-Final List'!$E:$E,B$2)</f>
        <v>0</v>
      </c>
      <c r="C28" s="220">
        <f ca="1">SUMIFS('LC-Final List'!$W:$W,'LC-Final List'!$Y:$Y,$A28,'LC-Final List'!$AE:$AE,"*Unpaid*",'LC-Final List'!$E:$E,C$2)</f>
        <v>0</v>
      </c>
      <c r="D28" s="220">
        <f ca="1">SUMIFS('LC-Final List'!$W:$W,'LC-Final List'!$Y:$Y,$A28,'LC-Final List'!$AE:$AE,"*Unpaid*",'LC-Final List'!$E:$E,D$2)</f>
        <v>0</v>
      </c>
      <c r="E28" s="220">
        <f ca="1">SUMIFS('LC-Final List'!$W:$W,'LC-Final List'!$Y:$Y,$A28,'LC-Final List'!$AE:$AE,"*Unpaid*")</f>
        <v>0</v>
      </c>
      <c r="G28" s="280"/>
      <c r="H28" s="279"/>
    </row>
    <row r="29" spans="1:8" x14ac:dyDescent="0.25">
      <c r="A29" s="281">
        <f ca="1">WORKDAY(TODAY(),26)</f>
        <v>46216</v>
      </c>
      <c r="B29" s="220">
        <f ca="1">SUMIFS('LC-Final List'!$W:$W,'LC-Final List'!$Y:$Y,$A29,'LC-Final List'!$AE:$AE,"*Unpaid*",'LC-Final List'!$E:$E,B$2)</f>
        <v>0</v>
      </c>
      <c r="C29" s="220">
        <f ca="1">SUMIFS('LC-Final List'!$W:$W,'LC-Final List'!$Y:$Y,$A29,'LC-Final List'!$AE:$AE,"*Unpaid*",'LC-Final List'!$E:$E,C$2)</f>
        <v>5431296</v>
      </c>
      <c r="D29" s="220">
        <f ca="1">SUMIFS('LC-Final List'!$W:$W,'LC-Final List'!$Y:$Y,$A29,'LC-Final List'!$AE:$AE,"*Unpaid*",'LC-Final List'!$E:$E,D$2)</f>
        <v>0</v>
      </c>
      <c r="E29" s="220">
        <f ca="1">SUMIFS('LC-Final List'!$W:$W,'LC-Final List'!$Y:$Y,$A29,'LC-Final List'!$AE:$AE,"*Unpaid*")</f>
        <v>5431296</v>
      </c>
      <c r="G29" s="280"/>
      <c r="H29" s="279"/>
    </row>
    <row r="30" spans="1:8" x14ac:dyDescent="0.25">
      <c r="A30" s="281">
        <f ca="1">WORKDAY(TODAY(),27)</f>
        <v>46217</v>
      </c>
      <c r="B30" s="220">
        <f ca="1">SUMIFS('LC-Final List'!$W:$W,'LC-Final List'!$Y:$Y,$A30,'LC-Final List'!$AE:$AE,"*Unpaid*",'LC-Final List'!$E:$E,B$2)</f>
        <v>57673728</v>
      </c>
      <c r="C30" s="220">
        <f ca="1">SUMIFS('LC-Final List'!$W:$W,'LC-Final List'!$Y:$Y,$A30,'LC-Final List'!$AE:$AE,"*Unpaid*",'LC-Final List'!$E:$E,C$2)</f>
        <v>0</v>
      </c>
      <c r="D30" s="220">
        <f ca="1">SUMIFS('LC-Final List'!$W:$W,'LC-Final List'!$Y:$Y,$A30,'LC-Final List'!$AE:$AE,"*Unpaid*",'LC-Final List'!$E:$E,D$2)</f>
        <v>0</v>
      </c>
      <c r="E30" s="220">
        <f ca="1">SUMIFS('LC-Final List'!$W:$W,'LC-Final List'!$Y:$Y,$A30,'LC-Final List'!$AE:$AE,"*Unpaid*")</f>
        <v>57673728</v>
      </c>
      <c r="G30" s="280"/>
      <c r="H30" s="279"/>
    </row>
    <row r="31" spans="1:8" x14ac:dyDescent="0.25">
      <c r="A31" s="281">
        <f ca="1">WORKDAY(TODAY(),28)</f>
        <v>46218</v>
      </c>
      <c r="B31" s="220">
        <f ca="1">SUMIFS('LC-Final List'!$W:$W,'LC-Final List'!$Y:$Y,$A31,'LC-Final List'!$AE:$AE,"*Unpaid*",'LC-Final List'!$E:$E,B$2)</f>
        <v>53705760</v>
      </c>
      <c r="C31" s="220">
        <f ca="1">SUMIFS('LC-Final List'!$W:$W,'LC-Final List'!$Y:$Y,$A31,'LC-Final List'!$AE:$AE,"*Unpaid*",'LC-Final List'!$E:$E,C$2)</f>
        <v>0</v>
      </c>
      <c r="D31" s="220">
        <f ca="1">SUMIFS('LC-Final List'!$W:$W,'LC-Final List'!$Y:$Y,$A31,'LC-Final List'!$AE:$AE,"*Unpaid*",'LC-Final List'!$E:$E,D$2)</f>
        <v>0</v>
      </c>
      <c r="E31" s="220">
        <f ca="1">SUMIFS('LC-Final List'!$W:$W,'LC-Final List'!$Y:$Y,$A31,'LC-Final List'!$AE:$AE,"*Unpaid*")</f>
        <v>53705760</v>
      </c>
      <c r="G31" s="280"/>
      <c r="H31" s="279"/>
    </row>
    <row r="32" spans="1:8" x14ac:dyDescent="0.25">
      <c r="A32" s="281">
        <f ca="1">WORKDAY(TODAY(),29)</f>
        <v>46219</v>
      </c>
      <c r="B32" s="220">
        <f ca="1">SUMIFS('LC-Final List'!$W:$W,'LC-Final List'!$Y:$Y,$A32,'LC-Final List'!$AE:$AE,"*Unpaid*",'LC-Final List'!$E:$E,B$2)</f>
        <v>0</v>
      </c>
      <c r="C32" s="220">
        <f ca="1">SUMIFS('LC-Final List'!$W:$W,'LC-Final List'!$Y:$Y,$A32,'LC-Final List'!$AE:$AE,"*Unpaid*",'LC-Final List'!$E:$E,C$2)</f>
        <v>0</v>
      </c>
      <c r="D32" s="220">
        <f ca="1">SUMIFS('LC-Final List'!$W:$W,'LC-Final List'!$Y:$Y,$A32,'LC-Final List'!$AE:$AE,"*Unpaid*",'LC-Final List'!$E:$E,D$2)</f>
        <v>0</v>
      </c>
      <c r="E32" s="220">
        <f ca="1">SUMIFS('LC-Final List'!$W:$W,'LC-Final List'!$Y:$Y,$A32,'LC-Final List'!$AE:$AE,"*Unpaid*")</f>
        <v>0</v>
      </c>
      <c r="F32" s="2"/>
      <c r="G32" s="280"/>
      <c r="H32" s="279"/>
    </row>
    <row r="33" spans="1:8" x14ac:dyDescent="0.25">
      <c r="A33" s="281">
        <f ca="1">WORKDAY(TODAY(),30)</f>
        <v>46220</v>
      </c>
      <c r="B33" s="220">
        <f ca="1">SUMIFS('LC-Final List'!$W:$W,'LC-Final List'!$Y:$Y,$A33,'LC-Final List'!$AE:$AE,"*Unpaid*",'LC-Final List'!$E:$E,B$2)</f>
        <v>0</v>
      </c>
      <c r="C33" s="220">
        <f ca="1">SUMIFS('LC-Final List'!$W:$W,'LC-Final List'!$Y:$Y,$A33,'LC-Final List'!$AE:$AE,"*Unpaid*",'LC-Final List'!$E:$E,C$2)</f>
        <v>0</v>
      </c>
      <c r="D33" s="220">
        <f ca="1">SUMIFS('LC-Final List'!$W:$W,'LC-Final List'!$Y:$Y,$A33,'LC-Final List'!$AE:$AE,"*Unpaid*",'LC-Final List'!$E:$E,D$2)</f>
        <v>0</v>
      </c>
      <c r="E33" s="220">
        <f ca="1">SUMIFS('LC-Final List'!$W:$W,'LC-Final List'!$Y:$Y,$A33,'LC-Final List'!$AE:$AE,"*Unpaid*")</f>
        <v>0</v>
      </c>
      <c r="F33" s="2"/>
      <c r="G33" s="280"/>
      <c r="H33" s="279"/>
    </row>
    <row r="34" spans="1:8" x14ac:dyDescent="0.25">
      <c r="A34" s="281">
        <f ca="1">WORKDAY(TODAY(),31)</f>
        <v>46223</v>
      </c>
      <c r="B34" s="220">
        <f ca="1">SUMIFS('LC-Final List'!$W:$W,'LC-Final List'!$Y:$Y,$A34,'LC-Final List'!$AE:$AE,"*Unpaid*",'LC-Final List'!$E:$E,B$2)</f>
        <v>0</v>
      </c>
      <c r="C34" s="220">
        <f ca="1">SUMIFS('LC-Final List'!$W:$W,'LC-Final List'!$Y:$Y,$A34,'LC-Final List'!$AE:$AE,"*Unpaid*",'LC-Final List'!$E:$E,C$2)</f>
        <v>0</v>
      </c>
      <c r="D34" s="220">
        <f ca="1">SUMIFS('LC-Final List'!$W:$W,'LC-Final List'!$Y:$Y,$A34,'LC-Final List'!$AE:$AE,"*Unpaid*",'LC-Final List'!$E:$E,D$2)</f>
        <v>0</v>
      </c>
      <c r="E34" s="220">
        <f ca="1">SUMIFS('LC-Final List'!$W:$W,'LC-Final List'!$Y:$Y,$A34,'LC-Final List'!$AE:$AE,"*Unpaid*")</f>
        <v>0</v>
      </c>
      <c r="F34" s="2"/>
      <c r="G34" s="280"/>
      <c r="H34" s="279"/>
    </row>
    <row r="35" spans="1:8" x14ac:dyDescent="0.25">
      <c r="A35" s="281"/>
      <c r="B35" s="220"/>
      <c r="C35" s="220"/>
      <c r="D35" s="220"/>
      <c r="E35" s="220"/>
      <c r="G35" s="280"/>
      <c r="H35" s="279"/>
    </row>
    <row r="36" spans="1:8" x14ac:dyDescent="0.25">
      <c r="A36" s="276" t="s">
        <v>12</v>
      </c>
      <c r="B36" s="278"/>
      <c r="C36" s="278"/>
      <c r="D36" s="278"/>
      <c r="E36" s="278">
        <f ca="1">SUM(E3:E22)</f>
        <v>3084103921.9200001</v>
      </c>
      <c r="F36" s="277"/>
      <c r="G36" s="276" t="s">
        <v>12</v>
      </c>
      <c r="H36" s="75">
        <f>SUM(H3:H35)</f>
        <v>4417019976</v>
      </c>
    </row>
    <row r="38" spans="1:8" x14ac:dyDescent="0.25">
      <c r="B38" s="275"/>
      <c r="C38" s="275"/>
      <c r="D38" s="275"/>
      <c r="E38" s="275"/>
    </row>
    <row r="39" spans="1:8" x14ac:dyDescent="0.25">
      <c r="A39" s="4"/>
      <c r="B39" s="275"/>
      <c r="C39" s="275"/>
      <c r="D39" s="275"/>
      <c r="E39" s="27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2A7E1-329C-4022-AFC7-65B327932FE0}">
  <sheetPr>
    <tabColor theme="8" tint="0.59999389629810485"/>
  </sheetPr>
  <dimension ref="A1:K73"/>
  <sheetViews>
    <sheetView zoomScale="90" zoomScaleNormal="90" workbookViewId="0">
      <pane ySplit="7" topLeftCell="A8" activePane="bottomLeft" state="frozen"/>
      <selection activeCell="I11" sqref="I11"/>
      <selection pane="bottomLeft" activeCell="C10" sqref="C10"/>
    </sheetView>
  </sheetViews>
  <sheetFormatPr defaultRowHeight="15" x14ac:dyDescent="0.25"/>
  <cols>
    <col min="1" max="1" width="23.5703125" bestFit="1" customWidth="1"/>
    <col min="2" max="2" width="17.85546875" style="2" bestFit="1" customWidth="1"/>
    <col min="3" max="3" width="13.42578125" bestFit="1" customWidth="1"/>
    <col min="4" max="4" width="12.42578125" bestFit="1" customWidth="1"/>
    <col min="5" max="6" width="13.42578125" bestFit="1" customWidth="1"/>
    <col min="7" max="7" width="15.28515625" bestFit="1" customWidth="1"/>
    <col min="8" max="8" width="13.42578125" bestFit="1" customWidth="1"/>
    <col min="9" max="9" width="12.5703125" bestFit="1" customWidth="1"/>
    <col min="10" max="10" width="13.42578125" bestFit="1" customWidth="1"/>
    <col min="11" max="12" width="15.28515625" bestFit="1" customWidth="1"/>
    <col min="13" max="14" width="12.5703125" bestFit="1" customWidth="1"/>
    <col min="15" max="15" width="4.5703125" bestFit="1" customWidth="1"/>
    <col min="16" max="16" width="12.5703125" bestFit="1" customWidth="1"/>
    <col min="17" max="17" width="11.85546875" bestFit="1" customWidth="1"/>
    <col min="18" max="18" width="12.5703125" bestFit="1" customWidth="1"/>
    <col min="19" max="19" width="11.85546875" bestFit="1" customWidth="1"/>
    <col min="20" max="21" width="12.5703125" bestFit="1" customWidth="1"/>
    <col min="22" max="24" width="11.85546875" bestFit="1" customWidth="1"/>
    <col min="25" max="25" width="12.5703125" bestFit="1" customWidth="1"/>
    <col min="26" max="27" width="11.85546875" bestFit="1" customWidth="1"/>
    <col min="28" max="28" width="12.5703125" bestFit="1" customWidth="1"/>
    <col min="29" max="29" width="11.85546875" bestFit="1" customWidth="1"/>
    <col min="30" max="31" width="12.5703125" bestFit="1" customWidth="1"/>
    <col min="32" max="32" width="8.5703125" bestFit="1" customWidth="1"/>
    <col min="33" max="33" width="4.5703125" bestFit="1" customWidth="1"/>
    <col min="34" max="34" width="12.5703125" bestFit="1" customWidth="1"/>
    <col min="35" max="35" width="11.85546875" bestFit="1" customWidth="1"/>
    <col min="36" max="37" width="12.5703125" bestFit="1" customWidth="1"/>
    <col min="38" max="38" width="11.85546875" bestFit="1" customWidth="1"/>
    <col min="39" max="41" width="12.5703125" bestFit="1" customWidth="1"/>
    <col min="42" max="42" width="11.85546875" bestFit="1" customWidth="1"/>
    <col min="43" max="43" width="12.5703125" bestFit="1" customWidth="1"/>
    <col min="44" max="45" width="11.85546875" bestFit="1" customWidth="1"/>
    <col min="46" max="47" width="12.5703125" bestFit="1" customWidth="1"/>
    <col min="48" max="48" width="8.5703125" bestFit="1" customWidth="1"/>
    <col min="49" max="49" width="4.5703125" bestFit="1" customWidth="1"/>
    <col min="50" max="50" width="11.85546875" bestFit="1" customWidth="1"/>
    <col min="51" max="51" width="12.5703125" bestFit="1" customWidth="1"/>
    <col min="52" max="52" width="15.140625" bestFit="1" customWidth="1"/>
  </cols>
  <sheetData>
    <row r="1" spans="1:11" ht="20.45" customHeight="1" x14ac:dyDescent="0.3">
      <c r="A1" s="274" t="s">
        <v>13</v>
      </c>
    </row>
    <row r="2" spans="1:11" ht="20.45" customHeight="1" x14ac:dyDescent="0.3">
      <c r="A2" s="274"/>
    </row>
    <row r="3" spans="1:11" ht="20.45" customHeight="1" x14ac:dyDescent="0.25">
      <c r="A3" s="273" t="s">
        <v>1317</v>
      </c>
      <c r="B3" t="s">
        <v>1282</v>
      </c>
    </row>
    <row r="4" spans="1:11" ht="12.95" customHeight="1" x14ac:dyDescent="0.3">
      <c r="A4" s="274"/>
    </row>
    <row r="5" spans="1:11" x14ac:dyDescent="0.25">
      <c r="A5" s="273" t="s">
        <v>14</v>
      </c>
      <c r="B5" s="273" t="s">
        <v>15</v>
      </c>
    </row>
    <row r="6" spans="1:11" x14ac:dyDescent="0.25">
      <c r="A6" s="272"/>
      <c r="B6" t="s">
        <v>146</v>
      </c>
      <c r="D6" s="362" t="s">
        <v>16</v>
      </c>
      <c r="E6" s="288"/>
      <c r="F6" s="287" t="s">
        <v>17</v>
      </c>
      <c r="G6" s="287"/>
      <c r="H6" s="288"/>
      <c r="I6" t="s">
        <v>18</v>
      </c>
      <c r="K6" t="s">
        <v>19</v>
      </c>
    </row>
    <row r="7" spans="1:11" x14ac:dyDescent="0.25">
      <c r="A7" s="286" t="s">
        <v>20</v>
      </c>
      <c r="B7" t="s">
        <v>2</v>
      </c>
      <c r="C7" t="s">
        <v>1</v>
      </c>
      <c r="D7" s="3" t="s">
        <v>2</v>
      </c>
      <c r="E7" s="3" t="s">
        <v>1</v>
      </c>
      <c r="F7" t="s">
        <v>2</v>
      </c>
      <c r="G7" t="s">
        <v>1</v>
      </c>
      <c r="H7" t="s">
        <v>3</v>
      </c>
      <c r="I7" t="s">
        <v>2</v>
      </c>
      <c r="J7" t="s">
        <v>1</v>
      </c>
      <c r="K7" s="3"/>
    </row>
    <row r="8" spans="1:11" x14ac:dyDescent="0.25">
      <c r="A8" s="292">
        <v>46173</v>
      </c>
      <c r="B8" s="285">
        <v>6626520.959999999</v>
      </c>
      <c r="C8" s="285"/>
      <c r="D8" s="285"/>
      <c r="E8" s="285"/>
      <c r="F8" s="285"/>
      <c r="G8" s="285"/>
      <c r="H8" s="285"/>
      <c r="I8" s="285"/>
      <c r="J8" s="285"/>
      <c r="K8" s="285">
        <v>6626520.959999999</v>
      </c>
    </row>
    <row r="9" spans="1:11" x14ac:dyDescent="0.25">
      <c r="A9" s="292">
        <v>46176</v>
      </c>
      <c r="B9" s="271"/>
      <c r="C9" s="271"/>
      <c r="D9" s="271"/>
      <c r="E9" s="271"/>
      <c r="F9" s="271"/>
      <c r="G9" s="271">
        <v>672489216</v>
      </c>
      <c r="H9" s="271"/>
      <c r="I9" s="271"/>
      <c r="J9" s="271"/>
      <c r="K9" s="271">
        <v>672489216</v>
      </c>
    </row>
    <row r="10" spans="1:11" x14ac:dyDescent="0.25">
      <c r="A10" s="292">
        <v>46177</v>
      </c>
      <c r="B10" s="271"/>
      <c r="C10" s="271"/>
      <c r="D10" s="271"/>
      <c r="E10" s="271"/>
      <c r="F10" s="271"/>
      <c r="G10" s="271">
        <v>307582894.07999998</v>
      </c>
      <c r="H10" s="271"/>
      <c r="I10" s="271"/>
      <c r="J10" s="271"/>
      <c r="K10" s="271">
        <v>307582894.07999998</v>
      </c>
    </row>
    <row r="11" spans="1:11" x14ac:dyDescent="0.25">
      <c r="A11" s="292">
        <v>46178</v>
      </c>
      <c r="B11" s="271"/>
      <c r="C11" s="271"/>
      <c r="D11" s="271"/>
      <c r="E11" s="271"/>
      <c r="F11" s="271"/>
      <c r="G11" s="271">
        <v>130279233.60000001</v>
      </c>
      <c r="H11" s="271"/>
      <c r="I11" s="271"/>
      <c r="J11" s="271"/>
      <c r="K11" s="271">
        <v>130279233.60000001</v>
      </c>
    </row>
    <row r="12" spans="1:11" x14ac:dyDescent="0.25">
      <c r="A12" s="292">
        <v>46179</v>
      </c>
      <c r="B12" s="271"/>
      <c r="C12" s="271"/>
      <c r="D12" s="271"/>
      <c r="E12" s="271"/>
      <c r="F12" s="271">
        <v>8697848.7199999988</v>
      </c>
      <c r="G12" s="271"/>
      <c r="H12" s="271">
        <v>40095952.32</v>
      </c>
      <c r="I12" s="271"/>
      <c r="J12" s="271"/>
      <c r="K12" s="271">
        <v>48793801.039999999</v>
      </c>
    </row>
    <row r="13" spans="1:11" x14ac:dyDescent="0.25">
      <c r="A13" s="292">
        <v>46184</v>
      </c>
      <c r="B13" s="271"/>
      <c r="C13" s="271"/>
      <c r="D13" s="271"/>
      <c r="E13" s="271"/>
      <c r="F13" s="271"/>
      <c r="G13" s="271">
        <v>484338009.60000002</v>
      </c>
      <c r="H13" s="271">
        <v>72808012.799999997</v>
      </c>
      <c r="I13" s="271"/>
      <c r="J13" s="271"/>
      <c r="K13" s="271">
        <v>557146022.39999998</v>
      </c>
    </row>
    <row r="14" spans="1:11" x14ac:dyDescent="0.25">
      <c r="A14" s="292">
        <v>46186</v>
      </c>
      <c r="B14" s="271"/>
      <c r="C14" s="271"/>
      <c r="D14" s="271"/>
      <c r="E14" s="271"/>
      <c r="F14" s="271"/>
      <c r="G14" s="271">
        <v>241952968.31999999</v>
      </c>
      <c r="H14" s="271"/>
      <c r="I14" s="271"/>
      <c r="J14" s="271"/>
      <c r="K14" s="271">
        <v>241952968.31999999</v>
      </c>
    </row>
    <row r="15" spans="1:11" x14ac:dyDescent="0.25">
      <c r="A15" s="292">
        <v>46187</v>
      </c>
      <c r="B15" s="271"/>
      <c r="C15" s="271"/>
      <c r="D15" s="271"/>
      <c r="E15" s="271"/>
      <c r="F15" s="271"/>
      <c r="G15" s="271">
        <v>550951603.20000005</v>
      </c>
      <c r="H15" s="271">
        <v>169992000</v>
      </c>
      <c r="I15" s="271"/>
      <c r="J15" s="271"/>
      <c r="K15" s="271">
        <v>720943603.20000005</v>
      </c>
    </row>
    <row r="16" spans="1:11" x14ac:dyDescent="0.25">
      <c r="A16" s="292">
        <v>46190</v>
      </c>
      <c r="B16" s="271"/>
      <c r="C16" s="271"/>
      <c r="D16" s="271"/>
      <c r="E16" s="271"/>
      <c r="F16" s="271"/>
      <c r="G16" s="271">
        <v>594448436.352</v>
      </c>
      <c r="H16" s="271">
        <v>232502400</v>
      </c>
      <c r="I16" s="271"/>
      <c r="J16" s="271"/>
      <c r="K16" s="271">
        <v>826950836.352</v>
      </c>
    </row>
    <row r="17" spans="1:11" x14ac:dyDescent="0.25">
      <c r="A17" s="292">
        <v>46191</v>
      </c>
      <c r="B17" s="271"/>
      <c r="C17" s="271"/>
      <c r="D17" s="271"/>
      <c r="E17" s="271"/>
      <c r="F17" s="271"/>
      <c r="G17" s="271">
        <v>76898304</v>
      </c>
      <c r="H17" s="271"/>
      <c r="I17" s="271"/>
      <c r="J17" s="271"/>
      <c r="K17" s="271">
        <v>76898304</v>
      </c>
    </row>
    <row r="18" spans="1:11" x14ac:dyDescent="0.25">
      <c r="A18" s="292">
        <v>46192</v>
      </c>
      <c r="B18" s="271"/>
      <c r="C18" s="271">
        <v>333708705.792</v>
      </c>
      <c r="D18" s="271"/>
      <c r="E18" s="271"/>
      <c r="F18" s="271"/>
      <c r="G18" s="271">
        <v>130460496.96000001</v>
      </c>
      <c r="H18" s="271"/>
      <c r="I18" s="271"/>
      <c r="J18" s="271"/>
      <c r="K18" s="271">
        <v>464169202.75199997</v>
      </c>
    </row>
    <row r="19" spans="1:11" x14ac:dyDescent="0.25">
      <c r="A19" s="292">
        <v>46194</v>
      </c>
      <c r="B19" s="271">
        <v>15587582.399999999</v>
      </c>
      <c r="C19" s="271"/>
      <c r="D19" s="271"/>
      <c r="E19" s="271"/>
      <c r="F19" s="271"/>
      <c r="G19" s="271"/>
      <c r="H19" s="271"/>
      <c r="I19" s="271"/>
      <c r="J19" s="271"/>
      <c r="K19" s="271">
        <v>15587582.399999999</v>
      </c>
    </row>
    <row r="20" spans="1:11" x14ac:dyDescent="0.25">
      <c r="A20" s="292">
        <v>46197</v>
      </c>
      <c r="B20" s="271">
        <v>825702.72</v>
      </c>
      <c r="C20" s="271"/>
      <c r="D20" s="271"/>
      <c r="E20" s="271"/>
      <c r="F20" s="271">
        <v>358259177.28000003</v>
      </c>
      <c r="G20" s="271">
        <v>182793600</v>
      </c>
      <c r="H20" s="271"/>
      <c r="I20" s="271"/>
      <c r="J20" s="271"/>
      <c r="K20" s="271">
        <v>541878480</v>
      </c>
    </row>
    <row r="21" spans="1:11" x14ac:dyDescent="0.25">
      <c r="A21" s="292">
        <v>46198</v>
      </c>
      <c r="B21" s="271"/>
      <c r="C21" s="271"/>
      <c r="D21" s="271"/>
      <c r="E21" s="271"/>
      <c r="F21" s="271"/>
      <c r="G21" s="271"/>
      <c r="H21" s="271"/>
      <c r="I21" s="271"/>
      <c r="J21" s="271">
        <v>6344064</v>
      </c>
      <c r="K21" s="271">
        <v>6344064</v>
      </c>
    </row>
    <row r="22" spans="1:11" x14ac:dyDescent="0.25">
      <c r="A22" s="292">
        <v>46200</v>
      </c>
      <c r="B22" s="271"/>
      <c r="C22" s="271"/>
      <c r="D22" s="271"/>
      <c r="E22" s="271"/>
      <c r="F22" s="271"/>
      <c r="G22" s="271"/>
      <c r="H22" s="271">
        <v>52310822.400000006</v>
      </c>
      <c r="I22" s="271"/>
      <c r="J22" s="271"/>
      <c r="K22" s="271">
        <v>52310822.400000006</v>
      </c>
    </row>
    <row r="23" spans="1:11" x14ac:dyDescent="0.25">
      <c r="A23" s="292">
        <v>46204</v>
      </c>
      <c r="B23" s="271"/>
      <c r="C23" s="271"/>
      <c r="D23" s="271"/>
      <c r="E23" s="271"/>
      <c r="F23" s="271"/>
      <c r="G23" s="271">
        <v>105580800</v>
      </c>
      <c r="H23" s="271"/>
      <c r="I23" s="271"/>
      <c r="J23" s="271"/>
      <c r="K23" s="271">
        <v>105580800</v>
      </c>
    </row>
    <row r="24" spans="1:11" x14ac:dyDescent="0.25">
      <c r="A24" s="292">
        <v>46207</v>
      </c>
      <c r="B24" s="271"/>
      <c r="C24" s="271"/>
      <c r="D24" s="271"/>
      <c r="E24" s="271"/>
      <c r="F24" s="271"/>
      <c r="G24" s="271"/>
      <c r="H24" s="271">
        <v>45771969.600000001</v>
      </c>
      <c r="I24" s="271"/>
      <c r="J24" s="271"/>
      <c r="K24" s="271">
        <v>45771969.600000001</v>
      </c>
    </row>
    <row r="25" spans="1:11" x14ac:dyDescent="0.25">
      <c r="A25" s="292">
        <v>46212</v>
      </c>
      <c r="B25" s="271"/>
      <c r="C25" s="271"/>
      <c r="D25" s="271"/>
      <c r="E25" s="271"/>
      <c r="F25" s="271"/>
      <c r="G25" s="271">
        <v>93888000</v>
      </c>
      <c r="H25" s="271"/>
      <c r="I25" s="271"/>
      <c r="J25" s="271"/>
      <c r="K25" s="271">
        <v>93888000</v>
      </c>
    </row>
    <row r="26" spans="1:11" x14ac:dyDescent="0.25">
      <c r="A26" s="292">
        <v>46213</v>
      </c>
      <c r="B26" s="271"/>
      <c r="C26" s="271"/>
      <c r="D26" s="271"/>
      <c r="E26" s="271"/>
      <c r="F26" s="271"/>
      <c r="G26" s="271"/>
      <c r="H26" s="271"/>
      <c r="I26" s="271"/>
      <c r="J26" s="271">
        <v>98082793.920000002</v>
      </c>
      <c r="K26" s="271">
        <v>98082793.920000002</v>
      </c>
    </row>
    <row r="27" spans="1:11" x14ac:dyDescent="0.25">
      <c r="A27" s="292">
        <v>46216</v>
      </c>
      <c r="B27" s="271"/>
      <c r="C27" s="271"/>
      <c r="D27" s="271"/>
      <c r="E27" s="271"/>
      <c r="F27" s="271"/>
      <c r="G27" s="271"/>
      <c r="H27" s="271"/>
      <c r="I27" s="271">
        <v>5431296</v>
      </c>
      <c r="J27" s="271"/>
      <c r="K27" s="271">
        <v>5431296</v>
      </c>
    </row>
    <row r="28" spans="1:11" x14ac:dyDescent="0.25">
      <c r="A28" s="292">
        <v>46219</v>
      </c>
      <c r="B28" s="271"/>
      <c r="C28" s="271"/>
      <c r="D28" s="271"/>
      <c r="E28" s="271">
        <v>57673728</v>
      </c>
      <c r="F28" s="271"/>
      <c r="G28" s="271"/>
      <c r="H28" s="271"/>
      <c r="I28" s="271"/>
      <c r="J28" s="271"/>
      <c r="K28" s="271">
        <v>57673728</v>
      </c>
    </row>
    <row r="29" spans="1:11" x14ac:dyDescent="0.25">
      <c r="A29" s="292">
        <v>46220</v>
      </c>
      <c r="B29" s="271"/>
      <c r="C29" s="271"/>
      <c r="D29" s="271"/>
      <c r="E29" s="271">
        <v>53705760</v>
      </c>
      <c r="F29" s="271"/>
      <c r="G29" s="271"/>
      <c r="H29" s="271"/>
      <c r="I29" s="271"/>
      <c r="J29" s="271"/>
      <c r="K29" s="271">
        <v>53705760</v>
      </c>
    </row>
    <row r="30" spans="1:11" x14ac:dyDescent="0.25">
      <c r="A30" s="292">
        <v>46224</v>
      </c>
      <c r="B30" s="271"/>
      <c r="C30" s="271"/>
      <c r="D30" s="271"/>
      <c r="E30" s="271"/>
      <c r="F30" s="271"/>
      <c r="G30" s="271"/>
      <c r="H30" s="271"/>
      <c r="I30" s="271">
        <v>49147084.799999997</v>
      </c>
      <c r="J30" s="271"/>
      <c r="K30" s="271">
        <v>49147084.799999997</v>
      </c>
    </row>
    <row r="31" spans="1:11" x14ac:dyDescent="0.25">
      <c r="A31" s="292">
        <v>46235</v>
      </c>
      <c r="B31" s="271"/>
      <c r="C31" s="271"/>
      <c r="D31" s="271"/>
      <c r="E31" s="271">
        <v>106310400</v>
      </c>
      <c r="F31" s="271"/>
      <c r="G31" s="271"/>
      <c r="H31" s="271"/>
      <c r="I31" s="271"/>
      <c r="J31" s="271"/>
      <c r="K31" s="271">
        <v>106310400</v>
      </c>
    </row>
    <row r="32" spans="1:11" x14ac:dyDescent="0.25">
      <c r="A32" s="292">
        <v>46250</v>
      </c>
      <c r="B32" s="271"/>
      <c r="C32" s="271"/>
      <c r="D32" s="271">
        <v>22579200</v>
      </c>
      <c r="E32" s="271"/>
      <c r="F32" s="271"/>
      <c r="G32" s="271"/>
      <c r="H32" s="271"/>
      <c r="I32" s="271"/>
      <c r="J32" s="271"/>
      <c r="K32" s="271">
        <v>22579200</v>
      </c>
    </row>
    <row r="33" spans="1:11" x14ac:dyDescent="0.25">
      <c r="A33" s="292">
        <v>46255</v>
      </c>
      <c r="B33" s="271"/>
      <c r="C33" s="271"/>
      <c r="D33" s="271">
        <v>6420480</v>
      </c>
      <c r="E33" s="271"/>
      <c r="F33" s="271"/>
      <c r="G33" s="271"/>
      <c r="H33" s="271"/>
      <c r="I33" s="271"/>
      <c r="J33" s="271"/>
      <c r="K33" s="271">
        <v>6420480</v>
      </c>
    </row>
    <row r="34" spans="1:11" x14ac:dyDescent="0.25">
      <c r="A34" s="90" t="s">
        <v>21</v>
      </c>
      <c r="B34" s="271"/>
      <c r="C34" s="271">
        <v>0</v>
      </c>
      <c r="D34" s="271"/>
      <c r="E34" s="271">
        <v>0</v>
      </c>
      <c r="F34" s="271"/>
      <c r="G34" s="271">
        <v>0</v>
      </c>
      <c r="H34" s="271"/>
      <c r="I34" s="271"/>
      <c r="J34" s="271"/>
      <c r="K34" s="271">
        <v>0</v>
      </c>
    </row>
    <row r="35" spans="1:11" x14ac:dyDescent="0.25">
      <c r="A35" s="46" t="s">
        <v>19</v>
      </c>
      <c r="B35" s="270">
        <v>23039806.079999998</v>
      </c>
      <c r="C35" s="270">
        <v>333708705.792</v>
      </c>
      <c r="D35" s="270">
        <v>28999680</v>
      </c>
      <c r="E35" s="270">
        <v>217689888</v>
      </c>
      <c r="F35" s="270">
        <v>366957026</v>
      </c>
      <c r="G35" s="270">
        <v>3571663562.1119995</v>
      </c>
      <c r="H35" s="270">
        <v>613481157.12</v>
      </c>
      <c r="I35" s="270">
        <v>54578380.799999997</v>
      </c>
      <c r="J35" s="270">
        <v>104426857.92</v>
      </c>
      <c r="K35" s="270">
        <v>5314545063.8240004</v>
      </c>
    </row>
    <row r="36" spans="1:11" x14ac:dyDescent="0.25">
      <c r="B36"/>
    </row>
    <row r="37" spans="1:11" x14ac:dyDescent="0.25">
      <c r="B37"/>
    </row>
    <row r="38" spans="1:11" x14ac:dyDescent="0.25">
      <c r="B38"/>
    </row>
    <row r="39" spans="1:11" x14ac:dyDescent="0.25">
      <c r="B39"/>
    </row>
    <row r="40" spans="1:11" x14ac:dyDescent="0.25">
      <c r="B40"/>
    </row>
    <row r="41" spans="1:11" x14ac:dyDescent="0.25">
      <c r="B41"/>
    </row>
    <row r="42" spans="1:11" x14ac:dyDescent="0.25">
      <c r="B42"/>
    </row>
    <row r="43" spans="1:11" x14ac:dyDescent="0.25">
      <c r="B43"/>
    </row>
    <row r="44" spans="1:11" x14ac:dyDescent="0.25">
      <c r="B44"/>
    </row>
    <row r="45" spans="1:11" x14ac:dyDescent="0.25">
      <c r="B45"/>
    </row>
    <row r="46" spans="1:11" x14ac:dyDescent="0.25">
      <c r="B46"/>
    </row>
    <row r="47" spans="1:11" x14ac:dyDescent="0.25">
      <c r="B47"/>
    </row>
    <row r="48" spans="1:11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5517A-0597-4F3B-8B75-B2BDC1D41609}">
  <dimension ref="A1:P29"/>
  <sheetViews>
    <sheetView zoomScaleNormal="100" workbookViewId="0">
      <selection activeCell="A3" sqref="A3"/>
    </sheetView>
  </sheetViews>
  <sheetFormatPr defaultRowHeight="15" x14ac:dyDescent="0.25"/>
  <cols>
    <col min="1" max="1" width="11.28515625" customWidth="1"/>
    <col min="2" max="2" width="30.140625" bestFit="1" customWidth="1"/>
    <col min="3" max="3" width="18" bestFit="1" customWidth="1"/>
    <col min="4" max="4" width="16.85546875" bestFit="1" customWidth="1"/>
    <col min="5" max="5" width="15.28515625" bestFit="1" customWidth="1"/>
    <col min="6" max="6" width="18" bestFit="1" customWidth="1"/>
    <col min="7" max="7" width="18" customWidth="1"/>
    <col min="8" max="8" width="16.85546875" bestFit="1" customWidth="1"/>
    <col min="9" max="10" width="18" bestFit="1" customWidth="1"/>
    <col min="11" max="11" width="16.85546875" bestFit="1" customWidth="1"/>
    <col min="12" max="12" width="18.85546875" bestFit="1" customWidth="1"/>
    <col min="13" max="13" width="7.28515625" customWidth="1"/>
    <col min="14" max="14" width="17.7109375" bestFit="1" customWidth="1"/>
    <col min="15" max="15" width="16.85546875" bestFit="1" customWidth="1"/>
    <col min="16" max="16" width="17.7109375" bestFit="1" customWidth="1"/>
    <col min="17" max="17" width="16" bestFit="1" customWidth="1"/>
    <col min="18" max="18" width="15.28515625" bestFit="1" customWidth="1"/>
  </cols>
  <sheetData>
    <row r="1" spans="1:16" ht="51" customHeight="1" x14ac:dyDescent="0.25">
      <c r="A1" s="9" t="s">
        <v>22</v>
      </c>
      <c r="B1" s="9" t="s">
        <v>23</v>
      </c>
      <c r="C1" s="9" t="s">
        <v>24</v>
      </c>
      <c r="E1" s="244" t="s">
        <v>25</v>
      </c>
      <c r="F1" s="243" t="s">
        <v>26</v>
      </c>
      <c r="G1" s="245" t="s">
        <v>1321</v>
      </c>
      <c r="H1" s="245" t="s">
        <v>27</v>
      </c>
      <c r="I1" s="245" t="s">
        <v>28</v>
      </c>
      <c r="J1" s="243" t="s">
        <v>29</v>
      </c>
      <c r="K1" s="243" t="s">
        <v>30</v>
      </c>
      <c r="L1" s="301" t="s">
        <v>31</v>
      </c>
      <c r="N1" s="245" t="s">
        <v>13</v>
      </c>
      <c r="O1" s="245" t="s">
        <v>32</v>
      </c>
    </row>
    <row r="2" spans="1:16" x14ac:dyDescent="0.25">
      <c r="A2" s="6"/>
      <c r="B2" s="10"/>
      <c r="C2" s="8"/>
      <c r="E2" s="10" t="s">
        <v>33</v>
      </c>
      <c r="F2" s="478">
        <f>1500000000</f>
        <v>1500000000</v>
      </c>
      <c r="G2" s="478">
        <f>160000000+7000000-140000000</f>
        <v>27000000</v>
      </c>
      <c r="H2" s="222">
        <v>822500000</v>
      </c>
      <c r="I2" s="478">
        <f>F2+G2</f>
        <v>1527000000</v>
      </c>
      <c r="J2" s="478">
        <f>$C$5+H2</f>
        <v>1265162940.8000002</v>
      </c>
      <c r="K2" s="222"/>
      <c r="L2" s="222"/>
      <c r="N2" s="452">
        <f>I2-J2</f>
        <v>261837059.19999981</v>
      </c>
      <c r="O2" s="246"/>
    </row>
    <row r="3" spans="1:16" x14ac:dyDescent="0.25">
      <c r="A3" s="12">
        <v>2</v>
      </c>
      <c r="B3" s="13" t="s">
        <v>34</v>
      </c>
      <c r="C3" s="437">
        <f>SUMIF('LC-Final List'!$AD$2:$AD$222,B3,'LC-Final List'!$W$2:$W$222)</f>
        <v>36772620.291199997</v>
      </c>
      <c r="E3" s="10" t="s">
        <v>35</v>
      </c>
      <c r="F3" s="478">
        <f>1570000000</f>
        <v>1570000000</v>
      </c>
      <c r="G3" s="303">
        <v>0</v>
      </c>
      <c r="H3" s="222">
        <v>820000000</v>
      </c>
      <c r="I3" s="478">
        <f>F3+G3</f>
        <v>1570000000</v>
      </c>
      <c r="J3" s="478">
        <f>$C$6+H3</f>
        <v>1393385204.8</v>
      </c>
      <c r="K3" s="222">
        <v>0</v>
      </c>
      <c r="L3" s="222"/>
      <c r="N3" s="452">
        <f>I3-J3-K3</f>
        <v>176614795.20000005</v>
      </c>
      <c r="O3" s="246"/>
    </row>
    <row r="4" spans="1:16" ht="15.75" thickBot="1" x14ac:dyDescent="0.3">
      <c r="A4" s="14">
        <v>3</v>
      </c>
      <c r="B4" s="204" t="s">
        <v>36</v>
      </c>
      <c r="C4" s="453">
        <f>SUMIFS('LC-Final List'!$W:$W,'LC-Final List'!$AD:$AD,B4)</f>
        <v>7989168671.1369772</v>
      </c>
      <c r="E4" s="10" t="s">
        <v>37</v>
      </c>
      <c r="F4" s="303">
        <v>7840000000</v>
      </c>
      <c r="G4" s="303">
        <v>0</v>
      </c>
      <c r="H4" s="222">
        <v>1810000000</v>
      </c>
      <c r="I4" s="478">
        <f>F4-H4</f>
        <v>6030000000</v>
      </c>
      <c r="J4" s="478">
        <f>$C$8+5000000</f>
        <v>3961814983.4239998</v>
      </c>
      <c r="K4" s="222">
        <v>45000000</v>
      </c>
      <c r="L4" s="478">
        <f>'LC BG in Process'!H10-'LC-Summary'!K2-'LC-Summary'!K3-'LC-Summary'!K4</f>
        <v>416464749.60000002</v>
      </c>
      <c r="N4" s="452">
        <f>I4-J4-K4</f>
        <v>2023185016.5760002</v>
      </c>
      <c r="O4" s="246"/>
    </row>
    <row r="5" spans="1:16" ht="15.75" thickTop="1" x14ac:dyDescent="0.25">
      <c r="A5" s="203"/>
      <c r="B5" s="160" t="s">
        <v>2</v>
      </c>
      <c r="C5" s="479">
        <f>SUMIFS('LC-Final List'!$W:$W,'LC-Final List'!$AH:$AH,"Open",'LC-Final List'!$E:$E,'LC-Summary'!B5)</f>
        <v>442662940.80000007</v>
      </c>
      <c r="D5" s="5"/>
      <c r="E5" s="10" t="s">
        <v>38</v>
      </c>
      <c r="F5" s="222"/>
      <c r="G5" s="222"/>
      <c r="H5" s="222"/>
      <c r="I5" s="222"/>
      <c r="J5" s="478">
        <f>$C$7</f>
        <v>132090228.021</v>
      </c>
      <c r="K5" s="222"/>
      <c r="L5" s="222"/>
      <c r="M5" s="266"/>
      <c r="N5" s="246"/>
      <c r="O5" s="246"/>
    </row>
    <row r="6" spans="1:16" x14ac:dyDescent="0.25">
      <c r="A6" s="203"/>
      <c r="B6" s="251" t="s">
        <v>3</v>
      </c>
      <c r="C6" s="479">
        <f>SUMIFS('LC-Final List'!$W:$W,'LC-Final List'!$AH:$AH,"Open",'LC-Final List'!$E:$E,'LC-Summary'!B6)</f>
        <v>573385204.79999995</v>
      </c>
      <c r="E6" s="10" t="s">
        <v>39</v>
      </c>
      <c r="F6" s="222"/>
      <c r="G6" s="222"/>
      <c r="H6" s="222"/>
      <c r="I6" s="222"/>
      <c r="J6" s="222">
        <v>0</v>
      </c>
      <c r="K6" s="222"/>
      <c r="L6" s="222"/>
      <c r="N6" s="246"/>
      <c r="O6" s="246"/>
    </row>
    <row r="7" spans="1:16" x14ac:dyDescent="0.25">
      <c r="A7" s="203" t="s">
        <v>40</v>
      </c>
      <c r="B7" s="251">
        <v>1</v>
      </c>
      <c r="C7" s="479">
        <f>SUMIFS('LC-Final List'!$M:$M,'LC-Final List'!$F:$F,B7,'LC-Final List'!$AH:$AH,"Open")</f>
        <v>132090228.021</v>
      </c>
      <c r="N7" s="246"/>
      <c r="O7" s="246"/>
    </row>
    <row r="8" spans="1:16" x14ac:dyDescent="0.25">
      <c r="A8" s="253">
        <v>0.1</v>
      </c>
      <c r="B8" s="160" t="s">
        <v>1</v>
      </c>
      <c r="C8" s="479">
        <f>SUMIFS('LC-Final List'!$M:$M,'LC-Final List'!$AH:$AH,"Open",'LC-Final List'!$E:$E,'LC-Summary'!B8,'LC-Final List'!$F:$F,A8)</f>
        <v>3956814983.4239998</v>
      </c>
      <c r="D8" s="307"/>
      <c r="N8" s="246"/>
      <c r="O8" s="246"/>
    </row>
    <row r="9" spans="1:16" x14ac:dyDescent="0.25">
      <c r="A9" s="12"/>
      <c r="B9" s="269" t="s">
        <v>41</v>
      </c>
      <c r="C9" s="479">
        <f>C8+C5+C6</f>
        <v>4972863129.0240002</v>
      </c>
      <c r="D9" s="1"/>
      <c r="E9" s="10" t="s">
        <v>42</v>
      </c>
      <c r="F9" s="144">
        <v>4500000000</v>
      </c>
      <c r="G9" s="144"/>
      <c r="H9" s="144">
        <v>0</v>
      </c>
      <c r="I9" s="479">
        <f>F9-H9</f>
        <v>4500000000</v>
      </c>
      <c r="J9" s="479">
        <f>SUMIF('Bank Guarantee'!$B$2:$B$32,'LC-Summary'!E9,'Bank Guarantee'!$F$2:$F$32)</f>
        <v>1801696196</v>
      </c>
      <c r="K9" s="248"/>
      <c r="L9" s="248"/>
      <c r="N9" s="452">
        <f>I9-J9-K9</f>
        <v>2698303804</v>
      </c>
      <c r="O9" s="246"/>
    </row>
    <row r="10" spans="1:16" x14ac:dyDescent="0.25">
      <c r="A10" s="12">
        <v>4</v>
      </c>
      <c r="B10" s="13" t="s">
        <v>43</v>
      </c>
      <c r="C10" s="437">
        <f>SUMIFS('LC-Final List'!$W:$W,'LC-Final List'!$AD:$AD,'LC-Summary'!B10,'LC-Final List'!$AE:$AE,"Unpaid")</f>
        <v>3330653094.7200003</v>
      </c>
      <c r="E10" s="10" t="s">
        <v>44</v>
      </c>
      <c r="F10" s="144">
        <v>630000000</v>
      </c>
      <c r="G10" s="144"/>
      <c r="H10" s="144">
        <v>0</v>
      </c>
      <c r="I10" s="479">
        <f>F10-H10</f>
        <v>630000000</v>
      </c>
      <c r="J10" s="479">
        <f>SUMIF('Bank Guarantee'!$B$2:$B$24,'LC-Summary'!E10,'Bank Guarantee'!$F$2:$F$24)</f>
        <v>157812020</v>
      </c>
      <c r="K10" s="248">
        <v>0</v>
      </c>
      <c r="L10" s="247"/>
      <c r="N10" s="452">
        <f>I10-J10-K10</f>
        <v>472187980</v>
      </c>
      <c r="O10" s="246"/>
    </row>
    <row r="11" spans="1:16" x14ac:dyDescent="0.25">
      <c r="A11" s="12">
        <v>5</v>
      </c>
      <c r="B11" s="13" t="s">
        <v>45</v>
      </c>
      <c r="C11" s="437">
        <f>SUMIF('LC-Final List'!$AD$2:$AD$222,B11,'LC-Final List'!$W$2:$W$222)</f>
        <v>1176972358.0799999</v>
      </c>
      <c r="D11" s="1"/>
      <c r="E11" s="10" t="s">
        <v>46</v>
      </c>
      <c r="F11" s="144">
        <v>770000000</v>
      </c>
      <c r="G11" s="144"/>
      <c r="H11" s="144">
        <v>0</v>
      </c>
      <c r="I11" s="479">
        <f>F11-H11</f>
        <v>770000000</v>
      </c>
      <c r="J11" s="144">
        <v>0</v>
      </c>
      <c r="K11" s="248">
        <v>0</v>
      </c>
      <c r="L11" s="248"/>
      <c r="N11" s="452">
        <f>I11-J11-K11</f>
        <v>770000000</v>
      </c>
      <c r="O11" s="246"/>
    </row>
    <row r="12" spans="1:16" x14ac:dyDescent="0.25">
      <c r="A12" s="12" t="s">
        <v>47</v>
      </c>
      <c r="B12" s="13" t="s">
        <v>43</v>
      </c>
      <c r="C12" s="437">
        <f>SUMIFS('LC-Final List'!$W:$W,'LC-Final List'!$AD:$AD,'LC-Summary'!B12,'LC-Final List'!$AE:$AE,"paid")</f>
        <v>465237673.92000002</v>
      </c>
      <c r="E12" s="10" t="s">
        <v>48</v>
      </c>
      <c r="F12" s="144">
        <v>0</v>
      </c>
      <c r="G12" s="144"/>
      <c r="H12" s="144">
        <v>0</v>
      </c>
      <c r="I12" s="479">
        <f>F12-H12</f>
        <v>0</v>
      </c>
      <c r="J12" s="479">
        <f>SUMIF('Bank Guarantee'!$B$2:$B$33,'LC-Summary'!E12,'Bank Guarantee'!$F$2:$F$33)</f>
        <v>94783120</v>
      </c>
      <c r="K12" s="248">
        <v>0</v>
      </c>
      <c r="L12" s="248"/>
      <c r="N12" s="246"/>
      <c r="O12" s="246"/>
    </row>
    <row r="13" spans="1:16" x14ac:dyDescent="0.25">
      <c r="C13" s="1"/>
      <c r="E13" s="244" t="s">
        <v>49</v>
      </c>
      <c r="F13" s="479">
        <f>SUM(F2:F11)</f>
        <v>16810000000</v>
      </c>
      <c r="G13" s="302"/>
      <c r="H13" s="479">
        <f>SUM(H2:H11)</f>
        <v>3452500000</v>
      </c>
      <c r="I13" s="479">
        <f>I2+I10+I4+I9+I3+I11</f>
        <v>15027000000</v>
      </c>
      <c r="J13" s="479">
        <f>J2+J10+J4+J9+J3+J11</f>
        <v>8579871345.0240002</v>
      </c>
      <c r="K13" s="479">
        <f>K4+K9+K3+K11+K2</f>
        <v>45000000</v>
      </c>
      <c r="L13" s="249"/>
      <c r="M13" s="1"/>
      <c r="N13" s="452">
        <f>SUM(N2:N12)</f>
        <v>6402128654.9759998</v>
      </c>
      <c r="O13" s="452">
        <f>SUM(O2:O12)</f>
        <v>0</v>
      </c>
    </row>
    <row r="14" spans="1:16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B15" s="11"/>
      <c r="C15" s="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208" t="s">
        <v>54</v>
      </c>
      <c r="B16" s="223"/>
    </row>
    <row r="17" spans="1:16" x14ac:dyDescent="0.25">
      <c r="B17" s="4"/>
      <c r="D17" s="1"/>
    </row>
    <row r="18" spans="1:16" x14ac:dyDescent="0.25">
      <c r="A18" s="662" t="s">
        <v>50</v>
      </c>
      <c r="B18" s="662"/>
      <c r="C18" s="17" t="s">
        <v>55</v>
      </c>
      <c r="D18" s="17" t="s">
        <v>51</v>
      </c>
      <c r="E18" s="17" t="s">
        <v>52</v>
      </c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241"/>
    </row>
    <row r="19" spans="1:16" x14ac:dyDescent="0.25">
      <c r="A19" s="663">
        <v>46113</v>
      </c>
      <c r="B19" s="664"/>
      <c r="C19" s="443">
        <f>SUMIF(SBLC!$S$2:$S$27,'LC-Summary'!A19,SBLC!$Q$2:$Q$27)</f>
        <v>135016110</v>
      </c>
      <c r="D19" s="443">
        <f>SUMIFS(SBLC!Q:Q,SBLC!T:T,"Paid",SBLC!S:S,'LC-Summary'!A19)</f>
        <v>135016110</v>
      </c>
      <c r="E19" s="480">
        <f>C19-D19</f>
        <v>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x14ac:dyDescent="0.25">
      <c r="A20" s="663">
        <v>46204</v>
      </c>
      <c r="B20" s="664"/>
      <c r="C20" s="443">
        <f>SUMIF(SBLC!$S$2:$S$70,'LC-Summary'!A20,SBLC!$X$2:$X$70)</f>
        <v>1734039498.0504999</v>
      </c>
      <c r="D20" s="443">
        <f>SUMIFS(SBLC!X:X,SBLC!T:T,"Paid",SBLC!S:S,'LC-Summary'!A20)</f>
        <v>0</v>
      </c>
      <c r="E20" s="480">
        <f>C20-D20</f>
        <v>1734039498.0504999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x14ac:dyDescent="0.25">
      <c r="A21" s="663">
        <v>46235</v>
      </c>
      <c r="B21" s="664"/>
      <c r="C21" s="443">
        <f>SUMIF(SBLC!$S$2:$S$70,'LC-Summary'!A21,SBLC!$X$2:$X$70)</f>
        <v>268263069.10000002</v>
      </c>
      <c r="D21" s="443">
        <f>SUMIFS(SBLC!X:X,SBLC!T:T,"Paid",SBLC!S:S,'LC-Summary'!A21)</f>
        <v>0</v>
      </c>
      <c r="E21" s="480">
        <f>C21-D21</f>
        <v>268263069.10000002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x14ac:dyDescent="0.25">
      <c r="A22" s="663">
        <v>46266</v>
      </c>
      <c r="B22" s="664"/>
      <c r="C22" s="443">
        <f>SUMIF(SBLC!$S$2:$S$70,'LC-Summary'!A22,SBLC!$X$2:$X$70)</f>
        <v>122738997.75</v>
      </c>
      <c r="D22" s="443">
        <f>SUMIFS(SBLC!X:X,SBLC!T:T,"Paid",SBLC!S:S,'LC-Summary'!A22)</f>
        <v>0</v>
      </c>
      <c r="E22" s="480">
        <f t="shared" ref="E22:E24" si="0">C22-D22</f>
        <v>122738997.75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x14ac:dyDescent="0.25">
      <c r="A23" s="663">
        <v>46296</v>
      </c>
      <c r="B23" s="664"/>
      <c r="C23" s="443">
        <f>SUMIF(SBLC!$S$2:$S$70,'LC-Summary'!A23,SBLC!$X$2:$X$70)</f>
        <v>0</v>
      </c>
      <c r="D23" s="443">
        <f>SUMIFS(SBLC!X:X,SBLC!T:T,"Paid",SBLC!S:S,'LC-Summary'!A23)</f>
        <v>0</v>
      </c>
      <c r="E23" s="480">
        <f t="shared" si="0"/>
        <v>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x14ac:dyDescent="0.25">
      <c r="A24" s="663">
        <v>46327</v>
      </c>
      <c r="B24" s="664"/>
      <c r="C24" s="443">
        <f>SUMIF(SBLC!$S$2:$S$70,'LC-Summary'!A24,SBLC!$X$2:$X$70)</f>
        <v>646259925.70000005</v>
      </c>
      <c r="D24" s="443">
        <f>SUMIFS(SBLC!X:X,SBLC!T:T,"Paid",SBLC!S:S,'LC-Summary'!A24)</f>
        <v>0</v>
      </c>
      <c r="E24" s="480">
        <f t="shared" si="0"/>
        <v>646259925.70000005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x14ac:dyDescent="0.25">
      <c r="A25" s="304"/>
      <c r="B25" s="305"/>
      <c r="C25" s="220"/>
      <c r="D25" s="220"/>
      <c r="E25" s="221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x14ac:dyDescent="0.25">
      <c r="A26" s="662" t="s">
        <v>53</v>
      </c>
      <c r="B26" s="662"/>
      <c r="C26" s="478">
        <f>SUM(C19:C25)</f>
        <v>2906317600.6005001</v>
      </c>
      <c r="D26" s="478">
        <f>SUM(D19:D25)</f>
        <v>135016110</v>
      </c>
      <c r="E26" s="478">
        <f>SUM(E19:E25)</f>
        <v>2771301490.6005001</v>
      </c>
      <c r="F26" s="242"/>
      <c r="G26" s="242"/>
      <c r="H26" s="242"/>
      <c r="I26" s="242"/>
      <c r="J26" s="242"/>
      <c r="K26" s="242"/>
      <c r="L26" s="242"/>
      <c r="M26" s="242"/>
      <c r="N26" s="242"/>
      <c r="O26" s="242"/>
      <c r="P26" s="242"/>
    </row>
    <row r="28" spans="1:16" x14ac:dyDescent="0.25">
      <c r="C28" s="1"/>
    </row>
    <row r="29" spans="1:16" x14ac:dyDescent="0.25">
      <c r="H29" s="1"/>
    </row>
  </sheetData>
  <mergeCells count="8">
    <mergeCell ref="A26:B26"/>
    <mergeCell ref="A19:B19"/>
    <mergeCell ref="A18:B18"/>
    <mergeCell ref="A20:B20"/>
    <mergeCell ref="A21:B21"/>
    <mergeCell ref="A22:B22"/>
    <mergeCell ref="A23:B23"/>
    <mergeCell ref="A24:B24"/>
  </mergeCells>
  <phoneticPr fontId="5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F984F-266D-4D57-9F51-73F1134007A1}">
  <sheetPr filterMode="1">
    <tabColor theme="8" tint="0.59999389629810485"/>
  </sheetPr>
  <dimension ref="A1:O198"/>
  <sheetViews>
    <sheetView showGridLines="0" zoomScale="70" zoomScaleNormal="70" workbookViewId="0">
      <selection activeCell="A8" sqref="A8"/>
    </sheetView>
  </sheetViews>
  <sheetFormatPr defaultRowHeight="15" x14ac:dyDescent="0.25"/>
  <cols>
    <col min="1" max="1" width="23.7109375" bestFit="1" customWidth="1"/>
    <col min="2" max="2" width="20.7109375" bestFit="1" customWidth="1"/>
    <col min="3" max="4" width="20.28515625" bestFit="1" customWidth="1"/>
    <col min="5" max="5" width="21.5703125" bestFit="1" customWidth="1"/>
    <col min="6" max="6" width="20" bestFit="1" customWidth="1"/>
    <col min="7" max="7" width="18.140625" bestFit="1" customWidth="1"/>
    <col min="8" max="8" width="20" bestFit="1" customWidth="1"/>
    <col min="9" max="9" width="18.140625" bestFit="1" customWidth="1"/>
    <col min="10" max="11" width="20.28515625" bestFit="1" customWidth="1"/>
    <col min="12" max="12" width="7.42578125" customWidth="1"/>
    <col min="13" max="13" width="27.5703125" customWidth="1"/>
    <col min="14" max="16" width="12.42578125" bestFit="1" customWidth="1"/>
    <col min="17" max="17" width="14" bestFit="1" customWidth="1"/>
  </cols>
  <sheetData>
    <row r="1" spans="1:12" ht="18.75" x14ac:dyDescent="0.25">
      <c r="A1" s="308" t="s">
        <v>56</v>
      </c>
      <c r="K1" s="349"/>
      <c r="L1" s="350" t="s">
        <v>92</v>
      </c>
    </row>
    <row r="3" spans="1:12" ht="15.75" x14ac:dyDescent="0.25">
      <c r="A3" s="207" t="s">
        <v>57</v>
      </c>
      <c r="B3" s="4"/>
      <c r="G3" s="207" t="s">
        <v>58</v>
      </c>
    </row>
    <row r="4" spans="1:12" ht="16.5" thickBot="1" x14ac:dyDescent="0.3">
      <c r="A4" s="207"/>
      <c r="E4" s="309"/>
    </row>
    <row r="5" spans="1:12" ht="15.75" thickBot="1" x14ac:dyDescent="0.3">
      <c r="A5" s="310" t="s">
        <v>59</v>
      </c>
      <c r="B5" s="311" t="s">
        <v>1</v>
      </c>
      <c r="C5" s="311" t="s">
        <v>2</v>
      </c>
      <c r="D5" s="311" t="s">
        <v>3</v>
      </c>
      <c r="E5" s="312" t="s">
        <v>53</v>
      </c>
      <c r="G5" s="310" t="s">
        <v>60</v>
      </c>
      <c r="H5" s="341" t="s">
        <v>1</v>
      </c>
      <c r="I5" s="341" t="s">
        <v>2</v>
      </c>
      <c r="J5" s="341" t="s">
        <v>3</v>
      </c>
      <c r="K5" s="342" t="s">
        <v>53</v>
      </c>
    </row>
    <row r="6" spans="1:12" ht="30" x14ac:dyDescent="0.25">
      <c r="A6" s="389" t="s">
        <v>61</v>
      </c>
      <c r="B6" s="313"/>
      <c r="C6" s="313"/>
      <c r="D6" s="313"/>
      <c r="E6" s="314"/>
      <c r="G6" s="337">
        <v>0.1</v>
      </c>
      <c r="H6" s="454">
        <f>B14</f>
        <v>4002652483.4239998</v>
      </c>
      <c r="I6" s="454">
        <f>C14</f>
        <v>442662940.80000007</v>
      </c>
      <c r="J6" s="454">
        <f>D14</f>
        <v>573385204.79999995</v>
      </c>
      <c r="K6" s="454">
        <f>SUM(H6:J6)</f>
        <v>5018700629.0240002</v>
      </c>
    </row>
    <row r="7" spans="1:12" x14ac:dyDescent="0.25">
      <c r="A7" s="329" t="s">
        <v>26</v>
      </c>
      <c r="B7" s="315">
        <v>7840000000</v>
      </c>
      <c r="C7" s="315">
        <v>1500000000</v>
      </c>
      <c r="D7" s="315">
        <v>1570000000</v>
      </c>
      <c r="E7" s="458">
        <f>B7+C7+D7</f>
        <v>10910000000</v>
      </c>
      <c r="G7" s="338">
        <v>1</v>
      </c>
      <c r="H7" s="455">
        <f>B26</f>
        <v>132090228.021</v>
      </c>
      <c r="I7" s="455">
        <f>C26</f>
        <v>0</v>
      </c>
      <c r="J7" s="455">
        <f>D26</f>
        <v>0</v>
      </c>
      <c r="K7" s="455">
        <f>SUM(H7:J7)</f>
        <v>132090228.021</v>
      </c>
    </row>
    <row r="8" spans="1:12" ht="15.75" thickBot="1" x14ac:dyDescent="0.3">
      <c r="A8" s="329" t="s">
        <v>62</v>
      </c>
      <c r="B8" s="387">
        <v>1810000000</v>
      </c>
      <c r="C8" s="457">
        <f>160000000+7000000-140000000</f>
        <v>27000000</v>
      </c>
      <c r="D8" s="387"/>
      <c r="E8" s="458">
        <f>B8+C8+D8</f>
        <v>1837000000</v>
      </c>
      <c r="G8" s="338">
        <v>1.1000000000000001</v>
      </c>
      <c r="H8" s="455">
        <f>B33</f>
        <v>0</v>
      </c>
      <c r="I8" s="455">
        <f>C33</f>
        <v>0</v>
      </c>
      <c r="J8" s="455">
        <f>D33</f>
        <v>0</v>
      </c>
      <c r="K8" s="455">
        <f>SUM(H8:J8)</f>
        <v>0</v>
      </c>
    </row>
    <row r="9" spans="1:12" ht="30.75" thickBot="1" x14ac:dyDescent="0.3">
      <c r="A9" s="390" t="s">
        <v>63</v>
      </c>
      <c r="B9" s="459">
        <f>B7-B8</f>
        <v>6030000000</v>
      </c>
      <c r="C9" s="459">
        <f>C7+C8</f>
        <v>1527000000</v>
      </c>
      <c r="D9" s="459">
        <f>D7+D8</f>
        <v>1570000000</v>
      </c>
      <c r="E9" s="459">
        <f>SUM(B9:D9)</f>
        <v>9127000000</v>
      </c>
      <c r="G9" s="332" t="s">
        <v>53</v>
      </c>
      <c r="H9" s="456">
        <f>SUM(H6:H8)</f>
        <v>4134742711.4449997</v>
      </c>
      <c r="I9" s="456">
        <f t="shared" ref="I9:K9" si="0">SUM(I6:I8)</f>
        <v>442662940.80000007</v>
      </c>
      <c r="J9" s="456">
        <f t="shared" si="0"/>
        <v>573385204.79999995</v>
      </c>
      <c r="K9" s="456">
        <f t="shared" si="0"/>
        <v>5150790857.0450001</v>
      </c>
    </row>
    <row r="10" spans="1:12" x14ac:dyDescent="0.25">
      <c r="A10" s="330"/>
      <c r="B10" s="317"/>
      <c r="C10" s="317"/>
      <c r="D10" s="317"/>
      <c r="E10" s="316"/>
    </row>
    <row r="11" spans="1:12" x14ac:dyDescent="0.25">
      <c r="A11" s="318" t="s">
        <v>64</v>
      </c>
      <c r="B11" s="319"/>
      <c r="C11" s="320"/>
      <c r="D11" s="320"/>
      <c r="E11" s="321"/>
    </row>
    <row r="12" spans="1:12" ht="15.75" x14ac:dyDescent="0.25">
      <c r="A12" s="331" t="s">
        <v>65</v>
      </c>
      <c r="B12" s="460">
        <f>SUMIFS('LC-Final List'!$M:$M,'LC-Final List'!$AH:$AH,"Open",'LC-Final List'!$E:$E,'DAILY UPDATE SHEET'!B$5,'LC-Final List'!$F:$F,"10%")</f>
        <v>3956814983.4239998</v>
      </c>
      <c r="C12" s="460">
        <f>SUMIFS('LC-Final List'!$W:$W,'LC-Final List'!$AH:$AH,"Open",'LC-Final List'!$E:$E,'DAILY UPDATE SHEET'!C$5,'LC-Final List'!$F:$F,"10%")</f>
        <v>442662940.80000007</v>
      </c>
      <c r="D12" s="460">
        <f>SUMIFS('LC-Final List'!$W:$W,'LC-Final List'!$AH:$AH,"Open",'LC-Final List'!$E:$E,'DAILY UPDATE SHEET'!D$5,'LC-Final List'!$F:$F,"10%")</f>
        <v>573385204.79999995</v>
      </c>
      <c r="E12" s="458">
        <f>B12+C12+D12</f>
        <v>4972863129.0240002</v>
      </c>
      <c r="G12" s="207" t="s">
        <v>66</v>
      </c>
    </row>
    <row r="13" spans="1:12" ht="15.75" thickBot="1" x14ac:dyDescent="0.3">
      <c r="A13" s="331" t="s">
        <v>68</v>
      </c>
      <c r="B13" s="460">
        <f>SUMIFS('LC BG in Process'!$H:$H,'LC BG in Process'!$K:$K,"DOC SUBMITTED TO BANK",'LC BG in Process'!$A:$A,"LC",'LC BG in Process'!$C:$C,"10%",'LC BG in Process'!$B:$B,'DAILY UPDATE SHEET'!B$5)</f>
        <v>45837500</v>
      </c>
      <c r="C13" s="460">
        <f>SUMIFS('LC BG in Process'!$H:$H,'LC BG in Process'!$K:$K,"DOC SUBMITTED TO BANK",'LC BG in Process'!$A:$A,"LC",'LC BG in Process'!$C:$C,"10%",'LC BG in Process'!$B:$B,'DAILY UPDATE SHEET'!C$5)</f>
        <v>0</v>
      </c>
      <c r="D13" s="460">
        <f>SUMIFS('LC BG in Process'!$H:$H,'LC BG in Process'!$K:$K,"DOC SUBMITTED TO BANK",'LC BG in Process'!$A:$A,"LC",'LC BG in Process'!$C:$C,"10%",'LC BG in Process'!$B:$B,'DAILY UPDATE SHEET'!D$5)</f>
        <v>0</v>
      </c>
      <c r="E13" s="458">
        <f>B13+C13+D13</f>
        <v>45837500</v>
      </c>
    </row>
    <row r="14" spans="1:12" ht="15.75" thickBot="1" x14ac:dyDescent="0.3">
      <c r="A14" s="332" t="s">
        <v>69</v>
      </c>
      <c r="B14" s="461">
        <f>SUM(B12:B13)</f>
        <v>4002652483.4239998</v>
      </c>
      <c r="C14" s="461">
        <f t="shared" ref="C14:E14" si="1">SUM(C12:C13)</f>
        <v>442662940.80000007</v>
      </c>
      <c r="D14" s="461">
        <f t="shared" si="1"/>
        <v>573385204.79999995</v>
      </c>
      <c r="E14" s="461">
        <f t="shared" si="1"/>
        <v>5018700629.0240002</v>
      </c>
      <c r="G14" s="282" t="s">
        <v>70</v>
      </c>
      <c r="H14" s="645" t="str">
        <f>H5</f>
        <v>SBI</v>
      </c>
      <c r="I14" s="645" t="str">
        <f>I5</f>
        <v>IDBI</v>
      </c>
      <c r="J14" s="645" t="str">
        <f>J5</f>
        <v>BOI</v>
      </c>
      <c r="K14" s="284" t="s">
        <v>53</v>
      </c>
    </row>
    <row r="15" spans="1:12" ht="16.5" x14ac:dyDescent="0.25">
      <c r="A15" s="333"/>
      <c r="B15" s="322"/>
      <c r="C15" s="322"/>
      <c r="D15" s="322"/>
      <c r="E15" s="323"/>
      <c r="G15" s="343" t="s">
        <v>36</v>
      </c>
      <c r="H15" s="462">
        <f>SUMIFS('LC-Final List'!$W:$W,'LC-Final List'!$AH:$AH,"Open",'LC-Final List'!$AF:$AF,"Received",'LC-Final List'!$AE:$AE,"Paid",'LC-Final List'!$F:$F,"10%",'LC-Final List'!$E:$E,$H$14)</f>
        <v>465237673.92000002</v>
      </c>
      <c r="I15" s="462">
        <f>SUMIFS('LC-Final List'!$W:$W,'LC-Final List'!$AH:$AH,"Open",'LC-Final List'!$AF:$AF,"Received",'LC-Final List'!$AE:$AE,"Paid",'LC-Final List'!$F:$F,"10%",'LC-Final List'!$E:$E,$I$14)</f>
        <v>0</v>
      </c>
      <c r="J15" s="462">
        <f>SUMIFS('LC-Final List'!$W:$W,'LC-Final List'!$AH:$AH,"Open",'LC-Final List'!$AF:$AF,"Received",'LC-Final List'!$AE:$AE,"Paid",'LC-Final List'!$F:$F,"10%",'LC-Final List'!$E:$E,$J$14)</f>
        <v>0</v>
      </c>
      <c r="K15" s="462">
        <f>SUM(H15:J15)</f>
        <v>465237673.92000002</v>
      </c>
    </row>
    <row r="16" spans="1:12" ht="16.5" x14ac:dyDescent="0.25">
      <c r="A16" s="318" t="s">
        <v>1312</v>
      </c>
      <c r="B16" s="322"/>
      <c r="C16" s="322"/>
      <c r="D16" s="322"/>
      <c r="E16" s="323"/>
      <c r="G16" s="343" t="s">
        <v>72</v>
      </c>
      <c r="H16" s="462">
        <f>SUMIFS('LC-Final List'!$W:$W,'LC-Final List'!$AH:$AH,"Open",'LC-Final List'!$AF:$AF,"Received",'LC-Final List'!$AE:$AE,"Unpaid",'LC-Final List'!$F:$F,"10%",'LC-Final List'!$E:$E,$H$14)</f>
        <v>2344430331.8400002</v>
      </c>
      <c r="I16" s="462">
        <f>SUMIFS('LC-Final List'!$W:$W,'LC-Final List'!$AH:$AH,"Open",'LC-Final List'!$AF:$AF,"Received",'LC-Final List'!$AE:$AE,"Unpaid",'LC-Final List'!$F:$F,"10%",'LC-Final List'!$E:$E,$I$14)</f>
        <v>412837558.08000004</v>
      </c>
      <c r="J16" s="462">
        <f>SUMIFS('LC-Final List'!$W:$W,'LC-Final List'!$AH:$AH,"Open",'LC-Final List'!$AF:$AF,"Received",'LC-Final List'!$AE:$AE,"Unpaid",'LC-Final List'!$F:$F,"10%",'LC-Final List'!$E:$E,$J$14)</f>
        <v>573385204.79999995</v>
      </c>
      <c r="K16" s="462">
        <f>SUM(H16:J16)</f>
        <v>3330653094.7200003</v>
      </c>
    </row>
    <row r="17" spans="1:11" ht="17.25" thickBot="1" x14ac:dyDescent="0.3">
      <c r="A17" s="331" t="s">
        <v>67</v>
      </c>
      <c r="B17" s="464">
        <f>SUMIFS(SBLC!$X:$X,SBLC!$T:$T,"Unpaid",SBLC!$B:$B,'DAILY UPDATE SHEET'!B$5)</f>
        <v>1137526439.2005</v>
      </c>
      <c r="C17" s="464">
        <f>SUMIFS(SBLC!$X:$X,SBLC!$T:$T,"Unpaid",SBLC!$B:$B,'DAILY UPDATE SHEET'!C$5)</f>
        <v>822023240.89999998</v>
      </c>
      <c r="D17" s="464">
        <f>SUMIFS(SBLC!$X:$X,SBLC!$T:$T,"Unpaid",SBLC!$B:$B,'DAILY UPDATE SHEET'!D$5)</f>
        <v>820589196.90000021</v>
      </c>
      <c r="E17" s="458">
        <f>SUM(B17:D17)</f>
        <v>2780138877.0005002</v>
      </c>
      <c r="G17" s="343" t="s">
        <v>73</v>
      </c>
      <c r="H17" s="462">
        <f>SUMIFS('LC-Final List'!$W:$W,'LC-Final List'!$AH:$AH,"Open",'LC-Final List'!$AF:$AF,"Not Received",'LC-Final List'!$AE:$AE,"Unpaid",'LC-Final List'!$F:$F,"10%",'LC-Final List'!$E:$E,$H$14)</f>
        <v>1057367201.28</v>
      </c>
      <c r="I17" s="462">
        <f>SUMIFS('LC-Final List'!$W:$W,'LC-Final List'!$AH:$AH,"Open",'LC-Final List'!$AF:$AF,"Not Received",'LC-Final List'!$AE:$AE,"Unpaid",'LC-Final List'!$F:$F,"10%",'LC-Final List'!$E:$E,$I$14)</f>
        <v>28999680</v>
      </c>
      <c r="J17" s="462">
        <f>SUMIFS('LC-Final List'!$W:$W,'LC-Final List'!$AH:$AH,"Open",'LC-Final List'!$AF:$AF,"Not Received",'LC-Final List'!$AE:$AE,"Unpaid",'LC-Final List'!$F:$F,"10%",'LC-Final List'!$E:$E,$J$14)</f>
        <v>0</v>
      </c>
      <c r="K17" s="462">
        <f>SUM(H17:J17)</f>
        <v>1086366881.28</v>
      </c>
    </row>
    <row r="18" spans="1:11" ht="17.25" thickBot="1" x14ac:dyDescent="0.3">
      <c r="A18" s="332" t="s">
        <v>1313</v>
      </c>
      <c r="B18" s="461">
        <f>SUM(B16:B17)</f>
        <v>1137526439.2005</v>
      </c>
      <c r="C18" s="461">
        <f t="shared" ref="C18:E18" si="2">SUM(C16:C17)</f>
        <v>822023240.89999998</v>
      </c>
      <c r="D18" s="461">
        <f t="shared" si="2"/>
        <v>820589196.90000021</v>
      </c>
      <c r="E18" s="461">
        <f t="shared" si="2"/>
        <v>2780138877.0005002</v>
      </c>
      <c r="G18" s="343" t="s">
        <v>75</v>
      </c>
      <c r="H18" s="462">
        <f>SUMIFS('LC-Final List'!$W:$W,'LC-Final List'!$AH:$AH,"Open",'LC-Final List'!$AF:$AF,"Cancelled",'LC-Final List'!$F:$F,"10%",'LC-Final List'!$E:$E,$H$14)</f>
        <v>89779774.080000013</v>
      </c>
      <c r="I18" s="462">
        <f>SUMIFS('LC-Final List'!$W:$W,'LC-Final List'!$AH:$AH,"Open",'LC-Final List'!$AF:$AF,"Cancelled",'LC-Final List'!$F:$F,"10%",'LC-Final List'!$E:$E,$I$14)</f>
        <v>825702.72</v>
      </c>
      <c r="J18" s="462">
        <f>SUMIFS('LC-Final List'!$W:$W,'LC-Final List'!$AH:$AH,"Open",'LC-Final List'!$AF:$AF,"Cancelled",'LC-Final List'!$F:$F,"10%",'LC-Final List'!$E:$E,$J$14)</f>
        <v>0</v>
      </c>
      <c r="K18" s="462">
        <f>SUM(H18:J18)</f>
        <v>90605476.800000012</v>
      </c>
    </row>
    <row r="19" spans="1:11" ht="16.5" x14ac:dyDescent="0.25">
      <c r="A19" s="322"/>
      <c r="B19" s="322"/>
      <c r="C19" s="322"/>
      <c r="D19" s="322"/>
      <c r="E19" s="323"/>
      <c r="G19" s="344" t="s">
        <v>53</v>
      </c>
      <c r="H19" s="463">
        <f>SUM(H15:H18)</f>
        <v>3956814981.1199999</v>
      </c>
      <c r="I19" s="463">
        <f t="shared" ref="I19:J19" si="3">SUM(I15:I18)</f>
        <v>442662940.80000007</v>
      </c>
      <c r="J19" s="463">
        <f t="shared" si="3"/>
        <v>573385204.79999995</v>
      </c>
      <c r="K19" s="463">
        <f>SUM(K15:K18)</f>
        <v>4972863126.7200003</v>
      </c>
    </row>
    <row r="20" spans="1:11" x14ac:dyDescent="0.25">
      <c r="A20" s="333" t="s">
        <v>71</v>
      </c>
      <c r="B20" s="322"/>
      <c r="C20" s="322"/>
      <c r="D20" s="322"/>
      <c r="E20" s="323"/>
      <c r="G20" s="345"/>
      <c r="H20" s="346"/>
      <c r="I20" s="346"/>
      <c r="J20" s="346"/>
      <c r="K20" s="346"/>
    </row>
    <row r="21" spans="1:11" ht="30" x14ac:dyDescent="0.25">
      <c r="A21" s="388" t="s">
        <v>1314</v>
      </c>
      <c r="B21" s="465">
        <f>B9-B14</f>
        <v>2027347516.5760002</v>
      </c>
      <c r="C21" s="465">
        <f>C9-C14-C18</f>
        <v>262313818.29999983</v>
      </c>
      <c r="D21" s="465">
        <f>D9-D14-D18</f>
        <v>176025598.29999983</v>
      </c>
      <c r="E21" s="465">
        <f>B21+C21+D21</f>
        <v>2465686933.1759996</v>
      </c>
      <c r="G21" s="347" t="s">
        <v>78</v>
      </c>
      <c r="H21" s="466">
        <f>H19-B12</f>
        <v>-2.3039999008178711</v>
      </c>
      <c r="I21" s="466">
        <f t="shared" ref="I21:K21" si="4">I19-C12</f>
        <v>0</v>
      </c>
      <c r="J21" s="466">
        <f t="shared" si="4"/>
        <v>0</v>
      </c>
      <c r="K21" s="466">
        <f t="shared" si="4"/>
        <v>-2.3039999008178711</v>
      </c>
    </row>
    <row r="22" spans="1:11" ht="24.95" customHeight="1" thickBot="1" x14ac:dyDescent="0.3">
      <c r="A22" s="388" t="s">
        <v>1315</v>
      </c>
      <c r="B22" s="465">
        <f>B8-B18</f>
        <v>672473560.79949999</v>
      </c>
      <c r="C22" s="324"/>
      <c r="D22" s="324"/>
      <c r="E22" s="465">
        <f>B22+C22+D22</f>
        <v>672473560.79949999</v>
      </c>
      <c r="G22" s="345"/>
      <c r="H22" s="346"/>
      <c r="I22" s="346"/>
      <c r="J22" s="346"/>
      <c r="K22" s="348"/>
    </row>
    <row r="23" spans="1:11" ht="15.75" thickBot="1" x14ac:dyDescent="0.3">
      <c r="A23" s="332" t="s">
        <v>74</v>
      </c>
      <c r="B23" s="467">
        <f>B14/B9</f>
        <v>0.66378979824610274</v>
      </c>
      <c r="C23" s="467">
        <f>(C14+C18)/C9</f>
        <v>0.82821622901113301</v>
      </c>
      <c r="D23" s="467">
        <f>(D14+D18)/D9</f>
        <v>0.88788178452229316</v>
      </c>
      <c r="E23" s="326"/>
      <c r="G23" s="345"/>
      <c r="H23" s="346"/>
      <c r="I23" s="346"/>
      <c r="J23" s="346"/>
      <c r="K23" s="348"/>
    </row>
    <row r="24" spans="1:11" ht="16.5" thickBot="1" x14ac:dyDescent="0.3">
      <c r="A24" s="332" t="s">
        <v>1377</v>
      </c>
      <c r="B24" s="467">
        <f>B17/B8</f>
        <v>0.62846764596712712</v>
      </c>
      <c r="C24" s="325"/>
      <c r="D24" s="325"/>
      <c r="E24" s="326"/>
      <c r="G24" s="207" t="s">
        <v>1378</v>
      </c>
      <c r="H24" s="346"/>
      <c r="I24" s="346"/>
      <c r="J24" s="346"/>
      <c r="K24" s="348"/>
    </row>
    <row r="25" spans="1:11" ht="15.75" thickBot="1" x14ac:dyDescent="0.3">
      <c r="A25" s="333"/>
      <c r="B25" s="327"/>
      <c r="C25" s="327"/>
      <c r="D25" s="327"/>
      <c r="E25" s="328"/>
    </row>
    <row r="26" spans="1:11" ht="30" x14ac:dyDescent="0.25">
      <c r="A26" s="391" t="s">
        <v>76</v>
      </c>
      <c r="B26" s="481">
        <f>SUM(B27:B28)</f>
        <v>132090228.021</v>
      </c>
      <c r="C26" s="481">
        <f t="shared" ref="C26:D26" si="5">SUM(C27:C28)</f>
        <v>0</v>
      </c>
      <c r="D26" s="481">
        <f t="shared" si="5"/>
        <v>0</v>
      </c>
      <c r="E26" s="482">
        <f>SUM(B26:D26)</f>
        <v>132090228.021</v>
      </c>
      <c r="G26" s="355" t="s">
        <v>79</v>
      </c>
      <c r="H26" s="356" t="s">
        <v>80</v>
      </c>
      <c r="I26" s="356" t="s">
        <v>81</v>
      </c>
      <c r="J26" s="357" t="s">
        <v>82</v>
      </c>
    </row>
    <row r="27" spans="1:11" ht="30" x14ac:dyDescent="0.25">
      <c r="A27" s="334" t="s">
        <v>77</v>
      </c>
      <c r="B27" s="460">
        <f>SUMIFS('LC-Final List'!$M:$M,'LC-Final List'!$AH:$AH,"Open",'LC-Final List'!$E:$E,'DAILY UPDATE SHEET'!B$5,'LC-Final List'!$F:$F,"100%")</f>
        <v>132090228.021</v>
      </c>
      <c r="C27" s="460">
        <f>SUMIFS('LC-Final List'!$M:$M,'LC-Final List'!$AH:$AH,"Open",'LC-Final List'!$E:$E,'DAILY UPDATE SHEET'!C$5,'LC-Final List'!$F:$F,"100%")</f>
        <v>0</v>
      </c>
      <c r="D27" s="460">
        <f>SUMIFS('LC-Final List'!$M:$M,'LC-Final List'!$AH:$AH,"Open",'LC-Final List'!$E:$E,'DAILY UPDATE SHEET'!D$5,'LC-Final List'!$F:$F,"100%")</f>
        <v>0</v>
      </c>
      <c r="E27" s="470">
        <f>SUM(B27:D27)</f>
        <v>132090228.021</v>
      </c>
      <c r="G27" s="358" t="s">
        <v>84</v>
      </c>
      <c r="H27" s="443">
        <f>SUMIFS('LC-Final List'!$U:$U,'LC-Final List'!$AH:$AH,"Open",'LC-Final List'!$AE:$AE,"Unpaid",'LC-Final List'!$F:$F,"10%",'LC-Final List'!$H:$H,"USD")</f>
        <v>46010624.75</v>
      </c>
      <c r="I27" s="221"/>
      <c r="J27" s="473">
        <f>H27-I27</f>
        <v>46010624.75</v>
      </c>
    </row>
    <row r="28" spans="1:11" ht="15.75" thickBot="1" x14ac:dyDescent="0.3">
      <c r="A28" s="336" t="s">
        <v>83</v>
      </c>
      <c r="B28" s="471">
        <f>SUMIFS('LC BG in Process'!$H:$H,'LC BG in Process'!$K:$K,"DOC SUBMITTED TO BANK",'LC BG in Process'!$A:$A,"LC",'LC BG in Process'!$C:$C,"100%",'LC BG in Process'!$B:$B,'DAILY UPDATE SHEET'!B$5)</f>
        <v>0</v>
      </c>
      <c r="C28" s="471">
        <f>SUMIFS('LC BG in Process'!$H:$H,'LC BG in Process'!$K:$K,"DOC SUBMITTED TO BANK",'LC BG in Process'!$A:$A,"LC",'LC BG in Process'!$C:$C,"100%",'LC BG in Process'!$B:$B,'DAILY UPDATE SHEET'!C$5)</f>
        <v>0</v>
      </c>
      <c r="D28" s="471">
        <f>SUMIFS('LC BG in Process'!$H:$H,'LC BG in Process'!$K:$K,"DOC SUBMITTED TO BANK",'LC BG in Process'!$A:$A,"LC",'LC BG in Process'!$C:$C,"100%",'LC BG in Process'!$B:$B,'DAILY UPDATE SHEET'!D$5)</f>
        <v>0</v>
      </c>
      <c r="E28" s="472">
        <f>SUM(B28:D28)</f>
        <v>0</v>
      </c>
      <c r="G28" s="358" t="s">
        <v>85</v>
      </c>
      <c r="H28" s="443">
        <f>SUMIFS('LC-Final List'!$U:$U,'LC-Final List'!$AH:$AH,"Open",'LC-Final List'!$AE:$AE,"Unpaid",'LC-Final List'!$F:$F,"100%",'LC-Final List'!$H:$H,"USD")</f>
        <v>1345674</v>
      </c>
      <c r="I28" s="220">
        <v>1345674</v>
      </c>
      <c r="J28" s="473">
        <f>H28-I28</f>
        <v>0</v>
      </c>
    </row>
    <row r="29" spans="1:11" ht="15.75" thickBot="1" x14ac:dyDescent="0.3">
      <c r="A29" s="335"/>
      <c r="B29" s="2"/>
      <c r="C29" s="2"/>
      <c r="D29" s="2"/>
      <c r="E29" s="385"/>
      <c r="G29" s="358" t="s">
        <v>87</v>
      </c>
      <c r="H29" s="443">
        <f>SUMIFS('LC-Final List'!$U:$U,'LC-Final List'!$AH:$AH,"Open",'LC-Final List'!$AE:$AE,"Unpaid",'LC-Final List'!$F:$F,"100%",'LC-Final List'!$H:$H,"EUR")</f>
        <v>30000</v>
      </c>
      <c r="I29" s="220">
        <v>30000</v>
      </c>
      <c r="J29" s="473">
        <f>H29-I29</f>
        <v>0</v>
      </c>
    </row>
    <row r="30" spans="1:11" ht="15.75" thickBot="1" x14ac:dyDescent="0.3">
      <c r="A30" s="386" t="s">
        <v>86</v>
      </c>
      <c r="B30" s="468">
        <f>SUM(B31:B32)</f>
        <v>0</v>
      </c>
      <c r="C30" s="468">
        <f t="shared" ref="C30:D30" si="6">SUM(C31:C32)</f>
        <v>0</v>
      </c>
      <c r="D30" s="468">
        <f t="shared" si="6"/>
        <v>0</v>
      </c>
      <c r="E30" s="469">
        <f>SUM(B30:D30)</f>
        <v>0</v>
      </c>
      <c r="G30" s="359" t="s">
        <v>53</v>
      </c>
      <c r="H30" s="360">
        <v>80416960</v>
      </c>
      <c r="I30" s="360">
        <v>1375674</v>
      </c>
      <c r="J30" s="360">
        <v>79041286</v>
      </c>
    </row>
    <row r="31" spans="1:11" x14ac:dyDescent="0.25">
      <c r="A31" s="334" t="s">
        <v>88</v>
      </c>
      <c r="B31" s="460">
        <f>SUMIFS('LC-Final List'!$M:$M,'LC-Final List'!$AH:$AH,"Open",'LC-Final List'!$E:$E,'DAILY UPDATE SHEET'!B$5,'LC-Final List'!$F:$F,"110%")</f>
        <v>0</v>
      </c>
      <c r="C31" s="460">
        <f>SUMIFS('LC-Final List'!$M:$M,'LC-Final List'!$AH:$AH,"Open",'LC-Final List'!$E:$E,'DAILY UPDATE SHEET'!C$5,'LC-Final List'!$F:$F,"110%")</f>
        <v>0</v>
      </c>
      <c r="D31" s="460">
        <f>SUMIFS('LC-Final List'!$M:$M,'LC-Final List'!$AH:$AH,"Open",'LC-Final List'!$E:$E,'DAILY UPDATE SHEET'!D$5,'LC-Final List'!$F:$F,"110%")</f>
        <v>0</v>
      </c>
      <c r="E31" s="470">
        <f>SUM(B31:D31)</f>
        <v>0</v>
      </c>
    </row>
    <row r="32" spans="1:11" ht="15.75" thickBot="1" x14ac:dyDescent="0.3">
      <c r="A32" s="336" t="s">
        <v>89</v>
      </c>
      <c r="B32" s="471">
        <f>SUMIFS('LC BG in Process'!$H:$H,'LC BG in Process'!$K:$K,"DOC SUBMITTED TO BANK",'LC BG in Process'!$A:$A,"LC",'LC BG in Process'!$C:$C,"110%",'LC BG in Process'!$B:$B,'DAILY UPDATE SHEET'!B$5)</f>
        <v>0</v>
      </c>
      <c r="C32" s="471">
        <f>SUMIFS('LC BG in Process'!$H:$H,'LC BG in Process'!$K:$K,"DOC SUBMITTED TO BANK",'LC BG in Process'!$A:$A,"LC",'LC BG in Process'!$C:$C,"110%",'LC BG in Process'!$B:$B,'DAILY UPDATE SHEET'!C$5)</f>
        <v>0</v>
      </c>
      <c r="D32" s="471">
        <f>SUMIFS('LC BG in Process'!$H:$H,'LC BG in Process'!$K:$K,"DOC SUBMITTED TO BANK",'LC BG in Process'!$A:$A,"LC",'LC BG in Process'!$C:$C,"110%",'LC BG in Process'!$B:$B,'DAILY UPDATE SHEET'!D$5)</f>
        <v>0</v>
      </c>
      <c r="E32" s="472">
        <f>SUM(B32:D32)</f>
        <v>0</v>
      </c>
    </row>
    <row r="33" spans="1:12" x14ac:dyDescent="0.25">
      <c r="A33" s="333" t="s">
        <v>92</v>
      </c>
      <c r="L33" t="s">
        <v>92</v>
      </c>
    </row>
    <row r="34" spans="1:12" ht="18.75" x14ac:dyDescent="0.3">
      <c r="A34" s="274" t="s">
        <v>1362</v>
      </c>
    </row>
    <row r="36" spans="1:12" ht="14.45" customHeight="1" x14ac:dyDescent="0.25">
      <c r="A36" s="667" t="s">
        <v>0</v>
      </c>
      <c r="B36" s="372" t="s">
        <v>1</v>
      </c>
      <c r="C36" s="373"/>
      <c r="D36" s="372" t="s">
        <v>2</v>
      </c>
      <c r="E36" s="373"/>
      <c r="F36" s="372" t="s">
        <v>3</v>
      </c>
      <c r="G36" s="373"/>
      <c r="H36" s="665" t="s">
        <v>4</v>
      </c>
    </row>
    <row r="37" spans="1:12" x14ac:dyDescent="0.25">
      <c r="A37" s="668"/>
      <c r="B37" s="340" t="s">
        <v>622</v>
      </c>
      <c r="C37" s="340" t="s">
        <v>905</v>
      </c>
      <c r="D37" s="340" t="s">
        <v>622</v>
      </c>
      <c r="E37" s="340" t="s">
        <v>905</v>
      </c>
      <c r="F37" s="340" t="s">
        <v>622</v>
      </c>
      <c r="G37" s="340" t="s">
        <v>905</v>
      </c>
      <c r="H37" s="666"/>
    </row>
    <row r="38" spans="1:12" x14ac:dyDescent="0.25">
      <c r="A38" s="474">
        <f ca="1">TODAY()</f>
        <v>46178</v>
      </c>
      <c r="B38" s="443">
        <f ca="1">SUMIFS('LC-Final List'!$W:$W,'LC-Final List'!$AE:$AE,"Unpaid",'LC-Final List'!$Y:$Y,'DAILY UPDATE SHEET'!$A38,'LC-Final List'!$E:$E,'DAILY UPDATE SHEET'!B$36,'LC-Final List'!$F:$F,"10%")</f>
        <v>103736160</v>
      </c>
      <c r="C38" s="443">
        <f ca="1">SUMIFS(SBLC!$X:$X,SBLC!$T:$T,"Unpaid",SBLC!$R:$R,'DAILY UPDATE SHEET'!$A38,SBLC!$B:$B,$B$36,SBLC!$H:$H,"10%")</f>
        <v>0</v>
      </c>
      <c r="D38" s="443">
        <f ca="1">SUMIFS('LC-Final List'!$W:$W,'LC-Final List'!$AE:$AE,"Unpaid",'LC-Final List'!$Y:$Y,'DAILY UPDATE SHEET'!$A38,'LC-Final List'!$E:$E,'DAILY UPDATE SHEET'!D$36,'LC-Final List'!$F:$F,"10%")</f>
        <v>0</v>
      </c>
      <c r="E38" s="443">
        <f ca="1">SUMIFS(SBLC!$X:$X,SBLC!$T:$T,"Unpaid",SBLC!$R:$R,'DAILY UPDATE SHEET'!$A38,SBLC!$B:$B,$D$36,SBLC!$H:$H,"10%")</f>
        <v>0</v>
      </c>
      <c r="F38" s="443">
        <f ca="1">SUMIFS('LC-Final List'!$W:$W,'LC-Final List'!$AE:$AE,"Unpaid",'LC-Final List'!$Y:$Y,'DAILY UPDATE SHEET'!$A38,'LC-Final List'!$E:$E,'DAILY UPDATE SHEET'!F$36,'LC-Final List'!$F:$F,"10%")</f>
        <v>0</v>
      </c>
      <c r="G38" s="443">
        <f ca="1">SUMIFS(SBLC!$X:$X,SBLC!$T:$T,"Unpaid",SBLC!$R:$R,'DAILY UPDATE SHEET'!$A38,SBLC!$B:$B,$F$36,SBLC!$H:$H,"10%")</f>
        <v>0</v>
      </c>
      <c r="H38" s="443">
        <f ca="1">SUM(B38:G38)</f>
        <v>103736160</v>
      </c>
    </row>
    <row r="39" spans="1:12" hidden="1" x14ac:dyDescent="0.25">
      <c r="A39" s="83">
        <f ca="1">A38+1</f>
        <v>46179</v>
      </c>
      <c r="B39" s="220">
        <f ca="1">SUMIFS('LC-Final List'!$W:$W,'LC-Final List'!$AE:$AE,"Unpaid",'LC-Final List'!$Y:$Y,'DAILY UPDATE SHEET'!$A39,'LC-Final List'!$E:$E,'DAILY UPDATE SHEET'!B$36,'LC-Final List'!$F:$F,"10%")</f>
        <v>0</v>
      </c>
      <c r="C39" s="220">
        <f ca="1">SUMIFS(SBLC!$X:$X,SBLC!$T:$T,"Unpaid",SBLC!$R:$R,'DAILY UPDATE SHEET'!$A39,SBLC!$B:$B,$B$36,SBLC!$H:$H,"10%")</f>
        <v>0</v>
      </c>
      <c r="D39" s="220">
        <f ca="1">SUMIFS('LC-Final List'!$W:$W,'LC-Final List'!$AE:$AE,"Unpaid",'LC-Final List'!$Y:$Y,'DAILY UPDATE SHEET'!$A39,'LC-Final List'!$E:$E,'DAILY UPDATE SHEET'!D$36,'LC-Final List'!$F:$F,"10%")</f>
        <v>0</v>
      </c>
      <c r="E39" s="220">
        <f ca="1">SUMIFS(SBLC!$X:$X,SBLC!$T:$T,"Unpaid",SBLC!$R:$R,'DAILY UPDATE SHEET'!$A39,SBLC!$B:$B,$D$36,SBLC!$H:$H,"10%")</f>
        <v>0</v>
      </c>
      <c r="F39" s="220">
        <f ca="1">SUMIFS('LC-Final List'!$W:$W,'LC-Final List'!$AE:$AE,"Unpaid",'LC-Final List'!$Y:$Y,'DAILY UPDATE SHEET'!$A39,'LC-Final List'!$E:$E,'DAILY UPDATE SHEET'!F$36,'LC-Final List'!$F:$F,"10%")</f>
        <v>0</v>
      </c>
      <c r="G39" s="220">
        <f ca="1">SUMIFS(SBLC!$X:$X,SBLC!$T:$T,"Unpaid",SBLC!$R:$R,'DAILY UPDATE SHEET'!$A39,SBLC!$B:$B,$F$36,SBLC!$H:$H,"10%")</f>
        <v>0</v>
      </c>
      <c r="H39" s="220">
        <f t="shared" ref="H39:H102" ca="1" si="7">SUM(B39:G39)</f>
        <v>0</v>
      </c>
    </row>
    <row r="40" spans="1:12" hidden="1" x14ac:dyDescent="0.25">
      <c r="A40" s="83">
        <f t="shared" ref="A40:A98" ca="1" si="8">A39+1</f>
        <v>46180</v>
      </c>
      <c r="B40" s="220">
        <f ca="1">SUMIFS('LC-Final List'!$W:$W,'LC-Final List'!$AE:$AE,"Unpaid",'LC-Final List'!$Y:$Y,'DAILY UPDATE SHEET'!$A40,'LC-Final List'!$E:$E,'DAILY UPDATE SHEET'!B$36,'LC-Final List'!$F:$F,"10%")</f>
        <v>0</v>
      </c>
      <c r="C40" s="220">
        <f ca="1">SUMIFS(SBLC!$X:$X,SBLC!$T:$T,"Unpaid",SBLC!$R:$R,'DAILY UPDATE SHEET'!$A40,SBLC!$B:$B,$B$36,SBLC!$H:$H,"10%")</f>
        <v>0</v>
      </c>
      <c r="D40" s="220">
        <f ca="1">SUMIFS('LC-Final List'!$W:$W,'LC-Final List'!$AE:$AE,"Unpaid",'LC-Final List'!$Y:$Y,'DAILY UPDATE SHEET'!$A40,'LC-Final List'!$E:$E,'DAILY UPDATE SHEET'!D$36,'LC-Final List'!$F:$F,"10%")</f>
        <v>0</v>
      </c>
      <c r="E40" s="220">
        <f ca="1">SUMIFS(SBLC!$X:$X,SBLC!$T:$T,"Unpaid",SBLC!$R:$R,'DAILY UPDATE SHEET'!$A40,SBLC!$B:$B,$D$36,SBLC!$H:$H,"10%")</f>
        <v>0</v>
      </c>
      <c r="F40" s="220">
        <f ca="1">SUMIFS('LC-Final List'!$W:$W,'LC-Final List'!$AE:$AE,"Unpaid",'LC-Final List'!$Y:$Y,'DAILY UPDATE SHEET'!$A40,'LC-Final List'!$E:$E,'DAILY UPDATE SHEET'!F$36,'LC-Final List'!$F:$F,"10%")</f>
        <v>0</v>
      </c>
      <c r="G40" s="220">
        <f ca="1">SUMIFS(SBLC!$X:$X,SBLC!$T:$T,"Unpaid",SBLC!$R:$R,'DAILY UPDATE SHEET'!$A40,SBLC!$B:$B,$F$36,SBLC!$H:$H,"10%")</f>
        <v>0</v>
      </c>
      <c r="H40" s="220">
        <f t="shared" ca="1" si="7"/>
        <v>0</v>
      </c>
    </row>
    <row r="41" spans="1:12" x14ac:dyDescent="0.25">
      <c r="A41" s="474">
        <f t="shared" ca="1" si="8"/>
        <v>46181</v>
      </c>
      <c r="B41" s="443">
        <f ca="1">SUMIFS('LC-Final List'!$W:$W,'LC-Final List'!$AE:$AE,"Unpaid",'LC-Final List'!$Y:$Y,'DAILY UPDATE SHEET'!$A41,'LC-Final List'!$E:$E,'DAILY UPDATE SHEET'!B$36,'LC-Final List'!$F:$F,"10%")</f>
        <v>119803138.56</v>
      </c>
      <c r="C41" s="443">
        <f ca="1">SUMIFS(SBLC!$X:$X,SBLC!$T:$T,"Unpaid",SBLC!$R:$R,'DAILY UPDATE SHEET'!$A41,SBLC!$B:$B,$B$36,SBLC!$H:$H,"10%")</f>
        <v>0</v>
      </c>
      <c r="D41" s="443">
        <f ca="1">SUMIFS('LC-Final List'!$W:$W,'LC-Final List'!$AE:$AE,"Unpaid",'LC-Final List'!$Y:$Y,'DAILY UPDATE SHEET'!$A41,'LC-Final List'!$E:$E,'DAILY UPDATE SHEET'!D$36,'LC-Final List'!$F:$F,"10%")</f>
        <v>0</v>
      </c>
      <c r="E41" s="443">
        <f ca="1">SUMIFS(SBLC!$X:$X,SBLC!$T:$T,"Unpaid",SBLC!$R:$R,'DAILY UPDATE SHEET'!$A41,SBLC!$B:$B,$D$36,SBLC!$H:$H,"10%")</f>
        <v>0</v>
      </c>
      <c r="F41" s="443">
        <f ca="1">SUMIFS('LC-Final List'!$W:$W,'LC-Final List'!$AE:$AE,"Unpaid",'LC-Final List'!$Y:$Y,'DAILY UPDATE SHEET'!$A41,'LC-Final List'!$E:$E,'DAILY UPDATE SHEET'!F$36,'LC-Final List'!$F:$F,"10%")</f>
        <v>0</v>
      </c>
      <c r="G41" s="443">
        <f ca="1">SUMIFS(SBLC!$X:$X,SBLC!$T:$T,"Unpaid",SBLC!$R:$R,'DAILY UPDATE SHEET'!$A41,SBLC!$B:$B,$F$36,SBLC!$H:$H,"10%")</f>
        <v>0</v>
      </c>
      <c r="H41" s="443">
        <f t="shared" ca="1" si="7"/>
        <v>119803138.56</v>
      </c>
    </row>
    <row r="42" spans="1:12" x14ac:dyDescent="0.25">
      <c r="A42" s="474">
        <f t="shared" ca="1" si="8"/>
        <v>46182</v>
      </c>
      <c r="B42" s="443">
        <f ca="1">SUMIFS('LC-Final List'!$W:$W,'LC-Final List'!$AE:$AE,"Unpaid",'LC-Final List'!$Y:$Y,'DAILY UPDATE SHEET'!$A42,'LC-Final List'!$E:$E,'DAILY UPDATE SHEET'!B$36,'LC-Final List'!$F:$F,"10%")</f>
        <v>457970345.27999997</v>
      </c>
      <c r="C42" s="443">
        <f ca="1">SUMIFS(SBLC!$X:$X,SBLC!$T:$T,"Unpaid",SBLC!$R:$R,'DAILY UPDATE SHEET'!$A42,SBLC!$B:$B,$B$36,SBLC!$H:$H,"10%")</f>
        <v>0</v>
      </c>
      <c r="D42" s="443">
        <f ca="1">SUMIFS('LC-Final List'!$W:$W,'LC-Final List'!$AE:$AE,"Unpaid",'LC-Final List'!$Y:$Y,'DAILY UPDATE SHEET'!$A42,'LC-Final List'!$E:$E,'DAILY UPDATE SHEET'!D$36,'LC-Final List'!$F:$F,"10%")</f>
        <v>0</v>
      </c>
      <c r="E42" s="443">
        <f ca="1">SUMIFS(SBLC!$X:$X,SBLC!$T:$T,"Unpaid",SBLC!$R:$R,'DAILY UPDATE SHEET'!$A42,SBLC!$B:$B,$D$36,SBLC!$H:$H,"10%")</f>
        <v>0</v>
      </c>
      <c r="F42" s="443">
        <f ca="1">SUMIFS('LC-Final List'!$W:$W,'LC-Final List'!$AE:$AE,"Unpaid",'LC-Final List'!$Y:$Y,'DAILY UPDATE SHEET'!$A42,'LC-Final List'!$E:$E,'DAILY UPDATE SHEET'!F$36,'LC-Final List'!$F:$F,"10%")</f>
        <v>72808012.799999997</v>
      </c>
      <c r="G42" s="443">
        <f ca="1">SUMIFS(SBLC!$X:$X,SBLC!$T:$T,"Unpaid",SBLC!$R:$R,'DAILY UPDATE SHEET'!$A42,SBLC!$B:$B,$F$36,SBLC!$H:$H,"10%")</f>
        <v>0</v>
      </c>
      <c r="H42" s="443">
        <f t="shared" ca="1" si="7"/>
        <v>530778358.07999998</v>
      </c>
    </row>
    <row r="43" spans="1:12" hidden="1" x14ac:dyDescent="0.25">
      <c r="A43" s="83">
        <f t="shared" ca="1" si="8"/>
        <v>46183</v>
      </c>
      <c r="B43" s="220">
        <f ca="1">SUMIFS('LC-Final List'!$W:$W,'LC-Final List'!$AE:$AE,"Unpaid",'LC-Final List'!$Y:$Y,'DAILY UPDATE SHEET'!$A43,'LC-Final List'!$E:$E,'DAILY UPDATE SHEET'!B$36,'LC-Final List'!$F:$F,"10%")</f>
        <v>0</v>
      </c>
      <c r="C43" s="220">
        <f ca="1">SUMIFS(SBLC!$X:$X,SBLC!$T:$T,"Unpaid",SBLC!$R:$R,'DAILY UPDATE SHEET'!$A43,SBLC!$B:$B,$B$36,SBLC!$H:$H,"10%")</f>
        <v>0</v>
      </c>
      <c r="D43" s="220">
        <f ca="1">SUMIFS('LC-Final List'!$W:$W,'LC-Final List'!$AE:$AE,"Unpaid",'LC-Final List'!$Y:$Y,'DAILY UPDATE SHEET'!$A43,'LC-Final List'!$E:$E,'DAILY UPDATE SHEET'!D$36,'LC-Final List'!$F:$F,"10%")</f>
        <v>0</v>
      </c>
      <c r="E43" s="220">
        <f ca="1">SUMIFS(SBLC!$X:$X,SBLC!$T:$T,"Unpaid",SBLC!$R:$R,'DAILY UPDATE SHEET'!$A43,SBLC!$B:$B,$D$36,SBLC!$H:$H,"10%")</f>
        <v>0</v>
      </c>
      <c r="F43" s="220">
        <f ca="1">SUMIFS('LC-Final List'!$W:$W,'LC-Final List'!$AE:$AE,"Unpaid",'LC-Final List'!$Y:$Y,'DAILY UPDATE SHEET'!$A43,'LC-Final List'!$E:$E,'DAILY UPDATE SHEET'!F$36,'LC-Final List'!$F:$F,"10%")</f>
        <v>0</v>
      </c>
      <c r="G43" s="220">
        <f ca="1">SUMIFS(SBLC!$X:$X,SBLC!$T:$T,"Unpaid",SBLC!$R:$R,'DAILY UPDATE SHEET'!$A43,SBLC!$B:$B,$F$36,SBLC!$H:$H,"10%")</f>
        <v>0</v>
      </c>
      <c r="H43" s="220">
        <f t="shared" ca="1" si="7"/>
        <v>0</v>
      </c>
    </row>
    <row r="44" spans="1:12" x14ac:dyDescent="0.25">
      <c r="A44" s="474">
        <f t="shared" ca="1" si="8"/>
        <v>46184</v>
      </c>
      <c r="B44" s="443">
        <f ca="1">SUMIFS('LC-Final List'!$W:$W,'LC-Final List'!$AE:$AE,"Unpaid",'LC-Final List'!$Y:$Y,'DAILY UPDATE SHEET'!$A44,'LC-Final List'!$E:$E,'DAILY UPDATE SHEET'!B$36,'LC-Final List'!$F:$F,"10%")</f>
        <v>241952921.28000003</v>
      </c>
      <c r="C44" s="443">
        <f ca="1">SUMIFS(SBLC!$X:$X,SBLC!$T:$T,"Unpaid",SBLC!$R:$R,'DAILY UPDATE SHEET'!$A44,SBLC!$B:$B,$B$36,SBLC!$H:$H,"10%")</f>
        <v>0</v>
      </c>
      <c r="D44" s="443">
        <f ca="1">SUMIFS('LC-Final List'!$W:$W,'LC-Final List'!$AE:$AE,"Unpaid",'LC-Final List'!$Y:$Y,'DAILY UPDATE SHEET'!$A44,'LC-Final List'!$E:$E,'DAILY UPDATE SHEET'!D$36,'LC-Final List'!$F:$F,"10%")</f>
        <v>0</v>
      </c>
      <c r="E44" s="443">
        <f ca="1">SUMIFS(SBLC!$X:$X,SBLC!$T:$T,"Unpaid",SBLC!$R:$R,'DAILY UPDATE SHEET'!$A44,SBLC!$B:$B,$D$36,SBLC!$H:$H,"10%")</f>
        <v>0</v>
      </c>
      <c r="F44" s="443">
        <f ca="1">SUMIFS('LC-Final List'!$W:$W,'LC-Final List'!$AE:$AE,"Unpaid",'LC-Final List'!$Y:$Y,'DAILY UPDATE SHEET'!$A44,'LC-Final List'!$E:$E,'DAILY UPDATE SHEET'!F$36,'LC-Final List'!$F:$F,"10%")</f>
        <v>0</v>
      </c>
      <c r="G44" s="443">
        <f ca="1">SUMIFS(SBLC!$X:$X,SBLC!$T:$T,"Unpaid",SBLC!$R:$R,'DAILY UPDATE SHEET'!$A44,SBLC!$B:$B,$F$36,SBLC!$H:$H,"10%")</f>
        <v>0</v>
      </c>
      <c r="H44" s="443">
        <f t="shared" ca="1" si="7"/>
        <v>241952921.28000003</v>
      </c>
    </row>
    <row r="45" spans="1:12" x14ac:dyDescent="0.25">
      <c r="A45" s="474">
        <f t="shared" ca="1" si="8"/>
        <v>46185</v>
      </c>
      <c r="B45" s="443">
        <f ca="1">SUMIFS('LC-Final List'!$W:$W,'LC-Final List'!$AE:$AE,"Unpaid",'LC-Final List'!$Y:$Y,'DAILY UPDATE SHEET'!$A45,'LC-Final List'!$E:$E,'DAILY UPDATE SHEET'!B$36,'LC-Final List'!$F:$F,"10%")</f>
        <v>375107449.92000002</v>
      </c>
      <c r="C45" s="443">
        <f ca="1">SUMIFS(SBLC!$X:$X,SBLC!$T:$T,"Unpaid",SBLC!$R:$R,'DAILY UPDATE SHEET'!$A45,SBLC!$B:$B,$B$36,SBLC!$H:$H,"10%")</f>
        <v>0</v>
      </c>
      <c r="D45" s="443">
        <f ca="1">SUMIFS('LC-Final List'!$W:$W,'LC-Final List'!$AE:$AE,"Unpaid",'LC-Final List'!$Y:$Y,'DAILY UPDATE SHEET'!$A45,'LC-Final List'!$E:$E,'DAILY UPDATE SHEET'!D$36,'LC-Final List'!$F:$F,"10%")</f>
        <v>0</v>
      </c>
      <c r="E45" s="443">
        <f ca="1">SUMIFS(SBLC!$X:$X,SBLC!$T:$T,"Unpaid",SBLC!$R:$R,'DAILY UPDATE SHEET'!$A45,SBLC!$B:$B,$D$36,SBLC!$H:$H,"10%")</f>
        <v>0</v>
      </c>
      <c r="F45" s="443">
        <f ca="1">SUMIFS('LC-Final List'!$W:$W,'LC-Final List'!$AE:$AE,"Unpaid",'LC-Final List'!$Y:$Y,'DAILY UPDATE SHEET'!$A45,'LC-Final List'!$E:$E,'DAILY UPDATE SHEET'!F$36,'LC-Final List'!$F:$F,"10%")</f>
        <v>169992000</v>
      </c>
      <c r="G45" s="443">
        <f ca="1">SUMIFS(SBLC!$X:$X,SBLC!$T:$T,"Unpaid",SBLC!$R:$R,'DAILY UPDATE SHEET'!$A45,SBLC!$B:$B,$F$36,SBLC!$H:$H,"10%")</f>
        <v>0</v>
      </c>
      <c r="H45" s="443">
        <f t="shared" ca="1" si="7"/>
        <v>545099449.92000008</v>
      </c>
    </row>
    <row r="46" spans="1:12" hidden="1" x14ac:dyDescent="0.25">
      <c r="A46" s="83">
        <f t="shared" ca="1" si="8"/>
        <v>46186</v>
      </c>
      <c r="B46" s="220">
        <f ca="1">SUMIFS('LC-Final List'!$W:$W,'LC-Final List'!$AE:$AE,"Unpaid",'LC-Final List'!$Y:$Y,'DAILY UPDATE SHEET'!$A46,'LC-Final List'!$E:$E,'DAILY UPDATE SHEET'!B$36,'LC-Final List'!$F:$F,"10%")</f>
        <v>0</v>
      </c>
      <c r="C46" s="220">
        <f ca="1">SUMIFS(SBLC!$X:$X,SBLC!$T:$T,"Unpaid",SBLC!$R:$R,'DAILY UPDATE SHEET'!$A46,SBLC!$B:$B,$B$36,SBLC!$H:$H,"10%")</f>
        <v>0</v>
      </c>
      <c r="D46" s="220">
        <f ca="1">SUMIFS('LC-Final List'!$W:$W,'LC-Final List'!$AE:$AE,"Unpaid",'LC-Final List'!$Y:$Y,'DAILY UPDATE SHEET'!$A46,'LC-Final List'!$E:$E,'DAILY UPDATE SHEET'!D$36,'LC-Final List'!$F:$F,"10%")</f>
        <v>0</v>
      </c>
      <c r="E46" s="220">
        <f ca="1">SUMIFS(SBLC!$X:$X,SBLC!$T:$T,"Unpaid",SBLC!$R:$R,'DAILY UPDATE SHEET'!$A46,SBLC!$B:$B,$D$36,SBLC!$H:$H,"10%")</f>
        <v>0</v>
      </c>
      <c r="F46" s="220">
        <f ca="1">SUMIFS('LC-Final List'!$W:$W,'LC-Final List'!$AE:$AE,"Unpaid",'LC-Final List'!$Y:$Y,'DAILY UPDATE SHEET'!$A46,'LC-Final List'!$E:$E,'DAILY UPDATE SHEET'!F$36,'LC-Final List'!$F:$F,"10%")</f>
        <v>0</v>
      </c>
      <c r="G46" s="220">
        <f ca="1">SUMIFS(SBLC!$X:$X,SBLC!$T:$T,"Unpaid",SBLC!$R:$R,'DAILY UPDATE SHEET'!$A46,SBLC!$B:$B,$F$36,SBLC!$H:$H,"10%")</f>
        <v>0</v>
      </c>
      <c r="H46" s="220">
        <f t="shared" ca="1" si="7"/>
        <v>0</v>
      </c>
    </row>
    <row r="47" spans="1:12" hidden="1" x14ac:dyDescent="0.25">
      <c r="A47" s="83">
        <f t="shared" ca="1" si="8"/>
        <v>46187</v>
      </c>
      <c r="B47" s="220">
        <f ca="1">SUMIFS('LC-Final List'!$W:$W,'LC-Final List'!$AE:$AE,"Unpaid",'LC-Final List'!$Y:$Y,'DAILY UPDATE SHEET'!$A47,'LC-Final List'!$E:$E,'DAILY UPDATE SHEET'!B$36,'LC-Final List'!$F:$F,"10%")</f>
        <v>0</v>
      </c>
      <c r="C47" s="220">
        <f ca="1">SUMIFS(SBLC!$X:$X,SBLC!$T:$T,"Unpaid",SBLC!$R:$R,'DAILY UPDATE SHEET'!$A47,SBLC!$B:$B,$B$36,SBLC!$H:$H,"10%")</f>
        <v>0</v>
      </c>
      <c r="D47" s="220">
        <f ca="1">SUMIFS('LC-Final List'!$W:$W,'LC-Final List'!$AE:$AE,"Unpaid",'LC-Final List'!$Y:$Y,'DAILY UPDATE SHEET'!$A47,'LC-Final List'!$E:$E,'DAILY UPDATE SHEET'!D$36,'LC-Final List'!$F:$F,"10%")</f>
        <v>0</v>
      </c>
      <c r="E47" s="220">
        <f ca="1">SUMIFS(SBLC!$X:$X,SBLC!$T:$T,"Unpaid",SBLC!$R:$R,'DAILY UPDATE SHEET'!$A47,SBLC!$B:$B,$D$36,SBLC!$H:$H,"10%")</f>
        <v>0</v>
      </c>
      <c r="F47" s="220">
        <f ca="1">SUMIFS('LC-Final List'!$W:$W,'LC-Final List'!$AE:$AE,"Unpaid",'LC-Final List'!$Y:$Y,'DAILY UPDATE SHEET'!$A47,'LC-Final List'!$E:$E,'DAILY UPDATE SHEET'!F$36,'LC-Final List'!$F:$F,"10%")</f>
        <v>0</v>
      </c>
      <c r="G47" s="220">
        <f ca="1">SUMIFS(SBLC!$X:$X,SBLC!$T:$T,"Unpaid",SBLC!$R:$R,'DAILY UPDATE SHEET'!$A47,SBLC!$B:$B,$F$36,SBLC!$H:$H,"10%")</f>
        <v>0</v>
      </c>
      <c r="H47" s="220">
        <f t="shared" ca="1" si="7"/>
        <v>0</v>
      </c>
    </row>
    <row r="48" spans="1:12" x14ac:dyDescent="0.25">
      <c r="A48" s="474">
        <f t="shared" ca="1" si="8"/>
        <v>46188</v>
      </c>
      <c r="B48" s="443">
        <f ca="1">SUMIFS('LC-Final List'!$W:$W,'LC-Final List'!$AE:$AE,"Unpaid",'LC-Final List'!$Y:$Y,'DAILY UPDATE SHEET'!$A48,'LC-Final List'!$E:$E,'DAILY UPDATE SHEET'!B$36,'LC-Final List'!$F:$F,"10%")</f>
        <v>376622872.31999999</v>
      </c>
      <c r="C48" s="443">
        <f ca="1">SUMIFS(SBLC!$X:$X,SBLC!$T:$T,"Unpaid",SBLC!$R:$R,'DAILY UPDATE SHEET'!$A48,SBLC!$B:$B,$B$36,SBLC!$H:$H,"10%")</f>
        <v>0</v>
      </c>
      <c r="D48" s="443">
        <f ca="1">SUMIFS('LC-Final List'!$W:$W,'LC-Final List'!$AE:$AE,"Unpaid",'LC-Final List'!$Y:$Y,'DAILY UPDATE SHEET'!$A48,'LC-Final List'!$E:$E,'DAILY UPDATE SHEET'!D$36,'LC-Final List'!$F:$F,"10%")</f>
        <v>0</v>
      </c>
      <c r="E48" s="443">
        <f ca="1">SUMIFS(SBLC!$X:$X,SBLC!$T:$T,"Unpaid",SBLC!$R:$R,'DAILY UPDATE SHEET'!$A48,SBLC!$B:$B,$D$36,SBLC!$H:$H,"10%")</f>
        <v>0</v>
      </c>
      <c r="F48" s="443">
        <f ca="1">SUMIFS('LC-Final List'!$W:$W,'LC-Final List'!$AE:$AE,"Unpaid",'LC-Final List'!$Y:$Y,'DAILY UPDATE SHEET'!$A48,'LC-Final List'!$E:$E,'DAILY UPDATE SHEET'!F$36,'LC-Final List'!$F:$F,"10%")</f>
        <v>232502400</v>
      </c>
      <c r="G48" s="443">
        <f ca="1">SUMIFS(SBLC!$X:$X,SBLC!$T:$T,"Unpaid",SBLC!$R:$R,'DAILY UPDATE SHEET'!$A48,SBLC!$B:$B,$F$36,SBLC!$H:$H,"10%")</f>
        <v>0</v>
      </c>
      <c r="H48" s="443">
        <f t="shared" ca="1" si="7"/>
        <v>609125272.31999993</v>
      </c>
    </row>
    <row r="49" spans="1:8" x14ac:dyDescent="0.25">
      <c r="A49" s="474">
        <f t="shared" ca="1" si="8"/>
        <v>46189</v>
      </c>
      <c r="B49" s="443">
        <f ca="1">SUMIFS('LC-Final List'!$W:$W,'LC-Final List'!$AE:$AE,"Unpaid",'LC-Final List'!$Y:$Y,'DAILY UPDATE SHEET'!$A49,'LC-Final List'!$E:$E,'DAILY UPDATE SHEET'!B$36,'LC-Final List'!$F:$F,"10%")</f>
        <v>76898304</v>
      </c>
      <c r="C49" s="443">
        <f ca="1">SUMIFS(SBLC!$X:$X,SBLC!$T:$T,"Unpaid",SBLC!$R:$R,'DAILY UPDATE SHEET'!$A49,SBLC!$B:$B,$B$36,SBLC!$H:$H,"10%")</f>
        <v>0</v>
      </c>
      <c r="D49" s="443">
        <f ca="1">SUMIFS('LC-Final List'!$W:$W,'LC-Final List'!$AE:$AE,"Unpaid",'LC-Final List'!$Y:$Y,'DAILY UPDATE SHEET'!$A49,'LC-Final List'!$E:$E,'DAILY UPDATE SHEET'!D$36,'LC-Final List'!$F:$F,"10%")</f>
        <v>0</v>
      </c>
      <c r="E49" s="443">
        <f ca="1">SUMIFS(SBLC!$X:$X,SBLC!$T:$T,"Unpaid",SBLC!$R:$R,'DAILY UPDATE SHEET'!$A49,SBLC!$B:$B,$D$36,SBLC!$H:$H,"10%")</f>
        <v>0</v>
      </c>
      <c r="F49" s="443">
        <f ca="1">SUMIFS('LC-Final List'!$W:$W,'LC-Final List'!$AE:$AE,"Unpaid",'LC-Final List'!$Y:$Y,'DAILY UPDATE SHEET'!$A49,'LC-Final List'!$E:$E,'DAILY UPDATE SHEET'!F$36,'LC-Final List'!$F:$F,"10%")</f>
        <v>0</v>
      </c>
      <c r="G49" s="443">
        <f ca="1">SUMIFS(SBLC!$X:$X,SBLC!$T:$T,"Unpaid",SBLC!$R:$R,'DAILY UPDATE SHEET'!$A49,SBLC!$B:$B,$F$36,SBLC!$H:$H,"10%")</f>
        <v>0</v>
      </c>
      <c r="H49" s="443">
        <f t="shared" ca="1" si="7"/>
        <v>76898304</v>
      </c>
    </row>
    <row r="50" spans="1:8" x14ac:dyDescent="0.25">
      <c r="A50" s="474">
        <f t="shared" ca="1" si="8"/>
        <v>46190</v>
      </c>
      <c r="B50" s="443">
        <f ca="1">SUMIFS('LC-Final List'!$W:$W,'LC-Final List'!$AE:$AE,"Unpaid",'LC-Final List'!$Y:$Y,'DAILY UPDATE SHEET'!$A50,'LC-Final List'!$E:$E,'DAILY UPDATE SHEET'!B$36,'LC-Final List'!$F:$F,"10%")</f>
        <v>263034684.47999999</v>
      </c>
      <c r="C50" s="443">
        <f ca="1">SUMIFS(SBLC!$X:$X,SBLC!$T:$T,"Unpaid",SBLC!$R:$R,'DAILY UPDATE SHEET'!$A50,SBLC!$B:$B,$B$36,SBLC!$H:$H,"10%")</f>
        <v>0</v>
      </c>
      <c r="D50" s="443">
        <f ca="1">SUMIFS('LC-Final List'!$W:$W,'LC-Final List'!$AE:$AE,"Unpaid",'LC-Final List'!$Y:$Y,'DAILY UPDATE SHEET'!$A50,'LC-Final List'!$E:$E,'DAILY UPDATE SHEET'!D$36,'LC-Final List'!$F:$F,"10%")</f>
        <v>0</v>
      </c>
      <c r="E50" s="443">
        <f ca="1">SUMIFS(SBLC!$X:$X,SBLC!$T:$T,"Unpaid",SBLC!$R:$R,'DAILY UPDATE SHEET'!$A50,SBLC!$B:$B,$D$36,SBLC!$H:$H,"10%")</f>
        <v>0</v>
      </c>
      <c r="F50" s="443">
        <f ca="1">SUMIFS('LC-Final List'!$W:$W,'LC-Final List'!$AE:$AE,"Unpaid",'LC-Final List'!$Y:$Y,'DAILY UPDATE SHEET'!$A50,'LC-Final List'!$E:$E,'DAILY UPDATE SHEET'!F$36,'LC-Final List'!$F:$F,"10%")</f>
        <v>0</v>
      </c>
      <c r="G50" s="443">
        <f ca="1">SUMIFS(SBLC!$X:$X,SBLC!$T:$T,"Unpaid",SBLC!$R:$R,'DAILY UPDATE SHEET'!$A50,SBLC!$B:$B,$F$36,SBLC!$H:$H,"10%")</f>
        <v>0</v>
      </c>
      <c r="H50" s="443">
        <f t="shared" ca="1" si="7"/>
        <v>263034684.47999999</v>
      </c>
    </row>
    <row r="51" spans="1:8" hidden="1" x14ac:dyDescent="0.25">
      <c r="A51" s="83">
        <f t="shared" ca="1" si="8"/>
        <v>46191</v>
      </c>
      <c r="B51" s="220">
        <f ca="1">SUMIFS('LC-Final List'!$W:$W,'LC-Final List'!$AE:$AE,"Unpaid",'LC-Final List'!$Y:$Y,'DAILY UPDATE SHEET'!$A51,'LC-Final List'!$E:$E,'DAILY UPDATE SHEET'!B$36,'LC-Final List'!$F:$F,"10%")</f>
        <v>0</v>
      </c>
      <c r="C51" s="220">
        <f ca="1">SUMIFS(SBLC!$X:$X,SBLC!$T:$T,"Unpaid",SBLC!$R:$R,'DAILY UPDATE SHEET'!$A51,SBLC!$B:$B,$B$36,SBLC!$H:$H,"10%")</f>
        <v>0</v>
      </c>
      <c r="D51" s="220">
        <f ca="1">SUMIFS('LC-Final List'!$W:$W,'LC-Final List'!$AE:$AE,"Unpaid",'LC-Final List'!$Y:$Y,'DAILY UPDATE SHEET'!$A51,'LC-Final List'!$E:$E,'DAILY UPDATE SHEET'!D$36,'LC-Final List'!$F:$F,"10%")</f>
        <v>0</v>
      </c>
      <c r="E51" s="220">
        <f ca="1">SUMIFS(SBLC!$X:$X,SBLC!$T:$T,"Unpaid",SBLC!$R:$R,'DAILY UPDATE SHEET'!$A51,SBLC!$B:$B,$D$36,SBLC!$H:$H,"10%")</f>
        <v>0</v>
      </c>
      <c r="F51" s="220">
        <f ca="1">SUMIFS('LC-Final List'!$W:$W,'LC-Final List'!$AE:$AE,"Unpaid",'LC-Final List'!$Y:$Y,'DAILY UPDATE SHEET'!$A51,'LC-Final List'!$E:$E,'DAILY UPDATE SHEET'!F$36,'LC-Final List'!$F:$F,"10%")</f>
        <v>0</v>
      </c>
      <c r="G51" s="220">
        <f ca="1">SUMIFS(SBLC!$X:$X,SBLC!$T:$T,"Unpaid",SBLC!$R:$R,'DAILY UPDATE SHEET'!$A51,SBLC!$B:$B,$F$36,SBLC!$H:$H,"10%")</f>
        <v>0</v>
      </c>
      <c r="H51" s="220">
        <f t="shared" ca="1" si="7"/>
        <v>0</v>
      </c>
    </row>
    <row r="52" spans="1:8" hidden="1" x14ac:dyDescent="0.25">
      <c r="A52" s="83">
        <f t="shared" ca="1" si="8"/>
        <v>46192</v>
      </c>
      <c r="B52" s="220">
        <f ca="1">SUMIFS('LC-Final List'!$W:$W,'LC-Final List'!$AE:$AE,"Unpaid",'LC-Final List'!$Y:$Y,'DAILY UPDATE SHEET'!$A52,'LC-Final List'!$E:$E,'DAILY UPDATE SHEET'!B$36,'LC-Final List'!$F:$F,"10%")</f>
        <v>0</v>
      </c>
      <c r="C52" s="220">
        <f ca="1">SUMIFS(SBLC!$X:$X,SBLC!$T:$T,"Unpaid",SBLC!$R:$R,'DAILY UPDATE SHEET'!$A52,SBLC!$B:$B,$B$36,SBLC!$H:$H,"10%")</f>
        <v>0</v>
      </c>
      <c r="D52" s="220">
        <f ca="1">SUMIFS('LC-Final List'!$W:$W,'LC-Final List'!$AE:$AE,"Unpaid",'LC-Final List'!$Y:$Y,'DAILY UPDATE SHEET'!$A52,'LC-Final List'!$E:$E,'DAILY UPDATE SHEET'!D$36,'LC-Final List'!$F:$F,"10%")</f>
        <v>0</v>
      </c>
      <c r="E52" s="220">
        <f ca="1">SUMIFS(SBLC!$X:$X,SBLC!$T:$T,"Unpaid",SBLC!$R:$R,'DAILY UPDATE SHEET'!$A52,SBLC!$B:$B,$D$36,SBLC!$H:$H,"10%")</f>
        <v>0</v>
      </c>
      <c r="F52" s="220">
        <f ca="1">SUMIFS('LC-Final List'!$W:$W,'LC-Final List'!$AE:$AE,"Unpaid",'LC-Final List'!$Y:$Y,'DAILY UPDATE SHEET'!$A52,'LC-Final List'!$E:$E,'DAILY UPDATE SHEET'!F$36,'LC-Final List'!$F:$F,"10%")</f>
        <v>0</v>
      </c>
      <c r="G52" s="220">
        <f ca="1">SUMIFS(SBLC!$X:$X,SBLC!$T:$T,"Unpaid",SBLC!$R:$R,'DAILY UPDATE SHEET'!$A52,SBLC!$B:$B,$F$36,SBLC!$H:$H,"10%")</f>
        <v>0</v>
      </c>
      <c r="H52" s="220">
        <f t="shared" ca="1" si="7"/>
        <v>0</v>
      </c>
    </row>
    <row r="53" spans="1:8" hidden="1" x14ac:dyDescent="0.25">
      <c r="A53" s="83">
        <f t="shared" ca="1" si="8"/>
        <v>46193</v>
      </c>
      <c r="B53" s="220">
        <f ca="1">SUMIFS('LC-Final List'!$W:$W,'LC-Final List'!$AE:$AE,"Unpaid",'LC-Final List'!$Y:$Y,'DAILY UPDATE SHEET'!$A53,'LC-Final List'!$E:$E,'DAILY UPDATE SHEET'!B$36,'LC-Final List'!$F:$F,"10%")</f>
        <v>0</v>
      </c>
      <c r="C53" s="220">
        <f ca="1">SUMIFS(SBLC!$X:$X,SBLC!$T:$T,"Unpaid",SBLC!$R:$R,'DAILY UPDATE SHEET'!$A53,SBLC!$B:$B,$B$36,SBLC!$H:$H,"10%")</f>
        <v>0</v>
      </c>
      <c r="D53" s="220">
        <f ca="1">SUMIFS('LC-Final List'!$W:$W,'LC-Final List'!$AE:$AE,"Unpaid",'LC-Final List'!$Y:$Y,'DAILY UPDATE SHEET'!$A53,'LC-Final List'!$E:$E,'DAILY UPDATE SHEET'!D$36,'LC-Final List'!$F:$F,"10%")</f>
        <v>0</v>
      </c>
      <c r="E53" s="220">
        <f ca="1">SUMIFS(SBLC!$X:$X,SBLC!$T:$T,"Unpaid",SBLC!$R:$R,'DAILY UPDATE SHEET'!$A53,SBLC!$B:$B,$D$36,SBLC!$H:$H,"10%")</f>
        <v>0</v>
      </c>
      <c r="F53" s="220">
        <f ca="1">SUMIFS('LC-Final List'!$W:$W,'LC-Final List'!$AE:$AE,"Unpaid",'LC-Final List'!$Y:$Y,'DAILY UPDATE SHEET'!$A53,'LC-Final List'!$E:$E,'DAILY UPDATE SHEET'!F$36,'LC-Final List'!$F:$F,"10%")</f>
        <v>0</v>
      </c>
      <c r="G53" s="220">
        <f ca="1">SUMIFS(SBLC!$X:$X,SBLC!$T:$T,"Unpaid",SBLC!$R:$R,'DAILY UPDATE SHEET'!$A53,SBLC!$B:$B,$F$36,SBLC!$H:$H,"10%")</f>
        <v>0</v>
      </c>
      <c r="H53" s="220">
        <f t="shared" ca="1" si="7"/>
        <v>0</v>
      </c>
    </row>
    <row r="54" spans="1:8" hidden="1" x14ac:dyDescent="0.25">
      <c r="A54" s="83">
        <f t="shared" ca="1" si="8"/>
        <v>46194</v>
      </c>
      <c r="B54" s="220">
        <f ca="1">SUMIFS('LC-Final List'!$W:$W,'LC-Final List'!$AE:$AE,"Unpaid",'LC-Final List'!$Y:$Y,'DAILY UPDATE SHEET'!$A54,'LC-Final List'!$E:$E,'DAILY UPDATE SHEET'!B$36,'LC-Final List'!$F:$F,"10%")</f>
        <v>0</v>
      </c>
      <c r="C54" s="220">
        <f ca="1">SUMIFS(SBLC!$X:$X,SBLC!$T:$T,"Unpaid",SBLC!$R:$R,'DAILY UPDATE SHEET'!$A54,SBLC!$B:$B,$B$36,SBLC!$H:$H,"10%")</f>
        <v>0</v>
      </c>
      <c r="D54" s="220">
        <f ca="1">SUMIFS('LC-Final List'!$W:$W,'LC-Final List'!$AE:$AE,"Unpaid",'LC-Final List'!$Y:$Y,'DAILY UPDATE SHEET'!$A54,'LC-Final List'!$E:$E,'DAILY UPDATE SHEET'!D$36,'LC-Final List'!$F:$F,"10%")</f>
        <v>0</v>
      </c>
      <c r="E54" s="220">
        <f ca="1">SUMIFS(SBLC!$X:$X,SBLC!$T:$T,"Unpaid",SBLC!$R:$R,'DAILY UPDATE SHEET'!$A54,SBLC!$B:$B,$D$36,SBLC!$H:$H,"10%")</f>
        <v>0</v>
      </c>
      <c r="F54" s="220">
        <f ca="1">SUMIFS('LC-Final List'!$W:$W,'LC-Final List'!$AE:$AE,"Unpaid",'LC-Final List'!$Y:$Y,'DAILY UPDATE SHEET'!$A54,'LC-Final List'!$E:$E,'DAILY UPDATE SHEET'!F$36,'LC-Final List'!$F:$F,"10%")</f>
        <v>0</v>
      </c>
      <c r="G54" s="220">
        <f ca="1">SUMIFS(SBLC!$X:$X,SBLC!$T:$T,"Unpaid",SBLC!$R:$R,'DAILY UPDATE SHEET'!$A54,SBLC!$B:$B,$F$36,SBLC!$H:$H,"10%")</f>
        <v>0</v>
      </c>
      <c r="H54" s="220">
        <f t="shared" ca="1" si="7"/>
        <v>0</v>
      </c>
    </row>
    <row r="55" spans="1:8" x14ac:dyDescent="0.25">
      <c r="A55" s="474">
        <f t="shared" ca="1" si="8"/>
        <v>46195</v>
      </c>
      <c r="B55" s="443">
        <f ca="1">SUMIFS('LC-Final List'!$W:$W,'LC-Final List'!$AE:$AE,"Unpaid",'LC-Final List'!$Y:$Y,'DAILY UPDATE SHEET'!$A55,'LC-Final List'!$E:$E,'DAILY UPDATE SHEET'!B$36,'LC-Final List'!$F:$F,"10%")</f>
        <v>117792000</v>
      </c>
      <c r="C55" s="443">
        <f ca="1">SUMIFS(SBLC!$X:$X,SBLC!$T:$T,"Unpaid",SBLC!$R:$R,'DAILY UPDATE SHEET'!$A55,SBLC!$B:$B,$B$36,SBLC!$H:$H,"10%")</f>
        <v>0</v>
      </c>
      <c r="D55" s="443">
        <f ca="1">SUMIFS('LC-Final List'!$W:$W,'LC-Final List'!$AE:$AE,"Unpaid",'LC-Final List'!$Y:$Y,'DAILY UPDATE SHEET'!$A55,'LC-Final List'!$E:$E,'DAILY UPDATE SHEET'!D$36,'LC-Final List'!$F:$F,"10%")</f>
        <v>358259177.28000003</v>
      </c>
      <c r="E55" s="443">
        <f ca="1">SUMIFS(SBLC!$X:$X,SBLC!$T:$T,"Unpaid",SBLC!$R:$R,'DAILY UPDATE SHEET'!$A55,SBLC!$B:$B,$D$36,SBLC!$H:$H,"10%")</f>
        <v>0</v>
      </c>
      <c r="F55" s="443">
        <f ca="1">SUMIFS('LC-Final List'!$W:$W,'LC-Final List'!$AE:$AE,"Unpaid",'LC-Final List'!$Y:$Y,'DAILY UPDATE SHEET'!$A55,'LC-Final List'!$E:$E,'DAILY UPDATE SHEET'!F$36,'LC-Final List'!$F:$F,"10%")</f>
        <v>0</v>
      </c>
      <c r="G55" s="443">
        <f ca="1">SUMIFS(SBLC!$X:$X,SBLC!$T:$T,"Unpaid",SBLC!$R:$R,'DAILY UPDATE SHEET'!$A55,SBLC!$B:$B,$F$36,SBLC!$H:$H,"10%")</f>
        <v>0</v>
      </c>
      <c r="H55" s="443">
        <f t="shared" ca="1" si="7"/>
        <v>476051177.28000003</v>
      </c>
    </row>
    <row r="56" spans="1:8" x14ac:dyDescent="0.25">
      <c r="A56" s="474">
        <f t="shared" ca="1" si="8"/>
        <v>46196</v>
      </c>
      <c r="B56" s="443">
        <f ca="1">SUMIFS('LC-Final List'!$W:$W,'LC-Final List'!$AE:$AE,"Unpaid",'LC-Final List'!$Y:$Y,'DAILY UPDATE SHEET'!$A56,'LC-Final List'!$E:$E,'DAILY UPDATE SHEET'!B$36,'LC-Final List'!$F:$F,"10%")</f>
        <v>6344064</v>
      </c>
      <c r="C56" s="443">
        <f ca="1">SUMIFS(SBLC!$X:$X,SBLC!$T:$T,"Unpaid",SBLC!$R:$R,'DAILY UPDATE SHEET'!$A56,SBLC!$B:$B,$B$36,SBLC!$H:$H,"10%")</f>
        <v>0</v>
      </c>
      <c r="D56" s="443">
        <f ca="1">SUMIFS('LC-Final List'!$W:$W,'LC-Final List'!$AE:$AE,"Unpaid",'LC-Final List'!$Y:$Y,'DAILY UPDATE SHEET'!$A56,'LC-Final List'!$E:$E,'DAILY UPDATE SHEET'!D$36,'LC-Final List'!$F:$F,"10%")</f>
        <v>0</v>
      </c>
      <c r="E56" s="443">
        <f ca="1">SUMIFS(SBLC!$X:$X,SBLC!$T:$T,"Unpaid",SBLC!$R:$R,'DAILY UPDATE SHEET'!$A56,SBLC!$B:$B,$D$36,SBLC!$H:$H,"10%")</f>
        <v>0</v>
      </c>
      <c r="F56" s="443">
        <f ca="1">SUMIFS('LC-Final List'!$W:$W,'LC-Final List'!$AE:$AE,"Unpaid",'LC-Final List'!$Y:$Y,'DAILY UPDATE SHEET'!$A56,'LC-Final List'!$E:$E,'DAILY UPDATE SHEET'!F$36,'LC-Final List'!$F:$F,"10%")</f>
        <v>0</v>
      </c>
      <c r="G56" s="443">
        <f ca="1">SUMIFS(SBLC!$X:$X,SBLC!$T:$T,"Unpaid",SBLC!$R:$R,'DAILY UPDATE SHEET'!$A56,SBLC!$B:$B,$F$36,SBLC!$H:$H,"10%")</f>
        <v>0</v>
      </c>
      <c r="H56" s="443">
        <f t="shared" ca="1" si="7"/>
        <v>6344064</v>
      </c>
    </row>
    <row r="57" spans="1:8" hidden="1" x14ac:dyDescent="0.25">
      <c r="A57" s="83">
        <f t="shared" ca="1" si="8"/>
        <v>46197</v>
      </c>
      <c r="B57" s="220">
        <f ca="1">SUMIFS('LC-Final List'!$W:$W,'LC-Final List'!$AE:$AE,"Unpaid",'LC-Final List'!$Y:$Y,'DAILY UPDATE SHEET'!$A57,'LC-Final List'!$E:$E,'DAILY UPDATE SHEET'!B$36,'LC-Final List'!$F:$F,"10%")</f>
        <v>0</v>
      </c>
      <c r="C57" s="220">
        <f ca="1">SUMIFS(SBLC!$X:$X,SBLC!$T:$T,"Unpaid",SBLC!$R:$R,'DAILY UPDATE SHEET'!$A57,SBLC!$B:$B,$B$36,SBLC!$H:$H,"10%")</f>
        <v>0</v>
      </c>
      <c r="D57" s="220">
        <f ca="1">SUMIFS('LC-Final List'!$W:$W,'LC-Final List'!$AE:$AE,"Unpaid",'LC-Final List'!$Y:$Y,'DAILY UPDATE SHEET'!$A57,'LC-Final List'!$E:$E,'DAILY UPDATE SHEET'!D$36,'LC-Final List'!$F:$F,"10%")</f>
        <v>0</v>
      </c>
      <c r="E57" s="220">
        <f ca="1">SUMIFS(SBLC!$X:$X,SBLC!$T:$T,"Unpaid",SBLC!$R:$R,'DAILY UPDATE SHEET'!$A57,SBLC!$B:$B,$D$36,SBLC!$H:$H,"10%")</f>
        <v>0</v>
      </c>
      <c r="F57" s="220">
        <f ca="1">SUMIFS('LC-Final List'!$W:$W,'LC-Final List'!$AE:$AE,"Unpaid",'LC-Final List'!$Y:$Y,'DAILY UPDATE SHEET'!$A57,'LC-Final List'!$E:$E,'DAILY UPDATE SHEET'!F$36,'LC-Final List'!$F:$F,"10%")</f>
        <v>0</v>
      </c>
      <c r="G57" s="220">
        <f ca="1">SUMIFS(SBLC!$X:$X,SBLC!$T:$T,"Unpaid",SBLC!$R:$R,'DAILY UPDATE SHEET'!$A57,SBLC!$B:$B,$F$36,SBLC!$H:$H,"10%")</f>
        <v>0</v>
      </c>
      <c r="H57" s="220">
        <f t="shared" ca="1" si="7"/>
        <v>0</v>
      </c>
    </row>
    <row r="58" spans="1:8" x14ac:dyDescent="0.25">
      <c r="A58" s="474">
        <f t="shared" ca="1" si="8"/>
        <v>46198</v>
      </c>
      <c r="B58" s="443">
        <f ca="1">SUMIFS('LC-Final List'!$W:$W,'LC-Final List'!$AE:$AE,"Unpaid",'LC-Final List'!$Y:$Y,'DAILY UPDATE SHEET'!$A58,'LC-Final List'!$E:$E,'DAILY UPDATE SHEET'!B$36,'LC-Final List'!$F:$F,"10%")</f>
        <v>0</v>
      </c>
      <c r="C58" s="443">
        <f ca="1">SUMIFS(SBLC!$X:$X,SBLC!$T:$T,"Unpaid",SBLC!$R:$R,'DAILY UPDATE SHEET'!$A58,SBLC!$B:$B,$B$36,SBLC!$H:$H,"10%")</f>
        <v>0</v>
      </c>
      <c r="D58" s="443">
        <f ca="1">SUMIFS('LC-Final List'!$W:$W,'LC-Final List'!$AE:$AE,"Unpaid",'LC-Final List'!$Y:$Y,'DAILY UPDATE SHEET'!$A58,'LC-Final List'!$E:$E,'DAILY UPDATE SHEET'!D$36,'LC-Final List'!$F:$F,"10%")</f>
        <v>0</v>
      </c>
      <c r="E58" s="443">
        <f ca="1">SUMIFS(SBLC!$X:$X,SBLC!$T:$T,"Unpaid",SBLC!$R:$R,'DAILY UPDATE SHEET'!$A58,SBLC!$B:$B,$D$36,SBLC!$H:$H,"10%")</f>
        <v>0</v>
      </c>
      <c r="F58" s="443">
        <f ca="1">SUMIFS('LC-Final List'!$W:$W,'LC-Final List'!$AE:$AE,"Unpaid",'LC-Final List'!$Y:$Y,'DAILY UPDATE SHEET'!$A58,'LC-Final List'!$E:$E,'DAILY UPDATE SHEET'!F$36,'LC-Final List'!$F:$F,"10%")</f>
        <v>52310822.400000006</v>
      </c>
      <c r="G58" s="443">
        <f ca="1">SUMIFS(SBLC!$X:$X,SBLC!$T:$T,"Unpaid",SBLC!$R:$R,'DAILY UPDATE SHEET'!$A58,SBLC!$B:$B,$F$36,SBLC!$H:$H,"10%")</f>
        <v>0</v>
      </c>
      <c r="H58" s="443">
        <f t="shared" ca="1" si="7"/>
        <v>52310822.400000006</v>
      </c>
    </row>
    <row r="59" spans="1:8" hidden="1" x14ac:dyDescent="0.25">
      <c r="A59" s="83">
        <f t="shared" ca="1" si="8"/>
        <v>46199</v>
      </c>
      <c r="B59" s="220">
        <f ca="1">SUMIFS('LC-Final List'!$W:$W,'LC-Final List'!$AE:$AE,"Unpaid",'LC-Final List'!$Y:$Y,'DAILY UPDATE SHEET'!$A59,'LC-Final List'!$E:$E,'DAILY UPDATE SHEET'!B$36,'LC-Final List'!$F:$F,"10%")</f>
        <v>0</v>
      </c>
      <c r="C59" s="220">
        <f ca="1">SUMIFS(SBLC!$X:$X,SBLC!$T:$T,"Unpaid",SBLC!$R:$R,'DAILY UPDATE SHEET'!$A59,SBLC!$B:$B,$B$36,SBLC!$H:$H,"10%")</f>
        <v>0</v>
      </c>
      <c r="D59" s="220">
        <f ca="1">SUMIFS('LC-Final List'!$W:$W,'LC-Final List'!$AE:$AE,"Unpaid",'LC-Final List'!$Y:$Y,'DAILY UPDATE SHEET'!$A59,'LC-Final List'!$E:$E,'DAILY UPDATE SHEET'!D$36,'LC-Final List'!$F:$F,"10%")</f>
        <v>0</v>
      </c>
      <c r="E59" s="220">
        <f ca="1">SUMIFS(SBLC!$X:$X,SBLC!$T:$T,"Unpaid",SBLC!$R:$R,'DAILY UPDATE SHEET'!$A59,SBLC!$B:$B,$D$36,SBLC!$H:$H,"10%")</f>
        <v>0</v>
      </c>
      <c r="F59" s="220">
        <f ca="1">SUMIFS('LC-Final List'!$W:$W,'LC-Final List'!$AE:$AE,"Unpaid",'LC-Final List'!$Y:$Y,'DAILY UPDATE SHEET'!$A59,'LC-Final List'!$E:$E,'DAILY UPDATE SHEET'!F$36,'LC-Final List'!$F:$F,"10%")</f>
        <v>0</v>
      </c>
      <c r="G59" s="220">
        <f ca="1">SUMIFS(SBLC!$X:$X,SBLC!$T:$T,"Unpaid",SBLC!$R:$R,'DAILY UPDATE SHEET'!$A59,SBLC!$B:$B,$F$36,SBLC!$H:$H,"10%")</f>
        <v>0</v>
      </c>
      <c r="H59" s="220">
        <f t="shared" ca="1" si="7"/>
        <v>0</v>
      </c>
    </row>
    <row r="60" spans="1:8" hidden="1" x14ac:dyDescent="0.25">
      <c r="A60" s="83">
        <f t="shared" ca="1" si="8"/>
        <v>46200</v>
      </c>
      <c r="B60" s="220">
        <f ca="1">SUMIFS('LC-Final List'!$W:$W,'LC-Final List'!$AE:$AE,"Unpaid",'LC-Final List'!$Y:$Y,'DAILY UPDATE SHEET'!$A60,'LC-Final List'!$E:$E,'DAILY UPDATE SHEET'!B$36,'LC-Final List'!$F:$F,"10%")</f>
        <v>0</v>
      </c>
      <c r="C60" s="220">
        <f ca="1">SUMIFS(SBLC!$X:$X,SBLC!$T:$T,"Unpaid",SBLC!$R:$R,'DAILY UPDATE SHEET'!$A60,SBLC!$B:$B,$B$36,SBLC!$H:$H,"10%")</f>
        <v>0</v>
      </c>
      <c r="D60" s="220">
        <f ca="1">SUMIFS('LC-Final List'!$W:$W,'LC-Final List'!$AE:$AE,"Unpaid",'LC-Final List'!$Y:$Y,'DAILY UPDATE SHEET'!$A60,'LC-Final List'!$E:$E,'DAILY UPDATE SHEET'!D$36,'LC-Final List'!$F:$F,"10%")</f>
        <v>0</v>
      </c>
      <c r="E60" s="220">
        <f ca="1">SUMIFS(SBLC!$X:$X,SBLC!$T:$T,"Unpaid",SBLC!$R:$R,'DAILY UPDATE SHEET'!$A60,SBLC!$B:$B,$D$36,SBLC!$H:$H,"10%")</f>
        <v>0</v>
      </c>
      <c r="F60" s="220">
        <f ca="1">SUMIFS('LC-Final List'!$W:$W,'LC-Final List'!$AE:$AE,"Unpaid",'LC-Final List'!$Y:$Y,'DAILY UPDATE SHEET'!$A60,'LC-Final List'!$E:$E,'DAILY UPDATE SHEET'!F$36,'LC-Final List'!$F:$F,"10%")</f>
        <v>0</v>
      </c>
      <c r="G60" s="220">
        <f ca="1">SUMIFS(SBLC!$X:$X,SBLC!$T:$T,"Unpaid",SBLC!$R:$R,'DAILY UPDATE SHEET'!$A60,SBLC!$B:$B,$F$36,SBLC!$H:$H,"10%")</f>
        <v>0</v>
      </c>
      <c r="H60" s="220">
        <f t="shared" ca="1" si="7"/>
        <v>0</v>
      </c>
    </row>
    <row r="61" spans="1:8" hidden="1" x14ac:dyDescent="0.25">
      <c r="A61" s="83">
        <f t="shared" ca="1" si="8"/>
        <v>46201</v>
      </c>
      <c r="B61" s="220">
        <f ca="1">SUMIFS('LC-Final List'!$W:$W,'LC-Final List'!$AE:$AE,"Unpaid",'LC-Final List'!$Y:$Y,'DAILY UPDATE SHEET'!$A61,'LC-Final List'!$E:$E,'DAILY UPDATE SHEET'!B$36,'LC-Final List'!$F:$F,"10%")</f>
        <v>0</v>
      </c>
      <c r="C61" s="220">
        <f ca="1">SUMIFS(SBLC!$X:$X,SBLC!$T:$T,"Unpaid",SBLC!$R:$R,'DAILY UPDATE SHEET'!$A61,SBLC!$B:$B,$B$36,SBLC!$H:$H,"10%")</f>
        <v>0</v>
      </c>
      <c r="D61" s="220">
        <f ca="1">SUMIFS('LC-Final List'!$W:$W,'LC-Final List'!$AE:$AE,"Unpaid",'LC-Final List'!$Y:$Y,'DAILY UPDATE SHEET'!$A61,'LC-Final List'!$E:$E,'DAILY UPDATE SHEET'!D$36,'LC-Final List'!$F:$F,"10%")</f>
        <v>0</v>
      </c>
      <c r="E61" s="220">
        <f ca="1">SUMIFS(SBLC!$X:$X,SBLC!$T:$T,"Unpaid",SBLC!$R:$R,'DAILY UPDATE SHEET'!$A61,SBLC!$B:$B,$D$36,SBLC!$H:$H,"10%")</f>
        <v>0</v>
      </c>
      <c r="F61" s="220">
        <f ca="1">SUMIFS('LC-Final List'!$W:$W,'LC-Final List'!$AE:$AE,"Unpaid",'LC-Final List'!$Y:$Y,'DAILY UPDATE SHEET'!$A61,'LC-Final List'!$E:$E,'DAILY UPDATE SHEET'!F$36,'LC-Final List'!$F:$F,"10%")</f>
        <v>0</v>
      </c>
      <c r="G61" s="220">
        <f ca="1">SUMIFS(SBLC!$X:$X,SBLC!$T:$T,"Unpaid",SBLC!$R:$R,'DAILY UPDATE SHEET'!$A61,SBLC!$B:$B,$F$36,SBLC!$H:$H,"10%")</f>
        <v>0</v>
      </c>
      <c r="H61" s="220">
        <f t="shared" ca="1" si="7"/>
        <v>0</v>
      </c>
    </row>
    <row r="62" spans="1:8" x14ac:dyDescent="0.25">
      <c r="A62" s="474">
        <f t="shared" ca="1" si="8"/>
        <v>46202</v>
      </c>
      <c r="B62" s="443">
        <f ca="1">SUMIFS('LC-Final List'!$W:$W,'LC-Final List'!$AE:$AE,"Unpaid",'LC-Final List'!$Y:$Y,'DAILY UPDATE SHEET'!$A62,'LC-Final List'!$E:$E,'DAILY UPDATE SHEET'!B$36,'LC-Final List'!$F:$F,"10%")</f>
        <v>13197600</v>
      </c>
      <c r="C62" s="443">
        <f ca="1">SUMIFS(SBLC!$X:$X,SBLC!$T:$T,"Unpaid",SBLC!$R:$R,'DAILY UPDATE SHEET'!$A62,SBLC!$B:$B,$B$36,SBLC!$H:$H,"10%")</f>
        <v>0</v>
      </c>
      <c r="D62" s="443">
        <f ca="1">SUMIFS('LC-Final List'!$W:$W,'LC-Final List'!$AE:$AE,"Unpaid",'LC-Final List'!$Y:$Y,'DAILY UPDATE SHEET'!$A62,'LC-Final List'!$E:$E,'DAILY UPDATE SHEET'!D$36,'LC-Final List'!$F:$F,"10%")</f>
        <v>0</v>
      </c>
      <c r="E62" s="443">
        <f ca="1">SUMIFS(SBLC!$X:$X,SBLC!$T:$T,"Unpaid",SBLC!$R:$R,'DAILY UPDATE SHEET'!$A62,SBLC!$B:$B,$D$36,SBLC!$H:$H,"10%")</f>
        <v>0</v>
      </c>
      <c r="F62" s="443">
        <f ca="1">SUMIFS('LC-Final List'!$W:$W,'LC-Final List'!$AE:$AE,"Unpaid",'LC-Final List'!$Y:$Y,'DAILY UPDATE SHEET'!$A62,'LC-Final List'!$E:$E,'DAILY UPDATE SHEET'!F$36,'LC-Final List'!$F:$F,"10%")</f>
        <v>0</v>
      </c>
      <c r="G62" s="443">
        <f ca="1">SUMIFS(SBLC!$X:$X,SBLC!$T:$T,"Unpaid",SBLC!$R:$R,'DAILY UPDATE SHEET'!$A62,SBLC!$B:$B,$F$36,SBLC!$H:$H,"10%")</f>
        <v>0</v>
      </c>
      <c r="H62" s="443">
        <f t="shared" ca="1" si="7"/>
        <v>13197600</v>
      </c>
    </row>
    <row r="63" spans="1:8" hidden="1" x14ac:dyDescent="0.25">
      <c r="A63" s="83">
        <f t="shared" ca="1" si="8"/>
        <v>46203</v>
      </c>
      <c r="B63" s="220">
        <f ca="1">SUMIFS('LC-Final List'!$W:$W,'LC-Final List'!$AE:$AE,"Unpaid",'LC-Final List'!$Y:$Y,'DAILY UPDATE SHEET'!$A63,'LC-Final List'!$E:$E,'DAILY UPDATE SHEET'!B$36,'LC-Final List'!$F:$F,"10%")</f>
        <v>0</v>
      </c>
      <c r="C63" s="220">
        <f ca="1">SUMIFS(SBLC!$X:$X,SBLC!$T:$T,"Unpaid",SBLC!$R:$R,'DAILY UPDATE SHEET'!$A63,SBLC!$B:$B,$B$36,SBLC!$H:$H,"10%")</f>
        <v>0</v>
      </c>
      <c r="D63" s="220">
        <f ca="1">SUMIFS('LC-Final List'!$W:$W,'LC-Final List'!$AE:$AE,"Unpaid",'LC-Final List'!$Y:$Y,'DAILY UPDATE SHEET'!$A63,'LC-Final List'!$E:$E,'DAILY UPDATE SHEET'!D$36,'LC-Final List'!$F:$F,"10%")</f>
        <v>0</v>
      </c>
      <c r="E63" s="220">
        <f ca="1">SUMIFS(SBLC!$X:$X,SBLC!$T:$T,"Unpaid",SBLC!$R:$R,'DAILY UPDATE SHEET'!$A63,SBLC!$B:$B,$D$36,SBLC!$H:$H,"10%")</f>
        <v>0</v>
      </c>
      <c r="F63" s="220">
        <f ca="1">SUMIFS('LC-Final List'!$W:$W,'LC-Final List'!$AE:$AE,"Unpaid",'LC-Final List'!$Y:$Y,'DAILY UPDATE SHEET'!$A63,'LC-Final List'!$E:$E,'DAILY UPDATE SHEET'!F$36,'LC-Final List'!$F:$F,"10%")</f>
        <v>0</v>
      </c>
      <c r="G63" s="220">
        <f ca="1">SUMIFS(SBLC!$X:$X,SBLC!$T:$T,"Unpaid",SBLC!$R:$R,'DAILY UPDATE SHEET'!$A63,SBLC!$B:$B,$F$36,SBLC!$H:$H,"10%")</f>
        <v>0</v>
      </c>
      <c r="H63" s="220">
        <f t="shared" ca="1" si="7"/>
        <v>0</v>
      </c>
    </row>
    <row r="64" spans="1:8" hidden="1" x14ac:dyDescent="0.25">
      <c r="A64" s="83">
        <f t="shared" ca="1" si="8"/>
        <v>46204</v>
      </c>
      <c r="B64" s="220">
        <f ca="1">SUMIFS('LC-Final List'!$W:$W,'LC-Final List'!$AE:$AE,"Unpaid",'LC-Final List'!$Y:$Y,'DAILY UPDATE SHEET'!$A64,'LC-Final List'!$E:$E,'DAILY UPDATE SHEET'!B$36,'LC-Final List'!$F:$F,"10%")</f>
        <v>0</v>
      </c>
      <c r="C64" s="220">
        <f ca="1">SUMIFS(SBLC!$X:$X,SBLC!$T:$T,"Unpaid",SBLC!$R:$R,'DAILY UPDATE SHEET'!$A64,SBLC!$B:$B,$B$36,SBLC!$H:$H,"10%")</f>
        <v>0</v>
      </c>
      <c r="D64" s="220">
        <f ca="1">SUMIFS('LC-Final List'!$W:$W,'LC-Final List'!$AE:$AE,"Unpaid",'LC-Final List'!$Y:$Y,'DAILY UPDATE SHEET'!$A64,'LC-Final List'!$E:$E,'DAILY UPDATE SHEET'!D$36,'LC-Final List'!$F:$F,"10%")</f>
        <v>0</v>
      </c>
      <c r="E64" s="220">
        <f ca="1">SUMIFS(SBLC!$X:$X,SBLC!$T:$T,"Unpaid",SBLC!$R:$R,'DAILY UPDATE SHEET'!$A64,SBLC!$B:$B,$D$36,SBLC!$H:$H,"10%")</f>
        <v>0</v>
      </c>
      <c r="F64" s="220">
        <f ca="1">SUMIFS('LC-Final List'!$W:$W,'LC-Final List'!$AE:$AE,"Unpaid",'LC-Final List'!$Y:$Y,'DAILY UPDATE SHEET'!$A64,'LC-Final List'!$E:$E,'DAILY UPDATE SHEET'!F$36,'LC-Final List'!$F:$F,"10%")</f>
        <v>0</v>
      </c>
      <c r="G64" s="220">
        <f ca="1">SUMIFS(SBLC!$X:$X,SBLC!$T:$T,"Unpaid",SBLC!$R:$R,'DAILY UPDATE SHEET'!$A64,SBLC!$B:$B,$F$36,SBLC!$H:$H,"10%")</f>
        <v>0</v>
      </c>
      <c r="H64" s="220">
        <f t="shared" ca="1" si="7"/>
        <v>0</v>
      </c>
    </row>
    <row r="65" spans="1:8" x14ac:dyDescent="0.25">
      <c r="A65" s="474">
        <f t="shared" ca="1" si="8"/>
        <v>46205</v>
      </c>
      <c r="B65" s="443">
        <f ca="1">SUMIFS('LC-Final List'!$W:$W,'LC-Final List'!$AE:$AE,"Unpaid",'LC-Final List'!$Y:$Y,'DAILY UPDATE SHEET'!$A65,'LC-Final List'!$E:$E,'DAILY UPDATE SHEET'!B$36,'LC-Final List'!$F:$F,"10%")</f>
        <v>0</v>
      </c>
      <c r="C65" s="443">
        <f ca="1">SUMIFS(SBLC!$X:$X,SBLC!$T:$T,"Unpaid",SBLC!$R:$R,'DAILY UPDATE SHEET'!$A65,SBLC!$B:$B,$B$36,SBLC!$H:$H,"10%")</f>
        <v>0</v>
      </c>
      <c r="D65" s="443">
        <f ca="1">SUMIFS('LC-Final List'!$W:$W,'LC-Final List'!$AE:$AE,"Unpaid",'LC-Final List'!$Y:$Y,'DAILY UPDATE SHEET'!$A65,'LC-Final List'!$E:$E,'DAILY UPDATE SHEET'!D$36,'LC-Final List'!$F:$F,"10%")</f>
        <v>0</v>
      </c>
      <c r="E65" s="443">
        <f ca="1">SUMIFS(SBLC!$X:$X,SBLC!$T:$T,"Unpaid",SBLC!$R:$R,'DAILY UPDATE SHEET'!$A65,SBLC!$B:$B,$D$36,SBLC!$H:$H,"10%")</f>
        <v>0</v>
      </c>
      <c r="F65" s="443">
        <f ca="1">SUMIFS('LC-Final List'!$W:$W,'LC-Final List'!$AE:$AE,"Unpaid",'LC-Final List'!$Y:$Y,'DAILY UPDATE SHEET'!$A65,'LC-Final List'!$E:$E,'DAILY UPDATE SHEET'!F$36,'LC-Final List'!$F:$F,"10%")</f>
        <v>45771969.600000001</v>
      </c>
      <c r="G65" s="443">
        <f ca="1">SUMIFS(SBLC!$X:$X,SBLC!$T:$T,"Unpaid",SBLC!$R:$R,'DAILY UPDATE SHEET'!$A65,SBLC!$B:$B,$F$36,SBLC!$H:$H,"10%")</f>
        <v>0</v>
      </c>
      <c r="H65" s="443">
        <f t="shared" ca="1" si="7"/>
        <v>45771969.600000001</v>
      </c>
    </row>
    <row r="66" spans="1:8" x14ac:dyDescent="0.25">
      <c r="A66" s="474">
        <f t="shared" ca="1" si="8"/>
        <v>46206</v>
      </c>
      <c r="B66" s="443">
        <f ca="1">SUMIFS('LC-Final List'!$W:$W,'LC-Final List'!$AE:$AE,"Unpaid",'LC-Final List'!$Y:$Y,'DAILY UPDATE SHEET'!$A66,'LC-Final List'!$E:$E,'DAILY UPDATE SHEET'!B$36,'LC-Final List'!$F:$F,"10%")</f>
        <v>46944000</v>
      </c>
      <c r="C66" s="443">
        <f ca="1">SUMIFS(SBLC!$X:$X,SBLC!$T:$T,"Unpaid",SBLC!$R:$R,'DAILY UPDATE SHEET'!$A66,SBLC!$B:$B,$B$36,SBLC!$H:$H,"10%")</f>
        <v>0</v>
      </c>
      <c r="D66" s="443">
        <f ca="1">SUMIFS('LC-Final List'!$W:$W,'LC-Final List'!$AE:$AE,"Unpaid",'LC-Final List'!$Y:$Y,'DAILY UPDATE SHEET'!$A66,'LC-Final List'!$E:$E,'DAILY UPDATE SHEET'!D$36,'LC-Final List'!$F:$F,"10%")</f>
        <v>0</v>
      </c>
      <c r="E66" s="443">
        <f ca="1">SUMIFS(SBLC!$X:$X,SBLC!$T:$T,"Unpaid",SBLC!$R:$R,'DAILY UPDATE SHEET'!$A66,SBLC!$B:$B,$D$36,SBLC!$H:$H,"10%")</f>
        <v>0</v>
      </c>
      <c r="F66" s="443">
        <f ca="1">SUMIFS('LC-Final List'!$W:$W,'LC-Final List'!$AE:$AE,"Unpaid",'LC-Final List'!$Y:$Y,'DAILY UPDATE SHEET'!$A66,'LC-Final List'!$E:$E,'DAILY UPDATE SHEET'!F$36,'LC-Final List'!$F:$F,"10%")</f>
        <v>0</v>
      </c>
      <c r="G66" s="443">
        <f ca="1">SUMIFS(SBLC!$X:$X,SBLC!$T:$T,"Unpaid",SBLC!$R:$R,'DAILY UPDATE SHEET'!$A66,SBLC!$B:$B,$F$36,SBLC!$H:$H,"10%")</f>
        <v>0</v>
      </c>
      <c r="H66" s="443">
        <f t="shared" ca="1" si="7"/>
        <v>46944000</v>
      </c>
    </row>
    <row r="67" spans="1:8" hidden="1" x14ac:dyDescent="0.25">
      <c r="A67" s="83">
        <f t="shared" ca="1" si="8"/>
        <v>46207</v>
      </c>
      <c r="B67" s="220">
        <f ca="1">SUMIFS('LC-Final List'!$W:$W,'LC-Final List'!$AE:$AE,"Unpaid",'LC-Final List'!$Y:$Y,'DAILY UPDATE SHEET'!$A67,'LC-Final List'!$E:$E,'DAILY UPDATE SHEET'!B$36,'LC-Final List'!$F:$F,"10%")</f>
        <v>0</v>
      </c>
      <c r="C67" s="220">
        <f ca="1">SUMIFS(SBLC!$X:$X,SBLC!$T:$T,"Unpaid",SBLC!$R:$R,'DAILY UPDATE SHEET'!$A67,SBLC!$B:$B,$B$36,SBLC!$H:$H,"10%")</f>
        <v>0</v>
      </c>
      <c r="D67" s="220">
        <f ca="1">SUMIFS('LC-Final List'!$W:$W,'LC-Final List'!$AE:$AE,"Unpaid",'LC-Final List'!$Y:$Y,'DAILY UPDATE SHEET'!$A67,'LC-Final List'!$E:$E,'DAILY UPDATE SHEET'!D$36,'LC-Final List'!$F:$F,"10%")</f>
        <v>0</v>
      </c>
      <c r="E67" s="220">
        <f ca="1">SUMIFS(SBLC!$X:$X,SBLC!$T:$T,"Unpaid",SBLC!$R:$R,'DAILY UPDATE SHEET'!$A67,SBLC!$B:$B,$D$36,SBLC!$H:$H,"10%")</f>
        <v>0</v>
      </c>
      <c r="F67" s="220">
        <f ca="1">SUMIFS('LC-Final List'!$W:$W,'LC-Final List'!$AE:$AE,"Unpaid",'LC-Final List'!$Y:$Y,'DAILY UPDATE SHEET'!$A67,'LC-Final List'!$E:$E,'DAILY UPDATE SHEET'!F$36,'LC-Final List'!$F:$F,"10%")</f>
        <v>0</v>
      </c>
      <c r="G67" s="220">
        <f ca="1">SUMIFS(SBLC!$X:$X,SBLC!$T:$T,"Unpaid",SBLC!$R:$R,'DAILY UPDATE SHEET'!$A67,SBLC!$B:$B,$F$36,SBLC!$H:$H,"10%")</f>
        <v>0</v>
      </c>
      <c r="H67" s="220">
        <f t="shared" ca="1" si="7"/>
        <v>0</v>
      </c>
    </row>
    <row r="68" spans="1:8" hidden="1" x14ac:dyDescent="0.25">
      <c r="A68" s="83">
        <f t="shared" ca="1" si="8"/>
        <v>46208</v>
      </c>
      <c r="B68" s="220">
        <f ca="1">SUMIFS('LC-Final List'!$W:$W,'LC-Final List'!$AE:$AE,"Unpaid",'LC-Final List'!$Y:$Y,'DAILY UPDATE SHEET'!$A68,'LC-Final List'!$E:$E,'DAILY UPDATE SHEET'!B$36,'LC-Final List'!$F:$F,"10%")</f>
        <v>0</v>
      </c>
      <c r="C68" s="220">
        <f ca="1">SUMIFS(SBLC!$X:$X,SBLC!$T:$T,"Unpaid",SBLC!$R:$R,'DAILY UPDATE SHEET'!$A68,SBLC!$B:$B,$B$36,SBLC!$H:$H,"10%")</f>
        <v>0</v>
      </c>
      <c r="D68" s="220">
        <f ca="1">SUMIFS('LC-Final List'!$W:$W,'LC-Final List'!$AE:$AE,"Unpaid",'LC-Final List'!$Y:$Y,'DAILY UPDATE SHEET'!$A68,'LC-Final List'!$E:$E,'DAILY UPDATE SHEET'!D$36,'LC-Final List'!$F:$F,"10%")</f>
        <v>0</v>
      </c>
      <c r="E68" s="220">
        <f ca="1">SUMIFS(SBLC!$X:$X,SBLC!$T:$T,"Unpaid",SBLC!$R:$R,'DAILY UPDATE SHEET'!$A68,SBLC!$B:$B,$D$36,SBLC!$H:$H,"10%")</f>
        <v>0</v>
      </c>
      <c r="F68" s="220">
        <f ca="1">SUMIFS('LC-Final List'!$W:$W,'LC-Final List'!$AE:$AE,"Unpaid",'LC-Final List'!$Y:$Y,'DAILY UPDATE SHEET'!$A68,'LC-Final List'!$E:$E,'DAILY UPDATE SHEET'!F$36,'LC-Final List'!$F:$F,"10%")</f>
        <v>0</v>
      </c>
      <c r="G68" s="220">
        <f ca="1">SUMIFS(SBLC!$X:$X,SBLC!$T:$T,"Unpaid",SBLC!$R:$R,'DAILY UPDATE SHEET'!$A68,SBLC!$B:$B,$F$36,SBLC!$H:$H,"10%")</f>
        <v>0</v>
      </c>
      <c r="H68" s="220">
        <f t="shared" ca="1" si="7"/>
        <v>0</v>
      </c>
    </row>
    <row r="69" spans="1:8" x14ac:dyDescent="0.25">
      <c r="A69" s="474">
        <f t="shared" ca="1" si="8"/>
        <v>46209</v>
      </c>
      <c r="B69" s="443">
        <f ca="1">SUMIFS('LC-Final List'!$W:$W,'LC-Final List'!$AE:$AE,"Unpaid",'LC-Final List'!$Y:$Y,'DAILY UPDATE SHEET'!$A69,'LC-Final List'!$E:$E,'DAILY UPDATE SHEET'!B$36,'LC-Final List'!$F:$F,"10%")</f>
        <v>26155411.200000003</v>
      </c>
      <c r="C69" s="443">
        <f ca="1">SUMIFS(SBLC!$X:$X,SBLC!$T:$T,"Unpaid",SBLC!$R:$R,'DAILY UPDATE SHEET'!$A69,SBLC!$B:$B,$B$36,SBLC!$H:$H,"10%")</f>
        <v>0</v>
      </c>
      <c r="D69" s="443">
        <f ca="1">SUMIFS('LC-Final List'!$W:$W,'LC-Final List'!$AE:$AE,"Unpaid",'LC-Final List'!$Y:$Y,'DAILY UPDATE SHEET'!$A69,'LC-Final List'!$E:$E,'DAILY UPDATE SHEET'!D$36,'LC-Final List'!$F:$F,"10%")</f>
        <v>0</v>
      </c>
      <c r="E69" s="443">
        <f ca="1">SUMIFS(SBLC!$X:$X,SBLC!$T:$T,"Unpaid",SBLC!$R:$R,'DAILY UPDATE SHEET'!$A69,SBLC!$B:$B,$D$36,SBLC!$H:$H,"10%")</f>
        <v>0</v>
      </c>
      <c r="F69" s="443">
        <f ca="1">SUMIFS('LC-Final List'!$W:$W,'LC-Final List'!$AE:$AE,"Unpaid",'LC-Final List'!$Y:$Y,'DAILY UPDATE SHEET'!$A69,'LC-Final List'!$E:$E,'DAILY UPDATE SHEET'!F$36,'LC-Final List'!$F:$F,"10%")</f>
        <v>0</v>
      </c>
      <c r="G69" s="443">
        <f ca="1">SUMIFS(SBLC!$X:$X,SBLC!$T:$T,"Unpaid",SBLC!$R:$R,'DAILY UPDATE SHEET'!$A69,SBLC!$B:$B,$F$36,SBLC!$H:$H,"10%")</f>
        <v>0</v>
      </c>
      <c r="H69" s="443">
        <f t="shared" ca="1" si="7"/>
        <v>26155411.200000003</v>
      </c>
    </row>
    <row r="70" spans="1:8" x14ac:dyDescent="0.25">
      <c r="A70" s="474">
        <f t="shared" ca="1" si="8"/>
        <v>46210</v>
      </c>
      <c r="B70" s="443">
        <f ca="1">SUMIFS('LC-Final List'!$W:$W,'LC-Final List'!$AE:$AE,"Unpaid",'LC-Final List'!$Y:$Y,'DAILY UPDATE SHEET'!$A70,'LC-Final List'!$E:$E,'DAILY UPDATE SHEET'!B$36,'LC-Final List'!$F:$F,"10%")</f>
        <v>46944000</v>
      </c>
      <c r="C70" s="443">
        <f ca="1">SUMIFS(SBLC!$X:$X,SBLC!$T:$T,"Unpaid",SBLC!$R:$R,'DAILY UPDATE SHEET'!$A70,SBLC!$B:$B,$B$36,SBLC!$H:$H,"10%")</f>
        <v>0</v>
      </c>
      <c r="D70" s="443">
        <f ca="1">SUMIFS('LC-Final List'!$W:$W,'LC-Final List'!$AE:$AE,"Unpaid",'LC-Final List'!$Y:$Y,'DAILY UPDATE SHEET'!$A70,'LC-Final List'!$E:$E,'DAILY UPDATE SHEET'!D$36,'LC-Final List'!$F:$F,"10%")</f>
        <v>0</v>
      </c>
      <c r="E70" s="443">
        <f ca="1">SUMIFS(SBLC!$X:$X,SBLC!$T:$T,"Unpaid",SBLC!$R:$R,'DAILY UPDATE SHEET'!$A70,SBLC!$B:$B,$D$36,SBLC!$H:$H,"10%")</f>
        <v>0</v>
      </c>
      <c r="F70" s="443">
        <f ca="1">SUMIFS('LC-Final List'!$W:$W,'LC-Final List'!$AE:$AE,"Unpaid",'LC-Final List'!$Y:$Y,'DAILY UPDATE SHEET'!$A70,'LC-Final List'!$E:$E,'DAILY UPDATE SHEET'!F$36,'LC-Final List'!$F:$F,"10%")</f>
        <v>0</v>
      </c>
      <c r="G70" s="443">
        <f ca="1">SUMIFS(SBLC!$X:$X,SBLC!$T:$T,"Unpaid",SBLC!$R:$R,'DAILY UPDATE SHEET'!$A70,SBLC!$B:$B,$F$36,SBLC!$H:$H,"10%")</f>
        <v>0</v>
      </c>
      <c r="H70" s="443">
        <f t="shared" ca="1" si="7"/>
        <v>46944000</v>
      </c>
    </row>
    <row r="71" spans="1:8" x14ac:dyDescent="0.25">
      <c r="A71" s="474">
        <f t="shared" ca="1" si="8"/>
        <v>46211</v>
      </c>
      <c r="B71" s="443">
        <f ca="1">SUMIFS('LC-Final List'!$W:$W,'LC-Final List'!$AE:$AE,"Unpaid",'LC-Final List'!$Y:$Y,'DAILY UPDATE SHEET'!$A71,'LC-Final List'!$E:$E,'DAILY UPDATE SHEET'!B$36,'LC-Final List'!$F:$F,"10%")</f>
        <v>71927380.800000012</v>
      </c>
      <c r="C71" s="443">
        <f ca="1">SUMIFS(SBLC!$X:$X,SBLC!$T:$T,"Unpaid",SBLC!$R:$R,'DAILY UPDATE SHEET'!$A71,SBLC!$B:$B,$B$36,SBLC!$H:$H,"10%")</f>
        <v>0</v>
      </c>
      <c r="D71" s="443">
        <f ca="1">SUMIFS('LC-Final List'!$W:$W,'LC-Final List'!$AE:$AE,"Unpaid",'LC-Final List'!$Y:$Y,'DAILY UPDATE SHEET'!$A71,'LC-Final List'!$E:$E,'DAILY UPDATE SHEET'!D$36,'LC-Final List'!$F:$F,"10%")</f>
        <v>0</v>
      </c>
      <c r="E71" s="443">
        <f ca="1">SUMIFS(SBLC!$X:$X,SBLC!$T:$T,"Unpaid",SBLC!$R:$R,'DAILY UPDATE SHEET'!$A71,SBLC!$B:$B,$D$36,SBLC!$H:$H,"10%")</f>
        <v>0</v>
      </c>
      <c r="F71" s="443">
        <f ca="1">SUMIFS('LC-Final List'!$W:$W,'LC-Final List'!$AE:$AE,"Unpaid",'LC-Final List'!$Y:$Y,'DAILY UPDATE SHEET'!$A71,'LC-Final List'!$E:$E,'DAILY UPDATE SHEET'!F$36,'LC-Final List'!$F:$F,"10%")</f>
        <v>0</v>
      </c>
      <c r="G71" s="443">
        <f ca="1">SUMIFS(SBLC!$X:$X,SBLC!$T:$T,"Unpaid",SBLC!$R:$R,'DAILY UPDATE SHEET'!$A71,SBLC!$B:$B,$F$36,SBLC!$H:$H,"10%")</f>
        <v>0</v>
      </c>
      <c r="H71" s="443">
        <f t="shared" ca="1" si="7"/>
        <v>71927380.800000012</v>
      </c>
    </row>
    <row r="72" spans="1:8" hidden="1" x14ac:dyDescent="0.25">
      <c r="A72" s="83">
        <f t="shared" ca="1" si="8"/>
        <v>46212</v>
      </c>
      <c r="B72" s="220">
        <f ca="1">SUMIFS('LC-Final List'!$W:$W,'LC-Final List'!$AE:$AE,"Unpaid",'LC-Final List'!$Y:$Y,'DAILY UPDATE SHEET'!$A72,'LC-Final List'!$E:$E,'DAILY UPDATE SHEET'!B$36,'LC-Final List'!$F:$F,"10%")</f>
        <v>0</v>
      </c>
      <c r="C72" s="220">
        <f ca="1">SUMIFS(SBLC!$X:$X,SBLC!$T:$T,"Unpaid",SBLC!$R:$R,'DAILY UPDATE SHEET'!$A72,SBLC!$B:$B,$B$36,SBLC!$H:$H,"10%")</f>
        <v>0</v>
      </c>
      <c r="D72" s="220">
        <f ca="1">SUMIFS('LC-Final List'!$W:$W,'LC-Final List'!$AE:$AE,"Unpaid",'LC-Final List'!$Y:$Y,'DAILY UPDATE SHEET'!$A72,'LC-Final List'!$E:$E,'DAILY UPDATE SHEET'!D$36,'LC-Final List'!$F:$F,"10%")</f>
        <v>0</v>
      </c>
      <c r="E72" s="220">
        <f ca="1">SUMIFS(SBLC!$X:$X,SBLC!$T:$T,"Unpaid",SBLC!$R:$R,'DAILY UPDATE SHEET'!$A72,SBLC!$B:$B,$D$36,SBLC!$H:$H,"10%")</f>
        <v>0</v>
      </c>
      <c r="F72" s="220">
        <f ca="1">SUMIFS('LC-Final List'!$W:$W,'LC-Final List'!$AE:$AE,"Unpaid",'LC-Final List'!$Y:$Y,'DAILY UPDATE SHEET'!$A72,'LC-Final List'!$E:$E,'DAILY UPDATE SHEET'!F$36,'LC-Final List'!$F:$F,"10%")</f>
        <v>0</v>
      </c>
      <c r="G72" s="220">
        <f ca="1">SUMIFS(SBLC!$X:$X,SBLC!$T:$T,"Unpaid",SBLC!$R:$R,'DAILY UPDATE SHEET'!$A72,SBLC!$B:$B,$F$36,SBLC!$H:$H,"10%")</f>
        <v>0</v>
      </c>
      <c r="H72" s="220">
        <f t="shared" ca="1" si="7"/>
        <v>0</v>
      </c>
    </row>
    <row r="73" spans="1:8" hidden="1" x14ac:dyDescent="0.25">
      <c r="A73" s="83">
        <f t="shared" ca="1" si="8"/>
        <v>46213</v>
      </c>
      <c r="B73" s="220">
        <f ca="1">SUMIFS('LC-Final List'!$W:$W,'LC-Final List'!$AE:$AE,"Unpaid",'LC-Final List'!$Y:$Y,'DAILY UPDATE SHEET'!$A73,'LC-Final List'!$E:$E,'DAILY UPDATE SHEET'!B$36,'LC-Final List'!$F:$F,"10%")</f>
        <v>0</v>
      </c>
      <c r="C73" s="220">
        <f ca="1">SUMIFS(SBLC!$X:$X,SBLC!$T:$T,"Unpaid",SBLC!$R:$R,'DAILY UPDATE SHEET'!$A73,SBLC!$B:$B,$B$36,SBLC!$H:$H,"10%")</f>
        <v>0</v>
      </c>
      <c r="D73" s="220">
        <f ca="1">SUMIFS('LC-Final List'!$W:$W,'LC-Final List'!$AE:$AE,"Unpaid",'LC-Final List'!$Y:$Y,'DAILY UPDATE SHEET'!$A73,'LC-Final List'!$E:$E,'DAILY UPDATE SHEET'!D$36,'LC-Final List'!$F:$F,"10%")</f>
        <v>0</v>
      </c>
      <c r="E73" s="220">
        <f ca="1">SUMIFS(SBLC!$X:$X,SBLC!$T:$T,"Unpaid",SBLC!$R:$R,'DAILY UPDATE SHEET'!$A73,SBLC!$B:$B,$D$36,SBLC!$H:$H,"10%")</f>
        <v>0</v>
      </c>
      <c r="F73" s="220">
        <f ca="1">SUMIFS('LC-Final List'!$W:$W,'LC-Final List'!$AE:$AE,"Unpaid",'LC-Final List'!$Y:$Y,'DAILY UPDATE SHEET'!$A73,'LC-Final List'!$E:$E,'DAILY UPDATE SHEET'!F$36,'LC-Final List'!$F:$F,"10%")</f>
        <v>0</v>
      </c>
      <c r="G73" s="220">
        <f ca="1">SUMIFS(SBLC!$X:$X,SBLC!$T:$T,"Unpaid",SBLC!$R:$R,'DAILY UPDATE SHEET'!$A73,SBLC!$B:$B,$F$36,SBLC!$H:$H,"10%")</f>
        <v>0</v>
      </c>
      <c r="H73" s="220">
        <f t="shared" ca="1" si="7"/>
        <v>0</v>
      </c>
    </row>
    <row r="74" spans="1:8" hidden="1" x14ac:dyDescent="0.25">
      <c r="A74" s="83">
        <f t="shared" ca="1" si="8"/>
        <v>46214</v>
      </c>
      <c r="B74" s="220">
        <f ca="1">SUMIFS('LC-Final List'!$W:$W,'LC-Final List'!$AE:$AE,"Unpaid",'LC-Final List'!$Y:$Y,'DAILY UPDATE SHEET'!$A74,'LC-Final List'!$E:$E,'DAILY UPDATE SHEET'!B$36,'LC-Final List'!$F:$F,"10%")</f>
        <v>0</v>
      </c>
      <c r="C74" s="220">
        <f ca="1">SUMIFS(SBLC!$X:$X,SBLC!$T:$T,"Unpaid",SBLC!$R:$R,'DAILY UPDATE SHEET'!$A74,SBLC!$B:$B,$B$36,SBLC!$H:$H,"10%")</f>
        <v>0</v>
      </c>
      <c r="D74" s="220">
        <f ca="1">SUMIFS('LC-Final List'!$W:$W,'LC-Final List'!$AE:$AE,"Unpaid",'LC-Final List'!$Y:$Y,'DAILY UPDATE SHEET'!$A74,'LC-Final List'!$E:$E,'DAILY UPDATE SHEET'!D$36,'LC-Final List'!$F:$F,"10%")</f>
        <v>0</v>
      </c>
      <c r="E74" s="220">
        <f ca="1">SUMIFS(SBLC!$X:$X,SBLC!$T:$T,"Unpaid",SBLC!$R:$R,'DAILY UPDATE SHEET'!$A74,SBLC!$B:$B,$D$36,SBLC!$H:$H,"10%")</f>
        <v>0</v>
      </c>
      <c r="F74" s="220">
        <f ca="1">SUMIFS('LC-Final List'!$W:$W,'LC-Final List'!$AE:$AE,"Unpaid",'LC-Final List'!$Y:$Y,'DAILY UPDATE SHEET'!$A74,'LC-Final List'!$E:$E,'DAILY UPDATE SHEET'!F$36,'LC-Final List'!$F:$F,"10%")</f>
        <v>0</v>
      </c>
      <c r="G74" s="220">
        <f ca="1">SUMIFS(SBLC!$X:$X,SBLC!$T:$T,"Unpaid",SBLC!$R:$R,'DAILY UPDATE SHEET'!$A74,SBLC!$B:$B,$F$36,SBLC!$H:$H,"10%")</f>
        <v>0</v>
      </c>
      <c r="H74" s="220">
        <f t="shared" ca="1" si="7"/>
        <v>0</v>
      </c>
    </row>
    <row r="75" spans="1:8" hidden="1" x14ac:dyDescent="0.25">
      <c r="A75" s="83">
        <f t="shared" ca="1" si="8"/>
        <v>46215</v>
      </c>
      <c r="B75" s="220">
        <f ca="1">SUMIFS('LC-Final List'!$W:$W,'LC-Final List'!$AE:$AE,"Unpaid",'LC-Final List'!$Y:$Y,'DAILY UPDATE SHEET'!$A75,'LC-Final List'!$E:$E,'DAILY UPDATE SHEET'!B$36,'LC-Final List'!$F:$F,"10%")</f>
        <v>0</v>
      </c>
      <c r="C75" s="220">
        <f ca="1">SUMIFS(SBLC!$X:$X,SBLC!$T:$T,"Unpaid",SBLC!$R:$R,'DAILY UPDATE SHEET'!$A75,SBLC!$B:$B,$B$36,SBLC!$H:$H,"10%")</f>
        <v>0</v>
      </c>
      <c r="D75" s="220">
        <f ca="1">SUMIFS('LC-Final List'!$W:$W,'LC-Final List'!$AE:$AE,"Unpaid",'LC-Final List'!$Y:$Y,'DAILY UPDATE SHEET'!$A75,'LC-Final List'!$E:$E,'DAILY UPDATE SHEET'!D$36,'LC-Final List'!$F:$F,"10%")</f>
        <v>0</v>
      </c>
      <c r="E75" s="220">
        <f ca="1">SUMIFS(SBLC!$X:$X,SBLC!$T:$T,"Unpaid",SBLC!$R:$R,'DAILY UPDATE SHEET'!$A75,SBLC!$B:$B,$D$36,SBLC!$H:$H,"10%")</f>
        <v>0</v>
      </c>
      <c r="F75" s="220">
        <f ca="1">SUMIFS('LC-Final List'!$W:$W,'LC-Final List'!$AE:$AE,"Unpaid",'LC-Final List'!$Y:$Y,'DAILY UPDATE SHEET'!$A75,'LC-Final List'!$E:$E,'DAILY UPDATE SHEET'!F$36,'LC-Final List'!$F:$F,"10%")</f>
        <v>0</v>
      </c>
      <c r="G75" s="220">
        <f ca="1">SUMIFS(SBLC!$X:$X,SBLC!$T:$T,"Unpaid",SBLC!$R:$R,'DAILY UPDATE SHEET'!$A75,SBLC!$B:$B,$F$36,SBLC!$H:$H,"10%")</f>
        <v>0</v>
      </c>
      <c r="H75" s="220">
        <f t="shared" ca="1" si="7"/>
        <v>0</v>
      </c>
    </row>
    <row r="76" spans="1:8" x14ac:dyDescent="0.25">
      <c r="A76" s="474">
        <f t="shared" ca="1" si="8"/>
        <v>46216</v>
      </c>
      <c r="B76" s="443">
        <f ca="1">SUMIFS('LC-Final List'!$W:$W,'LC-Final List'!$AE:$AE,"Unpaid",'LC-Final List'!$Y:$Y,'DAILY UPDATE SHEET'!$A76,'LC-Final List'!$E:$E,'DAILY UPDATE SHEET'!B$36,'LC-Final List'!$F:$F,"10%")</f>
        <v>0</v>
      </c>
      <c r="C76" s="443">
        <f ca="1">SUMIFS(SBLC!$X:$X,SBLC!$T:$T,"Unpaid",SBLC!$R:$R,'DAILY UPDATE SHEET'!$A76,SBLC!$B:$B,$B$36,SBLC!$H:$H,"10%")</f>
        <v>116922404.8865</v>
      </c>
      <c r="D76" s="443">
        <f ca="1">SUMIFS('LC-Final List'!$W:$W,'LC-Final List'!$AE:$AE,"Unpaid",'LC-Final List'!$Y:$Y,'DAILY UPDATE SHEET'!$A76,'LC-Final List'!$E:$E,'DAILY UPDATE SHEET'!D$36,'LC-Final List'!$F:$F,"10%")</f>
        <v>5431296</v>
      </c>
      <c r="E76" s="443">
        <f ca="1">SUMIFS(SBLC!$X:$X,SBLC!$T:$T,"Unpaid",SBLC!$R:$R,'DAILY UPDATE SHEET'!$A76,SBLC!$B:$B,$D$36,SBLC!$H:$H,"10%")</f>
        <v>0</v>
      </c>
      <c r="F76" s="443">
        <f ca="1">SUMIFS('LC-Final List'!$W:$W,'LC-Final List'!$AE:$AE,"Unpaid",'LC-Final List'!$Y:$Y,'DAILY UPDATE SHEET'!$A76,'LC-Final List'!$E:$E,'DAILY UPDATE SHEET'!F$36,'LC-Final List'!$F:$F,"10%")</f>
        <v>0</v>
      </c>
      <c r="G76" s="443">
        <f ca="1">SUMIFS(SBLC!$X:$X,SBLC!$T:$T,"Unpaid",SBLC!$R:$R,'DAILY UPDATE SHEET'!$A76,SBLC!$B:$B,$F$36,SBLC!$H:$H,"10%")</f>
        <v>0</v>
      </c>
      <c r="H76" s="443">
        <f t="shared" ca="1" si="7"/>
        <v>122353700.8865</v>
      </c>
    </row>
    <row r="77" spans="1:8" x14ac:dyDescent="0.25">
      <c r="A77" s="474">
        <f t="shared" ca="1" si="8"/>
        <v>46217</v>
      </c>
      <c r="B77" s="443">
        <f ca="1">SUMIFS('LC-Final List'!$W:$W,'LC-Final List'!$AE:$AE,"Unpaid",'LC-Final List'!$Y:$Y,'DAILY UPDATE SHEET'!$A77,'LC-Final List'!$E:$E,'DAILY UPDATE SHEET'!B$36,'LC-Final List'!$F:$F,"10%")</f>
        <v>57673728</v>
      </c>
      <c r="C77" s="443">
        <f ca="1">SUMIFS(SBLC!$X:$X,SBLC!$T:$T,"Unpaid",SBLC!$R:$R,'DAILY UPDATE SHEET'!$A77,SBLC!$B:$B,$B$36,SBLC!$H:$H,"10%")</f>
        <v>124231500</v>
      </c>
      <c r="D77" s="443">
        <f ca="1">SUMIFS('LC-Final List'!$W:$W,'LC-Final List'!$AE:$AE,"Unpaid",'LC-Final List'!$Y:$Y,'DAILY UPDATE SHEET'!$A77,'LC-Final List'!$E:$E,'DAILY UPDATE SHEET'!D$36,'LC-Final List'!$F:$F,"10%")</f>
        <v>0</v>
      </c>
      <c r="E77" s="443">
        <f ca="1">SUMIFS(SBLC!$X:$X,SBLC!$T:$T,"Unpaid",SBLC!$R:$R,'DAILY UPDATE SHEET'!$A77,SBLC!$B:$B,$D$36,SBLC!$H:$H,"10%")</f>
        <v>0</v>
      </c>
      <c r="F77" s="443">
        <f ca="1">SUMIFS('LC-Final List'!$W:$W,'LC-Final List'!$AE:$AE,"Unpaid",'LC-Final List'!$Y:$Y,'DAILY UPDATE SHEET'!$A77,'LC-Final List'!$E:$E,'DAILY UPDATE SHEET'!F$36,'LC-Final List'!$F:$F,"10%")</f>
        <v>0</v>
      </c>
      <c r="G77" s="443">
        <f ca="1">SUMIFS(SBLC!$X:$X,SBLC!$T:$T,"Unpaid",SBLC!$R:$R,'DAILY UPDATE SHEET'!$A77,SBLC!$B:$B,$F$36,SBLC!$H:$H,"10%")</f>
        <v>0</v>
      </c>
      <c r="H77" s="443">
        <f t="shared" ca="1" si="7"/>
        <v>181905228</v>
      </c>
    </row>
    <row r="78" spans="1:8" x14ac:dyDescent="0.25">
      <c r="A78" s="474">
        <f t="shared" ca="1" si="8"/>
        <v>46218</v>
      </c>
      <c r="B78" s="443">
        <f ca="1">SUMIFS('LC-Final List'!$W:$W,'LC-Final List'!$AE:$AE,"Unpaid",'LC-Final List'!$Y:$Y,'DAILY UPDATE SHEET'!$A78,'LC-Final List'!$E:$E,'DAILY UPDATE SHEET'!B$36,'LC-Final List'!$F:$F,"10%")</f>
        <v>53705760</v>
      </c>
      <c r="C78" s="443">
        <f ca="1">SUMIFS(SBLC!$X:$X,SBLC!$T:$T,"Unpaid",SBLC!$R:$R,'DAILY UPDATE SHEET'!$A78,SBLC!$B:$B,$B$36,SBLC!$H:$H,"10%")</f>
        <v>0</v>
      </c>
      <c r="D78" s="443">
        <f ca="1">SUMIFS('LC-Final List'!$W:$W,'LC-Final List'!$AE:$AE,"Unpaid",'LC-Final List'!$Y:$Y,'DAILY UPDATE SHEET'!$A78,'LC-Final List'!$E:$E,'DAILY UPDATE SHEET'!D$36,'LC-Final List'!$F:$F,"10%")</f>
        <v>0</v>
      </c>
      <c r="E78" s="443">
        <f ca="1">SUMIFS(SBLC!$X:$X,SBLC!$T:$T,"Unpaid",SBLC!$R:$R,'DAILY UPDATE SHEET'!$A78,SBLC!$B:$B,$D$36,SBLC!$H:$H,"10%")</f>
        <v>0</v>
      </c>
      <c r="F78" s="443">
        <f ca="1">SUMIFS('LC-Final List'!$W:$W,'LC-Final List'!$AE:$AE,"Unpaid",'LC-Final List'!$Y:$Y,'DAILY UPDATE SHEET'!$A78,'LC-Final List'!$E:$E,'DAILY UPDATE SHEET'!F$36,'LC-Final List'!$F:$F,"10%")</f>
        <v>0</v>
      </c>
      <c r="G78" s="443">
        <f ca="1">SUMIFS(SBLC!$X:$X,SBLC!$T:$T,"Unpaid",SBLC!$R:$R,'DAILY UPDATE SHEET'!$A78,SBLC!$B:$B,$F$36,SBLC!$H:$H,"10%")</f>
        <v>0</v>
      </c>
      <c r="H78" s="443">
        <f t="shared" ca="1" si="7"/>
        <v>53705760</v>
      </c>
    </row>
    <row r="79" spans="1:8" hidden="1" x14ac:dyDescent="0.25">
      <c r="A79" s="83">
        <f t="shared" ca="1" si="8"/>
        <v>46219</v>
      </c>
      <c r="B79" s="220">
        <f ca="1">SUMIFS('LC-Final List'!$W:$W,'LC-Final List'!$AE:$AE,"Unpaid",'LC-Final List'!$Y:$Y,'DAILY UPDATE SHEET'!$A79,'LC-Final List'!$E:$E,'DAILY UPDATE SHEET'!B$36,'LC-Final List'!$F:$F,"10%")</f>
        <v>0</v>
      </c>
      <c r="C79" s="220">
        <f ca="1">SUMIFS(SBLC!$X:$X,SBLC!$T:$T,"Unpaid",SBLC!$R:$R,'DAILY UPDATE SHEET'!$A79,SBLC!$B:$B,$B$36,SBLC!$H:$H,"10%")</f>
        <v>0</v>
      </c>
      <c r="D79" s="220">
        <f ca="1">SUMIFS('LC-Final List'!$W:$W,'LC-Final List'!$AE:$AE,"Unpaid",'LC-Final List'!$Y:$Y,'DAILY UPDATE SHEET'!$A79,'LC-Final List'!$E:$E,'DAILY UPDATE SHEET'!D$36,'LC-Final List'!$F:$F,"10%")</f>
        <v>0</v>
      </c>
      <c r="E79" s="220">
        <f ca="1">SUMIFS(SBLC!$X:$X,SBLC!$T:$T,"Unpaid",SBLC!$R:$R,'DAILY UPDATE SHEET'!$A79,SBLC!$B:$B,$D$36,SBLC!$H:$H,"10%")</f>
        <v>0</v>
      </c>
      <c r="F79" s="220">
        <f ca="1">SUMIFS('LC-Final List'!$W:$W,'LC-Final List'!$AE:$AE,"Unpaid",'LC-Final List'!$Y:$Y,'DAILY UPDATE SHEET'!$A79,'LC-Final List'!$E:$E,'DAILY UPDATE SHEET'!F$36,'LC-Final List'!$F:$F,"10%")</f>
        <v>0</v>
      </c>
      <c r="G79" s="220">
        <f ca="1">SUMIFS(SBLC!$X:$X,SBLC!$T:$T,"Unpaid",SBLC!$R:$R,'DAILY UPDATE SHEET'!$A79,SBLC!$B:$B,$F$36,SBLC!$H:$H,"10%")</f>
        <v>0</v>
      </c>
      <c r="H79" s="220">
        <f t="shared" ca="1" si="7"/>
        <v>0</v>
      </c>
    </row>
    <row r="80" spans="1:8" hidden="1" x14ac:dyDescent="0.25">
      <c r="A80" s="83">
        <f t="shared" ca="1" si="8"/>
        <v>46220</v>
      </c>
      <c r="B80" s="220">
        <f ca="1">SUMIFS('LC-Final List'!$W:$W,'LC-Final List'!$AE:$AE,"Unpaid",'LC-Final List'!$Y:$Y,'DAILY UPDATE SHEET'!$A80,'LC-Final List'!$E:$E,'DAILY UPDATE SHEET'!B$36,'LC-Final List'!$F:$F,"10%")</f>
        <v>0</v>
      </c>
      <c r="C80" s="220">
        <f ca="1">SUMIFS(SBLC!$X:$X,SBLC!$T:$T,"Unpaid",SBLC!$R:$R,'DAILY UPDATE SHEET'!$A80,SBLC!$B:$B,$B$36,SBLC!$H:$H,"10%")</f>
        <v>0</v>
      </c>
      <c r="D80" s="220">
        <f ca="1">SUMIFS('LC-Final List'!$W:$W,'LC-Final List'!$AE:$AE,"Unpaid",'LC-Final List'!$Y:$Y,'DAILY UPDATE SHEET'!$A80,'LC-Final List'!$E:$E,'DAILY UPDATE SHEET'!D$36,'LC-Final List'!$F:$F,"10%")</f>
        <v>0</v>
      </c>
      <c r="E80" s="220">
        <f ca="1">SUMIFS(SBLC!$X:$X,SBLC!$T:$T,"Unpaid",SBLC!$R:$R,'DAILY UPDATE SHEET'!$A80,SBLC!$B:$B,$D$36,SBLC!$H:$H,"10%")</f>
        <v>0</v>
      </c>
      <c r="F80" s="220">
        <f ca="1">SUMIFS('LC-Final List'!$W:$W,'LC-Final List'!$AE:$AE,"Unpaid",'LC-Final List'!$Y:$Y,'DAILY UPDATE SHEET'!$A80,'LC-Final List'!$E:$E,'DAILY UPDATE SHEET'!F$36,'LC-Final List'!$F:$F,"10%")</f>
        <v>0</v>
      </c>
      <c r="G80" s="220">
        <f ca="1">SUMIFS(SBLC!$X:$X,SBLC!$T:$T,"Unpaid",SBLC!$R:$R,'DAILY UPDATE SHEET'!$A80,SBLC!$B:$B,$F$36,SBLC!$H:$H,"10%")</f>
        <v>0</v>
      </c>
      <c r="H80" s="220">
        <f t="shared" ca="1" si="7"/>
        <v>0</v>
      </c>
    </row>
    <row r="81" spans="1:8" hidden="1" x14ac:dyDescent="0.25">
      <c r="A81" s="83">
        <f t="shared" ca="1" si="8"/>
        <v>46221</v>
      </c>
      <c r="B81" s="220">
        <f ca="1">SUMIFS('LC-Final List'!$W:$W,'LC-Final List'!$AE:$AE,"Unpaid",'LC-Final List'!$Y:$Y,'DAILY UPDATE SHEET'!$A81,'LC-Final List'!$E:$E,'DAILY UPDATE SHEET'!B$36,'LC-Final List'!$F:$F,"10%")</f>
        <v>0</v>
      </c>
      <c r="C81" s="220">
        <f ca="1">SUMIFS(SBLC!$X:$X,SBLC!$T:$T,"Unpaid",SBLC!$R:$R,'DAILY UPDATE SHEET'!$A81,SBLC!$B:$B,$B$36,SBLC!$H:$H,"10%")</f>
        <v>0</v>
      </c>
      <c r="D81" s="220">
        <f ca="1">SUMIFS('LC-Final List'!$W:$W,'LC-Final List'!$AE:$AE,"Unpaid",'LC-Final List'!$Y:$Y,'DAILY UPDATE SHEET'!$A81,'LC-Final List'!$E:$E,'DAILY UPDATE SHEET'!D$36,'LC-Final List'!$F:$F,"10%")</f>
        <v>0</v>
      </c>
      <c r="E81" s="220">
        <f ca="1">SUMIFS(SBLC!$X:$X,SBLC!$T:$T,"Unpaid",SBLC!$R:$R,'DAILY UPDATE SHEET'!$A81,SBLC!$B:$B,$D$36,SBLC!$H:$H,"10%")</f>
        <v>0</v>
      </c>
      <c r="F81" s="220">
        <f ca="1">SUMIFS('LC-Final List'!$W:$W,'LC-Final List'!$AE:$AE,"Unpaid",'LC-Final List'!$Y:$Y,'DAILY UPDATE SHEET'!$A81,'LC-Final List'!$E:$E,'DAILY UPDATE SHEET'!F$36,'LC-Final List'!$F:$F,"10%")</f>
        <v>0</v>
      </c>
      <c r="G81" s="220">
        <f ca="1">SUMIFS(SBLC!$X:$X,SBLC!$T:$T,"Unpaid",SBLC!$R:$R,'DAILY UPDATE SHEET'!$A81,SBLC!$B:$B,$F$36,SBLC!$H:$H,"10%")</f>
        <v>0</v>
      </c>
      <c r="H81" s="220">
        <f t="shared" ca="1" si="7"/>
        <v>0</v>
      </c>
    </row>
    <row r="82" spans="1:8" x14ac:dyDescent="0.25">
      <c r="A82" s="474">
        <f t="shared" ca="1" si="8"/>
        <v>46222</v>
      </c>
      <c r="B82" s="443">
        <f ca="1">SUMIFS('LC-Final List'!$W:$W,'LC-Final List'!$AE:$AE,"Unpaid",'LC-Final List'!$Y:$Y,'DAILY UPDATE SHEET'!$A82,'LC-Final List'!$E:$E,'DAILY UPDATE SHEET'!B$36,'LC-Final List'!$F:$F,"10%")</f>
        <v>0</v>
      </c>
      <c r="C82" s="443">
        <f ca="1">SUMIFS(SBLC!$X:$X,SBLC!$T:$T,"Unpaid",SBLC!$R:$R,'DAILY UPDATE SHEET'!$A82,SBLC!$B:$B,$B$36,SBLC!$H:$H,"10%")</f>
        <v>0</v>
      </c>
      <c r="D82" s="443">
        <f ca="1">SUMIFS('LC-Final List'!$W:$W,'LC-Final List'!$AE:$AE,"Unpaid",'LC-Final List'!$Y:$Y,'DAILY UPDATE SHEET'!$A82,'LC-Final List'!$E:$E,'DAILY UPDATE SHEET'!D$36,'LC-Final List'!$F:$F,"10%")</f>
        <v>49147084.799999997</v>
      </c>
      <c r="E82" s="443">
        <f ca="1">SUMIFS(SBLC!$X:$X,SBLC!$T:$T,"Unpaid",SBLC!$R:$R,'DAILY UPDATE SHEET'!$A82,SBLC!$B:$B,$D$36,SBLC!$H:$H,"10%")</f>
        <v>0</v>
      </c>
      <c r="F82" s="443">
        <f ca="1">SUMIFS('LC-Final List'!$W:$W,'LC-Final List'!$AE:$AE,"Unpaid",'LC-Final List'!$Y:$Y,'DAILY UPDATE SHEET'!$A82,'LC-Final List'!$E:$E,'DAILY UPDATE SHEET'!F$36,'LC-Final List'!$F:$F,"10%")</f>
        <v>0</v>
      </c>
      <c r="G82" s="443">
        <f ca="1">SUMIFS(SBLC!$X:$X,SBLC!$T:$T,"Unpaid",SBLC!$R:$R,'DAILY UPDATE SHEET'!$A82,SBLC!$B:$B,$F$36,SBLC!$H:$H,"10%")</f>
        <v>0</v>
      </c>
      <c r="H82" s="443">
        <f t="shared" ca="1" si="7"/>
        <v>49147084.799999997</v>
      </c>
    </row>
    <row r="83" spans="1:8" hidden="1" x14ac:dyDescent="0.25">
      <c r="A83" s="83">
        <f t="shared" ca="1" si="8"/>
        <v>46223</v>
      </c>
      <c r="B83" s="220">
        <f ca="1">SUMIFS('LC-Final List'!$W:$W,'LC-Final List'!$AE:$AE,"Unpaid",'LC-Final List'!$Y:$Y,'DAILY UPDATE SHEET'!$A83,'LC-Final List'!$E:$E,'DAILY UPDATE SHEET'!B$36,'LC-Final List'!$F:$F,"10%")</f>
        <v>0</v>
      </c>
      <c r="C83" s="220">
        <f ca="1">SUMIFS(SBLC!$X:$X,SBLC!$T:$T,"Unpaid",SBLC!$R:$R,'DAILY UPDATE SHEET'!$A83,SBLC!$B:$B,$B$36,SBLC!$H:$H,"10%")</f>
        <v>0</v>
      </c>
      <c r="D83" s="220">
        <f ca="1">SUMIFS('LC-Final List'!$W:$W,'LC-Final List'!$AE:$AE,"Unpaid",'LC-Final List'!$Y:$Y,'DAILY UPDATE SHEET'!$A83,'LC-Final List'!$E:$E,'DAILY UPDATE SHEET'!D$36,'LC-Final List'!$F:$F,"10%")</f>
        <v>0</v>
      </c>
      <c r="E83" s="220">
        <f ca="1">SUMIFS(SBLC!$X:$X,SBLC!$T:$T,"Unpaid",SBLC!$R:$R,'DAILY UPDATE SHEET'!$A83,SBLC!$B:$B,$D$36,SBLC!$H:$H,"10%")</f>
        <v>0</v>
      </c>
      <c r="F83" s="220">
        <f ca="1">SUMIFS('LC-Final List'!$W:$W,'LC-Final List'!$AE:$AE,"Unpaid",'LC-Final List'!$Y:$Y,'DAILY UPDATE SHEET'!$A83,'LC-Final List'!$E:$E,'DAILY UPDATE SHEET'!F$36,'LC-Final List'!$F:$F,"10%")</f>
        <v>0</v>
      </c>
      <c r="G83" s="220">
        <f ca="1">SUMIFS(SBLC!$X:$X,SBLC!$T:$T,"Unpaid",SBLC!$R:$R,'DAILY UPDATE SHEET'!$A83,SBLC!$B:$B,$F$36,SBLC!$H:$H,"10%")</f>
        <v>0</v>
      </c>
      <c r="H83" s="220">
        <f t="shared" ca="1" si="7"/>
        <v>0</v>
      </c>
    </row>
    <row r="84" spans="1:8" x14ac:dyDescent="0.25">
      <c r="A84" s="474">
        <f t="shared" ca="1" si="8"/>
        <v>46224</v>
      </c>
      <c r="B84" s="443">
        <f ca="1">SUMIFS('LC-Final List'!$W:$W,'LC-Final List'!$AE:$AE,"Unpaid",'LC-Final List'!$Y:$Y,'DAILY UPDATE SHEET'!$A84,'LC-Final List'!$E:$E,'DAILY UPDATE SHEET'!B$36,'LC-Final List'!$F:$F,"10%")</f>
        <v>0</v>
      </c>
      <c r="C84" s="443">
        <f ca="1">SUMIFS(SBLC!$X:$X,SBLC!$T:$T,"Unpaid",SBLC!$R:$R,'DAILY UPDATE SHEET'!$A84,SBLC!$B:$B,$B$36,SBLC!$H:$H,"10%")</f>
        <v>183672544</v>
      </c>
      <c r="D84" s="443">
        <f ca="1">SUMIFS('LC-Final List'!$W:$W,'LC-Final List'!$AE:$AE,"Unpaid",'LC-Final List'!$Y:$Y,'DAILY UPDATE SHEET'!$A84,'LC-Final List'!$E:$E,'DAILY UPDATE SHEET'!D$36,'LC-Final List'!$F:$F,"10%")</f>
        <v>0</v>
      </c>
      <c r="E84" s="443">
        <f ca="1">SUMIFS(SBLC!$X:$X,SBLC!$T:$T,"Unpaid",SBLC!$R:$R,'DAILY UPDATE SHEET'!$A84,SBLC!$B:$B,$D$36,SBLC!$H:$H,"10%")</f>
        <v>0</v>
      </c>
      <c r="F84" s="443">
        <f ca="1">SUMIFS('LC-Final List'!$W:$W,'LC-Final List'!$AE:$AE,"Unpaid",'LC-Final List'!$Y:$Y,'DAILY UPDATE SHEET'!$A84,'LC-Final List'!$E:$E,'DAILY UPDATE SHEET'!F$36,'LC-Final List'!$F:$F,"10%")</f>
        <v>0</v>
      </c>
      <c r="G84" s="443">
        <f ca="1">SUMIFS(SBLC!$X:$X,SBLC!$T:$T,"Unpaid",SBLC!$R:$R,'DAILY UPDATE SHEET'!$A84,SBLC!$B:$B,$F$36,SBLC!$H:$H,"10%")</f>
        <v>75634458.049999997</v>
      </c>
      <c r="H84" s="443">
        <f t="shared" ca="1" si="7"/>
        <v>259307002.05000001</v>
      </c>
    </row>
    <row r="85" spans="1:8" x14ac:dyDescent="0.25">
      <c r="A85" s="474">
        <f t="shared" ca="1" si="8"/>
        <v>46225</v>
      </c>
      <c r="B85" s="443">
        <f ca="1">SUMIFS('LC-Final List'!$W:$W,'LC-Final List'!$AE:$AE,"Unpaid",'LC-Final List'!$Y:$Y,'DAILY UPDATE SHEET'!$A85,'LC-Final List'!$E:$E,'DAILY UPDATE SHEET'!B$36,'LC-Final List'!$F:$F,"10%")</f>
        <v>0</v>
      </c>
      <c r="C85" s="443">
        <f ca="1">SUMIFS(SBLC!$X:$X,SBLC!$T:$T,"Unpaid",SBLC!$R:$R,'DAILY UPDATE SHEET'!$A85,SBLC!$B:$B,$B$36,SBLC!$H:$H,"10%")</f>
        <v>0</v>
      </c>
      <c r="D85" s="443">
        <f ca="1">SUMIFS('LC-Final List'!$W:$W,'LC-Final List'!$AE:$AE,"Unpaid",'LC-Final List'!$Y:$Y,'DAILY UPDATE SHEET'!$A85,'LC-Final List'!$E:$E,'DAILY UPDATE SHEET'!D$36,'LC-Final List'!$F:$F,"10%")</f>
        <v>0</v>
      </c>
      <c r="E85" s="443">
        <f ca="1">SUMIFS(SBLC!$X:$X,SBLC!$T:$T,"Unpaid",SBLC!$R:$R,'DAILY UPDATE SHEET'!$A85,SBLC!$B:$B,$D$36,SBLC!$H:$H,"10%")</f>
        <v>0</v>
      </c>
      <c r="F85" s="443">
        <f ca="1">SUMIFS('LC-Final List'!$W:$W,'LC-Final List'!$AE:$AE,"Unpaid",'LC-Final List'!$Y:$Y,'DAILY UPDATE SHEET'!$A85,'LC-Final List'!$E:$E,'DAILY UPDATE SHEET'!F$36,'LC-Final List'!$F:$F,"10%")</f>
        <v>0</v>
      </c>
      <c r="G85" s="443">
        <f ca="1">SUMIFS(SBLC!$X:$X,SBLC!$T:$T,"Unpaid",SBLC!$R:$R,'DAILY UPDATE SHEET'!$A85,SBLC!$B:$B,$F$36,SBLC!$H:$H,"10%")</f>
        <v>135346015.5</v>
      </c>
      <c r="H85" s="443">
        <f t="shared" ca="1" si="7"/>
        <v>135346015.5</v>
      </c>
    </row>
    <row r="86" spans="1:8" hidden="1" x14ac:dyDescent="0.25">
      <c r="A86" s="83">
        <f t="shared" ca="1" si="8"/>
        <v>46226</v>
      </c>
      <c r="B86" s="220">
        <f ca="1">SUMIFS('LC-Final List'!$W:$W,'LC-Final List'!$AE:$AE,"Unpaid",'LC-Final List'!$Y:$Y,'DAILY UPDATE SHEET'!$A86,'LC-Final List'!$E:$E,'DAILY UPDATE SHEET'!B$36,'LC-Final List'!$F:$F,"10%")</f>
        <v>0</v>
      </c>
      <c r="C86" s="220">
        <f ca="1">SUMIFS(SBLC!$X:$X,SBLC!$T:$T,"Unpaid",SBLC!$R:$R,'DAILY UPDATE SHEET'!$A86,SBLC!$B:$B,$B$36,SBLC!$H:$H,"10%")</f>
        <v>0</v>
      </c>
      <c r="D86" s="220">
        <f ca="1">SUMIFS('LC-Final List'!$W:$W,'LC-Final List'!$AE:$AE,"Unpaid",'LC-Final List'!$Y:$Y,'DAILY UPDATE SHEET'!$A86,'LC-Final List'!$E:$E,'DAILY UPDATE SHEET'!D$36,'LC-Final List'!$F:$F,"10%")</f>
        <v>0</v>
      </c>
      <c r="E86" s="220">
        <f ca="1">SUMIFS(SBLC!$X:$X,SBLC!$T:$T,"Unpaid",SBLC!$R:$R,'DAILY UPDATE SHEET'!$A86,SBLC!$B:$B,$D$36,SBLC!$H:$H,"10%")</f>
        <v>0</v>
      </c>
      <c r="F86" s="220">
        <f ca="1">SUMIFS('LC-Final List'!$W:$W,'LC-Final List'!$AE:$AE,"Unpaid",'LC-Final List'!$Y:$Y,'DAILY UPDATE SHEET'!$A86,'LC-Final List'!$E:$E,'DAILY UPDATE SHEET'!F$36,'LC-Final List'!$F:$F,"10%")</f>
        <v>0</v>
      </c>
      <c r="G86" s="220">
        <f ca="1">SUMIFS(SBLC!$X:$X,SBLC!$T:$T,"Unpaid",SBLC!$R:$R,'DAILY UPDATE SHEET'!$A86,SBLC!$B:$B,$F$36,SBLC!$H:$H,"10%")</f>
        <v>0</v>
      </c>
      <c r="H86" s="220">
        <f t="shared" ca="1" si="7"/>
        <v>0</v>
      </c>
    </row>
    <row r="87" spans="1:8" x14ac:dyDescent="0.25">
      <c r="A87" s="474">
        <f t="shared" ca="1" si="8"/>
        <v>46227</v>
      </c>
      <c r="B87" s="443">
        <f ca="1">SUMIFS('LC-Final List'!$W:$W,'LC-Final List'!$AE:$AE,"Unpaid",'LC-Final List'!$Y:$Y,'DAILY UPDATE SHEET'!$A87,'LC-Final List'!$E:$E,'DAILY UPDATE SHEET'!B$36,'LC-Final List'!$F:$F,"10%")</f>
        <v>0</v>
      </c>
      <c r="C87" s="443">
        <f ca="1">SUMIFS(SBLC!$X:$X,SBLC!$T:$T,"Unpaid",SBLC!$R:$R,'DAILY UPDATE SHEET'!$A87,SBLC!$B:$B,$B$36,SBLC!$H:$H,"10%")</f>
        <v>244691903.75</v>
      </c>
      <c r="D87" s="443">
        <f ca="1">SUMIFS('LC-Final List'!$W:$W,'LC-Final List'!$AE:$AE,"Unpaid",'LC-Final List'!$Y:$Y,'DAILY UPDATE SHEET'!$A87,'LC-Final List'!$E:$E,'DAILY UPDATE SHEET'!D$36,'LC-Final List'!$F:$F,"10%")</f>
        <v>0</v>
      </c>
      <c r="E87" s="443">
        <f ca="1">SUMIFS(SBLC!$X:$X,SBLC!$T:$T,"Unpaid",SBLC!$R:$R,'DAILY UPDATE SHEET'!$A87,SBLC!$B:$B,$D$36,SBLC!$H:$H,"10%")</f>
        <v>0</v>
      </c>
      <c r="F87" s="443">
        <f ca="1">SUMIFS('LC-Final List'!$W:$W,'LC-Final List'!$AE:$AE,"Unpaid",'LC-Final List'!$Y:$Y,'DAILY UPDATE SHEET'!$A87,'LC-Final List'!$E:$E,'DAILY UPDATE SHEET'!F$36,'LC-Final List'!$F:$F,"10%")</f>
        <v>0</v>
      </c>
      <c r="G87" s="443">
        <f ca="1">SUMIFS(SBLC!$X:$X,SBLC!$T:$T,"Unpaid",SBLC!$R:$R,'DAILY UPDATE SHEET'!$A87,SBLC!$B:$B,$F$36,SBLC!$H:$H,"10%")</f>
        <v>72661070.150000006</v>
      </c>
      <c r="H87" s="443">
        <f t="shared" ca="1" si="7"/>
        <v>317352973.89999998</v>
      </c>
    </row>
    <row r="88" spans="1:8" x14ac:dyDescent="0.25">
      <c r="A88" s="474">
        <f t="shared" ca="1" si="8"/>
        <v>46228</v>
      </c>
      <c r="B88" s="443">
        <f ca="1">SUMIFS('LC-Final List'!$W:$W,'LC-Final List'!$AE:$AE,"Unpaid",'LC-Final List'!$Y:$Y,'DAILY UPDATE SHEET'!$A88,'LC-Final List'!$E:$E,'DAILY UPDATE SHEET'!B$36,'LC-Final List'!$F:$F,"10%")</f>
        <v>0</v>
      </c>
      <c r="C88" s="443">
        <f ca="1">SUMIFS(SBLC!$X:$X,SBLC!$T:$T,"Unpaid",SBLC!$R:$R,'DAILY UPDATE SHEET'!$A88,SBLC!$B:$B,$B$36,SBLC!$H:$H,"10%")</f>
        <v>127472225.5</v>
      </c>
      <c r="D88" s="443">
        <f ca="1">SUMIFS('LC-Final List'!$W:$W,'LC-Final List'!$AE:$AE,"Unpaid",'LC-Final List'!$Y:$Y,'DAILY UPDATE SHEET'!$A88,'LC-Final List'!$E:$E,'DAILY UPDATE SHEET'!D$36,'LC-Final List'!$F:$F,"10%")</f>
        <v>0</v>
      </c>
      <c r="E88" s="443">
        <f ca="1">SUMIFS(SBLC!$X:$X,SBLC!$T:$T,"Unpaid",SBLC!$R:$R,'DAILY UPDATE SHEET'!$A88,SBLC!$B:$B,$D$36,SBLC!$H:$H,"10%")</f>
        <v>0</v>
      </c>
      <c r="F88" s="443">
        <f ca="1">SUMIFS('LC-Final List'!$W:$W,'LC-Final List'!$AE:$AE,"Unpaid",'LC-Final List'!$Y:$Y,'DAILY UPDATE SHEET'!$A88,'LC-Final List'!$E:$E,'DAILY UPDATE SHEET'!F$36,'LC-Final List'!$F:$F,"10%")</f>
        <v>0</v>
      </c>
      <c r="G88" s="443">
        <f ca="1">SUMIFS(SBLC!$X:$X,SBLC!$T:$T,"Unpaid",SBLC!$R:$R,'DAILY UPDATE SHEET'!$A88,SBLC!$B:$B,$F$36,SBLC!$H:$H,"10%")</f>
        <v>0</v>
      </c>
      <c r="H88" s="443">
        <f t="shared" ca="1" si="7"/>
        <v>127472225.5</v>
      </c>
    </row>
    <row r="89" spans="1:8" x14ac:dyDescent="0.25">
      <c r="A89" s="474">
        <f t="shared" ca="1" si="8"/>
        <v>46229</v>
      </c>
      <c r="B89" s="443">
        <f ca="1">SUMIFS('LC-Final List'!$W:$W,'LC-Final List'!$AE:$AE,"Unpaid",'LC-Final List'!$Y:$Y,'DAILY UPDATE SHEET'!$A89,'LC-Final List'!$E:$E,'DAILY UPDATE SHEET'!B$36,'LC-Final List'!$F:$F,"10%")</f>
        <v>663076649.27999997</v>
      </c>
      <c r="C89" s="443">
        <f ca="1">SUMIFS(SBLC!$X:$X,SBLC!$T:$T,"Unpaid",SBLC!$R:$R,'DAILY UPDATE SHEET'!$A89,SBLC!$B:$B,$B$36,SBLC!$H:$H,"10%")</f>
        <v>123645412.814</v>
      </c>
      <c r="D89" s="443">
        <f ca="1">SUMIFS('LC-Final List'!$W:$W,'LC-Final List'!$AE:$AE,"Unpaid",'LC-Final List'!$Y:$Y,'DAILY UPDATE SHEET'!$A89,'LC-Final List'!$E:$E,'DAILY UPDATE SHEET'!D$36,'LC-Final List'!$F:$F,"10%")</f>
        <v>0</v>
      </c>
      <c r="E89" s="443">
        <f ca="1">SUMIFS(SBLC!$X:$X,SBLC!$T:$T,"Unpaid",SBLC!$R:$R,'DAILY UPDATE SHEET'!$A89,SBLC!$B:$B,$D$36,SBLC!$H:$H,"10%")</f>
        <v>0</v>
      </c>
      <c r="F89" s="443">
        <f ca="1">SUMIFS('LC-Final List'!$W:$W,'LC-Final List'!$AE:$AE,"Unpaid",'LC-Final List'!$Y:$Y,'DAILY UPDATE SHEET'!$A89,'LC-Final List'!$E:$E,'DAILY UPDATE SHEET'!F$36,'LC-Final List'!$F:$F,"10%")</f>
        <v>0</v>
      </c>
      <c r="G89" s="443">
        <f ca="1">SUMIFS(SBLC!$X:$X,SBLC!$T:$T,"Unpaid",SBLC!$R:$R,'DAILY UPDATE SHEET'!$A89,SBLC!$B:$B,$F$36,SBLC!$H:$H,"10%")</f>
        <v>0</v>
      </c>
      <c r="H89" s="443">
        <f t="shared" ca="1" si="7"/>
        <v>786722062.09399998</v>
      </c>
    </row>
    <row r="90" spans="1:8" x14ac:dyDescent="0.25">
      <c r="A90" s="474">
        <f t="shared" ca="1" si="8"/>
        <v>46230</v>
      </c>
      <c r="B90" s="443">
        <f ca="1">SUMIFS('LC-Final List'!$W:$W,'LC-Final List'!$AE:$AE,"Unpaid",'LC-Final List'!$Y:$Y,'DAILY UPDATE SHEET'!$A90,'LC-Final List'!$E:$E,'DAILY UPDATE SHEET'!B$36,'LC-Final List'!$F:$F,"10%")</f>
        <v>0</v>
      </c>
      <c r="C90" s="443">
        <f ca="1">SUMIFS(SBLC!$X:$X,SBLC!$T:$T,"Unpaid",SBLC!$R:$R,'DAILY UPDATE SHEET'!$A90,SBLC!$B:$B,$B$36,SBLC!$H:$H,"10%")</f>
        <v>0</v>
      </c>
      <c r="D90" s="443">
        <f ca="1">SUMIFS('LC-Final List'!$W:$W,'LC-Final List'!$AE:$AE,"Unpaid",'LC-Final List'!$Y:$Y,'DAILY UPDATE SHEET'!$A90,'LC-Final List'!$E:$E,'DAILY UPDATE SHEET'!D$36,'LC-Final List'!$F:$F,"10%")</f>
        <v>0</v>
      </c>
      <c r="E90" s="443">
        <f ca="1">SUMIFS(SBLC!$X:$X,SBLC!$T:$T,"Unpaid",SBLC!$R:$R,'DAILY UPDATE SHEET'!$A90,SBLC!$B:$B,$D$36,SBLC!$H:$H,"10%")</f>
        <v>0</v>
      </c>
      <c r="F90" s="443">
        <f ca="1">SUMIFS('LC-Final List'!$W:$W,'LC-Final List'!$AE:$AE,"Unpaid",'LC-Final List'!$Y:$Y,'DAILY UPDATE SHEET'!$A90,'LC-Final List'!$E:$E,'DAILY UPDATE SHEET'!F$36,'LC-Final List'!$F:$F,"10%")</f>
        <v>0</v>
      </c>
      <c r="G90" s="443">
        <f ca="1">SUMIFS(SBLC!$X:$X,SBLC!$T:$T,"Unpaid",SBLC!$R:$R,'DAILY UPDATE SHEET'!$A90,SBLC!$B:$B,$F$36,SBLC!$H:$H,"10%")</f>
        <v>122947398.3</v>
      </c>
      <c r="H90" s="443">
        <f t="shared" ca="1" si="7"/>
        <v>122947398.3</v>
      </c>
    </row>
    <row r="91" spans="1:8" x14ac:dyDescent="0.25">
      <c r="A91" s="474">
        <f t="shared" ca="1" si="8"/>
        <v>46231</v>
      </c>
      <c r="B91" s="443">
        <f ca="1">SUMIFS('LC-Final List'!$W:$W,'LC-Final List'!$AE:$AE,"Unpaid",'LC-Final List'!$Y:$Y,'DAILY UPDATE SHEET'!$A91,'LC-Final List'!$E:$E,'DAILY UPDATE SHEET'!B$36,'LC-Final List'!$F:$F,"10%")</f>
        <v>0</v>
      </c>
      <c r="C91" s="443">
        <f ca="1">SUMIFS(SBLC!$X:$X,SBLC!$T:$T,"Unpaid",SBLC!$R:$R,'DAILY UPDATE SHEET'!$A91,SBLC!$B:$B,$B$36,SBLC!$H:$H,"10%")</f>
        <v>87979500</v>
      </c>
      <c r="D91" s="443">
        <f ca="1">SUMIFS('LC-Final List'!$W:$W,'LC-Final List'!$AE:$AE,"Unpaid",'LC-Final List'!$Y:$Y,'DAILY UPDATE SHEET'!$A91,'LC-Final List'!$E:$E,'DAILY UPDATE SHEET'!D$36,'LC-Final List'!$F:$F,"10%")</f>
        <v>0</v>
      </c>
      <c r="E91" s="443">
        <f ca="1">SUMIFS(SBLC!$X:$X,SBLC!$T:$T,"Unpaid",SBLC!$R:$R,'DAILY UPDATE SHEET'!$A91,SBLC!$B:$B,$D$36,SBLC!$H:$H,"10%")</f>
        <v>0</v>
      </c>
      <c r="F91" s="443">
        <f ca="1">SUMIFS('LC-Final List'!$W:$W,'LC-Final List'!$AE:$AE,"Unpaid",'LC-Final List'!$Y:$Y,'DAILY UPDATE SHEET'!$A91,'LC-Final List'!$E:$E,'DAILY UPDATE SHEET'!F$36,'LC-Final List'!$F:$F,"10%")</f>
        <v>0</v>
      </c>
      <c r="G91" s="443">
        <f ca="1">SUMIFS(SBLC!$X:$X,SBLC!$T:$T,"Unpaid",SBLC!$R:$R,'DAILY UPDATE SHEET'!$A91,SBLC!$B:$B,$F$36,SBLC!$H:$H,"10%")</f>
        <v>191671850.84999999</v>
      </c>
      <c r="H91" s="443">
        <f t="shared" ca="1" si="7"/>
        <v>279651350.85000002</v>
      </c>
    </row>
    <row r="92" spans="1:8" x14ac:dyDescent="0.25">
      <c r="A92" s="474">
        <f t="shared" ca="1" si="8"/>
        <v>46232</v>
      </c>
      <c r="B92" s="443">
        <f ca="1">SUMIFS('LC-Final List'!$W:$W,'LC-Final List'!$AE:$AE,"Unpaid",'LC-Final List'!$Y:$Y,'DAILY UPDATE SHEET'!$A92,'LC-Final List'!$E:$E,'DAILY UPDATE SHEET'!B$36,'LC-Final List'!$F:$F,"10%")</f>
        <v>0</v>
      </c>
      <c r="C92" s="443">
        <f ca="1">SUMIFS(SBLC!$X:$X,SBLC!$T:$T,"Unpaid",SBLC!$R:$R,'DAILY UPDATE SHEET'!$A92,SBLC!$B:$B,$B$36,SBLC!$H:$H,"10%")</f>
        <v>0</v>
      </c>
      <c r="D92" s="443">
        <f ca="1">SUMIFS('LC-Final List'!$W:$W,'LC-Final List'!$AE:$AE,"Unpaid",'LC-Final List'!$Y:$Y,'DAILY UPDATE SHEET'!$A92,'LC-Final List'!$E:$E,'DAILY UPDATE SHEET'!D$36,'LC-Final List'!$F:$F,"10%")</f>
        <v>0</v>
      </c>
      <c r="E92" s="443">
        <f ca="1">SUMIFS(SBLC!$X:$X,SBLC!$T:$T,"Unpaid",SBLC!$R:$R,'DAILY UPDATE SHEET'!$A92,SBLC!$B:$B,$D$36,SBLC!$H:$H,"10%")</f>
        <v>0</v>
      </c>
      <c r="F92" s="443">
        <f ca="1">SUMIFS('LC-Final List'!$W:$W,'LC-Final List'!$AE:$AE,"Unpaid",'LC-Final List'!$Y:$Y,'DAILY UPDATE SHEET'!$A92,'LC-Final List'!$E:$E,'DAILY UPDATE SHEET'!F$36,'LC-Final List'!$F:$F,"10%")</f>
        <v>0</v>
      </c>
      <c r="G92" s="443">
        <f ca="1">SUMIFS(SBLC!$X:$X,SBLC!$T:$T,"Unpaid",SBLC!$R:$R,'DAILY UPDATE SHEET'!$A92,SBLC!$B:$B,$F$36,SBLC!$H:$H,"10%")</f>
        <v>43737414.800000004</v>
      </c>
      <c r="H92" s="443">
        <f t="shared" ca="1" si="7"/>
        <v>43737414.800000004</v>
      </c>
    </row>
    <row r="93" spans="1:8" x14ac:dyDescent="0.25">
      <c r="A93" s="474">
        <f t="shared" ca="1" si="8"/>
        <v>46233</v>
      </c>
      <c r="B93" s="443">
        <f ca="1">SUMIFS('LC-Final List'!$W:$W,'LC-Final List'!$AE:$AE,"Unpaid",'LC-Final List'!$Y:$Y,'DAILY UPDATE SHEET'!$A93,'LC-Final List'!$E:$E,'DAILY UPDATE SHEET'!B$36,'LC-Final List'!$F:$F,"10%")</f>
        <v>160043352</v>
      </c>
      <c r="C93" s="443">
        <f ca="1">SUMIFS(SBLC!$X:$X,SBLC!$T:$T,"Unpaid",SBLC!$R:$R,'DAILY UPDATE SHEET'!$A93,SBLC!$B:$B,$B$36,SBLC!$H:$H,"10%")</f>
        <v>0</v>
      </c>
      <c r="D93" s="443">
        <f ca="1">SUMIFS('LC-Final List'!$W:$W,'LC-Final List'!$AE:$AE,"Unpaid",'LC-Final List'!$Y:$Y,'DAILY UPDATE SHEET'!$A93,'LC-Final List'!$E:$E,'DAILY UPDATE SHEET'!D$36,'LC-Final List'!$F:$F,"10%")</f>
        <v>0</v>
      </c>
      <c r="E93" s="443">
        <f ca="1">SUMIFS(SBLC!$X:$X,SBLC!$T:$T,"Unpaid",SBLC!$R:$R,'DAILY UPDATE SHEET'!$A93,SBLC!$B:$B,$D$36,SBLC!$H:$H,"10%")</f>
        <v>0</v>
      </c>
      <c r="F93" s="443">
        <f ca="1">SUMIFS('LC-Final List'!$W:$W,'LC-Final List'!$AE:$AE,"Unpaid",'LC-Final List'!$Y:$Y,'DAILY UPDATE SHEET'!$A93,'LC-Final List'!$E:$E,'DAILY UPDATE SHEET'!F$36,'LC-Final List'!$F:$F,"10%")</f>
        <v>0</v>
      </c>
      <c r="G93" s="443">
        <f ca="1">SUMIFS(SBLC!$X:$X,SBLC!$T:$T,"Unpaid",SBLC!$R:$R,'DAILY UPDATE SHEET'!$A93,SBLC!$B:$B,$F$36,SBLC!$H:$H,"10%")</f>
        <v>0</v>
      </c>
      <c r="H93" s="443">
        <f t="shared" ca="1" si="7"/>
        <v>160043352</v>
      </c>
    </row>
    <row r="94" spans="1:8" x14ac:dyDescent="0.25">
      <c r="A94" s="474">
        <f t="shared" ca="1" si="8"/>
        <v>46234</v>
      </c>
      <c r="B94" s="443">
        <f ca="1">SUMIFS('LC-Final List'!$W:$W,'LC-Final List'!$AE:$AE,"Unpaid",'LC-Final List'!$Y:$Y,'DAILY UPDATE SHEET'!$A94,'LC-Final List'!$E:$E,'DAILY UPDATE SHEET'!B$36,'LC-Final List'!$F:$F,"10%")</f>
        <v>0</v>
      </c>
      <c r="C94" s="443">
        <f ca="1">SUMIFS(SBLC!$X:$X,SBLC!$T:$T,"Unpaid",SBLC!$R:$R,'DAILY UPDATE SHEET'!$A94,SBLC!$B:$B,$B$36,SBLC!$H:$H,"10%")</f>
        <v>0</v>
      </c>
      <c r="D94" s="443">
        <f ca="1">SUMIFS('LC-Final List'!$W:$W,'LC-Final List'!$AE:$AE,"Unpaid",'LC-Final List'!$Y:$Y,'DAILY UPDATE SHEET'!$A94,'LC-Final List'!$E:$E,'DAILY UPDATE SHEET'!D$36,'LC-Final List'!$F:$F,"10%")</f>
        <v>0</v>
      </c>
      <c r="E94" s="443">
        <f ca="1">SUMIFS(SBLC!$X:$X,SBLC!$T:$T,"Unpaid",SBLC!$R:$R,'DAILY UPDATE SHEET'!$A94,SBLC!$B:$B,$D$36,SBLC!$H:$H,"10%")</f>
        <v>0</v>
      </c>
      <c r="F94" s="443">
        <f ca="1">SUMIFS('LC-Final List'!$W:$W,'LC-Final List'!$AE:$AE,"Unpaid",'LC-Final List'!$Y:$Y,'DAILY UPDATE SHEET'!$A94,'LC-Final List'!$E:$E,'DAILY UPDATE SHEET'!F$36,'LC-Final List'!$F:$F,"10%")</f>
        <v>0</v>
      </c>
      <c r="G94" s="443">
        <f ca="1">SUMIFS(SBLC!$X:$X,SBLC!$T:$T,"Unpaid",SBLC!$R:$R,'DAILY UPDATE SHEET'!$A94,SBLC!$B:$B,$F$36,SBLC!$H:$H,"10%")</f>
        <v>83425799.450000003</v>
      </c>
      <c r="H94" s="443">
        <f t="shared" ca="1" si="7"/>
        <v>83425799.450000003</v>
      </c>
    </row>
    <row r="95" spans="1:8" x14ac:dyDescent="0.25">
      <c r="A95" s="474">
        <f t="shared" ca="1" si="8"/>
        <v>46235</v>
      </c>
      <c r="B95" s="443">
        <f ca="1">SUMIFS('LC-Final List'!$W:$W,'LC-Final List'!$AE:$AE,"Unpaid",'LC-Final List'!$Y:$Y,'DAILY UPDATE SHEET'!$A95,'LC-Final List'!$E:$E,'DAILY UPDATE SHEET'!B$36,'LC-Final List'!$F:$F,"10%")</f>
        <v>0</v>
      </c>
      <c r="C95" s="443">
        <f ca="1">SUMIFS(SBLC!$X:$X,SBLC!$T:$T,"Unpaid",SBLC!$R:$R,'DAILY UPDATE SHEET'!$A95,SBLC!$B:$B,$B$36,SBLC!$H:$H,"10%")</f>
        <v>128910948.25000001</v>
      </c>
      <c r="D95" s="443">
        <f ca="1">SUMIFS('LC-Final List'!$W:$W,'LC-Final List'!$AE:$AE,"Unpaid",'LC-Final List'!$Y:$Y,'DAILY UPDATE SHEET'!$A95,'LC-Final List'!$E:$E,'DAILY UPDATE SHEET'!D$36,'LC-Final List'!$F:$F,"10%")</f>
        <v>0</v>
      </c>
      <c r="E95" s="443">
        <f ca="1">SUMIFS(SBLC!$X:$X,SBLC!$T:$T,"Unpaid",SBLC!$R:$R,'DAILY UPDATE SHEET'!$A95,SBLC!$B:$B,$D$36,SBLC!$H:$H,"10%")</f>
        <v>0</v>
      </c>
      <c r="F95" s="443">
        <f ca="1">SUMIFS('LC-Final List'!$W:$W,'LC-Final List'!$AE:$AE,"Unpaid",'LC-Final List'!$Y:$Y,'DAILY UPDATE SHEET'!$A95,'LC-Final List'!$E:$E,'DAILY UPDATE SHEET'!F$36,'LC-Final List'!$F:$F,"10%")</f>
        <v>0</v>
      </c>
      <c r="G95" s="443">
        <f ca="1">SUMIFS(SBLC!$X:$X,SBLC!$T:$T,"Unpaid",SBLC!$R:$R,'DAILY UPDATE SHEET'!$A95,SBLC!$B:$B,$F$36,SBLC!$H:$H,"10%")</f>
        <v>0</v>
      </c>
      <c r="H95" s="443">
        <f t="shared" ca="1" si="7"/>
        <v>128910948.25000001</v>
      </c>
    </row>
    <row r="96" spans="1:8" hidden="1" x14ac:dyDescent="0.25">
      <c r="A96" s="83">
        <f t="shared" ca="1" si="8"/>
        <v>46236</v>
      </c>
      <c r="B96" s="220">
        <f ca="1">SUMIFS('LC-Final List'!$W:$W,'LC-Final List'!$AE:$AE,"Unpaid",'LC-Final List'!$Y:$Y,'DAILY UPDATE SHEET'!$A96,'LC-Final List'!$E:$E,'DAILY UPDATE SHEET'!B$36,'LC-Final List'!$F:$F,"10%")</f>
        <v>0</v>
      </c>
      <c r="C96" s="220">
        <f ca="1">SUMIFS(SBLC!$X:$X,SBLC!$T:$T,"Unpaid",SBLC!$R:$R,'DAILY UPDATE SHEET'!$A96,SBLC!$B:$B,$B$36,SBLC!$H:$H,"10%")</f>
        <v>0</v>
      </c>
      <c r="D96" s="220">
        <f ca="1">SUMIFS('LC-Final List'!$W:$W,'LC-Final List'!$AE:$AE,"Unpaid",'LC-Final List'!$Y:$Y,'DAILY UPDATE SHEET'!$A96,'LC-Final List'!$E:$E,'DAILY UPDATE SHEET'!D$36,'LC-Final List'!$F:$F,"10%")</f>
        <v>0</v>
      </c>
      <c r="E96" s="220">
        <f ca="1">SUMIFS(SBLC!$X:$X,SBLC!$T:$T,"Unpaid",SBLC!$R:$R,'DAILY UPDATE SHEET'!$A96,SBLC!$B:$B,$D$36,SBLC!$H:$H,"10%")</f>
        <v>0</v>
      </c>
      <c r="F96" s="220">
        <f ca="1">SUMIFS('LC-Final List'!$W:$W,'LC-Final List'!$AE:$AE,"Unpaid",'LC-Final List'!$Y:$Y,'DAILY UPDATE SHEET'!$A96,'LC-Final List'!$E:$E,'DAILY UPDATE SHEET'!F$36,'LC-Final List'!$F:$F,"10%")</f>
        <v>0</v>
      </c>
      <c r="G96" s="220">
        <f ca="1">SUMIFS(SBLC!$X:$X,SBLC!$T:$T,"Unpaid",SBLC!$R:$R,'DAILY UPDATE SHEET'!$A96,SBLC!$B:$B,$F$36,SBLC!$H:$H,"10%")</f>
        <v>0</v>
      </c>
      <c r="H96" s="220">
        <f t="shared" ca="1" si="7"/>
        <v>0</v>
      </c>
    </row>
    <row r="97" spans="1:8" x14ac:dyDescent="0.25">
      <c r="A97" s="474">
        <f t="shared" ca="1" si="8"/>
        <v>46237</v>
      </c>
      <c r="B97" s="443">
        <f ca="1">SUMIFS('LC-Final List'!$W:$W,'LC-Final List'!$AE:$AE,"Unpaid",'LC-Final List'!$Y:$Y,'DAILY UPDATE SHEET'!$A97,'LC-Final List'!$E:$E,'DAILY UPDATE SHEET'!B$36,'LC-Final List'!$F:$F,"10%")</f>
        <v>0</v>
      </c>
      <c r="C97" s="443">
        <f ca="1">SUMIFS(SBLC!$X:$X,SBLC!$T:$T,"Unpaid",SBLC!$R:$R,'DAILY UPDATE SHEET'!$A97,SBLC!$B:$B,$B$36,SBLC!$H:$H,"10%")</f>
        <v>0</v>
      </c>
      <c r="D97" s="443">
        <f ca="1">SUMIFS('LC-Final List'!$W:$W,'LC-Final List'!$AE:$AE,"Unpaid",'LC-Final List'!$Y:$Y,'DAILY UPDATE SHEET'!$A97,'LC-Final List'!$E:$E,'DAILY UPDATE SHEET'!D$36,'LC-Final List'!$F:$F,"10%")</f>
        <v>0</v>
      </c>
      <c r="E97" s="443">
        <f ca="1">SUMIFS(SBLC!$X:$X,SBLC!$T:$T,"Unpaid",SBLC!$R:$R,'DAILY UPDATE SHEET'!$A97,SBLC!$B:$B,$D$36,SBLC!$H:$H,"10%")</f>
        <v>0</v>
      </c>
      <c r="F97" s="443">
        <f ca="1">SUMIFS('LC-Final List'!$W:$W,'LC-Final List'!$AE:$AE,"Unpaid",'LC-Final List'!$Y:$Y,'DAILY UPDATE SHEET'!$A97,'LC-Final List'!$E:$E,'DAILY UPDATE SHEET'!F$36,'LC-Final List'!$F:$F,"10%")</f>
        <v>0</v>
      </c>
      <c r="G97" s="443">
        <f ca="1">SUMIFS(SBLC!$X:$X,SBLC!$T:$T,"Unpaid",SBLC!$R:$R,'DAILY UPDATE SHEET'!$A97,SBLC!$B:$B,$F$36,SBLC!$H:$H,"10%")</f>
        <v>50780403.200000003</v>
      </c>
      <c r="H97" s="443">
        <f t="shared" ca="1" si="7"/>
        <v>50780403.200000003</v>
      </c>
    </row>
    <row r="98" spans="1:8" hidden="1" x14ac:dyDescent="0.25">
      <c r="A98" s="83">
        <f t="shared" ca="1" si="8"/>
        <v>46238</v>
      </c>
      <c r="B98" s="220">
        <f ca="1">SUMIFS('LC-Final List'!$W:$W,'LC-Final List'!$AE:$AE,"Unpaid",'LC-Final List'!$Y:$Y,'DAILY UPDATE SHEET'!$A98,'LC-Final List'!$E:$E,'DAILY UPDATE SHEET'!B$36,'LC-Final List'!$F:$F,"10%")</f>
        <v>0</v>
      </c>
      <c r="C98" s="220">
        <f ca="1">SUMIFS(SBLC!$X:$X,SBLC!$T:$T,"Unpaid",SBLC!$R:$R,'DAILY UPDATE SHEET'!$A98,SBLC!$B:$B,$B$36,SBLC!$H:$H,"10%")</f>
        <v>0</v>
      </c>
      <c r="D98" s="220">
        <f ca="1">SUMIFS('LC-Final List'!$W:$W,'LC-Final List'!$AE:$AE,"Unpaid",'LC-Final List'!$Y:$Y,'DAILY UPDATE SHEET'!$A98,'LC-Final List'!$E:$E,'DAILY UPDATE SHEET'!D$36,'LC-Final List'!$F:$F,"10%")</f>
        <v>0</v>
      </c>
      <c r="E98" s="220">
        <f ca="1">SUMIFS(SBLC!$X:$X,SBLC!$T:$T,"Unpaid",SBLC!$R:$R,'DAILY UPDATE SHEET'!$A98,SBLC!$B:$B,$D$36,SBLC!$H:$H,"10%")</f>
        <v>0</v>
      </c>
      <c r="F98" s="220">
        <f ca="1">SUMIFS('LC-Final List'!$W:$W,'LC-Final List'!$AE:$AE,"Unpaid",'LC-Final List'!$Y:$Y,'DAILY UPDATE SHEET'!$A98,'LC-Final List'!$E:$E,'DAILY UPDATE SHEET'!F$36,'LC-Final List'!$F:$F,"10%")</f>
        <v>0</v>
      </c>
      <c r="G98" s="220">
        <f ca="1">SUMIFS(SBLC!$X:$X,SBLC!$T:$T,"Unpaid",SBLC!$R:$R,'DAILY UPDATE SHEET'!$A98,SBLC!$B:$B,$F$36,SBLC!$H:$H,"10%")</f>
        <v>0</v>
      </c>
      <c r="H98" s="220">
        <f t="shared" ca="1" si="7"/>
        <v>0</v>
      </c>
    </row>
    <row r="99" spans="1:8" x14ac:dyDescent="0.25">
      <c r="A99" s="474">
        <f t="shared" ref="A99:A116" ca="1" si="9">A98+1</f>
        <v>46239</v>
      </c>
      <c r="B99" s="443">
        <f ca="1">SUMIFS('LC-Final List'!$W:$W,'LC-Final List'!$AE:$AE,"Unpaid",'LC-Final List'!$Y:$Y,'DAILY UPDATE SHEET'!$A99,'LC-Final List'!$E:$E,'DAILY UPDATE SHEET'!B$36,'LC-Final List'!$F:$F,"10%")</f>
        <v>0</v>
      </c>
      <c r="C99" s="443">
        <f ca="1">SUMIFS(SBLC!$X:$X,SBLC!$T:$T,"Unpaid",SBLC!$R:$R,'DAILY UPDATE SHEET'!$A99,SBLC!$B:$B,$B$36,SBLC!$H:$H,"10%")</f>
        <v>0</v>
      </c>
      <c r="D99" s="443">
        <f ca="1">SUMIFS('LC-Final List'!$W:$W,'LC-Final List'!$AE:$AE,"Unpaid",'LC-Final List'!$Y:$Y,'DAILY UPDATE SHEET'!$A99,'LC-Final List'!$E:$E,'DAILY UPDATE SHEET'!D$36,'LC-Final List'!$F:$F,"10%")</f>
        <v>0</v>
      </c>
      <c r="E99" s="443">
        <f ca="1">SUMIFS(SBLC!$X:$X,SBLC!$T:$T,"Unpaid",SBLC!$R:$R,'DAILY UPDATE SHEET'!$A99,SBLC!$B:$B,$D$36,SBLC!$H:$H,"10%")</f>
        <v>44186931.050000004</v>
      </c>
      <c r="F99" s="443">
        <f ca="1">SUMIFS('LC-Final List'!$W:$W,'LC-Final List'!$AE:$AE,"Unpaid",'LC-Final List'!$Y:$Y,'DAILY UPDATE SHEET'!$A99,'LC-Final List'!$E:$E,'DAILY UPDATE SHEET'!F$36,'LC-Final List'!$F:$F,"10%")</f>
        <v>0</v>
      </c>
      <c r="G99" s="443">
        <f ca="1">SUMIFS(SBLC!$X:$X,SBLC!$T:$T,"Unpaid",SBLC!$R:$R,'DAILY UPDATE SHEET'!$A99,SBLC!$B:$B,$F$36,SBLC!$H:$H,"10%")</f>
        <v>0</v>
      </c>
      <c r="H99" s="443">
        <f t="shared" ca="1" si="7"/>
        <v>44186931.050000004</v>
      </c>
    </row>
    <row r="100" spans="1:8" hidden="1" x14ac:dyDescent="0.25">
      <c r="A100" s="83">
        <f t="shared" ca="1" si="9"/>
        <v>46240</v>
      </c>
      <c r="B100" s="220">
        <f ca="1">SUMIFS('LC-Final List'!$W:$W,'LC-Final List'!$AE:$AE,"Unpaid",'LC-Final List'!$Y:$Y,'DAILY UPDATE SHEET'!$A100,'LC-Final List'!$E:$E,'DAILY UPDATE SHEET'!B$36,'LC-Final List'!$F:$F,"10%")</f>
        <v>0</v>
      </c>
      <c r="C100" s="220">
        <f ca="1">SUMIFS(SBLC!$X:$X,SBLC!$T:$T,"Unpaid",SBLC!$R:$R,'DAILY UPDATE SHEET'!$A100,SBLC!$B:$B,$B$36,SBLC!$H:$H,"10%")</f>
        <v>0</v>
      </c>
      <c r="D100" s="220">
        <f ca="1">SUMIFS('LC-Final List'!$W:$W,'LC-Final List'!$AE:$AE,"Unpaid",'LC-Final List'!$Y:$Y,'DAILY UPDATE SHEET'!$A100,'LC-Final List'!$E:$E,'DAILY UPDATE SHEET'!D$36,'LC-Final List'!$F:$F,"10%")</f>
        <v>0</v>
      </c>
      <c r="E100" s="220">
        <f ca="1">SUMIFS(SBLC!$X:$X,SBLC!$T:$T,"Unpaid",SBLC!$R:$R,'DAILY UPDATE SHEET'!$A100,SBLC!$B:$B,$D$36,SBLC!$H:$H,"10%")</f>
        <v>0</v>
      </c>
      <c r="F100" s="220">
        <f ca="1">SUMIFS('LC-Final List'!$W:$W,'LC-Final List'!$AE:$AE,"Unpaid",'LC-Final List'!$Y:$Y,'DAILY UPDATE SHEET'!$A100,'LC-Final List'!$E:$E,'DAILY UPDATE SHEET'!F$36,'LC-Final List'!$F:$F,"10%")</f>
        <v>0</v>
      </c>
      <c r="G100" s="220">
        <f ca="1">SUMIFS(SBLC!$X:$X,SBLC!$T:$T,"Unpaid",SBLC!$R:$R,'DAILY UPDATE SHEET'!$A100,SBLC!$B:$B,$F$36,SBLC!$H:$H,"10%")</f>
        <v>0</v>
      </c>
      <c r="H100" s="220">
        <f t="shared" ca="1" si="7"/>
        <v>0</v>
      </c>
    </row>
    <row r="101" spans="1:8" hidden="1" x14ac:dyDescent="0.25">
      <c r="A101" s="83">
        <f t="shared" ca="1" si="9"/>
        <v>46241</v>
      </c>
      <c r="B101" s="220">
        <f ca="1">SUMIFS('LC-Final List'!$W:$W,'LC-Final List'!$AE:$AE,"Unpaid",'LC-Final List'!$Y:$Y,'DAILY UPDATE SHEET'!$A101,'LC-Final List'!$E:$E,'DAILY UPDATE SHEET'!B$36,'LC-Final List'!$F:$F,"10%")</f>
        <v>0</v>
      </c>
      <c r="C101" s="220">
        <f ca="1">SUMIFS(SBLC!$X:$X,SBLC!$T:$T,"Unpaid",SBLC!$R:$R,'DAILY UPDATE SHEET'!$A101,SBLC!$B:$B,$B$36,SBLC!$H:$H,"10%")</f>
        <v>0</v>
      </c>
      <c r="D101" s="220">
        <f ca="1">SUMIFS('LC-Final List'!$W:$W,'LC-Final List'!$AE:$AE,"Unpaid",'LC-Final List'!$Y:$Y,'DAILY UPDATE SHEET'!$A101,'LC-Final List'!$E:$E,'DAILY UPDATE SHEET'!D$36,'LC-Final List'!$F:$F,"10%")</f>
        <v>0</v>
      </c>
      <c r="E101" s="220">
        <f ca="1">SUMIFS(SBLC!$X:$X,SBLC!$T:$T,"Unpaid",SBLC!$R:$R,'DAILY UPDATE SHEET'!$A101,SBLC!$B:$B,$D$36,SBLC!$H:$H,"10%")</f>
        <v>0</v>
      </c>
      <c r="F101" s="220">
        <f ca="1">SUMIFS('LC-Final List'!$W:$W,'LC-Final List'!$AE:$AE,"Unpaid",'LC-Final List'!$Y:$Y,'DAILY UPDATE SHEET'!$A101,'LC-Final List'!$E:$E,'DAILY UPDATE SHEET'!F$36,'LC-Final List'!$F:$F,"10%")</f>
        <v>0</v>
      </c>
      <c r="G101" s="220">
        <f ca="1">SUMIFS(SBLC!$X:$X,SBLC!$T:$T,"Unpaid",SBLC!$R:$R,'DAILY UPDATE SHEET'!$A101,SBLC!$B:$B,$F$36,SBLC!$H:$H,"10%")</f>
        <v>0</v>
      </c>
      <c r="H101" s="220">
        <f t="shared" ca="1" si="7"/>
        <v>0</v>
      </c>
    </row>
    <row r="102" spans="1:8" hidden="1" x14ac:dyDescent="0.25">
      <c r="A102" s="83">
        <f t="shared" ca="1" si="9"/>
        <v>46242</v>
      </c>
      <c r="B102" s="220">
        <f ca="1">SUMIFS('LC-Final List'!$W:$W,'LC-Final List'!$AE:$AE,"Unpaid",'LC-Final List'!$Y:$Y,'DAILY UPDATE SHEET'!$A102,'LC-Final List'!$E:$E,'DAILY UPDATE SHEET'!B$36,'LC-Final List'!$F:$F,"10%")</f>
        <v>0</v>
      </c>
      <c r="C102" s="220">
        <f ca="1">SUMIFS(SBLC!$X:$X,SBLC!$T:$T,"Unpaid",SBLC!$R:$R,'DAILY UPDATE SHEET'!$A102,SBLC!$B:$B,$B$36,SBLC!$H:$H,"10%")</f>
        <v>0</v>
      </c>
      <c r="D102" s="220">
        <f ca="1">SUMIFS('LC-Final List'!$W:$W,'LC-Final List'!$AE:$AE,"Unpaid",'LC-Final List'!$Y:$Y,'DAILY UPDATE SHEET'!$A102,'LC-Final List'!$E:$E,'DAILY UPDATE SHEET'!D$36,'LC-Final List'!$F:$F,"10%")</f>
        <v>0</v>
      </c>
      <c r="E102" s="220">
        <f ca="1">SUMIFS(SBLC!$X:$X,SBLC!$T:$T,"Unpaid",SBLC!$R:$R,'DAILY UPDATE SHEET'!$A102,SBLC!$B:$B,$D$36,SBLC!$H:$H,"10%")</f>
        <v>0</v>
      </c>
      <c r="F102" s="220">
        <f ca="1">SUMIFS('LC-Final List'!$W:$W,'LC-Final List'!$AE:$AE,"Unpaid",'LC-Final List'!$Y:$Y,'DAILY UPDATE SHEET'!$A102,'LC-Final List'!$E:$E,'DAILY UPDATE SHEET'!F$36,'LC-Final List'!$F:$F,"10%")</f>
        <v>0</v>
      </c>
      <c r="G102" s="220">
        <f ca="1">SUMIFS(SBLC!$X:$X,SBLC!$T:$T,"Unpaid",SBLC!$R:$R,'DAILY UPDATE SHEET'!$A102,SBLC!$B:$B,$F$36,SBLC!$H:$H,"10%")</f>
        <v>0</v>
      </c>
      <c r="H102" s="220">
        <f t="shared" ca="1" si="7"/>
        <v>0</v>
      </c>
    </row>
    <row r="103" spans="1:8" hidden="1" x14ac:dyDescent="0.25">
      <c r="A103" s="83">
        <f t="shared" ca="1" si="9"/>
        <v>46243</v>
      </c>
      <c r="B103" s="220">
        <f ca="1">SUMIFS('LC-Final List'!$W:$W,'LC-Final List'!$AE:$AE,"Unpaid",'LC-Final List'!$Y:$Y,'DAILY UPDATE SHEET'!$A103,'LC-Final List'!$E:$E,'DAILY UPDATE SHEET'!B$36,'LC-Final List'!$F:$F,"10%")</f>
        <v>0</v>
      </c>
      <c r="C103" s="220">
        <f ca="1">SUMIFS(SBLC!$X:$X,SBLC!$T:$T,"Unpaid",SBLC!$R:$R,'DAILY UPDATE SHEET'!$A103,SBLC!$B:$B,$B$36,SBLC!$H:$H,"10%")</f>
        <v>0</v>
      </c>
      <c r="D103" s="220">
        <f ca="1">SUMIFS('LC-Final List'!$W:$W,'LC-Final List'!$AE:$AE,"Unpaid",'LC-Final List'!$Y:$Y,'DAILY UPDATE SHEET'!$A103,'LC-Final List'!$E:$E,'DAILY UPDATE SHEET'!D$36,'LC-Final List'!$F:$F,"10%")</f>
        <v>0</v>
      </c>
      <c r="E103" s="220">
        <f ca="1">SUMIFS(SBLC!$X:$X,SBLC!$T:$T,"Unpaid",SBLC!$R:$R,'DAILY UPDATE SHEET'!$A103,SBLC!$B:$B,$D$36,SBLC!$H:$H,"10%")</f>
        <v>0</v>
      </c>
      <c r="F103" s="220">
        <f ca="1">SUMIFS('LC-Final List'!$W:$W,'LC-Final List'!$AE:$AE,"Unpaid",'LC-Final List'!$Y:$Y,'DAILY UPDATE SHEET'!$A103,'LC-Final List'!$E:$E,'DAILY UPDATE SHEET'!F$36,'LC-Final List'!$F:$F,"10%")</f>
        <v>0</v>
      </c>
      <c r="G103" s="220">
        <f ca="1">SUMIFS(SBLC!$X:$X,SBLC!$T:$T,"Unpaid",SBLC!$R:$R,'DAILY UPDATE SHEET'!$A103,SBLC!$B:$B,$F$36,SBLC!$H:$H,"10%")</f>
        <v>0</v>
      </c>
      <c r="H103" s="220">
        <f t="shared" ref="H103:H126" ca="1" si="10">SUM(B103:G103)</f>
        <v>0</v>
      </c>
    </row>
    <row r="104" spans="1:8" x14ac:dyDescent="0.25">
      <c r="A104" s="474">
        <f t="shared" ca="1" si="9"/>
        <v>46244</v>
      </c>
      <c r="B104" s="443">
        <f ca="1">SUMIFS('LC-Final List'!$W:$W,'LC-Final List'!$AE:$AE,"Unpaid",'LC-Final List'!$Y:$Y,'DAILY UPDATE SHEET'!$A104,'LC-Final List'!$E:$E,'DAILY UPDATE SHEET'!B$36,'LC-Final List'!$F:$F,"10%")</f>
        <v>0</v>
      </c>
      <c r="C104" s="443">
        <f ca="1">SUMIFS(SBLC!$X:$X,SBLC!$T:$T,"Unpaid",SBLC!$R:$R,'DAILY UPDATE SHEET'!$A104,SBLC!$B:$B,$B$36,SBLC!$H:$H,"10%")</f>
        <v>0</v>
      </c>
      <c r="D104" s="443">
        <f ca="1">SUMIFS('LC-Final List'!$W:$W,'LC-Final List'!$AE:$AE,"Unpaid",'LC-Final List'!$Y:$Y,'DAILY UPDATE SHEET'!$A104,'LC-Final List'!$E:$E,'DAILY UPDATE SHEET'!D$36,'LC-Final List'!$F:$F,"10%")</f>
        <v>0</v>
      </c>
      <c r="E104" s="443">
        <f ca="1">SUMIFS(SBLC!$X:$X,SBLC!$T:$T,"Unpaid",SBLC!$R:$R,'DAILY UPDATE SHEET'!$A104,SBLC!$B:$B,$D$36,SBLC!$H:$H,"10%")</f>
        <v>0</v>
      </c>
      <c r="F104" s="443">
        <f ca="1">SUMIFS('LC-Final List'!$W:$W,'LC-Final List'!$AE:$AE,"Unpaid",'LC-Final List'!$Y:$Y,'DAILY UPDATE SHEET'!$A104,'LC-Final List'!$E:$E,'DAILY UPDATE SHEET'!F$36,'LC-Final List'!$F:$F,"10%")</f>
        <v>0</v>
      </c>
      <c r="G104" s="443">
        <f ca="1">SUMIFS(SBLC!$X:$X,SBLC!$T:$T,"Unpaid",SBLC!$R:$R,'DAILY UPDATE SHEET'!$A104,SBLC!$B:$B,$F$36,SBLC!$H:$H,"10%")</f>
        <v>44384786.600000001</v>
      </c>
      <c r="H104" s="443">
        <f t="shared" ca="1" si="10"/>
        <v>44384786.600000001</v>
      </c>
    </row>
    <row r="105" spans="1:8" hidden="1" x14ac:dyDescent="0.25">
      <c r="A105" s="83">
        <f t="shared" ca="1" si="9"/>
        <v>46245</v>
      </c>
      <c r="B105" s="220">
        <f ca="1">SUMIFS('LC-Final List'!$W:$W,'LC-Final List'!$AE:$AE,"Unpaid",'LC-Final List'!$Y:$Y,'DAILY UPDATE SHEET'!$A105,'LC-Final List'!$E:$E,'DAILY UPDATE SHEET'!B$36,'LC-Final List'!$F:$F,"10%")</f>
        <v>0</v>
      </c>
      <c r="C105" s="220">
        <f ca="1">SUMIFS(SBLC!$X:$X,SBLC!$T:$T,"Unpaid",SBLC!$R:$R,'DAILY UPDATE SHEET'!$A105,SBLC!$B:$B,$B$36,SBLC!$H:$H,"10%")</f>
        <v>0</v>
      </c>
      <c r="D105" s="220">
        <f ca="1">SUMIFS('LC-Final List'!$W:$W,'LC-Final List'!$AE:$AE,"Unpaid",'LC-Final List'!$Y:$Y,'DAILY UPDATE SHEET'!$A105,'LC-Final List'!$E:$E,'DAILY UPDATE SHEET'!D$36,'LC-Final List'!$F:$F,"10%")</f>
        <v>0</v>
      </c>
      <c r="E105" s="220">
        <f ca="1">SUMIFS(SBLC!$X:$X,SBLC!$T:$T,"Unpaid",SBLC!$R:$R,'DAILY UPDATE SHEET'!$A105,SBLC!$B:$B,$D$36,SBLC!$H:$H,"10%")</f>
        <v>0</v>
      </c>
      <c r="F105" s="220">
        <f ca="1">SUMIFS('LC-Final List'!$W:$W,'LC-Final List'!$AE:$AE,"Unpaid",'LC-Final List'!$Y:$Y,'DAILY UPDATE SHEET'!$A105,'LC-Final List'!$E:$E,'DAILY UPDATE SHEET'!F$36,'LC-Final List'!$F:$F,"10%")</f>
        <v>0</v>
      </c>
      <c r="G105" s="220">
        <f ca="1">SUMIFS(SBLC!$X:$X,SBLC!$T:$T,"Unpaid",SBLC!$R:$R,'DAILY UPDATE SHEET'!$A105,SBLC!$B:$B,$F$36,SBLC!$H:$H,"10%")</f>
        <v>0</v>
      </c>
      <c r="H105" s="220">
        <f t="shared" ca="1" si="10"/>
        <v>0</v>
      </c>
    </row>
    <row r="106" spans="1:8" hidden="1" x14ac:dyDescent="0.25">
      <c r="A106" s="83">
        <f t="shared" ca="1" si="9"/>
        <v>46246</v>
      </c>
      <c r="B106" s="220">
        <f ca="1">SUMIFS('LC-Final List'!$W:$W,'LC-Final List'!$AE:$AE,"Unpaid",'LC-Final List'!$Y:$Y,'DAILY UPDATE SHEET'!$A106,'LC-Final List'!$E:$E,'DAILY UPDATE SHEET'!B$36,'LC-Final List'!$F:$F,"10%")</f>
        <v>0</v>
      </c>
      <c r="C106" s="220">
        <f ca="1">SUMIFS(SBLC!$X:$X,SBLC!$T:$T,"Unpaid",SBLC!$R:$R,'DAILY UPDATE SHEET'!$A106,SBLC!$B:$B,$B$36,SBLC!$H:$H,"10%")</f>
        <v>0</v>
      </c>
      <c r="D106" s="220">
        <f ca="1">SUMIFS('LC-Final List'!$W:$W,'LC-Final List'!$AE:$AE,"Unpaid",'LC-Final List'!$Y:$Y,'DAILY UPDATE SHEET'!$A106,'LC-Final List'!$E:$E,'DAILY UPDATE SHEET'!D$36,'LC-Final List'!$F:$F,"10%")</f>
        <v>0</v>
      </c>
      <c r="E106" s="220">
        <f ca="1">SUMIFS(SBLC!$X:$X,SBLC!$T:$T,"Unpaid",SBLC!$R:$R,'DAILY UPDATE SHEET'!$A106,SBLC!$B:$B,$D$36,SBLC!$H:$H,"10%")</f>
        <v>0</v>
      </c>
      <c r="F106" s="220">
        <f ca="1">SUMIFS('LC-Final List'!$W:$W,'LC-Final List'!$AE:$AE,"Unpaid",'LC-Final List'!$Y:$Y,'DAILY UPDATE SHEET'!$A106,'LC-Final List'!$E:$E,'DAILY UPDATE SHEET'!F$36,'LC-Final List'!$F:$F,"10%")</f>
        <v>0</v>
      </c>
      <c r="G106" s="220">
        <f ca="1">SUMIFS(SBLC!$X:$X,SBLC!$T:$T,"Unpaid",SBLC!$R:$R,'DAILY UPDATE SHEET'!$A106,SBLC!$B:$B,$F$36,SBLC!$H:$H,"10%")</f>
        <v>0</v>
      </c>
      <c r="H106" s="220">
        <f t="shared" ca="1" si="10"/>
        <v>0</v>
      </c>
    </row>
    <row r="107" spans="1:8" hidden="1" x14ac:dyDescent="0.25">
      <c r="A107" s="83">
        <f t="shared" ca="1" si="9"/>
        <v>46247</v>
      </c>
      <c r="B107" s="220">
        <f ca="1">SUMIFS('LC-Final List'!$W:$W,'LC-Final List'!$AE:$AE,"Unpaid",'LC-Final List'!$Y:$Y,'DAILY UPDATE SHEET'!$A107,'LC-Final List'!$E:$E,'DAILY UPDATE SHEET'!B$36,'LC-Final List'!$F:$F,"10%")</f>
        <v>0</v>
      </c>
      <c r="C107" s="220">
        <f ca="1">SUMIFS(SBLC!$X:$X,SBLC!$T:$T,"Unpaid",SBLC!$R:$R,'DAILY UPDATE SHEET'!$A107,SBLC!$B:$B,$B$36,SBLC!$H:$H,"10%")</f>
        <v>0</v>
      </c>
      <c r="D107" s="220">
        <f ca="1">SUMIFS('LC-Final List'!$W:$W,'LC-Final List'!$AE:$AE,"Unpaid",'LC-Final List'!$Y:$Y,'DAILY UPDATE SHEET'!$A107,'LC-Final List'!$E:$E,'DAILY UPDATE SHEET'!D$36,'LC-Final List'!$F:$F,"10%")</f>
        <v>0</v>
      </c>
      <c r="E107" s="220">
        <f ca="1">SUMIFS(SBLC!$X:$X,SBLC!$T:$T,"Unpaid",SBLC!$R:$R,'DAILY UPDATE SHEET'!$A107,SBLC!$B:$B,$D$36,SBLC!$H:$H,"10%")</f>
        <v>0</v>
      </c>
      <c r="F107" s="220">
        <f ca="1">SUMIFS('LC-Final List'!$W:$W,'LC-Final List'!$AE:$AE,"Unpaid",'LC-Final List'!$Y:$Y,'DAILY UPDATE SHEET'!$A107,'LC-Final List'!$E:$E,'DAILY UPDATE SHEET'!F$36,'LC-Final List'!$F:$F,"10%")</f>
        <v>0</v>
      </c>
      <c r="G107" s="220">
        <f ca="1">SUMIFS(SBLC!$X:$X,SBLC!$T:$T,"Unpaid",SBLC!$R:$R,'DAILY UPDATE SHEET'!$A107,SBLC!$B:$B,$F$36,SBLC!$H:$H,"10%")</f>
        <v>0</v>
      </c>
      <c r="H107" s="220">
        <f t="shared" ca="1" si="10"/>
        <v>0</v>
      </c>
    </row>
    <row r="108" spans="1:8" x14ac:dyDescent="0.25">
      <c r="A108" s="474">
        <f t="shared" ca="1" si="9"/>
        <v>46248</v>
      </c>
      <c r="B108" s="443">
        <f ca="1">SUMIFS('LC-Final List'!$W:$W,'LC-Final List'!$AE:$AE,"Unpaid",'LC-Final List'!$Y:$Y,'DAILY UPDATE SHEET'!$A108,'LC-Final List'!$E:$E,'DAILY UPDATE SHEET'!B$36,'LC-Final List'!$F:$F,"10%")</f>
        <v>0</v>
      </c>
      <c r="C108" s="443">
        <f ca="1">SUMIFS(SBLC!$X:$X,SBLC!$T:$T,"Unpaid",SBLC!$R:$R,'DAILY UPDATE SHEET'!$A108,SBLC!$B:$B,$B$36,SBLC!$H:$H,"10%")</f>
        <v>0</v>
      </c>
      <c r="D108" s="443">
        <f ca="1">SUMIFS('LC-Final List'!$W:$W,'LC-Final List'!$AE:$AE,"Unpaid",'LC-Final List'!$Y:$Y,'DAILY UPDATE SHEET'!$A108,'LC-Final List'!$E:$E,'DAILY UPDATE SHEET'!D$36,'LC-Final List'!$F:$F,"10%")</f>
        <v>22579200</v>
      </c>
      <c r="E108" s="443">
        <f ca="1">SUMIFS(SBLC!$X:$X,SBLC!$T:$T,"Unpaid",SBLC!$R:$R,'DAILY UPDATE SHEET'!$A108,SBLC!$B:$B,$D$36,SBLC!$H:$H,"10%")</f>
        <v>0</v>
      </c>
      <c r="F108" s="443">
        <f ca="1">SUMIFS('LC-Final List'!$W:$W,'LC-Final List'!$AE:$AE,"Unpaid",'LC-Final List'!$Y:$Y,'DAILY UPDATE SHEET'!$A108,'LC-Final List'!$E:$E,'DAILY UPDATE SHEET'!F$36,'LC-Final List'!$F:$F,"10%")</f>
        <v>0</v>
      </c>
      <c r="G108" s="443">
        <f ca="1">SUMIFS(SBLC!$X:$X,SBLC!$T:$T,"Unpaid",SBLC!$R:$R,'DAILY UPDATE SHEET'!$A108,SBLC!$B:$B,$F$36,SBLC!$H:$H,"10%")</f>
        <v>0</v>
      </c>
      <c r="H108" s="443">
        <f t="shared" ca="1" si="10"/>
        <v>22579200</v>
      </c>
    </row>
    <row r="109" spans="1:8" hidden="1" x14ac:dyDescent="0.25">
      <c r="A109" s="83">
        <f t="shared" ca="1" si="9"/>
        <v>46249</v>
      </c>
      <c r="B109" s="220">
        <f ca="1">SUMIFS('LC-Final List'!$W:$W,'LC-Final List'!$AE:$AE,"Unpaid",'LC-Final List'!$Y:$Y,'DAILY UPDATE SHEET'!$A109,'LC-Final List'!$E:$E,'DAILY UPDATE SHEET'!B$36,'LC-Final List'!$F:$F,"10%")</f>
        <v>0</v>
      </c>
      <c r="C109" s="220">
        <f ca="1">SUMIFS(SBLC!$X:$X,SBLC!$T:$T,"Unpaid",SBLC!$R:$R,'DAILY UPDATE SHEET'!$A109,SBLC!$B:$B,$B$36,SBLC!$H:$H,"10%")</f>
        <v>0</v>
      </c>
      <c r="D109" s="220">
        <f ca="1">SUMIFS('LC-Final List'!$W:$W,'LC-Final List'!$AE:$AE,"Unpaid",'LC-Final List'!$Y:$Y,'DAILY UPDATE SHEET'!$A109,'LC-Final List'!$E:$E,'DAILY UPDATE SHEET'!D$36,'LC-Final List'!$F:$F,"10%")</f>
        <v>0</v>
      </c>
      <c r="E109" s="220">
        <f ca="1">SUMIFS(SBLC!$X:$X,SBLC!$T:$T,"Unpaid",SBLC!$R:$R,'DAILY UPDATE SHEET'!$A109,SBLC!$B:$B,$D$36,SBLC!$H:$H,"10%")</f>
        <v>0</v>
      </c>
      <c r="F109" s="220">
        <f ca="1">SUMIFS('LC-Final List'!$W:$W,'LC-Final List'!$AE:$AE,"Unpaid",'LC-Final List'!$Y:$Y,'DAILY UPDATE SHEET'!$A109,'LC-Final List'!$E:$E,'DAILY UPDATE SHEET'!F$36,'LC-Final List'!$F:$F,"10%")</f>
        <v>0</v>
      </c>
      <c r="G109" s="220">
        <f ca="1">SUMIFS(SBLC!$X:$X,SBLC!$T:$T,"Unpaid",SBLC!$R:$R,'DAILY UPDATE SHEET'!$A109,SBLC!$B:$B,$F$36,SBLC!$H:$H,"10%")</f>
        <v>0</v>
      </c>
      <c r="H109" s="220">
        <f t="shared" ca="1" si="10"/>
        <v>0</v>
      </c>
    </row>
    <row r="110" spans="1:8" hidden="1" x14ac:dyDescent="0.25">
      <c r="A110" s="83">
        <f t="shared" ca="1" si="9"/>
        <v>46250</v>
      </c>
      <c r="B110" s="220">
        <f ca="1">SUMIFS('LC-Final List'!$W:$W,'LC-Final List'!$AE:$AE,"Unpaid",'LC-Final List'!$Y:$Y,'DAILY UPDATE SHEET'!$A110,'LC-Final List'!$E:$E,'DAILY UPDATE SHEET'!B$36,'LC-Final List'!$F:$F,"10%")</f>
        <v>0</v>
      </c>
      <c r="C110" s="220">
        <f ca="1">SUMIFS(SBLC!$X:$X,SBLC!$T:$T,"Unpaid",SBLC!$R:$R,'DAILY UPDATE SHEET'!$A110,SBLC!$B:$B,$B$36,SBLC!$H:$H,"10%")</f>
        <v>0</v>
      </c>
      <c r="D110" s="220">
        <f ca="1">SUMIFS('LC-Final List'!$W:$W,'LC-Final List'!$AE:$AE,"Unpaid",'LC-Final List'!$Y:$Y,'DAILY UPDATE SHEET'!$A110,'LC-Final List'!$E:$E,'DAILY UPDATE SHEET'!D$36,'LC-Final List'!$F:$F,"10%")</f>
        <v>0</v>
      </c>
      <c r="E110" s="220">
        <f ca="1">SUMIFS(SBLC!$X:$X,SBLC!$T:$T,"Unpaid",SBLC!$R:$R,'DAILY UPDATE SHEET'!$A110,SBLC!$B:$B,$D$36,SBLC!$H:$H,"10%")</f>
        <v>0</v>
      </c>
      <c r="F110" s="220">
        <f ca="1">SUMIFS('LC-Final List'!$W:$W,'LC-Final List'!$AE:$AE,"Unpaid",'LC-Final List'!$Y:$Y,'DAILY UPDATE SHEET'!$A110,'LC-Final List'!$E:$E,'DAILY UPDATE SHEET'!F$36,'LC-Final List'!$F:$F,"10%")</f>
        <v>0</v>
      </c>
      <c r="G110" s="220">
        <f ca="1">SUMIFS(SBLC!$X:$X,SBLC!$T:$T,"Unpaid",SBLC!$R:$R,'DAILY UPDATE SHEET'!$A110,SBLC!$B:$B,$F$36,SBLC!$H:$H,"10%")</f>
        <v>0</v>
      </c>
      <c r="H110" s="220">
        <f t="shared" ca="1" si="10"/>
        <v>0</v>
      </c>
    </row>
    <row r="111" spans="1:8" hidden="1" x14ac:dyDescent="0.25">
      <c r="A111" s="83">
        <f t="shared" ca="1" si="9"/>
        <v>46251</v>
      </c>
      <c r="B111" s="220">
        <f ca="1">SUMIFS('LC-Final List'!$W:$W,'LC-Final List'!$AE:$AE,"Unpaid",'LC-Final List'!$Y:$Y,'DAILY UPDATE SHEET'!$A111,'LC-Final List'!$E:$E,'DAILY UPDATE SHEET'!B$36,'LC-Final List'!$F:$F,"10%")</f>
        <v>0</v>
      </c>
      <c r="C111" s="220">
        <f ca="1">SUMIFS(SBLC!$X:$X,SBLC!$T:$T,"Unpaid",SBLC!$R:$R,'DAILY UPDATE SHEET'!$A111,SBLC!$B:$B,$B$36,SBLC!$H:$H,"10%")</f>
        <v>0</v>
      </c>
      <c r="D111" s="220">
        <f ca="1">SUMIFS('LC-Final List'!$W:$W,'LC-Final List'!$AE:$AE,"Unpaid",'LC-Final List'!$Y:$Y,'DAILY UPDATE SHEET'!$A111,'LC-Final List'!$E:$E,'DAILY UPDATE SHEET'!D$36,'LC-Final List'!$F:$F,"10%")</f>
        <v>0</v>
      </c>
      <c r="E111" s="220">
        <f ca="1">SUMIFS(SBLC!$X:$X,SBLC!$T:$T,"Unpaid",SBLC!$R:$R,'DAILY UPDATE SHEET'!$A111,SBLC!$B:$B,$D$36,SBLC!$H:$H,"10%")</f>
        <v>0</v>
      </c>
      <c r="F111" s="220">
        <f ca="1">SUMIFS('LC-Final List'!$W:$W,'LC-Final List'!$AE:$AE,"Unpaid",'LC-Final List'!$Y:$Y,'DAILY UPDATE SHEET'!$A111,'LC-Final List'!$E:$E,'DAILY UPDATE SHEET'!F$36,'LC-Final List'!$F:$F,"10%")</f>
        <v>0</v>
      </c>
      <c r="G111" s="220">
        <f ca="1">SUMIFS(SBLC!$X:$X,SBLC!$T:$T,"Unpaid",SBLC!$R:$R,'DAILY UPDATE SHEET'!$A111,SBLC!$B:$B,$F$36,SBLC!$H:$H,"10%")</f>
        <v>0</v>
      </c>
      <c r="H111" s="220">
        <f t="shared" ca="1" si="10"/>
        <v>0</v>
      </c>
    </row>
    <row r="112" spans="1:8" hidden="1" x14ac:dyDescent="0.25">
      <c r="A112" s="83">
        <f t="shared" ca="1" si="9"/>
        <v>46252</v>
      </c>
      <c r="B112" s="220">
        <f ca="1">SUMIFS('LC-Final List'!$W:$W,'LC-Final List'!$AE:$AE,"Unpaid",'LC-Final List'!$Y:$Y,'DAILY UPDATE SHEET'!$A112,'LC-Final List'!$E:$E,'DAILY UPDATE SHEET'!B$36,'LC-Final List'!$F:$F,"10%")</f>
        <v>0</v>
      </c>
      <c r="C112" s="220">
        <f ca="1">SUMIFS(SBLC!$X:$X,SBLC!$T:$T,"Unpaid",SBLC!$R:$R,'DAILY UPDATE SHEET'!$A112,SBLC!$B:$B,$B$36,SBLC!$H:$H,"10%")</f>
        <v>0</v>
      </c>
      <c r="D112" s="220">
        <f ca="1">SUMIFS('LC-Final List'!$W:$W,'LC-Final List'!$AE:$AE,"Unpaid",'LC-Final List'!$Y:$Y,'DAILY UPDATE SHEET'!$A112,'LC-Final List'!$E:$E,'DAILY UPDATE SHEET'!D$36,'LC-Final List'!$F:$F,"10%")</f>
        <v>0</v>
      </c>
      <c r="E112" s="220">
        <f ca="1">SUMIFS(SBLC!$X:$X,SBLC!$T:$T,"Unpaid",SBLC!$R:$R,'DAILY UPDATE SHEET'!$A112,SBLC!$B:$B,$D$36,SBLC!$H:$H,"10%")</f>
        <v>0</v>
      </c>
      <c r="F112" s="220">
        <f ca="1">SUMIFS('LC-Final List'!$W:$W,'LC-Final List'!$AE:$AE,"Unpaid",'LC-Final List'!$Y:$Y,'DAILY UPDATE SHEET'!$A112,'LC-Final List'!$E:$E,'DAILY UPDATE SHEET'!F$36,'LC-Final List'!$F:$F,"10%")</f>
        <v>0</v>
      </c>
      <c r="G112" s="220">
        <f ca="1">SUMIFS(SBLC!$X:$X,SBLC!$T:$T,"Unpaid",SBLC!$R:$R,'DAILY UPDATE SHEET'!$A112,SBLC!$B:$B,$F$36,SBLC!$H:$H,"10%")</f>
        <v>0</v>
      </c>
      <c r="H112" s="220">
        <f t="shared" ca="1" si="10"/>
        <v>0</v>
      </c>
    </row>
    <row r="113" spans="1:8" x14ac:dyDescent="0.25">
      <c r="A113" s="474">
        <f t="shared" ca="1" si="9"/>
        <v>46253</v>
      </c>
      <c r="B113" s="443">
        <f ca="1">SUMIFS('LC-Final List'!$W:$W,'LC-Final List'!$AE:$AE,"Unpaid",'LC-Final List'!$Y:$Y,'DAILY UPDATE SHEET'!$A113,'LC-Final List'!$E:$E,'DAILY UPDATE SHEET'!B$36,'LC-Final List'!$F:$F,"10%")</f>
        <v>0</v>
      </c>
      <c r="C113" s="443">
        <f ca="1">SUMIFS(SBLC!$X:$X,SBLC!$T:$T,"Unpaid",SBLC!$R:$R,'DAILY UPDATE SHEET'!$A113,SBLC!$B:$B,$B$36,SBLC!$H:$H,"10%")</f>
        <v>0</v>
      </c>
      <c r="D113" s="443">
        <f ca="1">SUMIFS('LC-Final List'!$W:$W,'LC-Final List'!$AE:$AE,"Unpaid",'LC-Final List'!$Y:$Y,'DAILY UPDATE SHEET'!$A113,'LC-Final List'!$E:$E,'DAILY UPDATE SHEET'!D$36,'LC-Final List'!$F:$F,"10%")</f>
        <v>6420480</v>
      </c>
      <c r="E113" s="443">
        <f ca="1">SUMIFS(SBLC!$X:$X,SBLC!$T:$T,"Unpaid",SBLC!$R:$R,'DAILY UPDATE SHEET'!$A113,SBLC!$B:$B,$D$36,SBLC!$H:$H,"10%")</f>
        <v>0</v>
      </c>
      <c r="F113" s="443">
        <f ca="1">SUMIFS('LC-Final List'!$W:$W,'LC-Final List'!$AE:$AE,"Unpaid",'LC-Final List'!$Y:$Y,'DAILY UPDATE SHEET'!$A113,'LC-Final List'!$E:$E,'DAILY UPDATE SHEET'!F$36,'LC-Final List'!$F:$F,"10%")</f>
        <v>0</v>
      </c>
      <c r="G113" s="443">
        <f ca="1">SUMIFS(SBLC!$X:$X,SBLC!$T:$T,"Unpaid",SBLC!$R:$R,'DAILY UPDATE SHEET'!$A113,SBLC!$B:$B,$F$36,SBLC!$H:$H,"10%")</f>
        <v>0</v>
      </c>
      <c r="H113" s="443">
        <f t="shared" ca="1" si="10"/>
        <v>6420480</v>
      </c>
    </row>
    <row r="114" spans="1:8" hidden="1" x14ac:dyDescent="0.25">
      <c r="A114" s="83">
        <f t="shared" ca="1" si="9"/>
        <v>46254</v>
      </c>
      <c r="B114" s="220">
        <f ca="1">SUMIFS('LC-Final List'!$W:$W,'LC-Final List'!$AE:$AE,"Unpaid",'LC-Final List'!$Y:$Y,'DAILY UPDATE SHEET'!$A114,'LC-Final List'!$E:$E,'DAILY UPDATE SHEET'!B$36,'LC-Final List'!$F:$F,"10%")</f>
        <v>0</v>
      </c>
      <c r="C114" s="220">
        <f ca="1">SUMIFS(SBLC!$X:$X,SBLC!$T:$T,"Unpaid",SBLC!$R:$R,'DAILY UPDATE SHEET'!$A114,SBLC!$B:$B,$B$36,SBLC!$H:$H,"10%")</f>
        <v>0</v>
      </c>
      <c r="D114" s="220">
        <f ca="1">SUMIFS('LC-Final List'!$W:$W,'LC-Final List'!$AE:$AE,"Unpaid",'LC-Final List'!$Y:$Y,'DAILY UPDATE SHEET'!$A114,'LC-Final List'!$E:$E,'DAILY UPDATE SHEET'!D$36,'LC-Final List'!$F:$F,"10%")</f>
        <v>0</v>
      </c>
      <c r="E114" s="220">
        <f ca="1">SUMIFS(SBLC!$X:$X,SBLC!$T:$T,"Unpaid",SBLC!$R:$R,'DAILY UPDATE SHEET'!$A114,SBLC!$B:$B,$D$36,SBLC!$H:$H,"10%")</f>
        <v>0</v>
      </c>
      <c r="F114" s="220">
        <f ca="1">SUMIFS('LC-Final List'!$W:$W,'LC-Final List'!$AE:$AE,"Unpaid",'LC-Final List'!$Y:$Y,'DAILY UPDATE SHEET'!$A114,'LC-Final List'!$E:$E,'DAILY UPDATE SHEET'!F$36,'LC-Final List'!$F:$F,"10%")</f>
        <v>0</v>
      </c>
      <c r="G114" s="220">
        <f ca="1">SUMIFS(SBLC!$X:$X,SBLC!$T:$T,"Unpaid",SBLC!$R:$R,'DAILY UPDATE SHEET'!$A114,SBLC!$B:$B,$F$36,SBLC!$H:$H,"10%")</f>
        <v>0</v>
      </c>
      <c r="H114" s="220">
        <f t="shared" ca="1" si="10"/>
        <v>0</v>
      </c>
    </row>
    <row r="115" spans="1:8" hidden="1" x14ac:dyDescent="0.25">
      <c r="A115" s="83">
        <f t="shared" ca="1" si="9"/>
        <v>46255</v>
      </c>
      <c r="B115" s="220">
        <f ca="1">SUMIFS('LC-Final List'!$W:$W,'LC-Final List'!$AE:$AE,"Unpaid",'LC-Final List'!$Y:$Y,'DAILY UPDATE SHEET'!$A115,'LC-Final List'!$E:$E,'DAILY UPDATE SHEET'!B$36,'LC-Final List'!$F:$F,"10%")</f>
        <v>0</v>
      </c>
      <c r="C115" s="220">
        <f ca="1">SUMIFS(SBLC!$X:$X,SBLC!$T:$T,"Unpaid",SBLC!$R:$R,'DAILY UPDATE SHEET'!$A115,SBLC!$B:$B,$B$36,SBLC!$H:$H,"10%")</f>
        <v>0</v>
      </c>
      <c r="D115" s="220">
        <f ca="1">SUMIFS('LC-Final List'!$W:$W,'LC-Final List'!$AE:$AE,"Unpaid",'LC-Final List'!$Y:$Y,'DAILY UPDATE SHEET'!$A115,'LC-Final List'!$E:$E,'DAILY UPDATE SHEET'!D$36,'LC-Final List'!$F:$F,"10%")</f>
        <v>0</v>
      </c>
      <c r="E115" s="220">
        <f ca="1">SUMIFS(SBLC!$X:$X,SBLC!$T:$T,"Unpaid",SBLC!$R:$R,'DAILY UPDATE SHEET'!$A115,SBLC!$B:$B,$D$36,SBLC!$H:$H,"10%")</f>
        <v>0</v>
      </c>
      <c r="F115" s="220">
        <f ca="1">SUMIFS('LC-Final List'!$W:$W,'LC-Final List'!$AE:$AE,"Unpaid",'LC-Final List'!$Y:$Y,'DAILY UPDATE SHEET'!$A115,'LC-Final List'!$E:$E,'DAILY UPDATE SHEET'!F$36,'LC-Final List'!$F:$F,"10%")</f>
        <v>0</v>
      </c>
      <c r="G115" s="220">
        <f ca="1">SUMIFS(SBLC!$X:$X,SBLC!$T:$T,"Unpaid",SBLC!$R:$R,'DAILY UPDATE SHEET'!$A115,SBLC!$B:$B,$F$36,SBLC!$H:$H,"10%")</f>
        <v>0</v>
      </c>
      <c r="H115" s="220">
        <f t="shared" ca="1" si="10"/>
        <v>0</v>
      </c>
    </row>
    <row r="116" spans="1:8" hidden="1" x14ac:dyDescent="0.25">
      <c r="A116" s="83">
        <f t="shared" ca="1" si="9"/>
        <v>46256</v>
      </c>
      <c r="B116" s="220">
        <f ca="1">SUMIFS('LC-Final List'!$W:$W,'LC-Final List'!$AE:$AE,"Unpaid",'LC-Final List'!$Y:$Y,'DAILY UPDATE SHEET'!$A116,'LC-Final List'!$E:$E,'DAILY UPDATE SHEET'!B$36,'LC-Final List'!$F:$F,"10%")</f>
        <v>0</v>
      </c>
      <c r="C116" s="220">
        <f ca="1">SUMIFS(SBLC!$X:$X,SBLC!$T:$T,"Unpaid",SBLC!$R:$R,'DAILY UPDATE SHEET'!$A116,SBLC!$B:$B,$B$36,SBLC!$H:$H,"10%")</f>
        <v>0</v>
      </c>
      <c r="D116" s="220">
        <f ca="1">SUMIFS('LC-Final List'!$W:$W,'LC-Final List'!$AE:$AE,"Unpaid",'LC-Final List'!$Y:$Y,'DAILY UPDATE SHEET'!$A116,'LC-Final List'!$E:$E,'DAILY UPDATE SHEET'!D$36,'LC-Final List'!$F:$F,"10%")</f>
        <v>0</v>
      </c>
      <c r="E116" s="220">
        <f ca="1">SUMIFS(SBLC!$X:$X,SBLC!$T:$T,"Unpaid",SBLC!$R:$R,'DAILY UPDATE SHEET'!$A116,SBLC!$B:$B,$D$36,SBLC!$H:$H,"10%")</f>
        <v>0</v>
      </c>
      <c r="F116" s="220">
        <f ca="1">SUMIFS('LC-Final List'!$W:$W,'LC-Final List'!$AE:$AE,"Unpaid",'LC-Final List'!$Y:$Y,'DAILY UPDATE SHEET'!$A116,'LC-Final List'!$E:$E,'DAILY UPDATE SHEET'!F$36,'LC-Final List'!$F:$F,"10%")</f>
        <v>0</v>
      </c>
      <c r="G116" s="220">
        <f ca="1">SUMIFS(SBLC!$X:$X,SBLC!$T:$T,"Unpaid",SBLC!$R:$R,'DAILY UPDATE SHEET'!$A116,SBLC!$B:$B,$F$36,SBLC!$H:$H,"10%")</f>
        <v>0</v>
      </c>
      <c r="H116" s="220">
        <f t="shared" ca="1" si="10"/>
        <v>0</v>
      </c>
    </row>
    <row r="117" spans="1:8" hidden="1" x14ac:dyDescent="0.25">
      <c r="A117" s="83">
        <f t="shared" ref="A117:A152" ca="1" si="11">A116+1</f>
        <v>46257</v>
      </c>
      <c r="B117" s="220">
        <f ca="1">SUMIFS('LC-Final List'!$W:$W,'LC-Final List'!$AE:$AE,"Unpaid",'LC-Final List'!$Y:$Y,'DAILY UPDATE SHEET'!$A117,'LC-Final List'!$E:$E,'DAILY UPDATE SHEET'!B$36,'LC-Final List'!$F:$F,"10%")</f>
        <v>0</v>
      </c>
      <c r="C117" s="220">
        <f ca="1">SUMIFS(SBLC!$X:$X,SBLC!$T:$T,"Unpaid",SBLC!$R:$R,'DAILY UPDATE SHEET'!$A117,SBLC!$B:$B,$B$36,SBLC!$H:$H,"10%")</f>
        <v>0</v>
      </c>
      <c r="D117" s="220">
        <f ca="1">SUMIFS('LC-Final List'!$W:$W,'LC-Final List'!$AE:$AE,"Unpaid",'LC-Final List'!$Y:$Y,'DAILY UPDATE SHEET'!$A117,'LC-Final List'!$E:$E,'DAILY UPDATE SHEET'!D$36,'LC-Final List'!$F:$F,"10%")</f>
        <v>0</v>
      </c>
      <c r="E117" s="220">
        <f ca="1">SUMIFS(SBLC!$X:$X,SBLC!$T:$T,"Unpaid",SBLC!$R:$R,'DAILY UPDATE SHEET'!$A117,SBLC!$B:$B,$D$36,SBLC!$H:$H,"10%")</f>
        <v>0</v>
      </c>
      <c r="F117" s="220">
        <f ca="1">SUMIFS('LC-Final List'!$W:$W,'LC-Final List'!$AE:$AE,"Unpaid",'LC-Final List'!$Y:$Y,'DAILY UPDATE SHEET'!$A117,'LC-Final List'!$E:$E,'DAILY UPDATE SHEET'!F$36,'LC-Final List'!$F:$F,"10%")</f>
        <v>0</v>
      </c>
      <c r="G117" s="220">
        <f ca="1">SUMIFS(SBLC!$X:$X,SBLC!$T:$T,"Unpaid",SBLC!$R:$R,'DAILY UPDATE SHEET'!$A117,SBLC!$B:$B,$F$36,SBLC!$H:$H,"10%")</f>
        <v>0</v>
      </c>
      <c r="H117" s="220">
        <f t="shared" ca="1" si="10"/>
        <v>0</v>
      </c>
    </row>
    <row r="118" spans="1:8" hidden="1" x14ac:dyDescent="0.25">
      <c r="A118" s="83">
        <f t="shared" ca="1" si="11"/>
        <v>46258</v>
      </c>
      <c r="B118" s="220">
        <f ca="1">SUMIFS('LC-Final List'!$W:$W,'LC-Final List'!$AE:$AE,"Unpaid",'LC-Final List'!$Y:$Y,'DAILY UPDATE SHEET'!$A118,'LC-Final List'!$E:$E,'DAILY UPDATE SHEET'!B$36,'LC-Final List'!$F:$F,"10%")</f>
        <v>0</v>
      </c>
      <c r="C118" s="220">
        <f ca="1">SUMIFS(SBLC!$X:$X,SBLC!$T:$T,"Unpaid",SBLC!$R:$R,'DAILY UPDATE SHEET'!$A118,SBLC!$B:$B,$B$36,SBLC!$H:$H,"10%")</f>
        <v>0</v>
      </c>
      <c r="D118" s="220">
        <f ca="1">SUMIFS('LC-Final List'!$W:$W,'LC-Final List'!$AE:$AE,"Unpaid",'LC-Final List'!$Y:$Y,'DAILY UPDATE SHEET'!$A118,'LC-Final List'!$E:$E,'DAILY UPDATE SHEET'!D$36,'LC-Final List'!$F:$F,"10%")</f>
        <v>0</v>
      </c>
      <c r="E118" s="220">
        <f ca="1">SUMIFS(SBLC!$X:$X,SBLC!$T:$T,"Unpaid",SBLC!$R:$R,'DAILY UPDATE SHEET'!$A118,SBLC!$B:$B,$D$36,SBLC!$H:$H,"10%")</f>
        <v>0</v>
      </c>
      <c r="F118" s="220">
        <f ca="1">SUMIFS('LC-Final List'!$W:$W,'LC-Final List'!$AE:$AE,"Unpaid",'LC-Final List'!$Y:$Y,'DAILY UPDATE SHEET'!$A118,'LC-Final List'!$E:$E,'DAILY UPDATE SHEET'!F$36,'LC-Final List'!$F:$F,"10%")</f>
        <v>0</v>
      </c>
      <c r="G118" s="220">
        <f ca="1">SUMIFS(SBLC!$X:$X,SBLC!$T:$T,"Unpaid",SBLC!$R:$R,'DAILY UPDATE SHEET'!$A118,SBLC!$B:$B,$F$36,SBLC!$H:$H,"10%")</f>
        <v>0</v>
      </c>
      <c r="H118" s="220">
        <f t="shared" ca="1" si="10"/>
        <v>0</v>
      </c>
    </row>
    <row r="119" spans="1:8" hidden="1" x14ac:dyDescent="0.25">
      <c r="A119" s="83">
        <f t="shared" ca="1" si="11"/>
        <v>46259</v>
      </c>
      <c r="B119" s="220">
        <f ca="1">SUMIFS('LC-Final List'!$W:$W,'LC-Final List'!$AE:$AE,"Unpaid",'LC-Final List'!$Y:$Y,'DAILY UPDATE SHEET'!$A119,'LC-Final List'!$E:$E,'DAILY UPDATE SHEET'!B$36,'LC-Final List'!$F:$F,"10%")</f>
        <v>0</v>
      </c>
      <c r="C119" s="220">
        <f ca="1">SUMIFS(SBLC!$X:$X,SBLC!$T:$T,"Unpaid",SBLC!$R:$R,'DAILY UPDATE SHEET'!$A119,SBLC!$B:$B,$B$36,SBLC!$H:$H,"10%")</f>
        <v>0</v>
      </c>
      <c r="D119" s="220">
        <f ca="1">SUMIFS('LC-Final List'!$W:$W,'LC-Final List'!$AE:$AE,"Unpaid",'LC-Final List'!$Y:$Y,'DAILY UPDATE SHEET'!$A119,'LC-Final List'!$E:$E,'DAILY UPDATE SHEET'!D$36,'LC-Final List'!$F:$F,"10%")</f>
        <v>0</v>
      </c>
      <c r="E119" s="220">
        <f ca="1">SUMIFS(SBLC!$X:$X,SBLC!$T:$T,"Unpaid",SBLC!$R:$R,'DAILY UPDATE SHEET'!$A119,SBLC!$B:$B,$D$36,SBLC!$H:$H,"10%")</f>
        <v>0</v>
      </c>
      <c r="F119" s="220">
        <f ca="1">SUMIFS('LC-Final List'!$W:$W,'LC-Final List'!$AE:$AE,"Unpaid",'LC-Final List'!$Y:$Y,'DAILY UPDATE SHEET'!$A119,'LC-Final List'!$E:$E,'DAILY UPDATE SHEET'!F$36,'LC-Final List'!$F:$F,"10%")</f>
        <v>0</v>
      </c>
      <c r="G119" s="220">
        <f ca="1">SUMIFS(SBLC!$X:$X,SBLC!$T:$T,"Unpaid",SBLC!$R:$R,'DAILY UPDATE SHEET'!$A119,SBLC!$B:$B,$F$36,SBLC!$H:$H,"10%")</f>
        <v>0</v>
      </c>
      <c r="H119" s="220">
        <f t="shared" ca="1" si="10"/>
        <v>0</v>
      </c>
    </row>
    <row r="120" spans="1:8" hidden="1" x14ac:dyDescent="0.25">
      <c r="A120" s="83">
        <f t="shared" ca="1" si="11"/>
        <v>46260</v>
      </c>
      <c r="B120" s="220">
        <f ca="1">SUMIFS('LC-Final List'!$W:$W,'LC-Final List'!$AE:$AE,"Unpaid",'LC-Final List'!$Y:$Y,'DAILY UPDATE SHEET'!$A120,'LC-Final List'!$E:$E,'DAILY UPDATE SHEET'!B$36,'LC-Final List'!$F:$F,"10%")</f>
        <v>0</v>
      </c>
      <c r="C120" s="220">
        <f ca="1">SUMIFS(SBLC!$X:$X,SBLC!$T:$T,"Unpaid",SBLC!$R:$R,'DAILY UPDATE SHEET'!$A120,SBLC!$B:$B,$B$36,SBLC!$H:$H,"10%")</f>
        <v>0</v>
      </c>
      <c r="D120" s="220">
        <f ca="1">SUMIFS('LC-Final List'!$W:$W,'LC-Final List'!$AE:$AE,"Unpaid",'LC-Final List'!$Y:$Y,'DAILY UPDATE SHEET'!$A120,'LC-Final List'!$E:$E,'DAILY UPDATE SHEET'!D$36,'LC-Final List'!$F:$F,"10%")</f>
        <v>0</v>
      </c>
      <c r="E120" s="220">
        <f ca="1">SUMIFS(SBLC!$X:$X,SBLC!$T:$T,"Unpaid",SBLC!$R:$R,'DAILY UPDATE SHEET'!$A120,SBLC!$B:$B,$D$36,SBLC!$H:$H,"10%")</f>
        <v>0</v>
      </c>
      <c r="F120" s="220">
        <f ca="1">SUMIFS('LC-Final List'!$W:$W,'LC-Final List'!$AE:$AE,"Unpaid",'LC-Final List'!$Y:$Y,'DAILY UPDATE SHEET'!$A120,'LC-Final List'!$E:$E,'DAILY UPDATE SHEET'!F$36,'LC-Final List'!$F:$F,"10%")</f>
        <v>0</v>
      </c>
      <c r="G120" s="220">
        <f ca="1">SUMIFS(SBLC!$X:$X,SBLC!$T:$T,"Unpaid",SBLC!$R:$R,'DAILY UPDATE SHEET'!$A120,SBLC!$B:$B,$F$36,SBLC!$H:$H,"10%")</f>
        <v>0</v>
      </c>
      <c r="H120" s="220">
        <f t="shared" ca="1" si="10"/>
        <v>0</v>
      </c>
    </row>
    <row r="121" spans="1:8" hidden="1" x14ac:dyDescent="0.25">
      <c r="A121" s="83">
        <f t="shared" ca="1" si="11"/>
        <v>46261</v>
      </c>
      <c r="B121" s="220">
        <f ca="1">SUMIFS('LC-Final List'!$W:$W,'LC-Final List'!$AE:$AE,"Unpaid",'LC-Final List'!$Y:$Y,'DAILY UPDATE SHEET'!$A121,'LC-Final List'!$E:$E,'DAILY UPDATE SHEET'!B$36,'LC-Final List'!$F:$F,"10%")</f>
        <v>0</v>
      </c>
      <c r="C121" s="220">
        <f ca="1">SUMIFS(SBLC!$X:$X,SBLC!$T:$T,"Unpaid",SBLC!$R:$R,'DAILY UPDATE SHEET'!$A121,SBLC!$B:$B,$B$36,SBLC!$H:$H,"10%")</f>
        <v>0</v>
      </c>
      <c r="D121" s="220">
        <f ca="1">SUMIFS('LC-Final List'!$W:$W,'LC-Final List'!$AE:$AE,"Unpaid",'LC-Final List'!$Y:$Y,'DAILY UPDATE SHEET'!$A121,'LC-Final List'!$E:$E,'DAILY UPDATE SHEET'!D$36,'LC-Final List'!$F:$F,"10%")</f>
        <v>0</v>
      </c>
      <c r="E121" s="220">
        <f ca="1">SUMIFS(SBLC!$X:$X,SBLC!$T:$T,"Unpaid",SBLC!$R:$R,'DAILY UPDATE SHEET'!$A121,SBLC!$B:$B,$D$36,SBLC!$H:$H,"10%")</f>
        <v>0</v>
      </c>
      <c r="F121" s="220">
        <f ca="1">SUMIFS('LC-Final List'!$W:$W,'LC-Final List'!$AE:$AE,"Unpaid",'LC-Final List'!$Y:$Y,'DAILY UPDATE SHEET'!$A121,'LC-Final List'!$E:$E,'DAILY UPDATE SHEET'!F$36,'LC-Final List'!$F:$F,"10%")</f>
        <v>0</v>
      </c>
      <c r="G121" s="220">
        <f ca="1">SUMIFS(SBLC!$X:$X,SBLC!$T:$T,"Unpaid",SBLC!$R:$R,'DAILY UPDATE SHEET'!$A121,SBLC!$B:$B,$F$36,SBLC!$H:$H,"10%")</f>
        <v>0</v>
      </c>
      <c r="H121" s="220">
        <f t="shared" ca="1" si="10"/>
        <v>0</v>
      </c>
    </row>
    <row r="122" spans="1:8" hidden="1" x14ac:dyDescent="0.25">
      <c r="A122" s="83">
        <f t="shared" ca="1" si="11"/>
        <v>46262</v>
      </c>
      <c r="B122" s="220">
        <f ca="1">SUMIFS('LC-Final List'!$W:$W,'LC-Final List'!$AE:$AE,"Unpaid",'LC-Final List'!$Y:$Y,'DAILY UPDATE SHEET'!$A122,'LC-Final List'!$E:$E,'DAILY UPDATE SHEET'!B$36,'LC-Final List'!$F:$F,"10%")</f>
        <v>0</v>
      </c>
      <c r="C122" s="220">
        <f ca="1">SUMIFS(SBLC!$X:$X,SBLC!$T:$T,"Unpaid",SBLC!$R:$R,'DAILY UPDATE SHEET'!$A122,SBLC!$B:$B,$B$36,SBLC!$H:$H,"10%")</f>
        <v>0</v>
      </c>
      <c r="D122" s="220">
        <f ca="1">SUMIFS('LC-Final List'!$W:$W,'LC-Final List'!$AE:$AE,"Unpaid",'LC-Final List'!$Y:$Y,'DAILY UPDATE SHEET'!$A122,'LC-Final List'!$E:$E,'DAILY UPDATE SHEET'!D$36,'LC-Final List'!$F:$F,"10%")</f>
        <v>0</v>
      </c>
      <c r="E122" s="220">
        <f ca="1">SUMIFS(SBLC!$X:$X,SBLC!$T:$T,"Unpaid",SBLC!$R:$R,'DAILY UPDATE SHEET'!$A122,SBLC!$B:$B,$D$36,SBLC!$H:$H,"10%")</f>
        <v>0</v>
      </c>
      <c r="F122" s="220">
        <f ca="1">SUMIFS('LC-Final List'!$W:$W,'LC-Final List'!$AE:$AE,"Unpaid",'LC-Final List'!$Y:$Y,'DAILY UPDATE SHEET'!$A122,'LC-Final List'!$E:$E,'DAILY UPDATE SHEET'!F$36,'LC-Final List'!$F:$F,"10%")</f>
        <v>0</v>
      </c>
      <c r="G122" s="220">
        <f ca="1">SUMIFS(SBLC!$X:$X,SBLC!$T:$T,"Unpaid",SBLC!$R:$R,'DAILY UPDATE SHEET'!$A122,SBLC!$B:$B,$F$36,SBLC!$H:$H,"10%")</f>
        <v>0</v>
      </c>
      <c r="H122" s="220">
        <f t="shared" ca="1" si="10"/>
        <v>0</v>
      </c>
    </row>
    <row r="123" spans="1:8" hidden="1" x14ac:dyDescent="0.25">
      <c r="A123" s="83">
        <f t="shared" ca="1" si="11"/>
        <v>46263</v>
      </c>
      <c r="B123" s="220">
        <f ca="1">SUMIFS('LC-Final List'!$W:$W,'LC-Final List'!$AE:$AE,"Unpaid",'LC-Final List'!$Y:$Y,'DAILY UPDATE SHEET'!$A123,'LC-Final List'!$E:$E,'DAILY UPDATE SHEET'!B$36,'LC-Final List'!$F:$F,"10%")</f>
        <v>0</v>
      </c>
      <c r="C123" s="220">
        <f ca="1">SUMIFS(SBLC!$X:$X,SBLC!$T:$T,"Unpaid",SBLC!$R:$R,'DAILY UPDATE SHEET'!$A123,SBLC!$B:$B,$B$36,SBLC!$H:$H,"10%")</f>
        <v>0</v>
      </c>
      <c r="D123" s="220">
        <f ca="1">SUMIFS('LC-Final List'!$W:$W,'LC-Final List'!$AE:$AE,"Unpaid",'LC-Final List'!$Y:$Y,'DAILY UPDATE SHEET'!$A123,'LC-Final List'!$E:$E,'DAILY UPDATE SHEET'!D$36,'LC-Final List'!$F:$F,"10%")</f>
        <v>0</v>
      </c>
      <c r="E123" s="220">
        <f ca="1">SUMIFS(SBLC!$X:$X,SBLC!$T:$T,"Unpaid",SBLC!$R:$R,'DAILY UPDATE SHEET'!$A123,SBLC!$B:$B,$D$36,SBLC!$H:$H,"10%")</f>
        <v>0</v>
      </c>
      <c r="F123" s="220">
        <f ca="1">SUMIFS('LC-Final List'!$W:$W,'LC-Final List'!$AE:$AE,"Unpaid",'LC-Final List'!$Y:$Y,'DAILY UPDATE SHEET'!$A123,'LC-Final List'!$E:$E,'DAILY UPDATE SHEET'!F$36,'LC-Final List'!$F:$F,"10%")</f>
        <v>0</v>
      </c>
      <c r="G123" s="220">
        <f ca="1">SUMIFS(SBLC!$X:$X,SBLC!$T:$T,"Unpaid",SBLC!$R:$R,'DAILY UPDATE SHEET'!$A123,SBLC!$B:$B,$F$36,SBLC!$H:$H,"10%")</f>
        <v>0</v>
      </c>
      <c r="H123" s="220">
        <f t="shared" ca="1" si="10"/>
        <v>0</v>
      </c>
    </row>
    <row r="124" spans="1:8" hidden="1" x14ac:dyDescent="0.25">
      <c r="A124" s="83">
        <f t="shared" ca="1" si="11"/>
        <v>46264</v>
      </c>
      <c r="B124" s="220">
        <f ca="1">SUMIFS('LC-Final List'!$W:$W,'LC-Final List'!$AE:$AE,"Unpaid",'LC-Final List'!$Y:$Y,'DAILY UPDATE SHEET'!$A124,'LC-Final List'!$E:$E,'DAILY UPDATE SHEET'!B$36,'LC-Final List'!$F:$F,"10%")</f>
        <v>0</v>
      </c>
      <c r="C124" s="220">
        <f ca="1">SUMIFS(SBLC!$X:$X,SBLC!$T:$T,"Unpaid",SBLC!$R:$R,'DAILY UPDATE SHEET'!$A124,SBLC!$B:$B,$B$36,SBLC!$H:$H,"10%")</f>
        <v>0</v>
      </c>
      <c r="D124" s="220">
        <f ca="1">SUMIFS('LC-Final List'!$W:$W,'LC-Final List'!$AE:$AE,"Unpaid",'LC-Final List'!$Y:$Y,'DAILY UPDATE SHEET'!$A124,'LC-Final List'!$E:$E,'DAILY UPDATE SHEET'!D$36,'LC-Final List'!$F:$F,"10%")</f>
        <v>0</v>
      </c>
      <c r="E124" s="220">
        <f ca="1">SUMIFS(SBLC!$X:$X,SBLC!$T:$T,"Unpaid",SBLC!$R:$R,'DAILY UPDATE SHEET'!$A124,SBLC!$B:$B,$D$36,SBLC!$H:$H,"10%")</f>
        <v>0</v>
      </c>
      <c r="F124" s="220">
        <f ca="1">SUMIFS('LC-Final List'!$W:$W,'LC-Final List'!$AE:$AE,"Unpaid",'LC-Final List'!$Y:$Y,'DAILY UPDATE SHEET'!$A124,'LC-Final List'!$E:$E,'DAILY UPDATE SHEET'!F$36,'LC-Final List'!$F:$F,"10%")</f>
        <v>0</v>
      </c>
      <c r="G124" s="220">
        <f ca="1">SUMIFS(SBLC!$X:$X,SBLC!$T:$T,"Unpaid",SBLC!$R:$R,'DAILY UPDATE SHEET'!$A124,SBLC!$B:$B,$F$36,SBLC!$H:$H,"10%")</f>
        <v>0</v>
      </c>
      <c r="H124" s="220">
        <f t="shared" ca="1" si="10"/>
        <v>0</v>
      </c>
    </row>
    <row r="125" spans="1:8" hidden="1" x14ac:dyDescent="0.25">
      <c r="A125" s="83">
        <f t="shared" ca="1" si="11"/>
        <v>46265</v>
      </c>
      <c r="B125" s="220">
        <f ca="1">SUMIFS('LC-Final List'!$W:$W,'LC-Final List'!$AE:$AE,"Unpaid",'LC-Final List'!$Y:$Y,'DAILY UPDATE SHEET'!$A125,'LC-Final List'!$E:$E,'DAILY UPDATE SHEET'!B$36,'LC-Final List'!$F:$F,"10%")</f>
        <v>0</v>
      </c>
      <c r="C125" s="220">
        <f ca="1">SUMIFS(SBLC!$X:$X,SBLC!$T:$T,"Unpaid",SBLC!$R:$R,'DAILY UPDATE SHEET'!$A125,SBLC!$B:$B,$B$36,SBLC!$H:$H,"10%")</f>
        <v>0</v>
      </c>
      <c r="D125" s="220">
        <f ca="1">SUMIFS('LC-Final List'!$W:$W,'LC-Final List'!$AE:$AE,"Unpaid",'LC-Final List'!$Y:$Y,'DAILY UPDATE SHEET'!$A125,'LC-Final List'!$E:$E,'DAILY UPDATE SHEET'!D$36,'LC-Final List'!$F:$F,"10%")</f>
        <v>0</v>
      </c>
      <c r="E125" s="220">
        <f ca="1">SUMIFS(SBLC!$X:$X,SBLC!$T:$T,"Unpaid",SBLC!$R:$R,'DAILY UPDATE SHEET'!$A125,SBLC!$B:$B,$D$36,SBLC!$H:$H,"10%")</f>
        <v>0</v>
      </c>
      <c r="F125" s="220">
        <f ca="1">SUMIFS('LC-Final List'!$W:$W,'LC-Final List'!$AE:$AE,"Unpaid",'LC-Final List'!$Y:$Y,'DAILY UPDATE SHEET'!$A125,'LC-Final List'!$E:$E,'DAILY UPDATE SHEET'!F$36,'LC-Final List'!$F:$F,"10%")</f>
        <v>0</v>
      </c>
      <c r="G125" s="220">
        <f ca="1">SUMIFS(SBLC!$X:$X,SBLC!$T:$T,"Unpaid",SBLC!$R:$R,'DAILY UPDATE SHEET'!$A125,SBLC!$B:$B,$F$36,SBLC!$H:$H,"10%")</f>
        <v>0</v>
      </c>
      <c r="H125" s="220">
        <f t="shared" ca="1" si="10"/>
        <v>0</v>
      </c>
    </row>
    <row r="126" spans="1:8" hidden="1" x14ac:dyDescent="0.25">
      <c r="A126" s="83">
        <f t="shared" ca="1" si="11"/>
        <v>46266</v>
      </c>
      <c r="B126" s="220">
        <f ca="1">SUMIFS('LC-Final List'!$W:$W,'LC-Final List'!$AE:$AE,"Unpaid",'LC-Final List'!$Y:$Y,'DAILY UPDATE SHEET'!$A126,'LC-Final List'!$E:$E,'DAILY UPDATE SHEET'!B$36,'LC-Final List'!$F:$F,"10%")</f>
        <v>0</v>
      </c>
      <c r="C126" s="220">
        <f ca="1">SUMIFS(SBLC!$X:$X,SBLC!$T:$T,"Unpaid",SBLC!$R:$R,'DAILY UPDATE SHEET'!$A126,SBLC!$B:$B,$B$36,SBLC!$H:$H,"10%")</f>
        <v>0</v>
      </c>
      <c r="D126" s="220">
        <f ca="1">SUMIFS('LC-Final List'!$W:$W,'LC-Final List'!$AE:$AE,"Unpaid",'LC-Final List'!$Y:$Y,'DAILY UPDATE SHEET'!$A126,'LC-Final List'!$E:$E,'DAILY UPDATE SHEET'!D$36,'LC-Final List'!$F:$F,"10%")</f>
        <v>0</v>
      </c>
      <c r="E126" s="220">
        <f ca="1">SUMIFS(SBLC!$X:$X,SBLC!$T:$T,"Unpaid",SBLC!$R:$R,'DAILY UPDATE SHEET'!$A126,SBLC!$B:$B,$D$36,SBLC!$H:$H,"10%")</f>
        <v>0</v>
      </c>
      <c r="F126" s="220">
        <f ca="1">SUMIFS('LC-Final List'!$W:$W,'LC-Final List'!$AE:$AE,"Unpaid",'LC-Final List'!$Y:$Y,'DAILY UPDATE SHEET'!$A126,'LC-Final List'!$E:$E,'DAILY UPDATE SHEET'!F$36,'LC-Final List'!$F:$F,"10%")</f>
        <v>0</v>
      </c>
      <c r="G126" s="220">
        <f ca="1">SUMIFS(SBLC!$X:$X,SBLC!$T:$T,"Unpaid",SBLC!$R:$R,'DAILY UPDATE SHEET'!$A126,SBLC!$B:$B,$F$36,SBLC!$H:$H,"10%")</f>
        <v>0</v>
      </c>
      <c r="H126" s="220">
        <f t="shared" ca="1" si="10"/>
        <v>0</v>
      </c>
    </row>
    <row r="127" spans="1:8" hidden="1" x14ac:dyDescent="0.25">
      <c r="A127" s="83">
        <f t="shared" ca="1" si="11"/>
        <v>46267</v>
      </c>
      <c r="B127" s="220">
        <f ca="1">SUMIFS('LC-Final List'!$W:$W,'LC-Final List'!$AE:$AE,"Unpaid",'LC-Final List'!$Y:$Y,'DAILY UPDATE SHEET'!$A127,'LC-Final List'!$E:$E,'DAILY UPDATE SHEET'!B$36,'LC-Final List'!$F:$F,"10%")</f>
        <v>0</v>
      </c>
      <c r="C127" s="220">
        <f ca="1">SUMIFS(SBLC!$X:$X,SBLC!$T:$T,"Unpaid",SBLC!$R:$R,'DAILY UPDATE SHEET'!$A127,SBLC!$B:$B,$B$36,SBLC!$H:$H,"10%")</f>
        <v>0</v>
      </c>
      <c r="D127" s="220">
        <f ca="1">SUMIFS('LC-Final List'!$W:$W,'LC-Final List'!$AE:$AE,"Unpaid",'LC-Final List'!$Y:$Y,'DAILY UPDATE SHEET'!$A127,'LC-Final List'!$E:$E,'DAILY UPDATE SHEET'!D$36,'LC-Final List'!$F:$F,"10%")</f>
        <v>0</v>
      </c>
      <c r="E127" s="220">
        <f ca="1">SUMIFS(SBLC!$X:$X,SBLC!$T:$T,"Unpaid",SBLC!$R:$R,'DAILY UPDATE SHEET'!$A127,SBLC!$B:$B,$D$36,SBLC!$H:$H,"10%")</f>
        <v>0</v>
      </c>
      <c r="F127" s="220">
        <f ca="1">SUMIFS('LC-Final List'!$W:$W,'LC-Final List'!$AE:$AE,"Unpaid",'LC-Final List'!$Y:$Y,'DAILY UPDATE SHEET'!$A127,'LC-Final List'!$E:$E,'DAILY UPDATE SHEET'!F$36,'LC-Final List'!$F:$F,"10%")</f>
        <v>0</v>
      </c>
      <c r="G127" s="220">
        <f ca="1">SUMIFS(SBLC!$X:$X,SBLC!$T:$T,"Unpaid",SBLC!$R:$R,'DAILY UPDATE SHEET'!$A127,SBLC!$B:$B,$F$36,SBLC!$H:$H,"10%")</f>
        <v>0</v>
      </c>
      <c r="H127" s="220">
        <f t="shared" ref="H127:H152" ca="1" si="12">SUM(B127:G127)</f>
        <v>0</v>
      </c>
    </row>
    <row r="128" spans="1:8" hidden="1" x14ac:dyDescent="0.25">
      <c r="A128" s="83">
        <f t="shared" ca="1" si="11"/>
        <v>46268</v>
      </c>
      <c r="B128" s="220">
        <f ca="1">SUMIFS('LC-Final List'!$W:$W,'LC-Final List'!$AE:$AE,"Unpaid",'LC-Final List'!$Y:$Y,'DAILY UPDATE SHEET'!$A128,'LC-Final List'!$E:$E,'DAILY UPDATE SHEET'!B$36,'LC-Final List'!$F:$F,"10%")</f>
        <v>0</v>
      </c>
      <c r="C128" s="220">
        <f ca="1">SUMIFS(SBLC!$X:$X,SBLC!$T:$T,"Unpaid",SBLC!$R:$R,'DAILY UPDATE SHEET'!$A128,SBLC!$B:$B,$B$36,SBLC!$H:$H,"10%")</f>
        <v>0</v>
      </c>
      <c r="D128" s="220">
        <f ca="1">SUMIFS('LC-Final List'!$W:$W,'LC-Final List'!$AE:$AE,"Unpaid",'LC-Final List'!$Y:$Y,'DAILY UPDATE SHEET'!$A128,'LC-Final List'!$E:$E,'DAILY UPDATE SHEET'!D$36,'LC-Final List'!$F:$F,"10%")</f>
        <v>0</v>
      </c>
      <c r="E128" s="220">
        <f ca="1">SUMIFS(SBLC!$X:$X,SBLC!$T:$T,"Unpaid",SBLC!$R:$R,'DAILY UPDATE SHEET'!$A128,SBLC!$B:$B,$D$36,SBLC!$H:$H,"10%")</f>
        <v>0</v>
      </c>
      <c r="F128" s="220">
        <f ca="1">SUMIFS('LC-Final List'!$W:$W,'LC-Final List'!$AE:$AE,"Unpaid",'LC-Final List'!$Y:$Y,'DAILY UPDATE SHEET'!$A128,'LC-Final List'!$E:$E,'DAILY UPDATE SHEET'!F$36,'LC-Final List'!$F:$F,"10%")</f>
        <v>0</v>
      </c>
      <c r="G128" s="220">
        <f ca="1">SUMIFS(SBLC!$X:$X,SBLC!$T:$T,"Unpaid",SBLC!$R:$R,'DAILY UPDATE SHEET'!$A128,SBLC!$B:$B,$F$36,SBLC!$H:$H,"10%")</f>
        <v>0</v>
      </c>
      <c r="H128" s="220">
        <f t="shared" ca="1" si="12"/>
        <v>0</v>
      </c>
    </row>
    <row r="129" spans="1:8" hidden="1" x14ac:dyDescent="0.25">
      <c r="A129" s="83">
        <f t="shared" ca="1" si="11"/>
        <v>46269</v>
      </c>
      <c r="B129" s="220">
        <f ca="1">SUMIFS('LC-Final List'!$W:$W,'LC-Final List'!$AE:$AE,"Unpaid",'LC-Final List'!$Y:$Y,'DAILY UPDATE SHEET'!$A129,'LC-Final List'!$E:$E,'DAILY UPDATE SHEET'!B$36,'LC-Final List'!$F:$F,"10%")</f>
        <v>0</v>
      </c>
      <c r="C129" s="220">
        <f ca="1">SUMIFS(SBLC!$X:$X,SBLC!$T:$T,"Unpaid",SBLC!$R:$R,'DAILY UPDATE SHEET'!$A129,SBLC!$B:$B,$B$36,SBLC!$H:$H,"10%")</f>
        <v>0</v>
      </c>
      <c r="D129" s="220">
        <f ca="1">SUMIFS('LC-Final List'!$W:$W,'LC-Final List'!$AE:$AE,"Unpaid",'LC-Final List'!$Y:$Y,'DAILY UPDATE SHEET'!$A129,'LC-Final List'!$E:$E,'DAILY UPDATE SHEET'!D$36,'LC-Final List'!$F:$F,"10%")</f>
        <v>0</v>
      </c>
      <c r="E129" s="220">
        <f ca="1">SUMIFS(SBLC!$X:$X,SBLC!$T:$T,"Unpaid",SBLC!$R:$R,'DAILY UPDATE SHEET'!$A129,SBLC!$B:$B,$D$36,SBLC!$H:$H,"10%")</f>
        <v>0</v>
      </c>
      <c r="F129" s="220">
        <f ca="1">SUMIFS('LC-Final List'!$W:$W,'LC-Final List'!$AE:$AE,"Unpaid",'LC-Final List'!$Y:$Y,'DAILY UPDATE SHEET'!$A129,'LC-Final List'!$E:$E,'DAILY UPDATE SHEET'!F$36,'LC-Final List'!$F:$F,"10%")</f>
        <v>0</v>
      </c>
      <c r="G129" s="220">
        <f ca="1">SUMIFS(SBLC!$X:$X,SBLC!$T:$T,"Unpaid",SBLC!$R:$R,'DAILY UPDATE SHEET'!$A129,SBLC!$B:$B,$F$36,SBLC!$H:$H,"10%")</f>
        <v>0</v>
      </c>
      <c r="H129" s="220">
        <f t="shared" ca="1" si="12"/>
        <v>0</v>
      </c>
    </row>
    <row r="130" spans="1:8" hidden="1" x14ac:dyDescent="0.25">
      <c r="A130" s="83">
        <f t="shared" ca="1" si="11"/>
        <v>46270</v>
      </c>
      <c r="B130" s="220">
        <f ca="1">SUMIFS('LC-Final List'!$W:$W,'LC-Final List'!$AE:$AE,"Unpaid",'LC-Final List'!$Y:$Y,'DAILY UPDATE SHEET'!$A130,'LC-Final List'!$E:$E,'DAILY UPDATE SHEET'!B$36,'LC-Final List'!$F:$F,"10%")</f>
        <v>0</v>
      </c>
      <c r="C130" s="220">
        <f ca="1">SUMIFS(SBLC!$X:$X,SBLC!$T:$T,"Unpaid",SBLC!$R:$R,'DAILY UPDATE SHEET'!$A130,SBLC!$B:$B,$B$36,SBLC!$H:$H,"10%")</f>
        <v>0</v>
      </c>
      <c r="D130" s="220">
        <f ca="1">SUMIFS('LC-Final List'!$W:$W,'LC-Final List'!$AE:$AE,"Unpaid",'LC-Final List'!$Y:$Y,'DAILY UPDATE SHEET'!$A130,'LC-Final List'!$E:$E,'DAILY UPDATE SHEET'!D$36,'LC-Final List'!$F:$F,"10%")</f>
        <v>0</v>
      </c>
      <c r="E130" s="220">
        <f ca="1">SUMIFS(SBLC!$X:$X,SBLC!$T:$T,"Unpaid",SBLC!$R:$R,'DAILY UPDATE SHEET'!$A130,SBLC!$B:$B,$D$36,SBLC!$H:$H,"10%")</f>
        <v>0</v>
      </c>
      <c r="F130" s="220">
        <f ca="1">SUMIFS('LC-Final List'!$W:$W,'LC-Final List'!$AE:$AE,"Unpaid",'LC-Final List'!$Y:$Y,'DAILY UPDATE SHEET'!$A130,'LC-Final List'!$E:$E,'DAILY UPDATE SHEET'!F$36,'LC-Final List'!$F:$F,"10%")</f>
        <v>0</v>
      </c>
      <c r="G130" s="220">
        <f ca="1">SUMIFS(SBLC!$X:$X,SBLC!$T:$T,"Unpaid",SBLC!$R:$R,'DAILY UPDATE SHEET'!$A130,SBLC!$B:$B,$F$36,SBLC!$H:$H,"10%")</f>
        <v>0</v>
      </c>
      <c r="H130" s="220">
        <f t="shared" ca="1" si="12"/>
        <v>0</v>
      </c>
    </row>
    <row r="131" spans="1:8" hidden="1" x14ac:dyDescent="0.25">
      <c r="A131" s="83">
        <f t="shared" ca="1" si="11"/>
        <v>46271</v>
      </c>
      <c r="B131" s="220">
        <f ca="1">SUMIFS('LC-Final List'!$W:$W,'LC-Final List'!$AE:$AE,"Unpaid",'LC-Final List'!$Y:$Y,'DAILY UPDATE SHEET'!$A131,'LC-Final List'!$E:$E,'DAILY UPDATE SHEET'!B$36,'LC-Final List'!$F:$F,"10%")</f>
        <v>0</v>
      </c>
      <c r="C131" s="220">
        <f ca="1">SUMIFS(SBLC!$X:$X,SBLC!$T:$T,"Unpaid",SBLC!$R:$R,'DAILY UPDATE SHEET'!$A131,SBLC!$B:$B,$B$36,SBLC!$H:$H,"10%")</f>
        <v>0</v>
      </c>
      <c r="D131" s="220">
        <f ca="1">SUMIFS('LC-Final List'!$W:$W,'LC-Final List'!$AE:$AE,"Unpaid",'LC-Final List'!$Y:$Y,'DAILY UPDATE SHEET'!$A131,'LC-Final List'!$E:$E,'DAILY UPDATE SHEET'!D$36,'LC-Final List'!$F:$F,"10%")</f>
        <v>0</v>
      </c>
      <c r="E131" s="220">
        <f ca="1">SUMIFS(SBLC!$X:$X,SBLC!$T:$T,"Unpaid",SBLC!$R:$R,'DAILY UPDATE SHEET'!$A131,SBLC!$B:$B,$D$36,SBLC!$H:$H,"10%")</f>
        <v>0</v>
      </c>
      <c r="F131" s="220">
        <f ca="1">SUMIFS('LC-Final List'!$W:$W,'LC-Final List'!$AE:$AE,"Unpaid",'LC-Final List'!$Y:$Y,'DAILY UPDATE SHEET'!$A131,'LC-Final List'!$E:$E,'DAILY UPDATE SHEET'!F$36,'LC-Final List'!$F:$F,"10%")</f>
        <v>0</v>
      </c>
      <c r="G131" s="220">
        <f ca="1">SUMIFS(SBLC!$X:$X,SBLC!$T:$T,"Unpaid",SBLC!$R:$R,'DAILY UPDATE SHEET'!$A131,SBLC!$B:$B,$F$36,SBLC!$H:$H,"10%")</f>
        <v>0</v>
      </c>
      <c r="H131" s="220">
        <f t="shared" ca="1" si="12"/>
        <v>0</v>
      </c>
    </row>
    <row r="132" spans="1:8" hidden="1" x14ac:dyDescent="0.25">
      <c r="A132" s="83">
        <f t="shared" ca="1" si="11"/>
        <v>46272</v>
      </c>
      <c r="B132" s="220">
        <f ca="1">SUMIFS('LC-Final List'!$W:$W,'LC-Final List'!$AE:$AE,"Unpaid",'LC-Final List'!$Y:$Y,'DAILY UPDATE SHEET'!$A132,'LC-Final List'!$E:$E,'DAILY UPDATE SHEET'!B$36,'LC-Final List'!$F:$F,"10%")</f>
        <v>0</v>
      </c>
      <c r="C132" s="220">
        <f ca="1">SUMIFS(SBLC!$X:$X,SBLC!$T:$T,"Unpaid",SBLC!$R:$R,'DAILY UPDATE SHEET'!$A132,SBLC!$B:$B,$B$36,SBLC!$H:$H,"10%")</f>
        <v>0</v>
      </c>
      <c r="D132" s="220">
        <f ca="1">SUMIFS('LC-Final List'!$W:$W,'LC-Final List'!$AE:$AE,"Unpaid",'LC-Final List'!$Y:$Y,'DAILY UPDATE SHEET'!$A132,'LC-Final List'!$E:$E,'DAILY UPDATE SHEET'!D$36,'LC-Final List'!$F:$F,"10%")</f>
        <v>0</v>
      </c>
      <c r="E132" s="220">
        <f ca="1">SUMIFS(SBLC!$X:$X,SBLC!$T:$T,"Unpaid",SBLC!$R:$R,'DAILY UPDATE SHEET'!$A132,SBLC!$B:$B,$D$36,SBLC!$H:$H,"10%")</f>
        <v>0</v>
      </c>
      <c r="F132" s="220">
        <f ca="1">SUMIFS('LC-Final List'!$W:$W,'LC-Final List'!$AE:$AE,"Unpaid",'LC-Final List'!$Y:$Y,'DAILY UPDATE SHEET'!$A132,'LC-Final List'!$E:$E,'DAILY UPDATE SHEET'!F$36,'LC-Final List'!$F:$F,"10%")</f>
        <v>0</v>
      </c>
      <c r="G132" s="220">
        <f ca="1">SUMIFS(SBLC!$X:$X,SBLC!$T:$T,"Unpaid",SBLC!$R:$R,'DAILY UPDATE SHEET'!$A132,SBLC!$B:$B,$F$36,SBLC!$H:$H,"10%")</f>
        <v>0</v>
      </c>
      <c r="H132" s="220">
        <f t="shared" ca="1" si="12"/>
        <v>0</v>
      </c>
    </row>
    <row r="133" spans="1:8" hidden="1" x14ac:dyDescent="0.25">
      <c r="A133" s="83">
        <f t="shared" ca="1" si="11"/>
        <v>46273</v>
      </c>
      <c r="B133" s="220">
        <f ca="1">SUMIFS('LC-Final List'!$W:$W,'LC-Final List'!$AE:$AE,"Unpaid",'LC-Final List'!$Y:$Y,'DAILY UPDATE SHEET'!$A133,'LC-Final List'!$E:$E,'DAILY UPDATE SHEET'!B$36,'LC-Final List'!$F:$F,"10%")</f>
        <v>0</v>
      </c>
      <c r="C133" s="220">
        <f ca="1">SUMIFS(SBLC!$X:$X,SBLC!$T:$T,"Unpaid",SBLC!$R:$R,'DAILY UPDATE SHEET'!$A133,SBLC!$B:$B,$B$36,SBLC!$H:$H,"10%")</f>
        <v>0</v>
      </c>
      <c r="D133" s="220">
        <f ca="1">SUMIFS('LC-Final List'!$W:$W,'LC-Final List'!$AE:$AE,"Unpaid",'LC-Final List'!$Y:$Y,'DAILY UPDATE SHEET'!$A133,'LC-Final List'!$E:$E,'DAILY UPDATE SHEET'!D$36,'LC-Final List'!$F:$F,"10%")</f>
        <v>0</v>
      </c>
      <c r="E133" s="220">
        <f ca="1">SUMIFS(SBLC!$X:$X,SBLC!$T:$T,"Unpaid",SBLC!$R:$R,'DAILY UPDATE SHEET'!$A133,SBLC!$B:$B,$D$36,SBLC!$H:$H,"10%")</f>
        <v>0</v>
      </c>
      <c r="F133" s="220">
        <f ca="1">SUMIFS('LC-Final List'!$W:$W,'LC-Final List'!$AE:$AE,"Unpaid",'LC-Final List'!$Y:$Y,'DAILY UPDATE SHEET'!$A133,'LC-Final List'!$E:$E,'DAILY UPDATE SHEET'!F$36,'LC-Final List'!$F:$F,"10%")</f>
        <v>0</v>
      </c>
      <c r="G133" s="220">
        <f ca="1">SUMIFS(SBLC!$X:$X,SBLC!$T:$T,"Unpaid",SBLC!$R:$R,'DAILY UPDATE SHEET'!$A133,SBLC!$B:$B,$F$36,SBLC!$H:$H,"10%")</f>
        <v>0</v>
      </c>
      <c r="H133" s="220">
        <f t="shared" ca="1" si="12"/>
        <v>0</v>
      </c>
    </row>
    <row r="134" spans="1:8" hidden="1" x14ac:dyDescent="0.25">
      <c r="A134" s="83">
        <f t="shared" ca="1" si="11"/>
        <v>46274</v>
      </c>
      <c r="B134" s="220">
        <f ca="1">SUMIFS('LC-Final List'!$W:$W,'LC-Final List'!$AE:$AE,"Unpaid",'LC-Final List'!$Y:$Y,'DAILY UPDATE SHEET'!$A134,'LC-Final List'!$E:$E,'DAILY UPDATE SHEET'!B$36,'LC-Final List'!$F:$F,"10%")</f>
        <v>0</v>
      </c>
      <c r="C134" s="220">
        <f ca="1">SUMIFS(SBLC!$X:$X,SBLC!$T:$T,"Unpaid",SBLC!$R:$R,'DAILY UPDATE SHEET'!$A134,SBLC!$B:$B,$B$36,SBLC!$H:$H,"10%")</f>
        <v>0</v>
      </c>
      <c r="D134" s="220">
        <f ca="1">SUMIFS('LC-Final List'!$W:$W,'LC-Final List'!$AE:$AE,"Unpaid",'LC-Final List'!$Y:$Y,'DAILY UPDATE SHEET'!$A134,'LC-Final List'!$E:$E,'DAILY UPDATE SHEET'!D$36,'LC-Final List'!$F:$F,"10%")</f>
        <v>0</v>
      </c>
      <c r="E134" s="220">
        <f ca="1">SUMIFS(SBLC!$X:$X,SBLC!$T:$T,"Unpaid",SBLC!$R:$R,'DAILY UPDATE SHEET'!$A134,SBLC!$B:$B,$D$36,SBLC!$H:$H,"10%")</f>
        <v>0</v>
      </c>
      <c r="F134" s="220">
        <f ca="1">SUMIFS('LC-Final List'!$W:$W,'LC-Final List'!$AE:$AE,"Unpaid",'LC-Final List'!$Y:$Y,'DAILY UPDATE SHEET'!$A134,'LC-Final List'!$E:$E,'DAILY UPDATE SHEET'!F$36,'LC-Final List'!$F:$F,"10%")</f>
        <v>0</v>
      </c>
      <c r="G134" s="220">
        <f ca="1">SUMIFS(SBLC!$X:$X,SBLC!$T:$T,"Unpaid",SBLC!$R:$R,'DAILY UPDATE SHEET'!$A134,SBLC!$B:$B,$F$36,SBLC!$H:$H,"10%")</f>
        <v>0</v>
      </c>
      <c r="H134" s="220">
        <f t="shared" ca="1" si="12"/>
        <v>0</v>
      </c>
    </row>
    <row r="135" spans="1:8" hidden="1" x14ac:dyDescent="0.25">
      <c r="A135" s="83">
        <f t="shared" ca="1" si="11"/>
        <v>46275</v>
      </c>
      <c r="B135" s="220">
        <f ca="1">SUMIFS('LC-Final List'!$W:$W,'LC-Final List'!$AE:$AE,"Unpaid",'LC-Final List'!$Y:$Y,'DAILY UPDATE SHEET'!$A135,'LC-Final List'!$E:$E,'DAILY UPDATE SHEET'!B$36,'LC-Final List'!$F:$F,"10%")</f>
        <v>0</v>
      </c>
      <c r="C135" s="220">
        <f ca="1">SUMIFS(SBLC!$X:$X,SBLC!$T:$T,"Unpaid",SBLC!$R:$R,'DAILY UPDATE SHEET'!$A135,SBLC!$B:$B,$B$36,SBLC!$H:$H,"10%")</f>
        <v>0</v>
      </c>
      <c r="D135" s="220">
        <f ca="1">SUMIFS('LC-Final List'!$W:$W,'LC-Final List'!$AE:$AE,"Unpaid",'LC-Final List'!$Y:$Y,'DAILY UPDATE SHEET'!$A135,'LC-Final List'!$E:$E,'DAILY UPDATE SHEET'!D$36,'LC-Final List'!$F:$F,"10%")</f>
        <v>0</v>
      </c>
      <c r="E135" s="220">
        <f ca="1">SUMIFS(SBLC!$X:$X,SBLC!$T:$T,"Unpaid",SBLC!$R:$R,'DAILY UPDATE SHEET'!$A135,SBLC!$B:$B,$D$36,SBLC!$H:$H,"10%")</f>
        <v>0</v>
      </c>
      <c r="F135" s="220">
        <f ca="1">SUMIFS('LC-Final List'!$W:$W,'LC-Final List'!$AE:$AE,"Unpaid",'LC-Final List'!$Y:$Y,'DAILY UPDATE SHEET'!$A135,'LC-Final List'!$E:$E,'DAILY UPDATE SHEET'!F$36,'LC-Final List'!$F:$F,"10%")</f>
        <v>0</v>
      </c>
      <c r="G135" s="220">
        <f ca="1">SUMIFS(SBLC!$X:$X,SBLC!$T:$T,"Unpaid",SBLC!$R:$R,'DAILY UPDATE SHEET'!$A135,SBLC!$B:$B,$F$36,SBLC!$H:$H,"10%")</f>
        <v>0</v>
      </c>
      <c r="H135" s="220">
        <f t="shared" ca="1" si="12"/>
        <v>0</v>
      </c>
    </row>
    <row r="136" spans="1:8" hidden="1" x14ac:dyDescent="0.25">
      <c r="A136" s="83">
        <f t="shared" ca="1" si="11"/>
        <v>46276</v>
      </c>
      <c r="B136" s="220">
        <f ca="1">SUMIFS('LC-Final List'!$W:$W,'LC-Final List'!$AE:$AE,"Unpaid",'LC-Final List'!$Y:$Y,'DAILY UPDATE SHEET'!$A136,'LC-Final List'!$E:$E,'DAILY UPDATE SHEET'!B$36,'LC-Final List'!$F:$F,"10%")</f>
        <v>0</v>
      </c>
      <c r="C136" s="220">
        <f ca="1">SUMIFS(SBLC!$X:$X,SBLC!$T:$T,"Unpaid",SBLC!$R:$R,'DAILY UPDATE SHEET'!$A136,SBLC!$B:$B,$B$36,SBLC!$H:$H,"10%")</f>
        <v>0</v>
      </c>
      <c r="D136" s="220">
        <f ca="1">SUMIFS('LC-Final List'!$W:$W,'LC-Final List'!$AE:$AE,"Unpaid",'LC-Final List'!$Y:$Y,'DAILY UPDATE SHEET'!$A136,'LC-Final List'!$E:$E,'DAILY UPDATE SHEET'!D$36,'LC-Final List'!$F:$F,"10%")</f>
        <v>0</v>
      </c>
      <c r="E136" s="220">
        <f ca="1">SUMIFS(SBLC!$X:$X,SBLC!$T:$T,"Unpaid",SBLC!$R:$R,'DAILY UPDATE SHEET'!$A136,SBLC!$B:$B,$D$36,SBLC!$H:$H,"10%")</f>
        <v>0</v>
      </c>
      <c r="F136" s="220">
        <f ca="1">SUMIFS('LC-Final List'!$W:$W,'LC-Final List'!$AE:$AE,"Unpaid",'LC-Final List'!$Y:$Y,'DAILY UPDATE SHEET'!$A136,'LC-Final List'!$E:$E,'DAILY UPDATE SHEET'!F$36,'LC-Final List'!$F:$F,"10%")</f>
        <v>0</v>
      </c>
      <c r="G136" s="220">
        <f ca="1">SUMIFS(SBLC!$X:$X,SBLC!$T:$T,"Unpaid",SBLC!$R:$R,'DAILY UPDATE SHEET'!$A136,SBLC!$B:$B,$F$36,SBLC!$H:$H,"10%")</f>
        <v>0</v>
      </c>
      <c r="H136" s="220">
        <f t="shared" ca="1" si="12"/>
        <v>0</v>
      </c>
    </row>
    <row r="137" spans="1:8" hidden="1" x14ac:dyDescent="0.25">
      <c r="A137" s="83">
        <f t="shared" ca="1" si="11"/>
        <v>46277</v>
      </c>
      <c r="B137" s="220">
        <f ca="1">SUMIFS('LC-Final List'!$W:$W,'LC-Final List'!$AE:$AE,"Unpaid",'LC-Final List'!$Y:$Y,'DAILY UPDATE SHEET'!$A137,'LC-Final List'!$E:$E,'DAILY UPDATE SHEET'!B$36,'LC-Final List'!$F:$F,"10%")</f>
        <v>0</v>
      </c>
      <c r="C137" s="220">
        <f ca="1">SUMIFS(SBLC!$X:$X,SBLC!$T:$T,"Unpaid",SBLC!$R:$R,'DAILY UPDATE SHEET'!$A137,SBLC!$B:$B,$B$36,SBLC!$H:$H,"10%")</f>
        <v>0</v>
      </c>
      <c r="D137" s="220">
        <f ca="1">SUMIFS('LC-Final List'!$W:$W,'LC-Final List'!$AE:$AE,"Unpaid",'LC-Final List'!$Y:$Y,'DAILY UPDATE SHEET'!$A137,'LC-Final List'!$E:$E,'DAILY UPDATE SHEET'!D$36,'LC-Final List'!$F:$F,"10%")</f>
        <v>0</v>
      </c>
      <c r="E137" s="220">
        <f ca="1">SUMIFS(SBLC!$X:$X,SBLC!$T:$T,"Unpaid",SBLC!$R:$R,'DAILY UPDATE SHEET'!$A137,SBLC!$B:$B,$D$36,SBLC!$H:$H,"10%")</f>
        <v>0</v>
      </c>
      <c r="F137" s="220">
        <f ca="1">SUMIFS('LC-Final List'!$W:$W,'LC-Final List'!$AE:$AE,"Unpaid",'LC-Final List'!$Y:$Y,'DAILY UPDATE SHEET'!$A137,'LC-Final List'!$E:$E,'DAILY UPDATE SHEET'!F$36,'LC-Final List'!$F:$F,"10%")</f>
        <v>0</v>
      </c>
      <c r="G137" s="220">
        <f ca="1">SUMIFS(SBLC!$X:$X,SBLC!$T:$T,"Unpaid",SBLC!$R:$R,'DAILY UPDATE SHEET'!$A137,SBLC!$B:$B,$F$36,SBLC!$H:$H,"10%")</f>
        <v>0</v>
      </c>
      <c r="H137" s="220">
        <f t="shared" ca="1" si="12"/>
        <v>0</v>
      </c>
    </row>
    <row r="138" spans="1:8" x14ac:dyDescent="0.25">
      <c r="A138" s="474">
        <f t="shared" ca="1" si="11"/>
        <v>46278</v>
      </c>
      <c r="B138" s="443">
        <f ca="1">SUMIFS('LC-Final List'!$W:$W,'LC-Final List'!$AE:$AE,"Unpaid",'LC-Final List'!$Y:$Y,'DAILY UPDATE SHEET'!$A138,'LC-Final List'!$E:$E,'DAILY UPDATE SHEET'!B$36,'LC-Final List'!$F:$F,"10%")</f>
        <v>122867712</v>
      </c>
      <c r="C138" s="443">
        <f ca="1">SUMIFS(SBLC!$X:$X,SBLC!$T:$T,"Unpaid",SBLC!$R:$R,'DAILY UPDATE SHEET'!$A138,SBLC!$B:$B,$B$36,SBLC!$H:$H,"10%")</f>
        <v>0</v>
      </c>
      <c r="D138" s="443">
        <f ca="1">SUMIFS('LC-Final List'!$W:$W,'LC-Final List'!$AE:$AE,"Unpaid",'LC-Final List'!$Y:$Y,'DAILY UPDATE SHEET'!$A138,'LC-Final List'!$E:$E,'DAILY UPDATE SHEET'!D$36,'LC-Final List'!$F:$F,"10%")</f>
        <v>0</v>
      </c>
      <c r="E138" s="443">
        <f ca="1">SUMIFS(SBLC!$X:$X,SBLC!$T:$T,"Unpaid",SBLC!$R:$R,'DAILY UPDATE SHEET'!$A138,SBLC!$B:$B,$D$36,SBLC!$H:$H,"10%")</f>
        <v>0</v>
      </c>
      <c r="F138" s="443">
        <f ca="1">SUMIFS('LC-Final List'!$W:$W,'LC-Final List'!$AE:$AE,"Unpaid",'LC-Final List'!$Y:$Y,'DAILY UPDATE SHEET'!$A138,'LC-Final List'!$E:$E,'DAILY UPDATE SHEET'!F$36,'LC-Final List'!$F:$F,"10%")</f>
        <v>0</v>
      </c>
      <c r="G138" s="443">
        <f ca="1">SUMIFS(SBLC!$X:$X,SBLC!$T:$T,"Unpaid",SBLC!$R:$R,'DAILY UPDATE SHEET'!$A138,SBLC!$B:$B,$F$36,SBLC!$H:$H,"10%")</f>
        <v>0</v>
      </c>
      <c r="H138" s="443">
        <f t="shared" ca="1" si="12"/>
        <v>122867712</v>
      </c>
    </row>
    <row r="139" spans="1:8" hidden="1" x14ac:dyDescent="0.25">
      <c r="A139" s="83">
        <f t="shared" ca="1" si="11"/>
        <v>46279</v>
      </c>
      <c r="B139" s="220">
        <f ca="1">SUMIFS('LC-Final List'!$W:$W,'LC-Final List'!$AE:$AE,"Unpaid",'LC-Final List'!$Y:$Y,'DAILY UPDATE SHEET'!$A139,'LC-Final List'!$E:$E,'DAILY UPDATE SHEET'!B$36,'LC-Final List'!$F:$F,"10%")</f>
        <v>0</v>
      </c>
      <c r="C139" s="220">
        <f ca="1">SUMIFS(SBLC!$X:$X,SBLC!$T:$T,"Unpaid",SBLC!$R:$R,'DAILY UPDATE SHEET'!$A139,SBLC!$B:$B,$B$36,SBLC!$H:$H,"10%")</f>
        <v>0</v>
      </c>
      <c r="D139" s="220">
        <f ca="1">SUMIFS('LC-Final List'!$W:$W,'LC-Final List'!$AE:$AE,"Unpaid",'LC-Final List'!$Y:$Y,'DAILY UPDATE SHEET'!$A139,'LC-Final List'!$E:$E,'DAILY UPDATE SHEET'!D$36,'LC-Final List'!$F:$F,"10%")</f>
        <v>0</v>
      </c>
      <c r="E139" s="220">
        <f ca="1">SUMIFS(SBLC!$X:$X,SBLC!$T:$T,"Unpaid",SBLC!$R:$R,'DAILY UPDATE SHEET'!$A139,SBLC!$B:$B,$D$36,SBLC!$H:$H,"10%")</f>
        <v>0</v>
      </c>
      <c r="F139" s="220">
        <f ca="1">SUMIFS('LC-Final List'!$W:$W,'LC-Final List'!$AE:$AE,"Unpaid",'LC-Final List'!$Y:$Y,'DAILY UPDATE SHEET'!$A139,'LC-Final List'!$E:$E,'DAILY UPDATE SHEET'!F$36,'LC-Final List'!$F:$F,"10%")</f>
        <v>0</v>
      </c>
      <c r="G139" s="220">
        <f ca="1">SUMIFS(SBLC!$X:$X,SBLC!$T:$T,"Unpaid",SBLC!$R:$R,'DAILY UPDATE SHEET'!$A139,SBLC!$B:$B,$F$36,SBLC!$H:$H,"10%")</f>
        <v>0</v>
      </c>
      <c r="H139" s="220">
        <f t="shared" ca="1" si="12"/>
        <v>0</v>
      </c>
    </row>
    <row r="140" spans="1:8" hidden="1" x14ac:dyDescent="0.25">
      <c r="A140" s="83">
        <f t="shared" ca="1" si="11"/>
        <v>46280</v>
      </c>
      <c r="B140" s="220">
        <f ca="1">SUMIFS('LC-Final List'!$W:$W,'LC-Final List'!$AE:$AE,"Unpaid",'LC-Final List'!$Y:$Y,'DAILY UPDATE SHEET'!$A140,'LC-Final List'!$E:$E,'DAILY UPDATE SHEET'!B$36,'LC-Final List'!$F:$F,"10%")</f>
        <v>0</v>
      </c>
      <c r="C140" s="220">
        <f ca="1">SUMIFS(SBLC!$X:$X,SBLC!$T:$T,"Unpaid",SBLC!$R:$R,'DAILY UPDATE SHEET'!$A140,SBLC!$B:$B,$B$36,SBLC!$H:$H,"10%")</f>
        <v>0</v>
      </c>
      <c r="D140" s="220">
        <f ca="1">SUMIFS('LC-Final List'!$W:$W,'LC-Final List'!$AE:$AE,"Unpaid",'LC-Final List'!$Y:$Y,'DAILY UPDATE SHEET'!$A140,'LC-Final List'!$E:$E,'DAILY UPDATE SHEET'!D$36,'LC-Final List'!$F:$F,"10%")</f>
        <v>0</v>
      </c>
      <c r="E140" s="220">
        <f ca="1">SUMIFS(SBLC!$X:$X,SBLC!$T:$T,"Unpaid",SBLC!$R:$R,'DAILY UPDATE SHEET'!$A140,SBLC!$B:$B,$D$36,SBLC!$H:$H,"10%")</f>
        <v>0</v>
      </c>
      <c r="F140" s="220">
        <f ca="1">SUMIFS('LC-Final List'!$W:$W,'LC-Final List'!$AE:$AE,"Unpaid",'LC-Final List'!$Y:$Y,'DAILY UPDATE SHEET'!$A140,'LC-Final List'!$E:$E,'DAILY UPDATE SHEET'!F$36,'LC-Final List'!$F:$F,"10%")</f>
        <v>0</v>
      </c>
      <c r="G140" s="220">
        <f ca="1">SUMIFS(SBLC!$X:$X,SBLC!$T:$T,"Unpaid",SBLC!$R:$R,'DAILY UPDATE SHEET'!$A140,SBLC!$B:$B,$F$36,SBLC!$H:$H,"10%")</f>
        <v>0</v>
      </c>
      <c r="H140" s="220">
        <f t="shared" ca="1" si="12"/>
        <v>0</v>
      </c>
    </row>
    <row r="141" spans="1:8" hidden="1" x14ac:dyDescent="0.25">
      <c r="A141" s="83">
        <f t="shared" ca="1" si="11"/>
        <v>46281</v>
      </c>
      <c r="B141" s="220">
        <f ca="1">SUMIFS('LC-Final List'!$W:$W,'LC-Final List'!$AE:$AE,"Unpaid",'LC-Final List'!$Y:$Y,'DAILY UPDATE SHEET'!$A141,'LC-Final List'!$E:$E,'DAILY UPDATE SHEET'!B$36,'LC-Final List'!$F:$F,"10%")</f>
        <v>0</v>
      </c>
      <c r="C141" s="220">
        <f ca="1">SUMIFS(SBLC!$X:$X,SBLC!$T:$T,"Unpaid",SBLC!$R:$R,'DAILY UPDATE SHEET'!$A141,SBLC!$B:$B,$B$36,SBLC!$H:$H,"10%")</f>
        <v>0</v>
      </c>
      <c r="D141" s="220">
        <f ca="1">SUMIFS('LC-Final List'!$W:$W,'LC-Final List'!$AE:$AE,"Unpaid",'LC-Final List'!$Y:$Y,'DAILY UPDATE SHEET'!$A141,'LC-Final List'!$E:$E,'DAILY UPDATE SHEET'!D$36,'LC-Final List'!$F:$F,"10%")</f>
        <v>0</v>
      </c>
      <c r="E141" s="220">
        <f ca="1">SUMIFS(SBLC!$X:$X,SBLC!$T:$T,"Unpaid",SBLC!$R:$R,'DAILY UPDATE SHEET'!$A141,SBLC!$B:$B,$D$36,SBLC!$H:$H,"10%")</f>
        <v>0</v>
      </c>
      <c r="F141" s="220">
        <f ca="1">SUMIFS('LC-Final List'!$W:$W,'LC-Final List'!$AE:$AE,"Unpaid",'LC-Final List'!$Y:$Y,'DAILY UPDATE SHEET'!$A141,'LC-Final List'!$E:$E,'DAILY UPDATE SHEET'!F$36,'LC-Final List'!$F:$F,"10%")</f>
        <v>0</v>
      </c>
      <c r="G141" s="220">
        <f ca="1">SUMIFS(SBLC!$X:$X,SBLC!$T:$T,"Unpaid",SBLC!$R:$R,'DAILY UPDATE SHEET'!$A141,SBLC!$B:$B,$F$36,SBLC!$H:$H,"10%")</f>
        <v>0</v>
      </c>
      <c r="H141" s="220">
        <f t="shared" ca="1" si="12"/>
        <v>0</v>
      </c>
    </row>
    <row r="142" spans="1:8" hidden="1" x14ac:dyDescent="0.25">
      <c r="A142" s="83">
        <f t="shared" ca="1" si="11"/>
        <v>46282</v>
      </c>
      <c r="B142" s="220">
        <f ca="1">SUMIFS('LC-Final List'!$W:$W,'LC-Final List'!$AE:$AE,"Unpaid",'LC-Final List'!$Y:$Y,'DAILY UPDATE SHEET'!$A142,'LC-Final List'!$E:$E,'DAILY UPDATE SHEET'!B$36,'LC-Final List'!$F:$F,"10%")</f>
        <v>0</v>
      </c>
      <c r="C142" s="220">
        <f ca="1">SUMIFS(SBLC!$X:$X,SBLC!$T:$T,"Unpaid",SBLC!$R:$R,'DAILY UPDATE SHEET'!$A142,SBLC!$B:$B,$B$36,SBLC!$H:$H,"10%")</f>
        <v>0</v>
      </c>
      <c r="D142" s="220">
        <f ca="1">SUMIFS('LC-Final List'!$W:$W,'LC-Final List'!$AE:$AE,"Unpaid",'LC-Final List'!$Y:$Y,'DAILY UPDATE SHEET'!$A142,'LC-Final List'!$E:$E,'DAILY UPDATE SHEET'!D$36,'LC-Final List'!$F:$F,"10%")</f>
        <v>0</v>
      </c>
      <c r="E142" s="220">
        <f ca="1">SUMIFS(SBLC!$X:$X,SBLC!$T:$T,"Unpaid",SBLC!$R:$R,'DAILY UPDATE SHEET'!$A142,SBLC!$B:$B,$D$36,SBLC!$H:$H,"10%")</f>
        <v>0</v>
      </c>
      <c r="F142" s="220">
        <f ca="1">SUMIFS('LC-Final List'!$W:$W,'LC-Final List'!$AE:$AE,"Unpaid",'LC-Final List'!$Y:$Y,'DAILY UPDATE SHEET'!$A142,'LC-Final List'!$E:$E,'DAILY UPDATE SHEET'!F$36,'LC-Final List'!$F:$F,"10%")</f>
        <v>0</v>
      </c>
      <c r="G142" s="220">
        <f ca="1">SUMIFS(SBLC!$X:$X,SBLC!$T:$T,"Unpaid",SBLC!$R:$R,'DAILY UPDATE SHEET'!$A142,SBLC!$B:$B,$F$36,SBLC!$H:$H,"10%")</f>
        <v>0</v>
      </c>
      <c r="H142" s="220">
        <f t="shared" ca="1" si="12"/>
        <v>0</v>
      </c>
    </row>
    <row r="143" spans="1:8" hidden="1" x14ac:dyDescent="0.25">
      <c r="A143" s="83">
        <f t="shared" ca="1" si="11"/>
        <v>46283</v>
      </c>
      <c r="B143" s="220">
        <f ca="1">SUMIFS('LC-Final List'!$W:$W,'LC-Final List'!$AE:$AE,"Unpaid",'LC-Final List'!$Y:$Y,'DAILY UPDATE SHEET'!$A143,'LC-Final List'!$E:$E,'DAILY UPDATE SHEET'!B$36,'LC-Final List'!$F:$F,"10%")</f>
        <v>0</v>
      </c>
      <c r="C143" s="220">
        <f ca="1">SUMIFS(SBLC!$X:$X,SBLC!$T:$T,"Unpaid",SBLC!$R:$R,'DAILY UPDATE SHEET'!$A143,SBLC!$B:$B,$B$36,SBLC!$H:$H,"10%")</f>
        <v>0</v>
      </c>
      <c r="D143" s="220">
        <f ca="1">SUMIFS('LC-Final List'!$W:$W,'LC-Final List'!$AE:$AE,"Unpaid",'LC-Final List'!$Y:$Y,'DAILY UPDATE SHEET'!$A143,'LC-Final List'!$E:$E,'DAILY UPDATE SHEET'!D$36,'LC-Final List'!$F:$F,"10%")</f>
        <v>0</v>
      </c>
      <c r="E143" s="220">
        <f ca="1">SUMIFS(SBLC!$X:$X,SBLC!$T:$T,"Unpaid",SBLC!$R:$R,'DAILY UPDATE SHEET'!$A143,SBLC!$B:$B,$D$36,SBLC!$H:$H,"10%")</f>
        <v>0</v>
      </c>
      <c r="F143" s="220">
        <f ca="1">SUMIFS('LC-Final List'!$W:$W,'LC-Final List'!$AE:$AE,"Unpaid",'LC-Final List'!$Y:$Y,'DAILY UPDATE SHEET'!$A143,'LC-Final List'!$E:$E,'DAILY UPDATE SHEET'!F$36,'LC-Final List'!$F:$F,"10%")</f>
        <v>0</v>
      </c>
      <c r="G143" s="220">
        <f ca="1">SUMIFS(SBLC!$X:$X,SBLC!$T:$T,"Unpaid",SBLC!$R:$R,'DAILY UPDATE SHEET'!$A143,SBLC!$B:$B,$F$36,SBLC!$H:$H,"10%")</f>
        <v>0</v>
      </c>
      <c r="H143" s="220">
        <f t="shared" ca="1" si="12"/>
        <v>0</v>
      </c>
    </row>
    <row r="144" spans="1:8" x14ac:dyDescent="0.25">
      <c r="A144" s="474">
        <f t="shared" ca="1" si="11"/>
        <v>46284</v>
      </c>
      <c r="B144" s="443">
        <f ca="1">SUMIFS('LC-Final List'!$W:$W,'LC-Final List'!$AE:$AE,"Unpaid",'LC-Final List'!$Y:$Y,'DAILY UPDATE SHEET'!$A144,'LC-Final List'!$E:$E,'DAILY UPDATE SHEET'!B$36,'LC-Final List'!$F:$F,"10%")</f>
        <v>0</v>
      </c>
      <c r="C144" s="443">
        <f ca="1">SUMIFS(SBLC!$X:$X,SBLC!$T:$T,"Unpaid",SBLC!$R:$R,'DAILY UPDATE SHEET'!$A144,SBLC!$B:$B,$B$36,SBLC!$H:$H,"10%")</f>
        <v>0</v>
      </c>
      <c r="D144" s="443">
        <f ca="1">SUMIFS('LC-Final List'!$W:$W,'LC-Final List'!$AE:$AE,"Unpaid",'LC-Final List'!$Y:$Y,'DAILY UPDATE SHEET'!$A144,'LC-Final List'!$E:$E,'DAILY UPDATE SHEET'!D$36,'LC-Final List'!$F:$F,"10%")</f>
        <v>0</v>
      </c>
      <c r="E144" s="443">
        <f ca="1">SUMIFS(SBLC!$X:$X,SBLC!$T:$T,"Unpaid",SBLC!$R:$R,'DAILY UPDATE SHEET'!$A144,SBLC!$B:$B,$D$36,SBLC!$H:$H,"10%")</f>
        <v>122738997.75</v>
      </c>
      <c r="F144" s="443">
        <f ca="1">SUMIFS('LC-Final List'!$W:$W,'LC-Final List'!$AE:$AE,"Unpaid",'LC-Final List'!$Y:$Y,'DAILY UPDATE SHEET'!$A144,'LC-Final List'!$E:$E,'DAILY UPDATE SHEET'!F$36,'LC-Final List'!$F:$F,"10%")</f>
        <v>0</v>
      </c>
      <c r="G144" s="443">
        <f ca="1">SUMIFS(SBLC!$X:$X,SBLC!$T:$T,"Unpaid",SBLC!$R:$R,'DAILY UPDATE SHEET'!$A144,SBLC!$B:$B,$F$36,SBLC!$H:$H,"10%")</f>
        <v>0</v>
      </c>
      <c r="H144" s="443">
        <f t="shared" ca="1" si="12"/>
        <v>122738997.75</v>
      </c>
    </row>
    <row r="145" spans="1:15" hidden="1" x14ac:dyDescent="0.25">
      <c r="A145" s="83">
        <f t="shared" ca="1" si="11"/>
        <v>46285</v>
      </c>
      <c r="B145" s="220">
        <f ca="1">SUMIFS('LC-Final List'!$W:$W,'LC-Final List'!$AE:$AE,"Unpaid",'LC-Final List'!$Y:$Y,'DAILY UPDATE SHEET'!$A145,'LC-Final List'!$E:$E,'DAILY UPDATE SHEET'!B$36,'LC-Final List'!$F:$F,"10%")</f>
        <v>0</v>
      </c>
      <c r="C145" s="220">
        <f ca="1">SUMIFS(SBLC!$X:$X,SBLC!$T:$T,"Unpaid",SBLC!$R:$R,'DAILY UPDATE SHEET'!$A145,SBLC!$B:$B,$B$36,SBLC!$H:$H,"10%")</f>
        <v>0</v>
      </c>
      <c r="D145" s="220">
        <f ca="1">SUMIFS('LC-Final List'!$W:$W,'LC-Final List'!$AE:$AE,"Unpaid",'LC-Final List'!$Y:$Y,'DAILY UPDATE SHEET'!$A145,'LC-Final List'!$E:$E,'DAILY UPDATE SHEET'!D$36,'LC-Final List'!$F:$F,"10%")</f>
        <v>0</v>
      </c>
      <c r="E145" s="220">
        <f ca="1">SUMIFS(SBLC!$X:$X,SBLC!$T:$T,"Unpaid",SBLC!$R:$R,'DAILY UPDATE SHEET'!$A145,SBLC!$B:$B,$D$36,SBLC!$H:$H,"10%")</f>
        <v>0</v>
      </c>
      <c r="F145" s="220">
        <f ca="1">SUMIFS('LC-Final List'!$W:$W,'LC-Final List'!$AE:$AE,"Unpaid",'LC-Final List'!$Y:$Y,'DAILY UPDATE SHEET'!$A145,'LC-Final List'!$E:$E,'DAILY UPDATE SHEET'!F$36,'LC-Final List'!$F:$F,"10%")</f>
        <v>0</v>
      </c>
      <c r="G145" s="220">
        <f ca="1">SUMIFS(SBLC!$X:$X,SBLC!$T:$T,"Unpaid",SBLC!$R:$R,'DAILY UPDATE SHEET'!$A145,SBLC!$B:$B,$F$36,SBLC!$H:$H,"10%")</f>
        <v>0</v>
      </c>
      <c r="H145" s="220">
        <f t="shared" ca="1" si="12"/>
        <v>0</v>
      </c>
    </row>
    <row r="146" spans="1:15" hidden="1" x14ac:dyDescent="0.25">
      <c r="A146" s="83">
        <f t="shared" ca="1" si="11"/>
        <v>46286</v>
      </c>
      <c r="B146" s="220">
        <f ca="1">SUMIFS('LC-Final List'!$W:$W,'LC-Final List'!$AE:$AE,"Unpaid",'LC-Final List'!$Y:$Y,'DAILY UPDATE SHEET'!$A146,'LC-Final List'!$E:$E,'DAILY UPDATE SHEET'!B$36,'LC-Final List'!$F:$F,"10%")</f>
        <v>0</v>
      </c>
      <c r="C146" s="220">
        <f ca="1">SUMIFS(SBLC!$X:$X,SBLC!$T:$T,"Unpaid",SBLC!$R:$R,'DAILY UPDATE SHEET'!$A146,SBLC!$B:$B,$B$36,SBLC!$H:$H,"10%")</f>
        <v>0</v>
      </c>
      <c r="D146" s="220">
        <f ca="1">SUMIFS('LC-Final List'!$W:$W,'LC-Final List'!$AE:$AE,"Unpaid",'LC-Final List'!$Y:$Y,'DAILY UPDATE SHEET'!$A146,'LC-Final List'!$E:$E,'DAILY UPDATE SHEET'!D$36,'LC-Final List'!$F:$F,"10%")</f>
        <v>0</v>
      </c>
      <c r="E146" s="220">
        <f ca="1">SUMIFS(SBLC!$X:$X,SBLC!$T:$T,"Unpaid",SBLC!$R:$R,'DAILY UPDATE SHEET'!$A146,SBLC!$B:$B,$D$36,SBLC!$H:$H,"10%")</f>
        <v>0</v>
      </c>
      <c r="F146" s="220">
        <f ca="1">SUMIFS('LC-Final List'!$W:$W,'LC-Final List'!$AE:$AE,"Unpaid",'LC-Final List'!$Y:$Y,'DAILY UPDATE SHEET'!$A146,'LC-Final List'!$E:$E,'DAILY UPDATE SHEET'!F$36,'LC-Final List'!$F:$F,"10%")</f>
        <v>0</v>
      </c>
      <c r="G146" s="220">
        <f ca="1">SUMIFS(SBLC!$X:$X,SBLC!$T:$T,"Unpaid",SBLC!$R:$R,'DAILY UPDATE SHEET'!$A146,SBLC!$B:$B,$F$36,SBLC!$H:$H,"10%")</f>
        <v>0</v>
      </c>
      <c r="H146" s="220">
        <f t="shared" ca="1" si="12"/>
        <v>0</v>
      </c>
    </row>
    <row r="147" spans="1:15" hidden="1" x14ac:dyDescent="0.25">
      <c r="A147" s="83">
        <f t="shared" ca="1" si="11"/>
        <v>46287</v>
      </c>
      <c r="B147" s="220">
        <f ca="1">SUMIFS('LC-Final List'!$W:$W,'LC-Final List'!$AE:$AE,"Unpaid",'LC-Final List'!$Y:$Y,'DAILY UPDATE SHEET'!$A147,'LC-Final List'!$E:$E,'DAILY UPDATE SHEET'!B$36,'LC-Final List'!$F:$F,"10%")</f>
        <v>0</v>
      </c>
      <c r="C147" s="220">
        <f ca="1">SUMIFS(SBLC!$X:$X,SBLC!$T:$T,"Unpaid",SBLC!$R:$R,'DAILY UPDATE SHEET'!$A147,SBLC!$B:$B,$B$36,SBLC!$H:$H,"10%")</f>
        <v>0</v>
      </c>
      <c r="D147" s="220">
        <f ca="1">SUMIFS('LC-Final List'!$W:$W,'LC-Final List'!$AE:$AE,"Unpaid",'LC-Final List'!$Y:$Y,'DAILY UPDATE SHEET'!$A147,'LC-Final List'!$E:$E,'DAILY UPDATE SHEET'!D$36,'LC-Final List'!$F:$F,"10%")</f>
        <v>0</v>
      </c>
      <c r="E147" s="220">
        <f ca="1">SUMIFS(SBLC!$X:$X,SBLC!$T:$T,"Unpaid",SBLC!$R:$R,'DAILY UPDATE SHEET'!$A147,SBLC!$B:$B,$D$36,SBLC!$H:$H,"10%")</f>
        <v>0</v>
      </c>
      <c r="F147" s="220">
        <f ca="1">SUMIFS('LC-Final List'!$W:$W,'LC-Final List'!$AE:$AE,"Unpaid",'LC-Final List'!$Y:$Y,'DAILY UPDATE SHEET'!$A147,'LC-Final List'!$E:$E,'DAILY UPDATE SHEET'!F$36,'LC-Final List'!$F:$F,"10%")</f>
        <v>0</v>
      </c>
      <c r="G147" s="220">
        <f ca="1">SUMIFS(SBLC!$X:$X,SBLC!$T:$T,"Unpaid",SBLC!$R:$R,'DAILY UPDATE SHEET'!$A147,SBLC!$B:$B,$F$36,SBLC!$H:$H,"10%")</f>
        <v>0</v>
      </c>
      <c r="H147" s="220">
        <f t="shared" ca="1" si="12"/>
        <v>0</v>
      </c>
    </row>
    <row r="148" spans="1:15" hidden="1" x14ac:dyDescent="0.25">
      <c r="A148" s="83">
        <f t="shared" ca="1" si="11"/>
        <v>46288</v>
      </c>
      <c r="B148" s="220">
        <f ca="1">SUMIFS('LC-Final List'!$W:$W,'LC-Final List'!$AE:$AE,"Unpaid",'LC-Final List'!$Y:$Y,'DAILY UPDATE SHEET'!$A148,'LC-Final List'!$E:$E,'DAILY UPDATE SHEET'!B$36,'LC-Final List'!$F:$F,"10%")</f>
        <v>0</v>
      </c>
      <c r="C148" s="220">
        <f ca="1">SUMIFS(SBLC!$X:$X,SBLC!$T:$T,"Unpaid",SBLC!$R:$R,'DAILY UPDATE SHEET'!$A148,SBLC!$B:$B,$B$36,SBLC!$H:$H,"10%")</f>
        <v>0</v>
      </c>
      <c r="D148" s="220">
        <f ca="1">SUMIFS('LC-Final List'!$W:$W,'LC-Final List'!$AE:$AE,"Unpaid",'LC-Final List'!$Y:$Y,'DAILY UPDATE SHEET'!$A148,'LC-Final List'!$E:$E,'DAILY UPDATE SHEET'!D$36,'LC-Final List'!$F:$F,"10%")</f>
        <v>0</v>
      </c>
      <c r="E148" s="220">
        <f ca="1">SUMIFS(SBLC!$X:$X,SBLC!$T:$T,"Unpaid",SBLC!$R:$R,'DAILY UPDATE SHEET'!$A148,SBLC!$B:$B,$D$36,SBLC!$H:$H,"10%")</f>
        <v>0</v>
      </c>
      <c r="F148" s="220">
        <f ca="1">SUMIFS('LC-Final List'!$W:$W,'LC-Final List'!$AE:$AE,"Unpaid",'LC-Final List'!$Y:$Y,'DAILY UPDATE SHEET'!$A148,'LC-Final List'!$E:$E,'DAILY UPDATE SHEET'!F$36,'LC-Final List'!$F:$F,"10%")</f>
        <v>0</v>
      </c>
      <c r="G148" s="220">
        <f ca="1">SUMIFS(SBLC!$X:$X,SBLC!$T:$T,"Unpaid",SBLC!$R:$R,'DAILY UPDATE SHEET'!$A148,SBLC!$B:$B,$F$36,SBLC!$H:$H,"10%")</f>
        <v>0</v>
      </c>
      <c r="H148" s="220">
        <f t="shared" ca="1" si="12"/>
        <v>0</v>
      </c>
    </row>
    <row r="149" spans="1:15" hidden="1" x14ac:dyDescent="0.25">
      <c r="A149" s="83">
        <f t="shared" ca="1" si="11"/>
        <v>46289</v>
      </c>
      <c r="B149" s="220">
        <f ca="1">SUMIFS('LC-Final List'!$W:$W,'LC-Final List'!$AE:$AE,"Unpaid",'LC-Final List'!$Y:$Y,'DAILY UPDATE SHEET'!$A149,'LC-Final List'!$E:$E,'DAILY UPDATE SHEET'!B$36,'LC-Final List'!$F:$F,"10%")</f>
        <v>0</v>
      </c>
      <c r="C149" s="220">
        <f ca="1">SUMIFS(SBLC!$X:$X,SBLC!$T:$T,"Unpaid",SBLC!$R:$R,'DAILY UPDATE SHEET'!$A149,SBLC!$B:$B,$B$36,SBLC!$H:$H,"10%")</f>
        <v>0</v>
      </c>
      <c r="D149" s="220">
        <f ca="1">SUMIFS('LC-Final List'!$W:$W,'LC-Final List'!$AE:$AE,"Unpaid",'LC-Final List'!$Y:$Y,'DAILY UPDATE SHEET'!$A149,'LC-Final List'!$E:$E,'DAILY UPDATE SHEET'!D$36,'LC-Final List'!$F:$F,"10%")</f>
        <v>0</v>
      </c>
      <c r="E149" s="220">
        <f ca="1">SUMIFS(SBLC!$X:$X,SBLC!$T:$T,"Unpaid",SBLC!$R:$R,'DAILY UPDATE SHEET'!$A149,SBLC!$B:$B,$D$36,SBLC!$H:$H,"10%")</f>
        <v>0</v>
      </c>
      <c r="F149" s="220">
        <f ca="1">SUMIFS('LC-Final List'!$W:$W,'LC-Final List'!$AE:$AE,"Unpaid",'LC-Final List'!$Y:$Y,'DAILY UPDATE SHEET'!$A149,'LC-Final List'!$E:$E,'DAILY UPDATE SHEET'!F$36,'LC-Final List'!$F:$F,"10%")</f>
        <v>0</v>
      </c>
      <c r="G149" s="220">
        <f ca="1">SUMIFS(SBLC!$X:$X,SBLC!$T:$T,"Unpaid",SBLC!$R:$R,'DAILY UPDATE SHEET'!$A149,SBLC!$B:$B,$F$36,SBLC!$H:$H,"10%")</f>
        <v>0</v>
      </c>
      <c r="H149" s="220">
        <f t="shared" ca="1" si="12"/>
        <v>0</v>
      </c>
    </row>
    <row r="150" spans="1:15" hidden="1" x14ac:dyDescent="0.25">
      <c r="A150" s="83">
        <f t="shared" ca="1" si="11"/>
        <v>46290</v>
      </c>
      <c r="B150" s="220">
        <f ca="1">SUMIFS('LC-Final List'!$W:$W,'LC-Final List'!$AE:$AE,"Unpaid",'LC-Final List'!$Y:$Y,'DAILY UPDATE SHEET'!$A150,'LC-Final List'!$E:$E,'DAILY UPDATE SHEET'!B$36,'LC-Final List'!$F:$F,"10%")</f>
        <v>0</v>
      </c>
      <c r="C150" s="220">
        <f ca="1">SUMIFS(SBLC!$X:$X,SBLC!$T:$T,"Unpaid",SBLC!$R:$R,'DAILY UPDATE SHEET'!$A150,SBLC!$B:$B,$B$36,SBLC!$H:$H,"10%")</f>
        <v>0</v>
      </c>
      <c r="D150" s="220">
        <f ca="1">SUMIFS('LC-Final List'!$W:$W,'LC-Final List'!$AE:$AE,"Unpaid",'LC-Final List'!$Y:$Y,'DAILY UPDATE SHEET'!$A150,'LC-Final List'!$E:$E,'DAILY UPDATE SHEET'!D$36,'LC-Final List'!$F:$F,"10%")</f>
        <v>0</v>
      </c>
      <c r="E150" s="220">
        <f ca="1">SUMIFS(SBLC!$X:$X,SBLC!$T:$T,"Unpaid",SBLC!$R:$R,'DAILY UPDATE SHEET'!$A150,SBLC!$B:$B,$D$36,SBLC!$H:$H,"10%")</f>
        <v>0</v>
      </c>
      <c r="F150" s="220">
        <f ca="1">SUMIFS('LC-Final List'!$W:$W,'LC-Final List'!$AE:$AE,"Unpaid",'LC-Final List'!$Y:$Y,'DAILY UPDATE SHEET'!$A150,'LC-Final List'!$E:$E,'DAILY UPDATE SHEET'!F$36,'LC-Final List'!$F:$F,"10%")</f>
        <v>0</v>
      </c>
      <c r="G150" s="220">
        <f ca="1">SUMIFS(SBLC!$X:$X,SBLC!$T:$T,"Unpaid",SBLC!$R:$R,'DAILY UPDATE SHEET'!$A150,SBLC!$B:$B,$F$36,SBLC!$H:$H,"10%")</f>
        <v>0</v>
      </c>
      <c r="H150" s="220">
        <f t="shared" ca="1" si="12"/>
        <v>0</v>
      </c>
    </row>
    <row r="151" spans="1:15" hidden="1" x14ac:dyDescent="0.25">
      <c r="A151" s="83">
        <f t="shared" ca="1" si="11"/>
        <v>46291</v>
      </c>
      <c r="B151" s="220">
        <f ca="1">SUMIFS('LC-Final List'!$W:$W,'LC-Final List'!$AE:$AE,"Unpaid",'LC-Final List'!$Y:$Y,'DAILY UPDATE SHEET'!$A151,'LC-Final List'!$E:$E,'DAILY UPDATE SHEET'!B$36,'LC-Final List'!$F:$F,"10%")</f>
        <v>0</v>
      </c>
      <c r="C151" s="220">
        <f ca="1">SUMIFS(SBLC!$X:$X,SBLC!$T:$T,"Unpaid",SBLC!$R:$R,'DAILY UPDATE SHEET'!$A151,SBLC!$B:$B,$B$36,SBLC!$H:$H,"10%")</f>
        <v>0</v>
      </c>
      <c r="D151" s="220">
        <f ca="1">SUMIFS('LC-Final List'!$W:$W,'LC-Final List'!$AE:$AE,"Unpaid",'LC-Final List'!$Y:$Y,'DAILY UPDATE SHEET'!$A151,'LC-Final List'!$E:$E,'DAILY UPDATE SHEET'!D$36,'LC-Final List'!$F:$F,"10%")</f>
        <v>0</v>
      </c>
      <c r="E151" s="220">
        <f ca="1">SUMIFS(SBLC!$X:$X,SBLC!$T:$T,"Unpaid",SBLC!$R:$R,'DAILY UPDATE SHEET'!$A151,SBLC!$B:$B,$D$36,SBLC!$H:$H,"10%")</f>
        <v>0</v>
      </c>
      <c r="F151" s="220">
        <f ca="1">SUMIFS('LC-Final List'!$W:$W,'LC-Final List'!$AE:$AE,"Unpaid",'LC-Final List'!$Y:$Y,'DAILY UPDATE SHEET'!$A151,'LC-Final List'!$E:$E,'DAILY UPDATE SHEET'!F$36,'LC-Final List'!$F:$F,"10%")</f>
        <v>0</v>
      </c>
      <c r="G151" s="220">
        <f ca="1">SUMIFS(SBLC!$X:$X,SBLC!$T:$T,"Unpaid",SBLC!$R:$R,'DAILY UPDATE SHEET'!$A151,SBLC!$B:$B,$F$36,SBLC!$H:$H,"10%")</f>
        <v>0</v>
      </c>
      <c r="H151" s="220">
        <f t="shared" ca="1" si="12"/>
        <v>0</v>
      </c>
    </row>
    <row r="152" spans="1:15" hidden="1" x14ac:dyDescent="0.25">
      <c r="A152" s="83">
        <f t="shared" ca="1" si="11"/>
        <v>46292</v>
      </c>
      <c r="B152" s="220">
        <f ca="1">SUMIFS('LC-Final List'!$W:$W,'LC-Final List'!$AE:$AE,"Unpaid",'LC-Final List'!$Y:$Y,'DAILY UPDATE SHEET'!$A152,'LC-Final List'!$E:$E,'DAILY UPDATE SHEET'!B$36,'LC-Final List'!$F:$F,"10%")</f>
        <v>0</v>
      </c>
      <c r="C152" s="220">
        <f ca="1">SUMIFS(SBLC!$X:$X,SBLC!$T:$T,"Unpaid",SBLC!$R:$R,'DAILY UPDATE SHEET'!$A152,SBLC!$B:$B,$B$36,SBLC!$H:$H,"10%")</f>
        <v>0</v>
      </c>
      <c r="D152" s="220">
        <f ca="1">SUMIFS('LC-Final List'!$W:$W,'LC-Final List'!$AE:$AE,"Unpaid",'LC-Final List'!$Y:$Y,'DAILY UPDATE SHEET'!$A152,'LC-Final List'!$E:$E,'DAILY UPDATE SHEET'!D$36,'LC-Final List'!$F:$F,"10%")</f>
        <v>0</v>
      </c>
      <c r="E152" s="220">
        <f ca="1">SUMIFS(SBLC!$X:$X,SBLC!$T:$T,"Unpaid",SBLC!$R:$R,'DAILY UPDATE SHEET'!$A152,SBLC!$B:$B,$D$36,SBLC!$H:$H,"10%")</f>
        <v>0</v>
      </c>
      <c r="F152" s="220">
        <f ca="1">SUMIFS('LC-Final List'!$W:$W,'LC-Final List'!$AE:$AE,"Unpaid",'LC-Final List'!$Y:$Y,'DAILY UPDATE SHEET'!$A152,'LC-Final List'!$E:$E,'DAILY UPDATE SHEET'!F$36,'LC-Final List'!$F:$F,"10%")</f>
        <v>0</v>
      </c>
      <c r="G152" s="220">
        <f ca="1">SUMIFS(SBLC!$X:$X,SBLC!$T:$T,"Unpaid",SBLC!$R:$R,'DAILY UPDATE SHEET'!$A152,SBLC!$B:$B,$F$36,SBLC!$H:$H,"10%")</f>
        <v>0</v>
      </c>
      <c r="H152" s="220">
        <f t="shared" ca="1" si="12"/>
        <v>0</v>
      </c>
    </row>
    <row r="153" spans="1:15" x14ac:dyDescent="0.25">
      <c r="A153" s="276" t="s">
        <v>12</v>
      </c>
      <c r="B153" s="644">
        <f ca="1">SUM(B38:B152)</f>
        <v>3401797533.1199999</v>
      </c>
      <c r="C153" s="644">
        <f t="shared" ref="C153:H153" ca="1" si="13">SUM(C38:C152)</f>
        <v>1137526439.2005</v>
      </c>
      <c r="D153" s="644">
        <f t="shared" ca="1" si="13"/>
        <v>441837238.08000004</v>
      </c>
      <c r="E153" s="644">
        <f t="shared" ca="1" si="13"/>
        <v>166925928.80000001</v>
      </c>
      <c r="F153" s="644">
        <f t="shared" ca="1" si="13"/>
        <v>573385204.80000007</v>
      </c>
      <c r="G153" s="644">
        <f t="shared" ca="1" si="13"/>
        <v>820589196.9000001</v>
      </c>
      <c r="H153" s="644">
        <f t="shared" ca="1" si="13"/>
        <v>6542061540.9005013</v>
      </c>
    </row>
    <row r="155" spans="1:15" ht="18.75" x14ac:dyDescent="0.3">
      <c r="A155" s="274" t="s">
        <v>1332</v>
      </c>
      <c r="E155" s="274" t="s">
        <v>93</v>
      </c>
      <c r="J155" s="254"/>
      <c r="K155" s="274" t="s">
        <v>94</v>
      </c>
    </row>
    <row r="156" spans="1:15" x14ac:dyDescent="0.25">
      <c r="E156" s="351"/>
    </row>
    <row r="157" spans="1:15" ht="30" x14ac:dyDescent="0.25">
      <c r="A157" s="352" t="s">
        <v>5</v>
      </c>
      <c r="B157" s="352" t="s">
        <v>90</v>
      </c>
      <c r="C157" s="352" t="s">
        <v>91</v>
      </c>
      <c r="E157" s="339" t="s">
        <v>95</v>
      </c>
      <c r="F157" s="340" t="s">
        <v>1</v>
      </c>
      <c r="G157" s="340" t="s">
        <v>2</v>
      </c>
      <c r="H157" s="340" t="s">
        <v>3</v>
      </c>
      <c r="I157" s="340" t="s">
        <v>6</v>
      </c>
      <c r="K157" s="339" t="s">
        <v>96</v>
      </c>
      <c r="L157" s="340" t="s">
        <v>1</v>
      </c>
      <c r="M157" s="340" t="s">
        <v>2</v>
      </c>
      <c r="N157" s="340" t="s">
        <v>3</v>
      </c>
      <c r="O157" s="340" t="s">
        <v>6</v>
      </c>
    </row>
    <row r="158" spans="1:15" x14ac:dyDescent="0.25">
      <c r="A158" s="353">
        <v>46143</v>
      </c>
      <c r="B158" s="443">
        <f>SUMIFS('LC-Final List'!$W:$W, 'LC-Final List'!$AC:$AC, $A158, 'LC-Final List'!$AE:$AE, "*Unpaid*")</f>
        <v>0</v>
      </c>
      <c r="C158" s="145">
        <v>0</v>
      </c>
      <c r="E158" s="476">
        <f ca="1">A38</f>
        <v>46178</v>
      </c>
      <c r="F158" s="220"/>
      <c r="G158" s="220"/>
      <c r="H158" s="220"/>
      <c r="I158" s="443">
        <f>SUM(F158:H158)</f>
        <v>0</v>
      </c>
      <c r="K158" s="476">
        <f ca="1">E158</f>
        <v>46178</v>
      </c>
      <c r="L158" s="220"/>
      <c r="M158" s="220"/>
      <c r="N158" s="220"/>
      <c r="O158" s="443">
        <f>SUM(L158:N158)</f>
        <v>0</v>
      </c>
    </row>
    <row r="159" spans="1:15" x14ac:dyDescent="0.25">
      <c r="A159" s="353">
        <v>46174</v>
      </c>
      <c r="B159" s="443">
        <f>SUMIFS('LC-Final List'!$W:$W, 'LC-Final List'!$AC:$AC, $A159, 'LC-Final List'!$AE:$AE, "*Unpaid*")</f>
        <v>3038331952.3199997</v>
      </c>
      <c r="C159" s="145">
        <v>0</v>
      </c>
      <c r="E159" s="476">
        <f t="shared" ref="E159:E164" ca="1" si="14">A39</f>
        <v>46179</v>
      </c>
      <c r="F159" s="220"/>
      <c r="G159" s="220"/>
      <c r="H159" s="220"/>
      <c r="I159" s="443">
        <f t="shared" ref="I159:I167" si="15">SUM(F159:H159)</f>
        <v>0</v>
      </c>
      <c r="K159" s="476">
        <f t="shared" ref="K159:K164" ca="1" si="16">E159</f>
        <v>46179</v>
      </c>
      <c r="L159" s="220"/>
      <c r="M159" s="220"/>
      <c r="N159" s="220"/>
      <c r="O159" s="443">
        <f t="shared" ref="O159:O167" si="17">SUM(L159:N159)</f>
        <v>0</v>
      </c>
    </row>
    <row r="160" spans="1:15" x14ac:dyDescent="0.25">
      <c r="A160" s="353">
        <v>46204</v>
      </c>
      <c r="B160" s="443">
        <f>SUMIFS('LC-Final List'!$W:$W, 'LC-Final List'!$AC:$AC, $A160, 'LC-Final List'!$AE:$AE, "*Unpaid*")</f>
        <v>1226820631.6800001</v>
      </c>
      <c r="C160" s="443">
        <f>SUMIFS(SBLC!$X:$X,SBLC!S:S,'DAILY UPDATE SHEET'!$A160,SBLC!T:T,"Unpaid")</f>
        <v>1734039498.0504999</v>
      </c>
      <c r="E160" s="476">
        <f t="shared" ca="1" si="14"/>
        <v>46180</v>
      </c>
      <c r="F160" s="220"/>
      <c r="G160" s="220"/>
      <c r="H160" s="220"/>
      <c r="I160" s="443">
        <f t="shared" si="15"/>
        <v>0</v>
      </c>
      <c r="K160" s="476">
        <f t="shared" ca="1" si="16"/>
        <v>46180</v>
      </c>
      <c r="L160" s="220"/>
      <c r="M160" s="220"/>
      <c r="N160" s="220"/>
      <c r="O160" s="443">
        <f t="shared" si="17"/>
        <v>0</v>
      </c>
    </row>
    <row r="161" spans="1:15" x14ac:dyDescent="0.25">
      <c r="A161" s="353">
        <v>46235</v>
      </c>
      <c r="B161" s="443">
        <f>SUMIFS('LC-Final List'!$W:$W, 'LC-Final List'!$AC:$AC, $A161, 'LC-Final List'!$AE:$AE, "*Unpaid*")</f>
        <v>28999680</v>
      </c>
      <c r="C161" s="443">
        <f>SUMIFS(SBLC!$X:$X,SBLC!S:S,'DAILY UPDATE SHEET'!$A161,SBLC!T:T,"Unpaid")</f>
        <v>268263069.10000002</v>
      </c>
      <c r="E161" s="476">
        <f t="shared" ca="1" si="14"/>
        <v>46181</v>
      </c>
      <c r="F161" s="220"/>
      <c r="G161" s="220"/>
      <c r="H161" s="220"/>
      <c r="I161" s="443">
        <f t="shared" si="15"/>
        <v>0</v>
      </c>
      <c r="K161" s="476">
        <f t="shared" ca="1" si="16"/>
        <v>46181</v>
      </c>
      <c r="L161" s="220"/>
      <c r="M161" s="220"/>
      <c r="N161" s="220"/>
      <c r="O161" s="443">
        <f t="shared" si="17"/>
        <v>0</v>
      </c>
    </row>
    <row r="162" spans="1:15" x14ac:dyDescent="0.25">
      <c r="A162" s="353">
        <v>46266</v>
      </c>
      <c r="B162" s="443">
        <f>SUMIFS('LC-Final List'!$W:$W, 'LC-Final List'!$AC:$AC, $A162, 'LC-Final List'!$AE:$AE, "*Unpaid*")</f>
        <v>122867712</v>
      </c>
      <c r="C162" s="443">
        <f>SUMIFS(SBLC!$X:$X,SBLC!S:S,'DAILY UPDATE SHEET'!$A162,SBLC!T:T,"Unpaid")</f>
        <v>122738997.75</v>
      </c>
      <c r="E162" s="476">
        <f t="shared" ca="1" si="14"/>
        <v>46182</v>
      </c>
      <c r="F162" s="220"/>
      <c r="G162" s="220"/>
      <c r="H162" s="220"/>
      <c r="I162" s="443">
        <f t="shared" si="15"/>
        <v>0</v>
      </c>
      <c r="K162" s="476">
        <f t="shared" ca="1" si="16"/>
        <v>46182</v>
      </c>
      <c r="L162" s="220"/>
      <c r="M162" s="220"/>
      <c r="N162" s="220"/>
      <c r="O162" s="443">
        <f t="shared" si="17"/>
        <v>0</v>
      </c>
    </row>
    <row r="163" spans="1:15" x14ac:dyDescent="0.25">
      <c r="A163" s="353">
        <v>46296</v>
      </c>
      <c r="B163" s="443">
        <f>SUMIFS('LC-Final List'!$W:$W, 'LC-Final List'!$AC:$AC, $A163, 'LC-Final List'!$AE:$AE, "*Unpaid*")</f>
        <v>0</v>
      </c>
      <c r="C163" s="443">
        <f>SUMIFS(SBLC!$X:$X,SBLC!S:S,'DAILY UPDATE SHEET'!$A163,SBLC!T:T,"Unpaid")</f>
        <v>0</v>
      </c>
      <c r="E163" s="476">
        <f t="shared" ca="1" si="14"/>
        <v>46183</v>
      </c>
      <c r="F163" s="220"/>
      <c r="G163" s="220"/>
      <c r="H163" s="220"/>
      <c r="I163" s="443">
        <f t="shared" si="15"/>
        <v>0</v>
      </c>
      <c r="K163" s="476">
        <f t="shared" ca="1" si="16"/>
        <v>46183</v>
      </c>
      <c r="L163" s="220"/>
      <c r="M163" s="220"/>
      <c r="N163" s="220"/>
      <c r="O163" s="443">
        <f t="shared" si="17"/>
        <v>0</v>
      </c>
    </row>
    <row r="164" spans="1:15" x14ac:dyDescent="0.25">
      <c r="A164" s="353">
        <v>46327</v>
      </c>
      <c r="B164" s="443">
        <f>SUMIFS('LC-Final List'!$W:$W, 'LC-Final List'!$AC:$AC, $A164, 'LC-Final List'!$AE:$AE, "*Unpaid*")</f>
        <v>0</v>
      </c>
      <c r="C164" s="443">
        <f>SUMIFS(SBLC!$X:$X,SBLC!S:S,'DAILY UPDATE SHEET'!$A164,SBLC!T:T,"Unpaid")</f>
        <v>646259925.70000005</v>
      </c>
      <c r="E164" s="476">
        <f t="shared" ca="1" si="14"/>
        <v>46184</v>
      </c>
      <c r="F164" s="220"/>
      <c r="G164" s="220"/>
      <c r="H164" s="220"/>
      <c r="I164" s="443">
        <f t="shared" si="15"/>
        <v>0</v>
      </c>
      <c r="K164" s="476">
        <f t="shared" ca="1" si="16"/>
        <v>46184</v>
      </c>
      <c r="L164" s="220"/>
      <c r="M164" s="220"/>
      <c r="N164" s="220"/>
      <c r="O164" s="443">
        <f t="shared" si="17"/>
        <v>0</v>
      </c>
    </row>
    <row r="165" spans="1:15" x14ac:dyDescent="0.25">
      <c r="A165" s="353">
        <v>46357</v>
      </c>
      <c r="B165" s="443">
        <f>SUMIFS('LC-Final List'!$W:$W, 'LC-Final List'!$AC:$AC, $A165, 'LC-Final List'!$AE:$AE, "*Unpaid*")</f>
        <v>0</v>
      </c>
      <c r="C165" s="443">
        <f>SUMIFS(SBLC!$X:$X,SBLC!S:S,'DAILY UPDATE SHEET'!$A165,SBLC!T:T,"Unpaid")</f>
        <v>8837386.4000000004</v>
      </c>
      <c r="E165" s="476">
        <f t="shared" ref="E165" ca="1" si="18">A45</f>
        <v>46185</v>
      </c>
      <c r="F165" s="220"/>
      <c r="G165" s="220"/>
      <c r="H165" s="220"/>
      <c r="I165" s="443">
        <f t="shared" si="15"/>
        <v>0</v>
      </c>
      <c r="K165" s="476">
        <f ca="1">E165</f>
        <v>46185</v>
      </c>
      <c r="L165" s="220"/>
      <c r="M165" s="220"/>
      <c r="N165" s="220"/>
      <c r="O165" s="443">
        <f t="shared" si="17"/>
        <v>0</v>
      </c>
    </row>
    <row r="166" spans="1:15" x14ac:dyDescent="0.25">
      <c r="A166" s="353"/>
      <c r="B166" s="145"/>
      <c r="C166" s="443">
        <f>SUMIFS(SBLC!$Q:$Q,SBLC!S:S,'DAILY UPDATE SHEET'!$A166,SBLC!T:T,"Unpaid")</f>
        <v>0</v>
      </c>
      <c r="E166" s="476">
        <f t="shared" ref="E166:E167" ca="1" si="19">A46</f>
        <v>46186</v>
      </c>
      <c r="F166" s="220"/>
      <c r="G166" s="220"/>
      <c r="H166" s="220"/>
      <c r="I166" s="443">
        <f t="shared" si="15"/>
        <v>0</v>
      </c>
      <c r="K166" s="476">
        <f t="shared" ref="K166:K167" ca="1" si="20">E166</f>
        <v>46186</v>
      </c>
      <c r="L166" s="220"/>
      <c r="M166" s="220"/>
      <c r="N166" s="220"/>
      <c r="O166" s="443">
        <f t="shared" si="17"/>
        <v>0</v>
      </c>
    </row>
    <row r="167" spans="1:15" x14ac:dyDescent="0.25">
      <c r="A167" s="354" t="s">
        <v>12</v>
      </c>
      <c r="B167" s="475">
        <f>SUM(B158:B166)</f>
        <v>4417019976</v>
      </c>
      <c r="C167" s="475">
        <f>SUM(C158:C166)</f>
        <v>2780138877.0005002</v>
      </c>
      <c r="E167" s="476">
        <f t="shared" ca="1" si="19"/>
        <v>46187</v>
      </c>
      <c r="F167" s="220"/>
      <c r="G167" s="220"/>
      <c r="H167" s="220"/>
      <c r="I167" s="443">
        <f t="shared" si="15"/>
        <v>0</v>
      </c>
      <c r="K167" s="476">
        <f t="shared" ca="1" si="20"/>
        <v>46187</v>
      </c>
      <c r="L167" s="220"/>
      <c r="M167" s="220"/>
      <c r="N167" s="220"/>
      <c r="O167" s="443">
        <f t="shared" si="17"/>
        <v>0</v>
      </c>
    </row>
    <row r="168" spans="1:15" x14ac:dyDescent="0.25">
      <c r="A168" s="371"/>
      <c r="B168" s="348"/>
      <c r="C168" s="348"/>
      <c r="E168" s="411" t="s">
        <v>49</v>
      </c>
      <c r="F168" s="477">
        <f>SUM(F158:F167)</f>
        <v>0</v>
      </c>
      <c r="G168" s="477">
        <f t="shared" ref="G168:H168" si="21">SUM(G158:G167)</f>
        <v>0</v>
      </c>
      <c r="H168" s="477">
        <f t="shared" si="21"/>
        <v>0</v>
      </c>
      <c r="I168" s="412">
        <v>0</v>
      </c>
      <c r="J168" s="351"/>
      <c r="K168" s="411" t="s">
        <v>49</v>
      </c>
      <c r="L168" s="477">
        <f>SUM(L158:L167)</f>
        <v>0</v>
      </c>
      <c r="M168" s="477">
        <f t="shared" ref="M168" si="22">SUM(M158:M167)</f>
        <v>0</v>
      </c>
      <c r="N168" s="477">
        <f t="shared" ref="N168" si="23">SUM(N158:N167)</f>
        <v>0</v>
      </c>
      <c r="O168" s="412">
        <v>0</v>
      </c>
    </row>
    <row r="169" spans="1:15" x14ac:dyDescent="0.25">
      <c r="A169" s="371"/>
      <c r="B169" s="348"/>
      <c r="C169" s="348"/>
      <c r="E169" s="413"/>
      <c r="F169" s="414"/>
      <c r="G169" s="414"/>
      <c r="H169" s="414"/>
      <c r="I169" s="415"/>
      <c r="J169" s="351"/>
      <c r="K169" s="413"/>
      <c r="L169" s="414"/>
      <c r="M169" s="414"/>
      <c r="N169" s="414"/>
      <c r="O169" s="415"/>
    </row>
    <row r="170" spans="1:15" ht="18.75" x14ac:dyDescent="0.3">
      <c r="A170" s="274" t="s">
        <v>13</v>
      </c>
      <c r="B170" s="2"/>
    </row>
    <row r="171" spans="1:15" x14ac:dyDescent="0.25">
      <c r="B171" t="s">
        <v>15</v>
      </c>
    </row>
    <row r="172" spans="1:15" hidden="1" x14ac:dyDescent="0.25">
      <c r="A172" s="273" t="s">
        <v>1317</v>
      </c>
      <c r="B172" t="s">
        <v>1282</v>
      </c>
    </row>
    <row r="173" spans="1:15" ht="18.75" hidden="1" x14ac:dyDescent="0.3">
      <c r="A173" s="274"/>
      <c r="B173" s="2"/>
    </row>
    <row r="174" spans="1:15" ht="15.75" thickBot="1" x14ac:dyDescent="0.3">
      <c r="A174" s="273" t="s">
        <v>14</v>
      </c>
      <c r="B174" s="273" t="s">
        <v>15</v>
      </c>
    </row>
    <row r="175" spans="1:15" ht="15.75" thickBot="1" x14ac:dyDescent="0.3">
      <c r="A175" s="402"/>
      <c r="B175" s="398" t="s">
        <v>146</v>
      </c>
      <c r="C175" s="399"/>
      <c r="D175" s="410" t="s">
        <v>16</v>
      </c>
      <c r="E175" s="404"/>
      <c r="F175" s="398" t="s">
        <v>17</v>
      </c>
      <c r="G175" s="399"/>
      <c r="H175" s="407"/>
      <c r="I175" s="400" t="s">
        <v>18</v>
      </c>
      <c r="J175" s="401" t="s">
        <v>19</v>
      </c>
    </row>
    <row r="176" spans="1:15" ht="15.75" thickBot="1" x14ac:dyDescent="0.3">
      <c r="A176" s="397" t="s">
        <v>20</v>
      </c>
      <c r="B176" s="405" t="s">
        <v>1</v>
      </c>
      <c r="C176" s="406" t="s">
        <v>2</v>
      </c>
      <c r="D176" s="408" t="s">
        <v>1</v>
      </c>
      <c r="E176" s="409" t="s">
        <v>2</v>
      </c>
      <c r="F176" s="405" t="s">
        <v>1</v>
      </c>
      <c r="G176" s="395" t="s">
        <v>2</v>
      </c>
      <c r="H176" s="406" t="s">
        <v>3</v>
      </c>
      <c r="I176" s="396" t="s">
        <v>2</v>
      </c>
      <c r="J176" s="403"/>
    </row>
    <row r="177" spans="1:10" x14ac:dyDescent="0.25">
      <c r="A177" s="292">
        <v>46178</v>
      </c>
      <c r="B177" s="285"/>
      <c r="C177" s="285"/>
      <c r="D177" s="285"/>
      <c r="E177" s="285"/>
      <c r="F177" s="285">
        <v>130279233.60000001</v>
      </c>
      <c r="G177" s="285"/>
      <c r="H177" s="285"/>
      <c r="I177" s="285"/>
      <c r="J177" s="285">
        <v>130279233.60000001</v>
      </c>
    </row>
    <row r="178" spans="1:10" x14ac:dyDescent="0.25">
      <c r="A178" s="292">
        <v>46184</v>
      </c>
      <c r="B178" s="271"/>
      <c r="C178" s="271"/>
      <c r="D178" s="271"/>
      <c r="E178" s="271"/>
      <c r="F178" s="271">
        <v>484338009.60000002</v>
      </c>
      <c r="G178" s="271"/>
      <c r="H178" s="271"/>
      <c r="I178" s="271"/>
      <c r="J178" s="271">
        <v>484338009.60000002</v>
      </c>
    </row>
    <row r="179" spans="1:10" x14ac:dyDescent="0.25">
      <c r="A179" s="292">
        <v>46186</v>
      </c>
      <c r="B179" s="271"/>
      <c r="C179" s="271"/>
      <c r="D179" s="271"/>
      <c r="E179" s="271"/>
      <c r="F179" s="271">
        <v>241952968.31999999</v>
      </c>
      <c r="G179" s="271"/>
      <c r="H179" s="271"/>
      <c r="I179" s="271"/>
      <c r="J179" s="271">
        <v>241952968.31999999</v>
      </c>
    </row>
    <row r="180" spans="1:10" x14ac:dyDescent="0.25">
      <c r="A180" s="292">
        <v>46187</v>
      </c>
      <c r="B180" s="271"/>
      <c r="C180" s="271"/>
      <c r="D180" s="271"/>
      <c r="E180" s="271"/>
      <c r="F180" s="271">
        <v>550951603.20000005</v>
      </c>
      <c r="G180" s="271"/>
      <c r="H180" s="271">
        <v>169992000</v>
      </c>
      <c r="I180" s="271"/>
      <c r="J180" s="271">
        <v>720943603.20000005</v>
      </c>
    </row>
    <row r="181" spans="1:10" x14ac:dyDescent="0.25">
      <c r="A181" s="292">
        <v>46190</v>
      </c>
      <c r="B181" s="271"/>
      <c r="C181" s="271"/>
      <c r="D181" s="271"/>
      <c r="E181" s="271"/>
      <c r="F181" s="271">
        <v>594448436.352</v>
      </c>
      <c r="G181" s="271"/>
      <c r="H181" s="271">
        <v>232502400</v>
      </c>
      <c r="I181" s="271"/>
      <c r="J181" s="271">
        <v>826950836.352</v>
      </c>
    </row>
    <row r="182" spans="1:10" x14ac:dyDescent="0.25">
      <c r="A182" s="292">
        <v>46191</v>
      </c>
      <c r="B182" s="271"/>
      <c r="C182" s="271"/>
      <c r="D182" s="271"/>
      <c r="E182" s="271"/>
      <c r="F182" s="271">
        <v>76898304</v>
      </c>
      <c r="G182" s="271"/>
      <c r="H182" s="271"/>
      <c r="I182" s="271"/>
      <c r="J182" s="271">
        <v>76898304</v>
      </c>
    </row>
    <row r="183" spans="1:10" x14ac:dyDescent="0.25">
      <c r="A183" s="292">
        <v>46192</v>
      </c>
      <c r="B183" s="271">
        <v>333708705.792</v>
      </c>
      <c r="C183" s="271"/>
      <c r="D183" s="271"/>
      <c r="E183" s="271"/>
      <c r="F183" s="271">
        <v>130460496.96000001</v>
      </c>
      <c r="G183" s="271"/>
      <c r="H183" s="271"/>
      <c r="I183" s="271"/>
      <c r="J183" s="271">
        <v>464169202.75199997</v>
      </c>
    </row>
    <row r="184" spans="1:10" x14ac:dyDescent="0.25">
      <c r="A184" s="292">
        <v>46197</v>
      </c>
      <c r="B184" s="271"/>
      <c r="C184" s="271">
        <v>825702.72</v>
      </c>
      <c r="D184" s="271"/>
      <c r="E184" s="271"/>
      <c r="F184" s="271">
        <v>182793600</v>
      </c>
      <c r="G184" s="271">
        <v>358259177.28000003</v>
      </c>
      <c r="H184" s="271"/>
      <c r="I184" s="271"/>
      <c r="J184" s="271">
        <v>541878480</v>
      </c>
    </row>
    <row r="185" spans="1:10" x14ac:dyDescent="0.25">
      <c r="A185" s="292">
        <v>46198</v>
      </c>
      <c r="B185" s="271"/>
      <c r="C185" s="271"/>
      <c r="D185" s="271"/>
      <c r="E185" s="271"/>
      <c r="F185" s="271">
        <v>6344064</v>
      </c>
      <c r="G185" s="271"/>
      <c r="H185" s="271"/>
      <c r="I185" s="271"/>
      <c r="J185" s="271">
        <v>6344064</v>
      </c>
    </row>
    <row r="186" spans="1:10" x14ac:dyDescent="0.25">
      <c r="A186" s="292">
        <v>46204</v>
      </c>
      <c r="B186" s="271"/>
      <c r="C186" s="271"/>
      <c r="D186" s="271"/>
      <c r="E186" s="271"/>
      <c r="F186" s="271">
        <v>105580800</v>
      </c>
      <c r="G186" s="271"/>
      <c r="H186" s="271"/>
      <c r="I186" s="271"/>
      <c r="J186" s="271">
        <v>105580800</v>
      </c>
    </row>
    <row r="187" spans="1:10" x14ac:dyDescent="0.25">
      <c r="A187" s="292">
        <v>46207</v>
      </c>
      <c r="B187" s="271"/>
      <c r="C187" s="271"/>
      <c r="D187" s="271"/>
      <c r="E187" s="271"/>
      <c r="F187" s="271"/>
      <c r="G187" s="271"/>
      <c r="H187" s="271">
        <v>45771969.600000001</v>
      </c>
      <c r="I187" s="271"/>
      <c r="J187" s="271">
        <v>45771969.600000001</v>
      </c>
    </row>
    <row r="188" spans="1:10" x14ac:dyDescent="0.25">
      <c r="A188" s="292">
        <v>46212</v>
      </c>
      <c r="B188" s="271"/>
      <c r="C188" s="271"/>
      <c r="D188" s="271"/>
      <c r="E188" s="271"/>
      <c r="F188" s="271">
        <v>93888000</v>
      </c>
      <c r="G188" s="271"/>
      <c r="H188" s="271"/>
      <c r="I188" s="271"/>
      <c r="J188" s="271">
        <v>93888000</v>
      </c>
    </row>
    <row r="189" spans="1:10" x14ac:dyDescent="0.25">
      <c r="A189" s="292">
        <v>46213</v>
      </c>
      <c r="B189" s="271"/>
      <c r="C189" s="271"/>
      <c r="D189" s="271"/>
      <c r="E189" s="271"/>
      <c r="F189" s="271">
        <v>98082793.920000002</v>
      </c>
      <c r="G189" s="271"/>
      <c r="H189" s="271"/>
      <c r="I189" s="271"/>
      <c r="J189" s="271">
        <v>98082793.920000002</v>
      </c>
    </row>
    <row r="190" spans="1:10" x14ac:dyDescent="0.25">
      <c r="A190" s="292">
        <v>46219</v>
      </c>
      <c r="B190" s="271"/>
      <c r="C190" s="271"/>
      <c r="D190" s="271">
        <v>57673728</v>
      </c>
      <c r="E190" s="271"/>
      <c r="F190" s="271"/>
      <c r="G190" s="271"/>
      <c r="H190" s="271"/>
      <c r="I190" s="271"/>
      <c r="J190" s="271">
        <v>57673728</v>
      </c>
    </row>
    <row r="191" spans="1:10" x14ac:dyDescent="0.25">
      <c r="A191" s="292">
        <v>46220</v>
      </c>
      <c r="B191" s="271"/>
      <c r="C191" s="271"/>
      <c r="D191" s="271">
        <v>53705760</v>
      </c>
      <c r="E191" s="271"/>
      <c r="F191" s="271"/>
      <c r="G191" s="271"/>
      <c r="H191" s="271"/>
      <c r="I191" s="271"/>
      <c r="J191" s="271">
        <v>53705760</v>
      </c>
    </row>
    <row r="192" spans="1:10" x14ac:dyDescent="0.25">
      <c r="A192" s="292">
        <v>46224</v>
      </c>
      <c r="B192" s="271"/>
      <c r="C192" s="271"/>
      <c r="D192" s="271"/>
      <c r="E192" s="271"/>
      <c r="F192" s="271"/>
      <c r="G192" s="271"/>
      <c r="H192" s="271"/>
      <c r="I192" s="271">
        <v>49147084.799999997</v>
      </c>
      <c r="J192" s="271">
        <v>49147084.799999997</v>
      </c>
    </row>
    <row r="193" spans="1:10" x14ac:dyDescent="0.25">
      <c r="A193" s="292">
        <v>46235</v>
      </c>
      <c r="B193" s="271"/>
      <c r="C193" s="271"/>
      <c r="D193" s="271">
        <v>160043352</v>
      </c>
      <c r="E193" s="271"/>
      <c r="F193" s="271"/>
      <c r="G193" s="271"/>
      <c r="H193" s="271"/>
      <c r="I193" s="271"/>
      <c r="J193" s="271">
        <v>160043352</v>
      </c>
    </row>
    <row r="194" spans="1:10" x14ac:dyDescent="0.25">
      <c r="A194" s="292">
        <v>46250</v>
      </c>
      <c r="B194" s="271"/>
      <c r="C194" s="271"/>
      <c r="D194" s="271"/>
      <c r="E194" s="271">
        <v>22579200</v>
      </c>
      <c r="F194" s="271"/>
      <c r="G194" s="271"/>
      <c r="H194" s="271"/>
      <c r="I194" s="271"/>
      <c r="J194" s="271">
        <v>22579200</v>
      </c>
    </row>
    <row r="195" spans="1:10" x14ac:dyDescent="0.25">
      <c r="A195" s="292">
        <v>46255</v>
      </c>
      <c r="B195" s="271"/>
      <c r="C195" s="271"/>
      <c r="D195" s="271"/>
      <c r="E195" s="271">
        <v>6420480</v>
      </c>
      <c r="F195" s="271"/>
      <c r="G195" s="271"/>
      <c r="H195" s="271"/>
      <c r="I195" s="271"/>
      <c r="J195" s="271">
        <v>6420480</v>
      </c>
    </row>
    <row r="196" spans="1:10" x14ac:dyDescent="0.25">
      <c r="A196" s="292">
        <v>46280</v>
      </c>
      <c r="B196" s="271"/>
      <c r="C196" s="271"/>
      <c r="D196" s="271">
        <v>122867712</v>
      </c>
      <c r="E196" s="271"/>
      <c r="F196" s="271"/>
      <c r="G196" s="271"/>
      <c r="H196" s="271"/>
      <c r="I196" s="271"/>
      <c r="J196" s="271">
        <v>122867712</v>
      </c>
    </row>
    <row r="197" spans="1:10" x14ac:dyDescent="0.25">
      <c r="A197" s="90" t="s">
        <v>21</v>
      </c>
      <c r="B197" s="271">
        <v>0</v>
      </c>
      <c r="C197" s="271"/>
      <c r="D197" s="271">
        <v>0</v>
      </c>
      <c r="E197" s="271"/>
      <c r="F197" s="271">
        <v>0</v>
      </c>
      <c r="G197" s="271"/>
      <c r="H197" s="271"/>
      <c r="I197" s="271"/>
      <c r="J197" s="271">
        <v>0</v>
      </c>
    </row>
    <row r="198" spans="1:10" x14ac:dyDescent="0.25">
      <c r="A198" s="46" t="s">
        <v>19</v>
      </c>
      <c r="B198" s="270">
        <v>333708705.792</v>
      </c>
      <c r="C198" s="270">
        <v>825702.72</v>
      </c>
      <c r="D198" s="270">
        <v>394290552</v>
      </c>
      <c r="E198" s="270">
        <v>28999680</v>
      </c>
      <c r="F198" s="270">
        <v>2696018309.9520001</v>
      </c>
      <c r="G198" s="270">
        <v>358259177.28000003</v>
      </c>
      <c r="H198" s="270">
        <v>448266369.60000002</v>
      </c>
      <c r="I198" s="270">
        <v>49147084.799999997</v>
      </c>
      <c r="J198" s="270">
        <v>4309515582.1440001</v>
      </c>
    </row>
  </sheetData>
  <autoFilter ref="A35:O153" xr:uid="{4FFF984F-266D-4D57-9F51-73F1134007A1}">
    <filterColumn colId="7">
      <filters blank="1">
        <filter val="1,31,97,600"/>
        <filter val="10,37,36,160"/>
        <filter val="11,98,03,139"/>
        <filter val="12,23,53,701"/>
        <filter val="12,27,38,998"/>
        <filter val="12,28,67,712"/>
        <filter val="12,29,47,398"/>
        <filter val="12,74,72,226"/>
        <filter val="12,89,10,948"/>
        <filter val="13,53,46,016"/>
        <filter val="16,00,43,352"/>
        <filter val="18,19,05,228"/>
        <filter val="2,25,79,200"/>
        <filter val="2,61,55,411"/>
        <filter val="24,19,52,921"/>
        <filter val="25,93,07,002"/>
        <filter val="26,30,34,684"/>
        <filter val="27,96,51,351"/>
        <filter val="31,73,52,974"/>
        <filter val="4,37,37,415"/>
        <filter val="4,41,86,931"/>
        <filter val="4,43,84,787"/>
        <filter val="4,57,71,970"/>
        <filter val="4,69,44,000"/>
        <filter val="4,91,47,085"/>
        <filter val="47,60,51,177"/>
        <filter val="5,07,80,403"/>
        <filter val="5,23,10,822"/>
        <filter val="5,37,05,760"/>
        <filter val="53,07,78,358"/>
        <filter val="54,50,99,450"/>
        <filter val="6,54,20,61,541"/>
        <filter val="60,91,25,272"/>
        <filter val="63,44,064"/>
        <filter val="64,20,480"/>
        <filter val="7,19,27,381"/>
        <filter val="7,68,98,304"/>
        <filter val="78,67,22,062"/>
        <filter val="8,34,25,799"/>
        <filter val="PAYABLE AMOUNT (INR)"/>
      </filters>
    </filterColumn>
  </autoFilter>
  <mergeCells count="2">
    <mergeCell ref="H36:H37"/>
    <mergeCell ref="A36:A37"/>
  </mergeCells>
  <conditionalFormatting sqref="B23:E24">
    <cfRule type="expression" dxfId="2" priority="1">
      <formula>B23&gt;0.8</formula>
    </cfRule>
    <cfRule type="expression" dxfId="1" priority="2">
      <formula>AND(ISNUMBER(B23), B23&lt;=0.6)</formula>
    </cfRule>
    <cfRule type="expression" dxfId="0" priority="3">
      <formula>AND(B23&gt;0.6, B23&lt;=0.8)</formula>
    </cfRule>
  </conditionalFormatting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4B12C-A62A-4C7B-945A-16B9CF931933}">
  <dimension ref="A1:AH73"/>
  <sheetViews>
    <sheetView workbookViewId="0"/>
  </sheetViews>
  <sheetFormatPr defaultRowHeight="15" x14ac:dyDescent="0.25"/>
  <cols>
    <col min="1" max="1" width="17.7109375" bestFit="1" customWidth="1"/>
    <col min="2" max="2" width="11.42578125" customWidth="1"/>
    <col min="3" max="3" width="10.42578125" bestFit="1" customWidth="1"/>
    <col min="4" max="4" width="11.42578125" bestFit="1" customWidth="1"/>
    <col min="5" max="6" width="17.28515625" bestFit="1" customWidth="1"/>
    <col min="7" max="7" width="14.7109375" bestFit="1" customWidth="1"/>
    <col min="8" max="8" width="12.140625" bestFit="1" customWidth="1"/>
    <col min="9" max="9" width="47.85546875" bestFit="1" customWidth="1"/>
    <col min="10" max="10" width="12.5703125" bestFit="1" customWidth="1"/>
    <col min="11" max="11" width="15.5703125" bestFit="1" customWidth="1"/>
    <col min="12" max="12" width="19.28515625" style="627" customWidth="1"/>
    <col min="13" max="13" width="17" bestFit="1" customWidth="1"/>
    <col min="14" max="14" width="21.28515625" bestFit="1" customWidth="1"/>
    <col min="15" max="15" width="15.42578125" bestFit="1" customWidth="1"/>
    <col min="16" max="16" width="8.85546875" bestFit="1" customWidth="1"/>
    <col min="17" max="17" width="16.5703125" bestFit="1" customWidth="1"/>
    <col min="18" max="18" width="12" style="627" customWidth="1"/>
    <col min="19" max="19" width="11.42578125" bestFit="1" customWidth="1"/>
    <col min="20" max="20" width="12.140625" bestFit="1" customWidth="1"/>
    <col min="21" max="21" width="23.140625" bestFit="1" customWidth="1"/>
    <col min="22" max="22" width="20" bestFit="1" customWidth="1"/>
    <col min="23" max="23" width="17.140625" bestFit="1" customWidth="1"/>
    <col min="24" max="24" width="10.28515625" customWidth="1"/>
    <col min="25" max="25" width="15.85546875" bestFit="1" customWidth="1"/>
    <col min="26" max="26" width="15.5703125" bestFit="1" customWidth="1"/>
    <col min="27" max="27" width="15.85546875" bestFit="1" customWidth="1"/>
    <col min="28" max="28" width="14.42578125" bestFit="1" customWidth="1"/>
    <col min="29" max="29" width="12" bestFit="1" customWidth="1"/>
    <col min="30" max="30" width="13" bestFit="1" customWidth="1"/>
    <col min="32" max="33" width="14.28515625" bestFit="1" customWidth="1"/>
    <col min="34" max="34" width="15" bestFit="1" customWidth="1"/>
  </cols>
  <sheetData>
    <row r="1" spans="1:34" ht="49.5" customHeight="1" x14ac:dyDescent="0.25">
      <c r="A1" s="57" t="s">
        <v>471</v>
      </c>
      <c r="B1" s="57" t="s">
        <v>472</v>
      </c>
      <c r="C1" s="57" t="s">
        <v>473</v>
      </c>
      <c r="D1" s="483" t="s">
        <v>98</v>
      </c>
      <c r="E1" s="57" t="s">
        <v>99</v>
      </c>
      <c r="F1" s="57" t="s">
        <v>474</v>
      </c>
      <c r="G1" s="57" t="s">
        <v>100</v>
      </c>
      <c r="H1" s="484" t="s">
        <v>475</v>
      </c>
      <c r="I1" s="484" t="s">
        <v>103</v>
      </c>
      <c r="J1" s="57" t="s">
        <v>104</v>
      </c>
      <c r="K1" s="57" t="s">
        <v>112</v>
      </c>
      <c r="L1" s="628" t="s">
        <v>113</v>
      </c>
      <c r="M1" s="57" t="s">
        <v>114</v>
      </c>
      <c r="N1" s="57" t="s">
        <v>115</v>
      </c>
      <c r="O1" s="57" t="s">
        <v>1292</v>
      </c>
      <c r="P1" s="57" t="s">
        <v>476</v>
      </c>
      <c r="Q1" s="57" t="s">
        <v>119</v>
      </c>
      <c r="R1" s="638" t="s">
        <v>477</v>
      </c>
      <c r="S1" s="57" t="s">
        <v>478</v>
      </c>
      <c r="T1" s="57" t="s">
        <v>126</v>
      </c>
      <c r="U1" s="57" t="s">
        <v>479</v>
      </c>
      <c r="V1" s="57" t="s">
        <v>480</v>
      </c>
      <c r="W1" s="57" t="s">
        <v>481</v>
      </c>
      <c r="X1" s="57" t="s">
        <v>1291</v>
      </c>
      <c r="Y1" s="57" t="s">
        <v>482</v>
      </c>
      <c r="Z1" s="57" t="s">
        <v>483</v>
      </c>
      <c r="AA1" s="57" t="s">
        <v>482</v>
      </c>
      <c r="AB1" s="57" t="s">
        <v>483</v>
      </c>
      <c r="AC1" s="57" t="s">
        <v>482</v>
      </c>
      <c r="AD1" s="57" t="s">
        <v>483</v>
      </c>
    </row>
    <row r="2" spans="1:34" ht="15" customHeight="1" x14ac:dyDescent="0.25">
      <c r="A2" s="485" t="s">
        <v>484</v>
      </c>
      <c r="B2" s="152" t="s">
        <v>1</v>
      </c>
      <c r="C2" s="89">
        <v>45943</v>
      </c>
      <c r="D2" s="6">
        <v>5600000237</v>
      </c>
      <c r="E2" s="80" t="s">
        <v>485</v>
      </c>
      <c r="F2" s="80" t="s">
        <v>486</v>
      </c>
      <c r="G2" s="61">
        <v>45828</v>
      </c>
      <c r="H2" s="486">
        <v>0.1</v>
      </c>
      <c r="I2" s="81" t="s">
        <v>138</v>
      </c>
      <c r="J2" s="80" t="s">
        <v>139</v>
      </c>
      <c r="K2" s="61" t="s">
        <v>17</v>
      </c>
      <c r="L2" s="629" t="s">
        <v>487</v>
      </c>
      <c r="M2" s="61">
        <v>45894</v>
      </c>
      <c r="N2" s="61">
        <v>45899</v>
      </c>
      <c r="O2" s="79">
        <v>741181.06</v>
      </c>
      <c r="P2" s="79">
        <v>90</v>
      </c>
      <c r="Q2" s="571">
        <f t="shared" ref="Q2:Q7" si="0">O2*P2</f>
        <v>66706295.400000006</v>
      </c>
      <c r="R2" s="639">
        <v>46030</v>
      </c>
      <c r="S2" s="576" t="str">
        <f>IF(R2="","-",TEXT(R2,"mmmmyy"))</f>
        <v>January26</v>
      </c>
      <c r="T2" s="108" t="s">
        <v>142</v>
      </c>
      <c r="U2" s="79">
        <v>7889.357262863</v>
      </c>
      <c r="V2" s="79">
        <v>7811</v>
      </c>
      <c r="W2" s="561">
        <f t="shared" ref="W2:W8" si="1">V2+O2</f>
        <v>748992.06</v>
      </c>
      <c r="X2" s="79"/>
      <c r="Y2" s="3">
        <v>42039487699</v>
      </c>
      <c r="Z2" s="79">
        <v>870318</v>
      </c>
      <c r="AA2" s="3">
        <v>42855164420</v>
      </c>
      <c r="AB2" s="79">
        <v>308987</v>
      </c>
      <c r="AC2" s="3">
        <v>44085316349</v>
      </c>
      <c r="AD2" s="79">
        <v>5418700</v>
      </c>
      <c r="AF2" s="559">
        <f>Z2+AB2+AD2</f>
        <v>6598005</v>
      </c>
      <c r="AG2" s="559">
        <f t="shared" ref="AG2:AG23" si="2">Q2*10%</f>
        <v>6670629.540000001</v>
      </c>
      <c r="AH2" s="559">
        <f>AG2-AF2</f>
        <v>72624.540000000969</v>
      </c>
    </row>
    <row r="3" spans="1:34" ht="15" customHeight="1" x14ac:dyDescent="0.25">
      <c r="A3" s="485" t="s">
        <v>488</v>
      </c>
      <c r="B3" s="152" t="s">
        <v>1</v>
      </c>
      <c r="C3" s="89">
        <v>45943</v>
      </c>
      <c r="D3" s="6">
        <v>5600000264</v>
      </c>
      <c r="E3" s="80" t="s">
        <v>489</v>
      </c>
      <c r="F3" s="80" t="s">
        <v>490</v>
      </c>
      <c r="G3" s="61">
        <v>45873</v>
      </c>
      <c r="H3" s="486">
        <v>1.1000000000000001</v>
      </c>
      <c r="I3" s="81" t="s">
        <v>267</v>
      </c>
      <c r="J3" s="80" t="s">
        <v>139</v>
      </c>
      <c r="K3" s="61" t="s">
        <v>17</v>
      </c>
      <c r="L3" s="629" t="s">
        <v>491</v>
      </c>
      <c r="M3" s="61">
        <v>45908</v>
      </c>
      <c r="N3" s="61">
        <v>45917</v>
      </c>
      <c r="O3" s="79">
        <v>1111500</v>
      </c>
      <c r="P3" s="79">
        <v>90</v>
      </c>
      <c r="Q3" s="571">
        <f t="shared" si="0"/>
        <v>100035000</v>
      </c>
      <c r="R3" s="639">
        <v>46030</v>
      </c>
      <c r="S3" s="576" t="str">
        <f t="shared" ref="S3:S16" si="3">IF(R3="","-",TEXT(R3,"mmmmyy"))</f>
        <v>January26</v>
      </c>
      <c r="T3" s="108" t="s">
        <v>142</v>
      </c>
      <c r="U3" s="79">
        <v>11831.145007499999</v>
      </c>
      <c r="V3" s="79">
        <v>11713.64</v>
      </c>
      <c r="W3" s="561">
        <f t="shared" si="1"/>
        <v>1123213.6399999999</v>
      </c>
      <c r="X3" s="79"/>
      <c r="Y3" s="3">
        <v>44085316349</v>
      </c>
      <c r="Z3" s="79">
        <v>9894573</v>
      </c>
      <c r="AA3" s="3" t="s">
        <v>247</v>
      </c>
      <c r="AB3" s="8">
        <v>0</v>
      </c>
      <c r="AC3" s="3" t="s">
        <v>247</v>
      </c>
      <c r="AD3" s="8">
        <v>0</v>
      </c>
      <c r="AF3" s="559">
        <f t="shared" ref="AF3:AF23" si="4">Z3+AB3+AD3</f>
        <v>9894573</v>
      </c>
      <c r="AG3" s="559">
        <f t="shared" si="2"/>
        <v>10003500</v>
      </c>
      <c r="AH3" s="559">
        <f t="shared" ref="AH3:AH23" si="5">AG3-AF3</f>
        <v>108927</v>
      </c>
    </row>
    <row r="4" spans="1:34" ht="15" customHeight="1" x14ac:dyDescent="0.25">
      <c r="A4" s="485" t="s">
        <v>492</v>
      </c>
      <c r="B4" s="152" t="s">
        <v>1</v>
      </c>
      <c r="C4" s="89">
        <v>45943</v>
      </c>
      <c r="D4" s="6">
        <v>5600000268</v>
      </c>
      <c r="E4" s="80" t="s">
        <v>493</v>
      </c>
      <c r="F4" s="80" t="s">
        <v>494</v>
      </c>
      <c r="G4" s="61">
        <v>45873</v>
      </c>
      <c r="H4" s="486">
        <v>1.1000000000000001</v>
      </c>
      <c r="I4" s="81" t="s">
        <v>168</v>
      </c>
      <c r="J4" s="80" t="s">
        <v>139</v>
      </c>
      <c r="K4" s="61" t="s">
        <v>17</v>
      </c>
      <c r="L4" s="629">
        <v>42025080096</v>
      </c>
      <c r="M4" s="61">
        <v>45901</v>
      </c>
      <c r="N4" s="61">
        <v>45908</v>
      </c>
      <c r="O4" s="79">
        <v>83049.5</v>
      </c>
      <c r="P4" s="79">
        <v>90</v>
      </c>
      <c r="Q4" s="571">
        <f t="shared" si="0"/>
        <v>7474455</v>
      </c>
      <c r="R4" s="639">
        <v>46030</v>
      </c>
      <c r="S4" s="576" t="str">
        <f t="shared" si="3"/>
        <v>January26</v>
      </c>
      <c r="T4" s="108" t="s">
        <v>142</v>
      </c>
      <c r="U4" s="79">
        <v>884.00420809750005</v>
      </c>
      <c r="V4" s="79">
        <v>875.22</v>
      </c>
      <c r="W4" s="561">
        <f t="shared" si="1"/>
        <v>83924.72</v>
      </c>
      <c r="X4" s="79"/>
      <c r="Y4" s="3">
        <v>44085316349</v>
      </c>
      <c r="Z4" s="79">
        <v>739307</v>
      </c>
      <c r="AA4" s="3" t="s">
        <v>247</v>
      </c>
      <c r="AB4" s="8">
        <v>0</v>
      </c>
      <c r="AC4" s="3" t="s">
        <v>247</v>
      </c>
      <c r="AD4" s="8">
        <v>0</v>
      </c>
      <c r="AF4" s="559">
        <f t="shared" si="4"/>
        <v>739307</v>
      </c>
      <c r="AG4" s="559">
        <f t="shared" si="2"/>
        <v>747445.5</v>
      </c>
      <c r="AH4" s="559">
        <f t="shared" si="5"/>
        <v>8138.5</v>
      </c>
    </row>
    <row r="5" spans="1:34" ht="15" customHeight="1" x14ac:dyDescent="0.25">
      <c r="A5" s="485" t="s">
        <v>495</v>
      </c>
      <c r="B5" s="152" t="s">
        <v>1</v>
      </c>
      <c r="C5" s="89">
        <v>45943</v>
      </c>
      <c r="D5" s="6">
        <v>5600000268</v>
      </c>
      <c r="E5" s="80" t="s">
        <v>493</v>
      </c>
      <c r="F5" s="80" t="s">
        <v>496</v>
      </c>
      <c r="G5" s="61">
        <v>45873</v>
      </c>
      <c r="H5" s="486">
        <v>1.1000000000000001</v>
      </c>
      <c r="I5" s="81" t="s">
        <v>168</v>
      </c>
      <c r="J5" s="80" t="s">
        <v>139</v>
      </c>
      <c r="K5" s="61" t="s">
        <v>17</v>
      </c>
      <c r="L5" s="629">
        <v>42025080075</v>
      </c>
      <c r="M5" s="61">
        <v>45901</v>
      </c>
      <c r="N5" s="61">
        <v>45908</v>
      </c>
      <c r="O5" s="79">
        <v>83049.5</v>
      </c>
      <c r="P5" s="79">
        <v>90</v>
      </c>
      <c r="Q5" s="571">
        <f t="shared" si="0"/>
        <v>7474455</v>
      </c>
      <c r="R5" s="639">
        <v>46030</v>
      </c>
      <c r="S5" s="576" t="str">
        <f t="shared" si="3"/>
        <v>January26</v>
      </c>
      <c r="T5" s="108" t="s">
        <v>142</v>
      </c>
      <c r="U5" s="79">
        <v>884.00420809750005</v>
      </c>
      <c r="V5" s="79">
        <v>875.22</v>
      </c>
      <c r="W5" s="561">
        <f t="shared" si="1"/>
        <v>83924.72</v>
      </c>
      <c r="X5" s="79"/>
      <c r="Y5" s="3">
        <v>44085316349</v>
      </c>
      <c r="Z5" s="79">
        <v>3647682</v>
      </c>
      <c r="AA5" s="3" t="s">
        <v>247</v>
      </c>
      <c r="AB5" s="8">
        <v>0</v>
      </c>
      <c r="AC5" s="3" t="s">
        <v>247</v>
      </c>
      <c r="AD5" s="8">
        <v>0</v>
      </c>
      <c r="AF5" s="559">
        <f t="shared" si="4"/>
        <v>3647682</v>
      </c>
      <c r="AG5" s="559">
        <f t="shared" si="2"/>
        <v>747445.5</v>
      </c>
      <c r="AH5" s="559">
        <f t="shared" si="5"/>
        <v>-2900236.5</v>
      </c>
    </row>
    <row r="6" spans="1:34" ht="15" customHeight="1" x14ac:dyDescent="0.25">
      <c r="A6" s="485" t="s">
        <v>497</v>
      </c>
      <c r="B6" s="152" t="s">
        <v>1</v>
      </c>
      <c r="C6" s="89">
        <v>45943</v>
      </c>
      <c r="D6" s="6">
        <v>5600000267</v>
      </c>
      <c r="E6" s="80" t="s">
        <v>498</v>
      </c>
      <c r="F6" s="80" t="s">
        <v>499</v>
      </c>
      <c r="G6" s="61">
        <v>45873</v>
      </c>
      <c r="H6" s="486">
        <v>0.1</v>
      </c>
      <c r="I6" s="81" t="s">
        <v>500</v>
      </c>
      <c r="J6" s="80" t="s">
        <v>139</v>
      </c>
      <c r="K6" s="61" t="s">
        <v>17</v>
      </c>
      <c r="L6" s="629" t="s">
        <v>501</v>
      </c>
      <c r="M6" s="61">
        <v>45901</v>
      </c>
      <c r="N6" s="61">
        <v>45904</v>
      </c>
      <c r="O6" s="79">
        <v>409759.8</v>
      </c>
      <c r="P6" s="79">
        <v>90</v>
      </c>
      <c r="Q6" s="571">
        <f t="shared" si="0"/>
        <v>36878382</v>
      </c>
      <c r="R6" s="639">
        <v>46030</v>
      </c>
      <c r="S6" s="576" t="str">
        <f t="shared" si="3"/>
        <v>January26</v>
      </c>
      <c r="T6" s="108" t="s">
        <v>142</v>
      </c>
      <c r="U6" s="79">
        <v>4361.6082879389996</v>
      </c>
      <c r="V6" s="79">
        <v>4318.29</v>
      </c>
      <c r="W6" s="561">
        <f t="shared" si="1"/>
        <v>414078.08999999997</v>
      </c>
      <c r="X6" s="79"/>
      <c r="Y6" s="3">
        <v>44085316349</v>
      </c>
      <c r="Z6" s="79">
        <v>3647682</v>
      </c>
      <c r="AA6" s="3" t="s">
        <v>247</v>
      </c>
      <c r="AB6" s="8">
        <v>0</v>
      </c>
      <c r="AC6" s="3" t="s">
        <v>247</v>
      </c>
      <c r="AD6" s="8">
        <v>0</v>
      </c>
      <c r="AF6" s="559">
        <f t="shared" si="4"/>
        <v>3647682</v>
      </c>
      <c r="AG6" s="559">
        <f t="shared" si="2"/>
        <v>3687838.2</v>
      </c>
      <c r="AH6" s="559">
        <f t="shared" si="5"/>
        <v>40156.200000000186</v>
      </c>
    </row>
    <row r="7" spans="1:34" ht="15" customHeight="1" x14ac:dyDescent="0.25">
      <c r="A7" s="485" t="s">
        <v>502</v>
      </c>
      <c r="B7" s="152" t="s">
        <v>1</v>
      </c>
      <c r="C7" s="89">
        <v>45943</v>
      </c>
      <c r="D7" s="6">
        <v>5600000251</v>
      </c>
      <c r="E7" s="80" t="s">
        <v>503</v>
      </c>
      <c r="F7" s="80" t="s">
        <v>504</v>
      </c>
      <c r="G7" s="61">
        <v>45890</v>
      </c>
      <c r="H7" s="486">
        <v>0.1</v>
      </c>
      <c r="I7" s="81" t="s">
        <v>267</v>
      </c>
      <c r="J7" s="80" t="s">
        <v>139</v>
      </c>
      <c r="K7" s="61" t="s">
        <v>17</v>
      </c>
      <c r="L7" s="629">
        <v>80876299</v>
      </c>
      <c r="M7" s="61">
        <v>45908</v>
      </c>
      <c r="N7" s="61">
        <v>45916</v>
      </c>
      <c r="O7" s="79">
        <v>225540</v>
      </c>
      <c r="P7" s="79">
        <v>90</v>
      </c>
      <c r="Q7" s="571">
        <f t="shared" si="0"/>
        <v>20298600</v>
      </c>
      <c r="R7" s="639">
        <v>46030</v>
      </c>
      <c r="S7" s="576" t="str">
        <f t="shared" si="3"/>
        <v>January26</v>
      </c>
      <c r="T7" s="108" t="s">
        <v>142</v>
      </c>
      <c r="U7" s="79">
        <v>2400.7165497000001</v>
      </c>
      <c r="V7" s="79">
        <v>2376.87</v>
      </c>
      <c r="W7" s="561">
        <f t="shared" si="1"/>
        <v>227916.87</v>
      </c>
      <c r="X7" s="79"/>
      <c r="Y7" s="3">
        <v>44085316349</v>
      </c>
      <c r="Z7" s="79">
        <v>2007757</v>
      </c>
      <c r="AA7" s="3" t="s">
        <v>247</v>
      </c>
      <c r="AB7" s="8">
        <v>0</v>
      </c>
      <c r="AC7" s="3" t="s">
        <v>247</v>
      </c>
      <c r="AD7" s="8">
        <v>0</v>
      </c>
      <c r="AF7" s="559">
        <f t="shared" si="4"/>
        <v>2007757</v>
      </c>
      <c r="AG7" s="559">
        <f t="shared" si="2"/>
        <v>2029860</v>
      </c>
      <c r="AH7" s="559">
        <f t="shared" si="5"/>
        <v>22103</v>
      </c>
    </row>
    <row r="8" spans="1:34" ht="15" customHeight="1" x14ac:dyDescent="0.25">
      <c r="A8" s="485" t="s">
        <v>505</v>
      </c>
      <c r="B8" s="152" t="s">
        <v>1</v>
      </c>
      <c r="C8" s="89">
        <v>45943</v>
      </c>
      <c r="D8" s="6">
        <v>5600000237</v>
      </c>
      <c r="E8" s="80" t="s">
        <v>485</v>
      </c>
      <c r="F8" s="80" t="s">
        <v>506</v>
      </c>
      <c r="G8" s="61">
        <v>45828</v>
      </c>
      <c r="H8" s="486">
        <v>0.1</v>
      </c>
      <c r="I8" s="81" t="s">
        <v>138</v>
      </c>
      <c r="J8" s="80" t="s">
        <v>139</v>
      </c>
      <c r="K8" s="61" t="s">
        <v>17</v>
      </c>
      <c r="L8" s="629" t="s">
        <v>507</v>
      </c>
      <c r="M8" s="61">
        <v>45908</v>
      </c>
      <c r="N8" s="61">
        <v>45911</v>
      </c>
      <c r="O8" s="79">
        <v>369693.68</v>
      </c>
      <c r="P8" s="79">
        <v>90</v>
      </c>
      <c r="Q8" s="571">
        <f t="shared" ref="Q8:Q17" si="6">O8*P8</f>
        <v>33272431.199999999</v>
      </c>
      <c r="R8" s="639">
        <v>46030</v>
      </c>
      <c r="S8" s="576" t="str">
        <f t="shared" si="3"/>
        <v>January26</v>
      </c>
      <c r="T8" s="108" t="s">
        <v>142</v>
      </c>
      <c r="U8" s="79">
        <v>3935.1322864919998</v>
      </c>
      <c r="V8" s="79">
        <v>3896.05</v>
      </c>
      <c r="W8" s="561">
        <f t="shared" si="1"/>
        <v>373589.73</v>
      </c>
      <c r="X8" s="79"/>
      <c r="Y8" s="3">
        <v>42855164420</v>
      </c>
      <c r="Z8" s="79">
        <v>3291013</v>
      </c>
      <c r="AA8" s="3" t="s">
        <v>247</v>
      </c>
      <c r="AB8" s="8">
        <v>0</v>
      </c>
      <c r="AC8" s="3" t="s">
        <v>247</v>
      </c>
      <c r="AD8" s="8">
        <v>0</v>
      </c>
      <c r="AF8" s="559">
        <f t="shared" si="4"/>
        <v>3291013</v>
      </c>
      <c r="AG8" s="559">
        <f t="shared" si="2"/>
        <v>3327243.12</v>
      </c>
      <c r="AH8" s="559">
        <f t="shared" si="5"/>
        <v>36230.120000000112</v>
      </c>
    </row>
    <row r="9" spans="1:34" ht="15" customHeight="1" x14ac:dyDescent="0.25">
      <c r="A9" s="485" t="s">
        <v>508</v>
      </c>
      <c r="B9" s="152" t="s">
        <v>1</v>
      </c>
      <c r="C9" s="89">
        <v>45945</v>
      </c>
      <c r="D9" s="6">
        <v>5600000246</v>
      </c>
      <c r="E9" s="80" t="s">
        <v>509</v>
      </c>
      <c r="F9" s="80" t="s">
        <v>510</v>
      </c>
      <c r="G9" s="61">
        <v>45856</v>
      </c>
      <c r="H9" s="486">
        <v>0.1</v>
      </c>
      <c r="I9" s="81" t="s">
        <v>344</v>
      </c>
      <c r="J9" s="80" t="s">
        <v>139</v>
      </c>
      <c r="K9" s="61" t="s">
        <v>17</v>
      </c>
      <c r="L9" s="629" t="s">
        <v>511</v>
      </c>
      <c r="M9" s="61">
        <v>45898</v>
      </c>
      <c r="N9" s="61">
        <v>45903</v>
      </c>
      <c r="O9" s="79">
        <v>573882</v>
      </c>
      <c r="P9" s="79">
        <v>90</v>
      </c>
      <c r="Q9" s="571">
        <f t="shared" si="6"/>
        <v>51649380</v>
      </c>
      <c r="R9" s="639">
        <v>46035</v>
      </c>
      <c r="S9" s="576" t="str">
        <f t="shared" si="3"/>
        <v>January26</v>
      </c>
      <c r="T9" s="108" t="s">
        <v>142</v>
      </c>
      <c r="U9" s="79">
        <v>6303.5629291499999</v>
      </c>
      <c r="V9" s="79">
        <v>6233.52</v>
      </c>
      <c r="W9" s="561">
        <f>V9+O9</f>
        <v>580115.52</v>
      </c>
      <c r="X9" s="79"/>
      <c r="Y9" s="3">
        <v>44361399732</v>
      </c>
      <c r="Z9" s="79">
        <v>941024</v>
      </c>
      <c r="AA9" s="3">
        <v>44361399732</v>
      </c>
      <c r="AB9" s="79">
        <v>12645000</v>
      </c>
      <c r="AC9" s="3">
        <v>44085316349</v>
      </c>
      <c r="AD9" s="8">
        <v>4167674</v>
      </c>
      <c r="AF9" s="559">
        <f t="shared" si="4"/>
        <v>17753698</v>
      </c>
      <c r="AG9" s="559">
        <f t="shared" si="2"/>
        <v>5164938</v>
      </c>
      <c r="AH9" s="559">
        <f t="shared" si="5"/>
        <v>-12588760</v>
      </c>
    </row>
    <row r="10" spans="1:34" ht="15" customHeight="1" x14ac:dyDescent="0.25">
      <c r="A10" s="485" t="s">
        <v>512</v>
      </c>
      <c r="B10" s="152" t="s">
        <v>1</v>
      </c>
      <c r="C10" s="89">
        <v>45946</v>
      </c>
      <c r="D10" s="6">
        <v>5600000264</v>
      </c>
      <c r="E10" s="80" t="s">
        <v>513</v>
      </c>
      <c r="F10" s="80" t="s">
        <v>514</v>
      </c>
      <c r="G10" s="61">
        <v>45880</v>
      </c>
      <c r="H10" s="486">
        <v>0.1</v>
      </c>
      <c r="I10" s="81" t="s">
        <v>267</v>
      </c>
      <c r="J10" s="80" t="s">
        <v>139</v>
      </c>
      <c r="K10" s="61" t="s">
        <v>17</v>
      </c>
      <c r="L10" s="629">
        <v>80886515</v>
      </c>
      <c r="M10" s="61">
        <v>45926</v>
      </c>
      <c r="N10" s="61">
        <v>45933</v>
      </c>
      <c r="O10" s="79">
        <v>237315</v>
      </c>
      <c r="P10" s="79">
        <v>90</v>
      </c>
      <c r="Q10" s="571">
        <f>O10*P10</f>
        <v>21358350</v>
      </c>
      <c r="R10" s="639">
        <v>46035</v>
      </c>
      <c r="S10" s="576" t="str">
        <f t="shared" si="3"/>
        <v>January26</v>
      </c>
      <c r="T10" s="108" t="s">
        <v>142</v>
      </c>
      <c r="U10" s="79">
        <v>2606.6857586249998</v>
      </c>
      <c r="V10" s="79">
        <v>2570.6799999999998</v>
      </c>
      <c r="W10" s="561">
        <f t="shared" ref="W10:W15" si="7">V10+O10</f>
        <v>239885.68</v>
      </c>
      <c r="X10" s="79"/>
      <c r="Y10" s="3">
        <v>44361399732</v>
      </c>
      <c r="Z10" s="79">
        <v>2112578</v>
      </c>
      <c r="AA10" s="3" t="s">
        <v>247</v>
      </c>
      <c r="AB10" s="8">
        <v>0</v>
      </c>
      <c r="AC10" s="3" t="s">
        <v>247</v>
      </c>
      <c r="AD10" s="8">
        <v>0</v>
      </c>
      <c r="AF10" s="559">
        <f t="shared" si="4"/>
        <v>2112578</v>
      </c>
      <c r="AG10" s="559">
        <f t="shared" si="2"/>
        <v>2135835</v>
      </c>
      <c r="AH10" s="559">
        <f t="shared" si="5"/>
        <v>23257</v>
      </c>
    </row>
    <row r="11" spans="1:34" ht="15" customHeight="1" x14ac:dyDescent="0.25">
      <c r="A11" s="485" t="s">
        <v>515</v>
      </c>
      <c r="B11" s="152" t="s">
        <v>1</v>
      </c>
      <c r="C11" s="89">
        <v>45946</v>
      </c>
      <c r="D11" s="6">
        <v>5600000264</v>
      </c>
      <c r="E11" s="80" t="s">
        <v>516</v>
      </c>
      <c r="F11" s="80" t="s">
        <v>517</v>
      </c>
      <c r="G11" s="61">
        <v>45876</v>
      </c>
      <c r="H11" s="486">
        <v>0.1</v>
      </c>
      <c r="I11" s="81" t="s">
        <v>267</v>
      </c>
      <c r="J11" s="80" t="s">
        <v>139</v>
      </c>
      <c r="K11" s="61" t="s">
        <v>17</v>
      </c>
      <c r="L11" s="629">
        <v>80889650</v>
      </c>
      <c r="M11" s="61">
        <v>45916</v>
      </c>
      <c r="N11" s="61">
        <v>45920</v>
      </c>
      <c r="O11" s="79">
        <v>266760</v>
      </c>
      <c r="P11" s="79">
        <v>90</v>
      </c>
      <c r="Q11" s="571">
        <f>O11*P11</f>
        <v>24008400</v>
      </c>
      <c r="R11" s="639">
        <v>46035</v>
      </c>
      <c r="S11" s="576" t="str">
        <f t="shared" si="3"/>
        <v>January26</v>
      </c>
      <c r="T11" s="108" t="s">
        <v>142</v>
      </c>
      <c r="U11" s="79">
        <v>2930.1118470000001</v>
      </c>
      <c r="V11" s="79">
        <v>2889.64</v>
      </c>
      <c r="W11" s="561">
        <f t="shared" si="7"/>
        <v>269649.64</v>
      </c>
      <c r="X11" s="79"/>
      <c r="Y11" s="3">
        <v>44361399732</v>
      </c>
      <c r="Z11" s="79">
        <v>2961428</v>
      </c>
      <c r="AA11" s="3" t="s">
        <v>247</v>
      </c>
      <c r="AB11" s="8">
        <v>0</v>
      </c>
      <c r="AC11" s="3" t="s">
        <v>247</v>
      </c>
      <c r="AD11" s="8">
        <v>0</v>
      </c>
      <c r="AF11" s="559">
        <f t="shared" si="4"/>
        <v>2961428</v>
      </c>
      <c r="AG11" s="559">
        <f t="shared" si="2"/>
        <v>2400840</v>
      </c>
      <c r="AH11" s="559">
        <f t="shared" si="5"/>
        <v>-560588</v>
      </c>
    </row>
    <row r="12" spans="1:34" ht="14.25" customHeight="1" x14ac:dyDescent="0.25">
      <c r="A12" s="485" t="s">
        <v>518</v>
      </c>
      <c r="B12" s="152" t="s">
        <v>1</v>
      </c>
      <c r="C12" s="89">
        <v>45946</v>
      </c>
      <c r="D12" s="6">
        <v>5600000246</v>
      </c>
      <c r="E12" s="80" t="s">
        <v>519</v>
      </c>
      <c r="F12" s="80" t="s">
        <v>520</v>
      </c>
      <c r="G12" s="61">
        <v>45863</v>
      </c>
      <c r="H12" s="486">
        <v>0.1</v>
      </c>
      <c r="I12" s="81" t="s">
        <v>344</v>
      </c>
      <c r="J12" s="80" t="s">
        <v>139</v>
      </c>
      <c r="K12" s="61" t="s">
        <v>17</v>
      </c>
      <c r="L12" s="629" t="s">
        <v>521</v>
      </c>
      <c r="M12" s="61">
        <v>45915</v>
      </c>
      <c r="N12" s="61">
        <v>45917</v>
      </c>
      <c r="O12" s="79">
        <v>492000</v>
      </c>
      <c r="P12" s="79">
        <v>90</v>
      </c>
      <c r="Q12" s="571">
        <f t="shared" si="6"/>
        <v>44280000</v>
      </c>
      <c r="R12" s="639">
        <v>46035</v>
      </c>
      <c r="S12" s="576" t="str">
        <f t="shared" si="3"/>
        <v>January26</v>
      </c>
      <c r="T12" s="108" t="s">
        <v>142</v>
      </c>
      <c r="U12" s="79">
        <v>5404.1648999999998</v>
      </c>
      <c r="V12" s="79">
        <v>5329.52</v>
      </c>
      <c r="W12" s="561">
        <f t="shared" si="7"/>
        <v>497329.52</v>
      </c>
      <c r="X12" s="79"/>
      <c r="Y12" s="3">
        <v>43707298765</v>
      </c>
      <c r="Z12" s="79">
        <v>4379784</v>
      </c>
      <c r="AA12" s="3" t="s">
        <v>247</v>
      </c>
      <c r="AB12" s="8">
        <v>0</v>
      </c>
      <c r="AC12" s="3" t="s">
        <v>247</v>
      </c>
      <c r="AD12" s="8">
        <v>0</v>
      </c>
      <c r="AF12" s="559">
        <f t="shared" si="4"/>
        <v>4379784</v>
      </c>
      <c r="AG12" s="559">
        <f t="shared" si="2"/>
        <v>4428000</v>
      </c>
      <c r="AH12" s="559">
        <f t="shared" si="5"/>
        <v>48216</v>
      </c>
    </row>
    <row r="13" spans="1:34" ht="15" customHeight="1" x14ac:dyDescent="0.25">
      <c r="A13" s="485" t="s">
        <v>522</v>
      </c>
      <c r="B13" s="152" t="s">
        <v>1</v>
      </c>
      <c r="C13" s="89">
        <v>45946</v>
      </c>
      <c r="D13" s="6">
        <v>5600000268</v>
      </c>
      <c r="E13" s="80" t="s">
        <v>523</v>
      </c>
      <c r="F13" s="80" t="s">
        <v>524</v>
      </c>
      <c r="G13" s="61">
        <v>45876</v>
      </c>
      <c r="H13" s="486">
        <v>0.1</v>
      </c>
      <c r="I13" s="81" t="s">
        <v>168</v>
      </c>
      <c r="J13" s="80" t="s">
        <v>139</v>
      </c>
      <c r="K13" s="61" t="s">
        <v>17</v>
      </c>
      <c r="L13" s="629" t="s">
        <v>525</v>
      </c>
      <c r="M13" s="61">
        <v>45901</v>
      </c>
      <c r="N13" s="61">
        <v>45904</v>
      </c>
      <c r="O13" s="79">
        <v>332552</v>
      </c>
      <c r="P13" s="79">
        <v>90</v>
      </c>
      <c r="Q13" s="571">
        <f>O13*P13</f>
        <v>29929680</v>
      </c>
      <c r="R13" s="639">
        <v>46035</v>
      </c>
      <c r="S13" s="576" t="str">
        <f t="shared" si="3"/>
        <v>January26</v>
      </c>
      <c r="T13" s="108" t="s">
        <v>142</v>
      </c>
      <c r="U13" s="79">
        <v>3652.7761094000002</v>
      </c>
      <c r="V13" s="79">
        <v>3602.32</v>
      </c>
      <c r="W13" s="561">
        <f t="shared" si="7"/>
        <v>336154.32</v>
      </c>
      <c r="X13" s="79"/>
      <c r="Y13" s="3">
        <v>43707298765</v>
      </c>
      <c r="Z13" s="79">
        <v>2960377</v>
      </c>
      <c r="AA13" s="3" t="s">
        <v>247</v>
      </c>
      <c r="AB13" s="8">
        <v>0</v>
      </c>
      <c r="AC13" s="3" t="s">
        <v>247</v>
      </c>
      <c r="AD13" s="8">
        <v>0</v>
      </c>
      <c r="AF13" s="559">
        <f t="shared" si="4"/>
        <v>2960377</v>
      </c>
      <c r="AG13" s="559">
        <f t="shared" si="2"/>
        <v>2992968</v>
      </c>
      <c r="AH13" s="559">
        <f t="shared" si="5"/>
        <v>32591</v>
      </c>
    </row>
    <row r="14" spans="1:34" ht="15" customHeight="1" x14ac:dyDescent="0.25">
      <c r="A14" s="485" t="s">
        <v>526</v>
      </c>
      <c r="B14" s="152" t="s">
        <v>1</v>
      </c>
      <c r="C14" s="89">
        <v>45946</v>
      </c>
      <c r="D14" s="6">
        <v>5600000268</v>
      </c>
      <c r="E14" s="80" t="s">
        <v>523</v>
      </c>
      <c r="F14" s="80" t="s">
        <v>527</v>
      </c>
      <c r="G14" s="61">
        <v>45876</v>
      </c>
      <c r="H14" s="486">
        <v>0.1</v>
      </c>
      <c r="I14" s="81" t="s">
        <v>168</v>
      </c>
      <c r="J14" s="80" t="s">
        <v>139</v>
      </c>
      <c r="K14" s="61" t="s">
        <v>17</v>
      </c>
      <c r="L14" s="629" t="s">
        <v>528</v>
      </c>
      <c r="M14" s="61">
        <v>45908</v>
      </c>
      <c r="N14" s="61">
        <v>45916</v>
      </c>
      <c r="O14" s="79">
        <v>332670</v>
      </c>
      <c r="P14" s="79">
        <v>90</v>
      </c>
      <c r="Q14" s="571">
        <f t="shared" si="6"/>
        <v>29940300</v>
      </c>
      <c r="R14" s="639">
        <v>46035</v>
      </c>
      <c r="S14" s="576" t="str">
        <f t="shared" si="3"/>
        <v>January26</v>
      </c>
      <c r="T14" s="108" t="s">
        <v>142</v>
      </c>
      <c r="U14" s="79">
        <v>3654.0722302499998</v>
      </c>
      <c r="V14" s="79">
        <v>3603.6</v>
      </c>
      <c r="W14" s="561">
        <f t="shared" si="7"/>
        <v>336273.6</v>
      </c>
      <c r="X14" s="79"/>
      <c r="Y14" s="3"/>
      <c r="Z14" s="79"/>
      <c r="AA14" s="3" t="s">
        <v>247</v>
      </c>
      <c r="AB14" s="8">
        <v>0</v>
      </c>
      <c r="AC14" s="3" t="s">
        <v>247</v>
      </c>
      <c r="AD14" s="8">
        <v>0</v>
      </c>
      <c r="AF14" s="559">
        <f t="shared" si="4"/>
        <v>0</v>
      </c>
      <c r="AG14" s="559">
        <f t="shared" si="2"/>
        <v>2994030</v>
      </c>
      <c r="AH14" s="559">
        <f t="shared" si="5"/>
        <v>2994030</v>
      </c>
    </row>
    <row r="15" spans="1:34" ht="15" customHeight="1" x14ac:dyDescent="0.25">
      <c r="A15" s="485" t="s">
        <v>529</v>
      </c>
      <c r="B15" s="152" t="s">
        <v>1</v>
      </c>
      <c r="C15" s="89">
        <v>45946</v>
      </c>
      <c r="D15" s="6">
        <v>5600000264</v>
      </c>
      <c r="E15" s="80" t="s">
        <v>513</v>
      </c>
      <c r="F15" s="80" t="s">
        <v>530</v>
      </c>
      <c r="G15" s="61">
        <v>45880</v>
      </c>
      <c r="H15" s="486">
        <v>0.1</v>
      </c>
      <c r="I15" s="81" t="s">
        <v>267</v>
      </c>
      <c r="J15" s="80" t="s">
        <v>139</v>
      </c>
      <c r="K15" s="61" t="s">
        <v>17</v>
      </c>
      <c r="L15" s="629" t="s">
        <v>531</v>
      </c>
      <c r="M15" s="61">
        <v>45920</v>
      </c>
      <c r="N15" s="61">
        <v>45925</v>
      </c>
      <c r="O15" s="79">
        <v>474630</v>
      </c>
      <c r="P15" s="79">
        <v>90</v>
      </c>
      <c r="Q15" s="571">
        <f t="shared" si="6"/>
        <v>42716700</v>
      </c>
      <c r="R15" s="639">
        <v>46035</v>
      </c>
      <c r="S15" s="576" t="str">
        <f t="shared" si="3"/>
        <v>January26</v>
      </c>
      <c r="T15" s="108" t="s">
        <v>142</v>
      </c>
      <c r="U15" s="79">
        <v>5213.3715172499997</v>
      </c>
      <c r="V15" s="79">
        <v>5141.3599999999997</v>
      </c>
      <c r="W15" s="561">
        <f t="shared" si="7"/>
        <v>479771.36</v>
      </c>
      <c r="X15" s="79"/>
      <c r="Y15" s="3">
        <v>44361399732</v>
      </c>
      <c r="Z15" s="79">
        <v>4225156</v>
      </c>
      <c r="AA15" s="3" t="s">
        <v>247</v>
      </c>
      <c r="AB15" s="8">
        <v>0</v>
      </c>
      <c r="AC15" s="3" t="s">
        <v>247</v>
      </c>
      <c r="AD15" s="8">
        <v>0</v>
      </c>
      <c r="AF15" s="559">
        <f t="shared" si="4"/>
        <v>4225156</v>
      </c>
      <c r="AG15" s="559">
        <f t="shared" si="2"/>
        <v>4271670</v>
      </c>
      <c r="AH15" s="559">
        <f t="shared" si="5"/>
        <v>46514</v>
      </c>
    </row>
    <row r="16" spans="1:34" ht="15" customHeight="1" x14ac:dyDescent="0.25">
      <c r="A16" s="485" t="s">
        <v>532</v>
      </c>
      <c r="B16" s="152" t="s">
        <v>1</v>
      </c>
      <c r="C16" s="89">
        <v>45971</v>
      </c>
      <c r="D16" s="6">
        <v>5600000238</v>
      </c>
      <c r="E16" s="80" t="s">
        <v>533</v>
      </c>
      <c r="F16" s="80" t="s">
        <v>534</v>
      </c>
      <c r="G16" s="61">
        <v>45857</v>
      </c>
      <c r="H16" s="486">
        <v>0.1</v>
      </c>
      <c r="I16" s="81" t="s">
        <v>138</v>
      </c>
      <c r="J16" s="80" t="s">
        <v>139</v>
      </c>
      <c r="K16" s="61" t="s">
        <v>17</v>
      </c>
      <c r="L16" s="629" t="s">
        <v>535</v>
      </c>
      <c r="M16" s="61">
        <v>45926</v>
      </c>
      <c r="N16" s="61">
        <v>45933</v>
      </c>
      <c r="O16" s="79">
        <v>900028.08</v>
      </c>
      <c r="P16" s="79">
        <v>90</v>
      </c>
      <c r="Q16" s="571">
        <f t="shared" si="6"/>
        <v>81002527.200000003</v>
      </c>
      <c r="R16" s="639">
        <v>46058</v>
      </c>
      <c r="S16" s="576" t="str">
        <f t="shared" si="3"/>
        <v>February26</v>
      </c>
      <c r="T16" s="108" t="s">
        <v>142</v>
      </c>
      <c r="U16" s="79">
        <v>9933.9473999999991</v>
      </c>
      <c r="V16" s="79">
        <v>9602.82</v>
      </c>
      <c r="W16" s="561">
        <f>O16+V16</f>
        <v>909630.89999999991</v>
      </c>
      <c r="X16" s="79"/>
      <c r="Y16" s="3">
        <v>43630359430</v>
      </c>
      <c r="Z16" s="79">
        <v>7581573</v>
      </c>
      <c r="AA16" s="3">
        <v>43607525170</v>
      </c>
      <c r="AB16" s="79">
        <v>479978</v>
      </c>
      <c r="AC16" s="3" t="s">
        <v>247</v>
      </c>
      <c r="AD16" s="8">
        <v>0</v>
      </c>
      <c r="AF16" s="559">
        <f t="shared" si="4"/>
        <v>8061551</v>
      </c>
      <c r="AG16" s="559">
        <f t="shared" si="2"/>
        <v>8100252.7200000007</v>
      </c>
      <c r="AH16" s="559">
        <f t="shared" si="5"/>
        <v>38701.720000000671</v>
      </c>
    </row>
    <row r="17" spans="1:34" ht="15" customHeight="1" x14ac:dyDescent="0.25">
      <c r="A17" s="485" t="s">
        <v>536</v>
      </c>
      <c r="B17" s="152" t="s">
        <v>1</v>
      </c>
      <c r="C17" s="89">
        <v>45971</v>
      </c>
      <c r="D17" s="6">
        <v>5600000275</v>
      </c>
      <c r="E17" s="80" t="s">
        <v>537</v>
      </c>
      <c r="F17" s="80" t="s">
        <v>538</v>
      </c>
      <c r="G17" s="61">
        <v>45867</v>
      </c>
      <c r="H17" s="486">
        <v>0.1</v>
      </c>
      <c r="I17" s="81" t="s">
        <v>138</v>
      </c>
      <c r="J17" s="80" t="s">
        <v>139</v>
      </c>
      <c r="K17" s="61" t="s">
        <v>17</v>
      </c>
      <c r="L17" s="629" t="s">
        <v>539</v>
      </c>
      <c r="M17" s="61">
        <v>45925</v>
      </c>
      <c r="N17" s="61">
        <v>45930</v>
      </c>
      <c r="O17" s="79">
        <v>825742.11</v>
      </c>
      <c r="P17" s="79">
        <v>90</v>
      </c>
      <c r="Q17" s="571">
        <f t="shared" si="6"/>
        <v>74316789.900000006</v>
      </c>
      <c r="R17" s="639">
        <v>46058</v>
      </c>
      <c r="S17" s="576" t="str">
        <f t="shared" ref="S17" si="8">IF(R17="","-",TEXT(R17,"mmmmyy"))</f>
        <v>February26</v>
      </c>
      <c r="T17" s="108" t="s">
        <v>142</v>
      </c>
      <c r="U17" s="79">
        <v>9114.0252999999993</v>
      </c>
      <c r="V17" s="79">
        <v>8810.2199999999993</v>
      </c>
      <c r="W17" s="561">
        <f t="shared" ref="W17:W23" si="9">O17+V17</f>
        <v>834552.33</v>
      </c>
      <c r="X17" s="79"/>
      <c r="Y17" s="3">
        <v>43630359430</v>
      </c>
      <c r="Z17" s="79">
        <v>7412687</v>
      </c>
      <c r="AA17" s="3" t="s">
        <v>247</v>
      </c>
      <c r="AB17" s="8">
        <v>0</v>
      </c>
      <c r="AC17" s="3" t="s">
        <v>247</v>
      </c>
      <c r="AD17" s="8">
        <v>0</v>
      </c>
      <c r="AF17" s="559">
        <f t="shared" si="4"/>
        <v>7412687</v>
      </c>
      <c r="AG17" s="559">
        <f t="shared" si="2"/>
        <v>7431678.9900000012</v>
      </c>
      <c r="AH17" s="559">
        <f t="shared" si="5"/>
        <v>18991.990000001155</v>
      </c>
    </row>
    <row r="18" spans="1:34" ht="15" customHeight="1" x14ac:dyDescent="0.25">
      <c r="A18" s="485" t="s">
        <v>540</v>
      </c>
      <c r="B18" s="152" t="s">
        <v>1</v>
      </c>
      <c r="C18" s="89">
        <v>45971</v>
      </c>
      <c r="D18" s="6">
        <v>5600000261</v>
      </c>
      <c r="E18" s="80" t="s">
        <v>541</v>
      </c>
      <c r="F18" s="80" t="s">
        <v>542</v>
      </c>
      <c r="G18" s="61">
        <v>45882</v>
      </c>
      <c r="H18" s="486">
        <v>0.1</v>
      </c>
      <c r="I18" s="81" t="s">
        <v>344</v>
      </c>
      <c r="J18" s="80" t="s">
        <v>139</v>
      </c>
      <c r="K18" s="61" t="s">
        <v>17</v>
      </c>
      <c r="L18" s="629" t="s">
        <v>543</v>
      </c>
      <c r="M18" s="61">
        <v>45922</v>
      </c>
      <c r="N18" s="61">
        <v>45931</v>
      </c>
      <c r="O18" s="79">
        <v>1230000</v>
      </c>
      <c r="P18" s="79">
        <v>90</v>
      </c>
      <c r="Q18" s="571">
        <f t="shared" ref="Q18" si="10">O18*P18</f>
        <v>110700000</v>
      </c>
      <c r="R18" s="639">
        <v>46058</v>
      </c>
      <c r="S18" s="576" t="str">
        <f t="shared" ref="S18" si="11">IF(R18="","-",TEXT(R18,"mmmmyy"))</f>
        <v>February26</v>
      </c>
      <c r="T18" s="108" t="s">
        <v>142</v>
      </c>
      <c r="U18" s="79">
        <v>13575.971250000001</v>
      </c>
      <c r="V18" s="79">
        <v>13123.44</v>
      </c>
      <c r="W18" s="561">
        <f t="shared" si="9"/>
        <v>1243123.44</v>
      </c>
      <c r="X18" s="79"/>
      <c r="Y18" s="3">
        <v>43649959856</v>
      </c>
      <c r="Z18" s="79">
        <v>11029410</v>
      </c>
      <c r="AA18" s="3" t="s">
        <v>247</v>
      </c>
      <c r="AB18" s="8">
        <v>0</v>
      </c>
      <c r="AC18" s="3" t="s">
        <v>247</v>
      </c>
      <c r="AD18" s="8">
        <v>0</v>
      </c>
      <c r="AF18" s="559">
        <f t="shared" si="4"/>
        <v>11029410</v>
      </c>
      <c r="AG18" s="559">
        <f t="shared" si="2"/>
        <v>11070000</v>
      </c>
      <c r="AH18" s="559">
        <f t="shared" si="5"/>
        <v>40590</v>
      </c>
    </row>
    <row r="19" spans="1:34" ht="15" customHeight="1" x14ac:dyDescent="0.25">
      <c r="A19" s="485" t="s">
        <v>544</v>
      </c>
      <c r="B19" s="152" t="s">
        <v>1</v>
      </c>
      <c r="C19" s="89">
        <v>45971</v>
      </c>
      <c r="D19" s="6">
        <v>5600000259</v>
      </c>
      <c r="E19" s="80" t="s">
        <v>545</v>
      </c>
      <c r="F19" s="80" t="s">
        <v>546</v>
      </c>
      <c r="G19" s="61">
        <v>45889</v>
      </c>
      <c r="H19" s="486">
        <v>0.1</v>
      </c>
      <c r="I19" s="81" t="s">
        <v>547</v>
      </c>
      <c r="J19" s="80" t="s">
        <v>139</v>
      </c>
      <c r="K19" s="61" t="s">
        <v>17</v>
      </c>
      <c r="L19" s="629" t="s">
        <v>548</v>
      </c>
      <c r="M19" s="61">
        <v>45922</v>
      </c>
      <c r="N19" s="61">
        <v>45925</v>
      </c>
      <c r="O19" s="79">
        <v>384750</v>
      </c>
      <c r="P19" s="79">
        <v>90</v>
      </c>
      <c r="Q19" s="571">
        <f t="shared" ref="Q19" si="12">O19*P19</f>
        <v>34627500</v>
      </c>
      <c r="R19" s="639">
        <v>46058</v>
      </c>
      <c r="S19" s="576" t="str">
        <f t="shared" ref="S19" si="13">IF(R19="","-",TEXT(R19,"mmmmyy"))</f>
        <v>February26</v>
      </c>
      <c r="T19" s="108" t="s">
        <v>142</v>
      </c>
      <c r="U19" s="79">
        <v>4246.63</v>
      </c>
      <c r="V19" s="79">
        <v>4105.08</v>
      </c>
      <c r="W19" s="561">
        <f t="shared" si="9"/>
        <v>388855.08</v>
      </c>
      <c r="X19" s="79"/>
      <c r="Y19" s="3">
        <v>43649959856</v>
      </c>
      <c r="Z19" s="79">
        <v>179863</v>
      </c>
      <c r="AA19" s="3">
        <v>43792161126</v>
      </c>
      <c r="AB19" s="79">
        <v>3266342</v>
      </c>
      <c r="AC19" s="3" t="s">
        <v>247</v>
      </c>
      <c r="AD19" s="8">
        <v>0</v>
      </c>
      <c r="AF19" s="559">
        <f t="shared" si="4"/>
        <v>3446205</v>
      </c>
      <c r="AG19" s="559">
        <f t="shared" si="2"/>
        <v>3462750</v>
      </c>
      <c r="AH19" s="559">
        <f t="shared" si="5"/>
        <v>16545</v>
      </c>
    </row>
    <row r="20" spans="1:34" ht="15" customHeight="1" x14ac:dyDescent="0.25">
      <c r="A20" s="485" t="s">
        <v>549</v>
      </c>
      <c r="B20" s="152" t="s">
        <v>1</v>
      </c>
      <c r="C20" s="89">
        <v>45971</v>
      </c>
      <c r="D20" s="6">
        <v>5600000261</v>
      </c>
      <c r="E20" s="80" t="s">
        <v>550</v>
      </c>
      <c r="F20" s="80" t="s">
        <v>551</v>
      </c>
      <c r="G20" s="61">
        <v>45889</v>
      </c>
      <c r="H20" s="486">
        <v>0.1</v>
      </c>
      <c r="I20" s="81" t="s">
        <v>344</v>
      </c>
      <c r="J20" s="80" t="s">
        <v>139</v>
      </c>
      <c r="K20" s="61" t="s">
        <v>17</v>
      </c>
      <c r="L20" s="629" t="s">
        <v>552</v>
      </c>
      <c r="M20" s="61">
        <v>45922</v>
      </c>
      <c r="N20" s="61">
        <v>45925</v>
      </c>
      <c r="O20" s="79">
        <v>820000</v>
      </c>
      <c r="P20" s="79">
        <v>90</v>
      </c>
      <c r="Q20" s="571">
        <f t="shared" ref="Q20" si="14">O20*P20</f>
        <v>73800000</v>
      </c>
      <c r="R20" s="639">
        <v>46058</v>
      </c>
      <c r="S20" s="576" t="str">
        <f t="shared" ref="S20" si="15">IF(R20="","-",TEXT(R20,"mmmmyy"))</f>
        <v>February26</v>
      </c>
      <c r="T20" s="108" t="s">
        <v>142</v>
      </c>
      <c r="U20" s="79">
        <v>9050.6474999999991</v>
      </c>
      <c r="V20" s="79">
        <v>8748.9599999999991</v>
      </c>
      <c r="W20" s="561">
        <f t="shared" si="9"/>
        <v>828748.96</v>
      </c>
      <c r="X20" s="79"/>
      <c r="Y20" s="3">
        <v>43630359430</v>
      </c>
      <c r="Z20" s="79">
        <v>7344740</v>
      </c>
      <c r="AA20" s="3" t="s">
        <v>247</v>
      </c>
      <c r="AB20" s="8">
        <v>0</v>
      </c>
      <c r="AC20" s="3" t="s">
        <v>247</v>
      </c>
      <c r="AD20" s="8">
        <v>0</v>
      </c>
      <c r="AF20" s="559">
        <f t="shared" si="4"/>
        <v>7344740</v>
      </c>
      <c r="AG20" s="559">
        <f t="shared" si="2"/>
        <v>7380000</v>
      </c>
      <c r="AH20" s="559">
        <f t="shared" si="5"/>
        <v>35260</v>
      </c>
    </row>
    <row r="21" spans="1:34" ht="15" customHeight="1" x14ac:dyDescent="0.25">
      <c r="A21" s="485" t="s">
        <v>553</v>
      </c>
      <c r="B21" s="152" t="s">
        <v>1</v>
      </c>
      <c r="C21" s="89">
        <v>45971</v>
      </c>
      <c r="D21" s="6">
        <v>5600000249</v>
      </c>
      <c r="E21" s="80" t="s">
        <v>554</v>
      </c>
      <c r="F21" s="80" t="s">
        <v>555</v>
      </c>
      <c r="G21" s="61">
        <v>45890</v>
      </c>
      <c r="H21" s="486">
        <v>0.1</v>
      </c>
      <c r="I21" s="81" t="s">
        <v>344</v>
      </c>
      <c r="J21" s="80" t="s">
        <v>139</v>
      </c>
      <c r="K21" s="61" t="s">
        <v>17</v>
      </c>
      <c r="L21" s="629" t="s">
        <v>556</v>
      </c>
      <c r="M21" s="61">
        <v>45930</v>
      </c>
      <c r="N21" s="61">
        <v>45938</v>
      </c>
      <c r="O21" s="79">
        <v>377432</v>
      </c>
      <c r="P21" s="79">
        <v>90</v>
      </c>
      <c r="Q21" s="571">
        <f t="shared" ref="Q21" si="16">O21*P21</f>
        <v>33968880</v>
      </c>
      <c r="R21" s="639">
        <v>46058</v>
      </c>
      <c r="S21" s="576" t="str">
        <f t="shared" ref="S21" si="17">IF(R21="","-",TEXT(R21,"mmmmyy"))</f>
        <v>February26</v>
      </c>
      <c r="T21" s="108" t="s">
        <v>142</v>
      </c>
      <c r="U21" s="79">
        <v>4165.8585199999998</v>
      </c>
      <c r="V21" s="79">
        <v>4027</v>
      </c>
      <c r="W21" s="561">
        <f t="shared" si="9"/>
        <v>381459</v>
      </c>
      <c r="X21" s="79"/>
      <c r="Y21" s="3">
        <v>43792161126</v>
      </c>
      <c r="Z21" s="79">
        <v>3380658</v>
      </c>
      <c r="AA21" s="3" t="s">
        <v>247</v>
      </c>
      <c r="AB21" s="8">
        <v>0</v>
      </c>
      <c r="AC21" s="3" t="s">
        <v>247</v>
      </c>
      <c r="AD21" s="8">
        <v>0</v>
      </c>
      <c r="AF21" s="559">
        <f t="shared" si="4"/>
        <v>3380658</v>
      </c>
      <c r="AG21" s="559">
        <f t="shared" si="2"/>
        <v>3396888</v>
      </c>
      <c r="AH21" s="559">
        <f t="shared" si="5"/>
        <v>16230</v>
      </c>
    </row>
    <row r="22" spans="1:34" ht="15" customHeight="1" x14ac:dyDescent="0.25">
      <c r="A22" s="485" t="s">
        <v>557</v>
      </c>
      <c r="B22" s="152" t="s">
        <v>1</v>
      </c>
      <c r="C22" s="89">
        <v>45975</v>
      </c>
      <c r="D22" s="6">
        <v>5600000296</v>
      </c>
      <c r="E22" s="80" t="s">
        <v>558</v>
      </c>
      <c r="F22" s="80" t="s">
        <v>559</v>
      </c>
      <c r="G22" s="61">
        <v>45918</v>
      </c>
      <c r="H22" s="486">
        <v>0.1</v>
      </c>
      <c r="I22" s="81" t="s">
        <v>267</v>
      </c>
      <c r="J22" s="80" t="s">
        <v>139</v>
      </c>
      <c r="K22" s="61" t="s">
        <v>17</v>
      </c>
      <c r="L22" s="629">
        <v>80906601</v>
      </c>
      <c r="M22" s="61">
        <v>45954</v>
      </c>
      <c r="N22" s="61">
        <v>45962</v>
      </c>
      <c r="O22" s="79">
        <v>568425</v>
      </c>
      <c r="P22" s="79">
        <v>90</v>
      </c>
      <c r="Q22" s="571">
        <f t="shared" ref="Q22" si="18">O22*P22</f>
        <v>51158250</v>
      </c>
      <c r="R22" s="639">
        <v>46063</v>
      </c>
      <c r="S22" s="576" t="str">
        <f t="shared" ref="S22" si="19">IF(R22="","-",TEXT(R22,"mmmmyy"))</f>
        <v>February26</v>
      </c>
      <c r="T22" s="108" t="s">
        <v>142</v>
      </c>
      <c r="U22" s="79">
        <v>6187.5430999999999</v>
      </c>
      <c r="V22" s="79">
        <v>6170.47</v>
      </c>
      <c r="W22" s="561">
        <f t="shared" si="9"/>
        <v>574595.47</v>
      </c>
      <c r="X22" s="79"/>
      <c r="Y22" s="3">
        <v>43607525170</v>
      </c>
      <c r="Z22" s="79">
        <v>5054435</v>
      </c>
      <c r="AA22" s="3" t="s">
        <v>247</v>
      </c>
      <c r="AB22" s="8">
        <v>0</v>
      </c>
      <c r="AC22" s="3" t="s">
        <v>247</v>
      </c>
      <c r="AD22" s="8">
        <v>0</v>
      </c>
      <c r="AF22" s="559">
        <f t="shared" si="4"/>
        <v>5054435</v>
      </c>
      <c r="AG22" s="559">
        <f t="shared" si="2"/>
        <v>5115825</v>
      </c>
      <c r="AH22" s="559">
        <f t="shared" si="5"/>
        <v>61390</v>
      </c>
    </row>
    <row r="23" spans="1:34" ht="15" customHeight="1" x14ac:dyDescent="0.25">
      <c r="A23" s="485" t="s">
        <v>560</v>
      </c>
      <c r="B23" s="152" t="s">
        <v>1</v>
      </c>
      <c r="C23" s="89">
        <v>45985</v>
      </c>
      <c r="D23" s="6">
        <v>5600000238</v>
      </c>
      <c r="E23" s="80" t="s">
        <v>561</v>
      </c>
      <c r="F23" s="80" t="s">
        <v>562</v>
      </c>
      <c r="G23" s="61">
        <v>45859</v>
      </c>
      <c r="H23" s="486">
        <v>0.1</v>
      </c>
      <c r="I23" s="81" t="s">
        <v>138</v>
      </c>
      <c r="J23" s="80" t="s">
        <v>139</v>
      </c>
      <c r="K23" s="61" t="s">
        <v>17</v>
      </c>
      <c r="L23" s="629" t="s">
        <v>563</v>
      </c>
      <c r="M23" s="61">
        <v>45931</v>
      </c>
      <c r="N23" s="61">
        <v>45938</v>
      </c>
      <c r="O23" s="79">
        <v>898101.22</v>
      </c>
      <c r="P23" s="79">
        <v>90</v>
      </c>
      <c r="Q23" s="571">
        <f t="shared" ref="Q23:Q26" si="20">O23*P23</f>
        <v>80829109.799999997</v>
      </c>
      <c r="R23" s="639">
        <v>46072</v>
      </c>
      <c r="S23" s="576" t="str">
        <f t="shared" ref="S23:S26" si="21">IF(R23="","-",TEXT(R23,"mmmmyy"))</f>
        <v>February26</v>
      </c>
      <c r="T23" s="108" t="s">
        <v>142</v>
      </c>
      <c r="U23" s="79">
        <v>9940.3863757340005</v>
      </c>
      <c r="V23" s="79">
        <v>9609.0400000000009</v>
      </c>
      <c r="W23" s="561">
        <f t="shared" si="9"/>
        <v>907710.26</v>
      </c>
      <c r="X23" s="79"/>
      <c r="Y23" s="3">
        <v>43630359430</v>
      </c>
      <c r="Z23" s="79">
        <v>8057764</v>
      </c>
      <c r="AA23" s="3" t="s">
        <v>247</v>
      </c>
      <c r="AB23" s="8">
        <v>0</v>
      </c>
      <c r="AC23" s="3" t="s">
        <v>247</v>
      </c>
      <c r="AD23" s="8">
        <v>0</v>
      </c>
      <c r="AF23" s="559">
        <f t="shared" si="4"/>
        <v>8057764</v>
      </c>
      <c r="AG23" s="559">
        <f t="shared" si="2"/>
        <v>8082910.9800000004</v>
      </c>
      <c r="AH23" s="559">
        <f t="shared" si="5"/>
        <v>25146.980000000447</v>
      </c>
    </row>
    <row r="24" spans="1:34" ht="15" customHeight="1" x14ac:dyDescent="0.25">
      <c r="A24" s="485" t="s">
        <v>564</v>
      </c>
      <c r="B24" s="152" t="s">
        <v>1</v>
      </c>
      <c r="C24" s="89">
        <v>46044</v>
      </c>
      <c r="D24" s="6">
        <v>5600000294</v>
      </c>
      <c r="E24" s="80" t="s">
        <v>565</v>
      </c>
      <c r="F24" s="80" t="s">
        <v>566</v>
      </c>
      <c r="G24" s="487">
        <v>45979</v>
      </c>
      <c r="H24" s="488">
        <v>0.1</v>
      </c>
      <c r="I24" s="81" t="s">
        <v>190</v>
      </c>
      <c r="J24" s="80" t="s">
        <v>139</v>
      </c>
      <c r="K24" s="61" t="s">
        <v>17</v>
      </c>
      <c r="L24" s="629" t="s">
        <v>567</v>
      </c>
      <c r="M24" s="487">
        <v>45995</v>
      </c>
      <c r="N24" s="489">
        <v>46000</v>
      </c>
      <c r="O24" s="79">
        <v>602782</v>
      </c>
      <c r="P24" s="79">
        <v>90</v>
      </c>
      <c r="Q24" s="571">
        <f t="shared" si="20"/>
        <v>54250380</v>
      </c>
      <c r="R24" s="639">
        <v>46132</v>
      </c>
      <c r="S24" s="576" t="str">
        <f t="shared" si="21"/>
        <v>April26</v>
      </c>
      <c r="T24" s="108" t="s">
        <v>142</v>
      </c>
      <c r="U24" s="79">
        <v>6313.6745000000001</v>
      </c>
      <c r="V24" s="79">
        <v>6243.52</v>
      </c>
      <c r="W24" s="561">
        <f t="shared" ref="W24:W29" si="22">O24+V24</f>
        <v>609025.52</v>
      </c>
      <c r="X24" s="79"/>
      <c r="Y24" s="89"/>
      <c r="Z24" s="3"/>
      <c r="AA24" s="3"/>
      <c r="AB24" s="3"/>
      <c r="AC24" s="3"/>
      <c r="AD24" s="3"/>
    </row>
    <row r="25" spans="1:34" ht="15" customHeight="1" thickBot="1" x14ac:dyDescent="0.3">
      <c r="A25" s="490" t="s">
        <v>568</v>
      </c>
      <c r="B25" s="491" t="s">
        <v>1</v>
      </c>
      <c r="C25" s="492">
        <v>46044</v>
      </c>
      <c r="D25" s="493">
        <v>5600000293</v>
      </c>
      <c r="E25" s="494" t="s">
        <v>569</v>
      </c>
      <c r="F25" s="494" t="s">
        <v>570</v>
      </c>
      <c r="G25" s="489">
        <v>45979</v>
      </c>
      <c r="H25" s="495">
        <v>0.1</v>
      </c>
      <c r="I25" s="496" t="s">
        <v>190</v>
      </c>
      <c r="J25" s="494" t="s">
        <v>139</v>
      </c>
      <c r="K25" s="497" t="s">
        <v>17</v>
      </c>
      <c r="L25" s="630" t="s">
        <v>571</v>
      </c>
      <c r="M25" s="489">
        <v>45995</v>
      </c>
      <c r="N25" s="489">
        <v>46000</v>
      </c>
      <c r="O25" s="306">
        <v>897397</v>
      </c>
      <c r="P25" s="306">
        <v>90</v>
      </c>
      <c r="Q25" s="572">
        <f t="shared" si="20"/>
        <v>80765730</v>
      </c>
      <c r="R25" s="640">
        <v>46132</v>
      </c>
      <c r="S25" s="577" t="str">
        <f t="shared" si="21"/>
        <v>April26</v>
      </c>
      <c r="T25" s="498" t="s">
        <v>142</v>
      </c>
      <c r="U25" s="306">
        <v>9399.5388999999996</v>
      </c>
      <c r="V25" s="306">
        <v>9295.1</v>
      </c>
      <c r="W25" s="562">
        <f t="shared" si="22"/>
        <v>906692.1</v>
      </c>
      <c r="X25" s="306"/>
      <c r="Y25" s="492"/>
      <c r="Z25" s="499"/>
      <c r="AA25" s="499"/>
      <c r="AB25" s="499"/>
      <c r="AC25" s="499"/>
      <c r="AD25" s="499"/>
    </row>
    <row r="26" spans="1:34" ht="15.75" thickBot="1" x14ac:dyDescent="0.3">
      <c r="A26" s="500" t="s">
        <v>572</v>
      </c>
      <c r="B26" s="501" t="s">
        <v>2</v>
      </c>
      <c r="C26" s="502">
        <v>46150</v>
      </c>
      <c r="D26" s="503">
        <v>5600000383</v>
      </c>
      <c r="E26" s="504" t="s">
        <v>310</v>
      </c>
      <c r="F26" s="504" t="s">
        <v>573</v>
      </c>
      <c r="G26" s="505">
        <v>46056</v>
      </c>
      <c r="H26" s="506">
        <v>0.1</v>
      </c>
      <c r="I26" s="507" t="s">
        <v>156</v>
      </c>
      <c r="J26" s="504" t="s">
        <v>139</v>
      </c>
      <c r="K26" s="505" t="s">
        <v>17</v>
      </c>
      <c r="L26" s="631" t="s">
        <v>312</v>
      </c>
      <c r="M26" s="505">
        <v>46114</v>
      </c>
      <c r="N26" s="505">
        <v>46122</v>
      </c>
      <c r="O26" s="508">
        <v>465125.59</v>
      </c>
      <c r="P26" s="508">
        <v>95</v>
      </c>
      <c r="Q26" s="573">
        <f t="shared" si="20"/>
        <v>44186931.050000004</v>
      </c>
      <c r="R26" s="641">
        <v>46239</v>
      </c>
      <c r="S26" s="578" t="str">
        <f t="shared" si="21"/>
        <v>August26</v>
      </c>
      <c r="T26" s="509" t="s">
        <v>164</v>
      </c>
      <c r="U26" s="510"/>
      <c r="V26" s="510"/>
      <c r="W26" s="563">
        <f t="shared" si="22"/>
        <v>465125.59</v>
      </c>
      <c r="X26" s="563">
        <f>W26*P26</f>
        <v>44186931.050000004</v>
      </c>
      <c r="Y26" s="511"/>
      <c r="Z26" s="3"/>
      <c r="AA26" s="3"/>
      <c r="AB26" s="3"/>
      <c r="AC26" s="3"/>
      <c r="AD26" s="3"/>
    </row>
    <row r="27" spans="1:34" ht="15.75" thickBot="1" x14ac:dyDescent="0.3">
      <c r="A27" s="512" t="s">
        <v>574</v>
      </c>
      <c r="B27" s="513" t="s">
        <v>3</v>
      </c>
      <c r="C27" s="514">
        <v>46150</v>
      </c>
      <c r="D27" s="515">
        <v>5600000440</v>
      </c>
      <c r="E27" s="516" t="s">
        <v>370</v>
      </c>
      <c r="F27" s="516" t="s">
        <v>575</v>
      </c>
      <c r="G27" s="517">
        <v>46099</v>
      </c>
      <c r="H27" s="518">
        <v>0.1</v>
      </c>
      <c r="I27" s="519" t="s">
        <v>576</v>
      </c>
      <c r="J27" s="516" t="s">
        <v>139</v>
      </c>
      <c r="K27" s="520" t="s">
        <v>17</v>
      </c>
      <c r="L27" s="632" t="s">
        <v>373</v>
      </c>
      <c r="M27" s="520">
        <v>46128</v>
      </c>
      <c r="N27" s="520">
        <v>46134</v>
      </c>
      <c r="O27" s="521">
        <v>912600</v>
      </c>
      <c r="P27" s="521">
        <v>95</v>
      </c>
      <c r="Q27" s="574">
        <f t="shared" ref="Q27:Q29" si="23">O27*P27</f>
        <v>86697000</v>
      </c>
      <c r="R27" s="642">
        <v>46225</v>
      </c>
      <c r="S27" s="579" t="str">
        <f t="shared" ref="S27" si="24">IF(R27="","-",TEXT(R27,"mmmmyy"))</f>
        <v>July26</v>
      </c>
      <c r="T27" s="522" t="s">
        <v>164</v>
      </c>
      <c r="U27" s="521">
        <v>0</v>
      </c>
      <c r="V27" s="560">
        <f>8188.02+240</f>
        <v>8428.02</v>
      </c>
      <c r="W27" s="564">
        <f t="shared" si="22"/>
        <v>921028.02</v>
      </c>
      <c r="X27" s="563">
        <f>W27*P27</f>
        <v>87497661.900000006</v>
      </c>
      <c r="Y27" s="511"/>
      <c r="Z27" s="3"/>
      <c r="AA27" s="3"/>
      <c r="AB27" s="3"/>
      <c r="AC27" s="3"/>
      <c r="AD27" s="3"/>
    </row>
    <row r="28" spans="1:34" ht="15.75" thickBot="1" x14ac:dyDescent="0.3">
      <c r="A28" s="524" t="s">
        <v>574</v>
      </c>
      <c r="B28" s="525" t="s">
        <v>3</v>
      </c>
      <c r="C28" s="526">
        <v>46150</v>
      </c>
      <c r="D28" s="527">
        <v>5600000440</v>
      </c>
      <c r="E28" s="528" t="s">
        <v>370</v>
      </c>
      <c r="F28" s="528" t="s">
        <v>577</v>
      </c>
      <c r="G28" s="529">
        <v>46099</v>
      </c>
      <c r="H28" s="530">
        <v>0.1</v>
      </c>
      <c r="I28" s="531" t="s">
        <v>576</v>
      </c>
      <c r="J28" s="528" t="s">
        <v>139</v>
      </c>
      <c r="K28" s="532" t="s">
        <v>17</v>
      </c>
      <c r="L28" s="633" t="s">
        <v>374</v>
      </c>
      <c r="M28" s="532">
        <v>46128</v>
      </c>
      <c r="N28" s="532">
        <v>46134</v>
      </c>
      <c r="O28" s="533">
        <v>0</v>
      </c>
      <c r="P28" s="533">
        <v>0</v>
      </c>
      <c r="Q28" s="575">
        <f t="shared" ref="Q28" si="25">O28*P28</f>
        <v>0</v>
      </c>
      <c r="R28" s="643">
        <v>46225</v>
      </c>
      <c r="S28" s="580" t="str">
        <f t="shared" ref="S28" si="26">IF(R28="","-",TEXT(R28,"mmmmyy"))</f>
        <v>July26</v>
      </c>
      <c r="T28" s="534" t="s">
        <v>164</v>
      </c>
      <c r="U28" s="533">
        <v>0</v>
      </c>
      <c r="V28" s="533">
        <v>0</v>
      </c>
      <c r="W28" s="565">
        <f t="shared" si="22"/>
        <v>0</v>
      </c>
      <c r="X28" s="563">
        <f>W28*P28</f>
        <v>0</v>
      </c>
      <c r="Y28" s="511"/>
      <c r="Z28" s="3"/>
      <c r="AA28" s="3"/>
      <c r="AB28" s="3"/>
      <c r="AC28" s="3"/>
      <c r="AD28" s="3"/>
    </row>
    <row r="29" spans="1:34" ht="15.75" thickBot="1" x14ac:dyDescent="0.3">
      <c r="A29" s="500" t="s">
        <v>578</v>
      </c>
      <c r="B29" s="501" t="s">
        <v>1</v>
      </c>
      <c r="C29" s="502">
        <v>46153</v>
      </c>
      <c r="D29" s="503">
        <v>5600000446</v>
      </c>
      <c r="E29" s="504" t="s">
        <v>283</v>
      </c>
      <c r="F29" s="504" t="s">
        <v>579</v>
      </c>
      <c r="G29" s="505">
        <v>46101</v>
      </c>
      <c r="H29" s="506">
        <v>0.1</v>
      </c>
      <c r="I29" s="507" t="s">
        <v>267</v>
      </c>
      <c r="J29" s="504" t="s">
        <v>139</v>
      </c>
      <c r="K29" s="505" t="s">
        <v>17</v>
      </c>
      <c r="L29" s="631" t="s">
        <v>284</v>
      </c>
      <c r="M29" s="505">
        <v>46119</v>
      </c>
      <c r="N29" s="505">
        <v>46122</v>
      </c>
      <c r="O29" s="508">
        <v>1307700</v>
      </c>
      <c r="P29" s="508">
        <v>95</v>
      </c>
      <c r="Q29" s="573">
        <f t="shared" si="23"/>
        <v>124231500</v>
      </c>
      <c r="R29" s="641">
        <v>46217</v>
      </c>
      <c r="S29" s="578" t="str">
        <f t="shared" ref="S29" si="27">IF(R29="","-",TEXT(R29,"mmmmyy"))</f>
        <v>July26</v>
      </c>
      <c r="T29" s="509" t="s">
        <v>164</v>
      </c>
      <c r="U29" s="510">
        <v>10094.5923</v>
      </c>
      <c r="V29" s="510"/>
      <c r="W29" s="563">
        <f t="shared" si="22"/>
        <v>1307700</v>
      </c>
      <c r="X29" s="566">
        <f t="shared" ref="X29:X32" si="28">W29*P29</f>
        <v>124231500</v>
      </c>
      <c r="Y29" s="535">
        <v>43074817405</v>
      </c>
      <c r="Z29" s="536">
        <v>10913952</v>
      </c>
      <c r="AA29" s="535">
        <v>43286332815</v>
      </c>
      <c r="AB29" s="536">
        <v>1354889</v>
      </c>
      <c r="AC29" s="3"/>
      <c r="AD29" s="3"/>
    </row>
    <row r="30" spans="1:34" ht="15.75" thickBot="1" x14ac:dyDescent="0.3">
      <c r="A30" s="500" t="s">
        <v>580</v>
      </c>
      <c r="B30" s="501" t="s">
        <v>1</v>
      </c>
      <c r="C30" s="502">
        <v>46154</v>
      </c>
      <c r="D30" s="503">
        <v>5600000395</v>
      </c>
      <c r="E30" s="504" t="s">
        <v>397</v>
      </c>
      <c r="F30" s="504" t="s">
        <v>581</v>
      </c>
      <c r="G30" s="505">
        <v>46111</v>
      </c>
      <c r="H30" s="506">
        <v>0.1</v>
      </c>
      <c r="I30" s="507" t="s">
        <v>245</v>
      </c>
      <c r="J30" s="504" t="s">
        <v>139</v>
      </c>
      <c r="K30" s="505" t="s">
        <v>17</v>
      </c>
      <c r="L30" s="631" t="s">
        <v>398</v>
      </c>
      <c r="M30" s="505">
        <v>46127</v>
      </c>
      <c r="N30" s="505">
        <v>46128</v>
      </c>
      <c r="O30" s="508">
        <v>1285346.25</v>
      </c>
      <c r="P30" s="508">
        <v>95</v>
      </c>
      <c r="Q30" s="573">
        <f t="shared" ref="Q30:Q32" si="29">O30*P30</f>
        <v>122107893.75</v>
      </c>
      <c r="R30" s="641">
        <v>46227</v>
      </c>
      <c r="S30" s="578" t="str">
        <f t="shared" ref="S30:S32" si="30">IF(R30="","-",TEXT(R30,"mmmmyy"))</f>
        <v>July26</v>
      </c>
      <c r="T30" s="509" t="s">
        <v>164</v>
      </c>
      <c r="U30" s="510">
        <v>11402.9378</v>
      </c>
      <c r="V30" s="510"/>
      <c r="W30" s="563">
        <f t="shared" ref="W30:W32" si="31">O30+V30</f>
        <v>1285346.25</v>
      </c>
      <c r="X30" s="566">
        <f t="shared" si="28"/>
        <v>122107893.75</v>
      </c>
      <c r="Y30" s="535">
        <v>43607525170</v>
      </c>
      <c r="Z30" s="537" t="s">
        <v>1358</v>
      </c>
      <c r="AA30" s="3"/>
      <c r="AB30" s="3"/>
      <c r="AC30" s="3"/>
      <c r="AD30" s="3"/>
    </row>
    <row r="31" spans="1:34" ht="15.75" thickBot="1" x14ac:dyDescent="0.3">
      <c r="A31" s="500" t="s">
        <v>582</v>
      </c>
      <c r="B31" s="501" t="s">
        <v>1</v>
      </c>
      <c r="C31" s="502">
        <v>46154</v>
      </c>
      <c r="D31" s="503">
        <v>5600000392</v>
      </c>
      <c r="E31" s="504" t="s">
        <v>405</v>
      </c>
      <c r="F31" s="504" t="s">
        <v>583</v>
      </c>
      <c r="G31" s="505">
        <v>46111</v>
      </c>
      <c r="H31" s="506">
        <v>0.1</v>
      </c>
      <c r="I31" s="507" t="s">
        <v>245</v>
      </c>
      <c r="J31" s="504" t="s">
        <v>139</v>
      </c>
      <c r="K31" s="505" t="s">
        <v>17</v>
      </c>
      <c r="L31" s="631" t="s">
        <v>406</v>
      </c>
      <c r="M31" s="505">
        <v>46127</v>
      </c>
      <c r="N31" s="505">
        <v>46128</v>
      </c>
      <c r="O31" s="508">
        <v>671806.77</v>
      </c>
      <c r="P31" s="508">
        <v>95</v>
      </c>
      <c r="Q31" s="573">
        <f t="shared" si="29"/>
        <v>63821643.149999999</v>
      </c>
      <c r="R31" s="641">
        <v>46228</v>
      </c>
      <c r="S31" s="578" t="str">
        <f t="shared" si="30"/>
        <v>July26</v>
      </c>
      <c r="T31" s="509" t="s">
        <v>164</v>
      </c>
      <c r="U31" s="510">
        <v>6038.3890000000001</v>
      </c>
      <c r="V31" s="510"/>
      <c r="W31" s="563">
        <f t="shared" si="31"/>
        <v>671806.77</v>
      </c>
      <c r="X31" s="566">
        <f t="shared" si="28"/>
        <v>63821643.149999999</v>
      </c>
      <c r="Y31" s="535">
        <v>43286332815</v>
      </c>
      <c r="Z31" s="536">
        <v>6330875</v>
      </c>
      <c r="AA31" s="3"/>
      <c r="AB31" s="3"/>
      <c r="AC31" s="3"/>
      <c r="AD31" s="3"/>
    </row>
    <row r="32" spans="1:34" ht="15.75" thickBot="1" x14ac:dyDescent="0.3">
      <c r="A32" s="500" t="s">
        <v>584</v>
      </c>
      <c r="B32" s="501" t="s">
        <v>1</v>
      </c>
      <c r="C32" s="502">
        <v>46154</v>
      </c>
      <c r="D32" s="503">
        <v>5600000392</v>
      </c>
      <c r="E32" s="504" t="s">
        <v>407</v>
      </c>
      <c r="F32" s="504" t="s">
        <v>585</v>
      </c>
      <c r="G32" s="505">
        <v>46111</v>
      </c>
      <c r="H32" s="506">
        <v>0.1</v>
      </c>
      <c r="I32" s="507" t="s">
        <v>245</v>
      </c>
      <c r="J32" s="504" t="s">
        <v>139</v>
      </c>
      <c r="K32" s="505" t="s">
        <v>17</v>
      </c>
      <c r="L32" s="631" t="s">
        <v>408</v>
      </c>
      <c r="M32" s="505">
        <v>46130</v>
      </c>
      <c r="N32" s="505">
        <v>46134</v>
      </c>
      <c r="O32" s="508">
        <v>670006.13</v>
      </c>
      <c r="P32" s="508">
        <v>95</v>
      </c>
      <c r="Q32" s="573">
        <f t="shared" si="29"/>
        <v>63650582.350000001</v>
      </c>
      <c r="R32" s="641">
        <v>46228</v>
      </c>
      <c r="S32" s="578" t="str">
        <f t="shared" si="30"/>
        <v>July26</v>
      </c>
      <c r="T32" s="509" t="s">
        <v>164</v>
      </c>
      <c r="U32" s="510">
        <v>5784.4134000000004</v>
      </c>
      <c r="V32" s="510"/>
      <c r="W32" s="563">
        <f t="shared" si="31"/>
        <v>670006.13</v>
      </c>
      <c r="X32" s="566">
        <f t="shared" si="28"/>
        <v>63650582.350000001</v>
      </c>
      <c r="Y32" s="535">
        <v>43183923893</v>
      </c>
      <c r="Z32" s="536">
        <v>6419789.1699999999</v>
      </c>
      <c r="AA32" s="3"/>
      <c r="AB32" s="3"/>
      <c r="AC32" s="3"/>
      <c r="AD32" s="3"/>
    </row>
    <row r="33" spans="1:30" ht="15.75" x14ac:dyDescent="0.25">
      <c r="A33" s="512" t="s">
        <v>586</v>
      </c>
      <c r="B33" s="513" t="s">
        <v>3</v>
      </c>
      <c r="C33" s="514">
        <v>46156</v>
      </c>
      <c r="D33" s="515">
        <v>5600000410</v>
      </c>
      <c r="E33" s="516" t="s">
        <v>363</v>
      </c>
      <c r="F33" s="516" t="s">
        <v>587</v>
      </c>
      <c r="G33" s="520">
        <v>46099</v>
      </c>
      <c r="H33" s="518">
        <v>0.1</v>
      </c>
      <c r="I33" s="519" t="s">
        <v>364</v>
      </c>
      <c r="J33" s="516" t="s">
        <v>139</v>
      </c>
      <c r="K33" s="520" t="s">
        <v>17</v>
      </c>
      <c r="L33" s="634" t="s">
        <v>365</v>
      </c>
      <c r="M33" s="520">
        <v>46136</v>
      </c>
      <c r="N33" s="520">
        <v>46143</v>
      </c>
      <c r="O33" s="568">
        <f>256680</f>
        <v>256680</v>
      </c>
      <c r="P33" s="521">
        <v>95</v>
      </c>
      <c r="Q33" s="574">
        <f t="shared" ref="Q33:Q37" si="32">O33*P33</f>
        <v>24384600</v>
      </c>
      <c r="R33" s="642">
        <v>46230</v>
      </c>
      <c r="S33" s="579" t="str">
        <f t="shared" ref="S33:S37" si="33">IF(R33="","-",TEXT(R33,"mmmmyy"))</f>
        <v>July26</v>
      </c>
      <c r="T33" s="522" t="s">
        <v>164</v>
      </c>
      <c r="U33" s="521">
        <v>0</v>
      </c>
      <c r="V33" s="560">
        <f>11208.14+200</f>
        <v>11408.14</v>
      </c>
      <c r="W33" s="653">
        <v>1294183.1399999999</v>
      </c>
      <c r="X33" s="567">
        <f>W33*P33</f>
        <v>122947398.3</v>
      </c>
      <c r="Y33" s="538"/>
      <c r="Z33" s="538"/>
      <c r="AA33" s="538"/>
      <c r="AB33" s="538"/>
      <c r="AC33" s="538"/>
      <c r="AD33" s="538"/>
    </row>
    <row r="34" spans="1:30" ht="15.75" x14ac:dyDescent="0.25">
      <c r="A34" s="539" t="s">
        <v>586</v>
      </c>
      <c r="B34" s="152" t="s">
        <v>3</v>
      </c>
      <c r="C34" s="89">
        <v>46156</v>
      </c>
      <c r="D34" s="6">
        <v>5600000410</v>
      </c>
      <c r="E34" s="80" t="s">
        <v>363</v>
      </c>
      <c r="F34" s="80" t="s">
        <v>588</v>
      </c>
      <c r="G34" s="61">
        <v>46099</v>
      </c>
      <c r="H34" s="540">
        <v>0.1</v>
      </c>
      <c r="I34" s="81" t="s">
        <v>364</v>
      </c>
      <c r="J34" s="80" t="s">
        <v>139</v>
      </c>
      <c r="K34" s="61" t="s">
        <v>17</v>
      </c>
      <c r="L34" s="635" t="s">
        <v>366</v>
      </c>
      <c r="M34" s="61">
        <v>46136</v>
      </c>
      <c r="N34" s="61">
        <v>46143</v>
      </c>
      <c r="O34" s="561">
        <f>256680</f>
        <v>256680</v>
      </c>
      <c r="P34" s="79">
        <v>95</v>
      </c>
      <c r="Q34" s="571">
        <f t="shared" si="32"/>
        <v>24384600</v>
      </c>
      <c r="R34" s="639">
        <v>46230</v>
      </c>
      <c r="S34" s="576" t="str">
        <f t="shared" si="33"/>
        <v>July26</v>
      </c>
      <c r="T34" s="108" t="s">
        <v>164</v>
      </c>
      <c r="U34" s="79">
        <v>0</v>
      </c>
      <c r="V34" s="79">
        <v>0</v>
      </c>
      <c r="W34" s="654"/>
      <c r="X34" s="541"/>
      <c r="Y34" s="538"/>
      <c r="Z34" s="538"/>
      <c r="AA34" s="538"/>
      <c r="AB34" s="538"/>
      <c r="AC34" s="538"/>
      <c r="AD34" s="538"/>
    </row>
    <row r="35" spans="1:30" ht="15.75" x14ac:dyDescent="0.25">
      <c r="A35" s="539" t="s">
        <v>586</v>
      </c>
      <c r="B35" s="152" t="s">
        <v>3</v>
      </c>
      <c r="C35" s="89">
        <v>46156</v>
      </c>
      <c r="D35" s="6">
        <v>5600000410</v>
      </c>
      <c r="E35" s="80" t="s">
        <v>363</v>
      </c>
      <c r="F35" s="80" t="s">
        <v>589</v>
      </c>
      <c r="G35" s="61">
        <v>46099</v>
      </c>
      <c r="H35" s="540">
        <v>0.1</v>
      </c>
      <c r="I35" s="81" t="s">
        <v>364</v>
      </c>
      <c r="J35" s="80" t="s">
        <v>139</v>
      </c>
      <c r="K35" s="61" t="s">
        <v>17</v>
      </c>
      <c r="L35" s="635" t="s">
        <v>367</v>
      </c>
      <c r="M35" s="61">
        <v>46136</v>
      </c>
      <c r="N35" s="61">
        <v>46143</v>
      </c>
      <c r="O35" s="561">
        <f>256680</f>
        <v>256680</v>
      </c>
      <c r="P35" s="79">
        <v>95</v>
      </c>
      <c r="Q35" s="571">
        <f t="shared" si="32"/>
        <v>24384600</v>
      </c>
      <c r="R35" s="639">
        <v>46230</v>
      </c>
      <c r="S35" s="576" t="str">
        <f t="shared" si="33"/>
        <v>July26</v>
      </c>
      <c r="T35" s="108" t="s">
        <v>164</v>
      </c>
      <c r="U35" s="79">
        <v>0</v>
      </c>
      <c r="V35" s="79">
        <v>0</v>
      </c>
      <c r="W35" s="654"/>
      <c r="X35" s="541"/>
      <c r="Y35" s="538"/>
      <c r="Z35" s="538"/>
      <c r="AA35" s="538"/>
      <c r="AB35" s="538"/>
      <c r="AC35" s="538"/>
      <c r="AD35" s="538"/>
    </row>
    <row r="36" spans="1:30" ht="15.75" x14ac:dyDescent="0.25">
      <c r="A36" s="539" t="s">
        <v>586</v>
      </c>
      <c r="B36" s="152" t="s">
        <v>3</v>
      </c>
      <c r="C36" s="89">
        <v>46156</v>
      </c>
      <c r="D36" s="6">
        <v>5600000410</v>
      </c>
      <c r="E36" s="80" t="s">
        <v>363</v>
      </c>
      <c r="F36" s="80" t="s">
        <v>590</v>
      </c>
      <c r="G36" s="61">
        <v>46099</v>
      </c>
      <c r="H36" s="540">
        <v>0.1</v>
      </c>
      <c r="I36" s="81" t="s">
        <v>364</v>
      </c>
      <c r="J36" s="80" t="s">
        <v>139</v>
      </c>
      <c r="K36" s="61" t="s">
        <v>17</v>
      </c>
      <c r="L36" s="635" t="s">
        <v>368</v>
      </c>
      <c r="M36" s="61">
        <v>46134</v>
      </c>
      <c r="N36" s="61">
        <v>46143</v>
      </c>
      <c r="O36" s="79">
        <v>256680</v>
      </c>
      <c r="P36" s="79">
        <v>95</v>
      </c>
      <c r="Q36" s="571">
        <f t="shared" si="32"/>
        <v>24384600</v>
      </c>
      <c r="R36" s="639">
        <v>46230</v>
      </c>
      <c r="S36" s="576" t="str">
        <f t="shared" si="33"/>
        <v>July26</v>
      </c>
      <c r="T36" s="108" t="s">
        <v>164</v>
      </c>
      <c r="U36" s="79">
        <v>0</v>
      </c>
      <c r="V36" s="79">
        <v>0</v>
      </c>
      <c r="W36" s="654"/>
      <c r="X36" s="541"/>
      <c r="Y36" s="538"/>
      <c r="Z36" s="538"/>
      <c r="AA36" s="538"/>
      <c r="AB36" s="538"/>
      <c r="AC36" s="538"/>
      <c r="AD36" s="538"/>
    </row>
    <row r="37" spans="1:30" ht="16.5" thickBot="1" x14ac:dyDescent="0.3">
      <c r="A37" s="524" t="s">
        <v>586</v>
      </c>
      <c r="B37" s="525" t="s">
        <v>3</v>
      </c>
      <c r="C37" s="526">
        <v>46156</v>
      </c>
      <c r="D37" s="527">
        <v>5600000410</v>
      </c>
      <c r="E37" s="528" t="s">
        <v>363</v>
      </c>
      <c r="F37" s="528" t="s">
        <v>591</v>
      </c>
      <c r="G37" s="532">
        <v>46099</v>
      </c>
      <c r="H37" s="530">
        <v>0.1</v>
      </c>
      <c r="I37" s="531" t="s">
        <v>364</v>
      </c>
      <c r="J37" s="528" t="s">
        <v>139</v>
      </c>
      <c r="K37" s="532" t="s">
        <v>17</v>
      </c>
      <c r="L37" s="636" t="s">
        <v>369</v>
      </c>
      <c r="M37" s="532">
        <v>46135</v>
      </c>
      <c r="N37" s="532">
        <v>46143</v>
      </c>
      <c r="O37" s="533">
        <v>256680</v>
      </c>
      <c r="P37" s="533">
        <v>95</v>
      </c>
      <c r="Q37" s="575">
        <f t="shared" si="32"/>
        <v>24384600</v>
      </c>
      <c r="R37" s="643">
        <v>46230</v>
      </c>
      <c r="S37" s="580" t="str">
        <f t="shared" si="33"/>
        <v>July26</v>
      </c>
      <c r="T37" s="534" t="s">
        <v>164</v>
      </c>
      <c r="U37" s="533">
        <v>0</v>
      </c>
      <c r="V37" s="533">
        <v>0</v>
      </c>
      <c r="W37" s="655"/>
      <c r="X37" s="542"/>
      <c r="Y37" s="538"/>
      <c r="Z37" s="538"/>
      <c r="AA37" s="538"/>
      <c r="AB37" s="538"/>
      <c r="AC37" s="538"/>
      <c r="AD37" s="538"/>
    </row>
    <row r="38" spans="1:30" ht="15.75" thickBot="1" x14ac:dyDescent="0.3">
      <c r="A38" s="500" t="s">
        <v>592</v>
      </c>
      <c r="B38" s="501" t="s">
        <v>1</v>
      </c>
      <c r="C38" s="502">
        <v>46156</v>
      </c>
      <c r="D38" s="503">
        <v>5600000395</v>
      </c>
      <c r="E38" s="504" t="s">
        <v>399</v>
      </c>
      <c r="F38" s="504" t="s">
        <v>593</v>
      </c>
      <c r="G38" s="505">
        <v>46108</v>
      </c>
      <c r="H38" s="506">
        <v>0.1</v>
      </c>
      <c r="I38" s="507" t="s">
        <v>245</v>
      </c>
      <c r="J38" s="504" t="s">
        <v>139</v>
      </c>
      <c r="K38" s="505" t="s">
        <v>17</v>
      </c>
      <c r="L38" s="631" t="s">
        <v>400</v>
      </c>
      <c r="M38" s="505">
        <v>46127</v>
      </c>
      <c r="N38" s="505">
        <v>46128</v>
      </c>
      <c r="O38" s="508">
        <v>1933395.2</v>
      </c>
      <c r="P38" s="508">
        <v>95</v>
      </c>
      <c r="Q38" s="573">
        <f t="shared" ref="Q38:Q44" si="34">O38*P38</f>
        <v>183672544</v>
      </c>
      <c r="R38" s="641">
        <v>46224</v>
      </c>
      <c r="S38" s="578" t="str">
        <f t="shared" ref="S38" si="35">IF(R38="","-",TEXT(R38,"mmmmyy"))</f>
        <v>July26</v>
      </c>
      <c r="T38" s="509" t="s">
        <v>164</v>
      </c>
      <c r="U38" s="510">
        <v>15579.669</v>
      </c>
      <c r="V38" s="510"/>
      <c r="W38" s="563">
        <f t="shared" ref="W38:W39" si="36">O38+V38</f>
        <v>1933395.2</v>
      </c>
      <c r="X38" s="566">
        <f t="shared" ref="X38:X39" si="37">W38*P38</f>
        <v>183672544</v>
      </c>
      <c r="Y38" s="535">
        <v>43630359430</v>
      </c>
      <c r="Z38" s="535" t="s">
        <v>1356</v>
      </c>
      <c r="AA38" s="3"/>
      <c r="AB38" s="3"/>
      <c r="AC38" s="3"/>
      <c r="AD38" s="3"/>
    </row>
    <row r="39" spans="1:30" ht="15.75" customHeight="1" x14ac:dyDescent="0.25">
      <c r="A39" s="512" t="s">
        <v>594</v>
      </c>
      <c r="B39" s="513" t="s">
        <v>2</v>
      </c>
      <c r="C39" s="514">
        <v>46157</v>
      </c>
      <c r="D39" s="515">
        <v>5600000384</v>
      </c>
      <c r="E39" s="516" t="s">
        <v>313</v>
      </c>
      <c r="F39" s="516" t="s">
        <v>595</v>
      </c>
      <c r="G39" s="520">
        <v>46056</v>
      </c>
      <c r="H39" s="518">
        <v>0.1</v>
      </c>
      <c r="I39" s="519" t="s">
        <v>156</v>
      </c>
      <c r="J39" s="516" t="s">
        <v>139</v>
      </c>
      <c r="K39" s="520" t="s">
        <v>17</v>
      </c>
      <c r="L39" s="632" t="s">
        <v>314</v>
      </c>
      <c r="M39" s="520">
        <v>46118</v>
      </c>
      <c r="N39" s="520">
        <v>46122</v>
      </c>
      <c r="O39" s="647">
        <v>775209.3</v>
      </c>
      <c r="P39" s="521">
        <v>95</v>
      </c>
      <c r="Q39" s="574">
        <f t="shared" si="34"/>
        <v>73644883.5</v>
      </c>
      <c r="R39" s="642">
        <v>46332</v>
      </c>
      <c r="S39" s="579" t="str">
        <f t="shared" ref="S39:S44" si="38">IF(R39="","-",TEXT(R39,"mmmmyy"))</f>
        <v>November26</v>
      </c>
      <c r="T39" s="522" t="s">
        <v>164</v>
      </c>
      <c r="U39" s="523"/>
      <c r="V39" s="523"/>
      <c r="W39" s="650">
        <f t="shared" si="36"/>
        <v>775209.3</v>
      </c>
      <c r="X39" s="569">
        <f t="shared" si="37"/>
        <v>73644883.5</v>
      </c>
      <c r="Y39" s="538"/>
      <c r="Z39" s="3"/>
      <c r="AA39" s="3"/>
      <c r="AB39" s="3"/>
      <c r="AC39" s="538"/>
      <c r="AD39" s="538"/>
    </row>
    <row r="40" spans="1:30" ht="15.75" customHeight="1" x14ac:dyDescent="0.25">
      <c r="A40" s="539" t="s">
        <v>594</v>
      </c>
      <c r="B40" s="152" t="s">
        <v>2</v>
      </c>
      <c r="C40" s="89">
        <v>46157</v>
      </c>
      <c r="D40" s="6">
        <v>5600000384</v>
      </c>
      <c r="E40" s="80" t="s">
        <v>313</v>
      </c>
      <c r="F40" s="80" t="s">
        <v>596</v>
      </c>
      <c r="G40" s="61">
        <v>46056</v>
      </c>
      <c r="H40" s="540">
        <v>0.1</v>
      </c>
      <c r="I40" s="81" t="s">
        <v>156</v>
      </c>
      <c r="J40" s="80" t="s">
        <v>139</v>
      </c>
      <c r="K40" s="61" t="s">
        <v>17</v>
      </c>
      <c r="L40" s="629" t="s">
        <v>316</v>
      </c>
      <c r="M40" s="61">
        <v>46114</v>
      </c>
      <c r="N40" s="61">
        <v>46122</v>
      </c>
      <c r="O40" s="648"/>
      <c r="P40" s="79"/>
      <c r="Q40" s="571">
        <f t="shared" si="34"/>
        <v>0</v>
      </c>
      <c r="R40" s="639">
        <v>46332</v>
      </c>
      <c r="S40" s="576" t="str">
        <f t="shared" si="38"/>
        <v>November26</v>
      </c>
      <c r="T40" s="108" t="s">
        <v>164</v>
      </c>
      <c r="U40" s="3"/>
      <c r="V40" s="3"/>
      <c r="W40" s="651"/>
      <c r="X40" s="543"/>
      <c r="Y40" s="538"/>
      <c r="Z40" s="3"/>
      <c r="AA40" s="3"/>
      <c r="AB40" s="3"/>
      <c r="AC40" s="3"/>
      <c r="AD40" s="3"/>
    </row>
    <row r="41" spans="1:30" ht="15.75" thickBot="1" x14ac:dyDescent="0.3">
      <c r="A41" s="544" t="s">
        <v>594</v>
      </c>
      <c r="B41" s="491" t="s">
        <v>2</v>
      </c>
      <c r="C41" s="492">
        <v>46157</v>
      </c>
      <c r="D41" s="493">
        <v>5600000384</v>
      </c>
      <c r="E41" s="494" t="s">
        <v>313</v>
      </c>
      <c r="F41" s="494" t="s">
        <v>597</v>
      </c>
      <c r="G41" s="497">
        <v>46056</v>
      </c>
      <c r="H41" s="545">
        <v>0.1</v>
      </c>
      <c r="I41" s="496" t="s">
        <v>156</v>
      </c>
      <c r="J41" s="494" t="s">
        <v>139</v>
      </c>
      <c r="K41" s="497" t="s">
        <v>17</v>
      </c>
      <c r="L41" s="630" t="s">
        <v>318</v>
      </c>
      <c r="M41" s="497">
        <v>46114</v>
      </c>
      <c r="N41" s="497">
        <v>46122</v>
      </c>
      <c r="O41" s="649"/>
      <c r="P41" s="306"/>
      <c r="Q41" s="572">
        <f t="shared" si="34"/>
        <v>0</v>
      </c>
      <c r="R41" s="640">
        <v>46332</v>
      </c>
      <c r="S41" s="577" t="str">
        <f t="shared" si="38"/>
        <v>November26</v>
      </c>
      <c r="T41" s="498" t="s">
        <v>164</v>
      </c>
      <c r="U41" s="499"/>
      <c r="V41" s="499"/>
      <c r="W41" s="652"/>
      <c r="X41" s="546"/>
      <c r="Y41" s="538"/>
      <c r="Z41" s="3"/>
      <c r="AA41" s="3"/>
      <c r="AB41" s="3"/>
      <c r="AC41" s="3"/>
      <c r="AD41" s="3"/>
    </row>
    <row r="42" spans="1:30" ht="15.75" thickBot="1" x14ac:dyDescent="0.3">
      <c r="A42" s="539" t="s">
        <v>1290</v>
      </c>
      <c r="B42" s="513" t="s">
        <v>3</v>
      </c>
      <c r="C42" s="514">
        <v>46157</v>
      </c>
      <c r="D42" s="515">
        <v>5600000409</v>
      </c>
      <c r="E42" s="516" t="s">
        <v>354</v>
      </c>
      <c r="F42" s="520" t="s">
        <v>598</v>
      </c>
      <c r="G42" s="520">
        <v>46099</v>
      </c>
      <c r="H42" s="518">
        <v>0.1</v>
      </c>
      <c r="I42" s="519" t="s">
        <v>183</v>
      </c>
      <c r="J42" s="516" t="s">
        <v>139</v>
      </c>
      <c r="K42" s="520" t="s">
        <v>17</v>
      </c>
      <c r="L42" s="632" t="s">
        <v>355</v>
      </c>
      <c r="M42" s="520">
        <v>46134</v>
      </c>
      <c r="N42" s="520">
        <v>46139</v>
      </c>
      <c r="O42" s="656">
        <v>794430</v>
      </c>
      <c r="P42" s="521">
        <v>95</v>
      </c>
      <c r="Q42" s="574">
        <f t="shared" ref="Q42" si="39">O42*P42</f>
        <v>75470850</v>
      </c>
      <c r="R42" s="642">
        <v>46231</v>
      </c>
      <c r="S42" s="579" t="str">
        <f t="shared" si="38"/>
        <v>July26</v>
      </c>
      <c r="T42" s="522" t="s">
        <v>164</v>
      </c>
      <c r="U42" s="523"/>
      <c r="V42" s="560">
        <f>6941.27+200</f>
        <v>7141.27</v>
      </c>
      <c r="W42" s="659">
        <f t="shared" ref="W42" si="40">O42+V42</f>
        <v>801571.27</v>
      </c>
      <c r="X42" s="567">
        <f t="shared" ref="X42" si="41">W42*P42</f>
        <v>76149270.650000006</v>
      </c>
      <c r="Y42" s="538"/>
      <c r="Z42" s="538"/>
      <c r="AA42" s="538"/>
      <c r="AB42" s="538"/>
      <c r="AC42" s="538"/>
      <c r="AD42" s="538"/>
    </row>
    <row r="43" spans="1:30" ht="15.75" thickBot="1" x14ac:dyDescent="0.3">
      <c r="A43" s="539" t="s">
        <v>1290</v>
      </c>
      <c r="B43" s="152" t="s">
        <v>3</v>
      </c>
      <c r="C43" s="89">
        <v>46157</v>
      </c>
      <c r="D43" s="6">
        <v>5600000409</v>
      </c>
      <c r="E43" s="80" t="s">
        <v>354</v>
      </c>
      <c r="F43" s="61" t="s">
        <v>599</v>
      </c>
      <c r="G43" s="61">
        <v>46099</v>
      </c>
      <c r="H43" s="540">
        <v>0.1</v>
      </c>
      <c r="I43" s="81" t="s">
        <v>183</v>
      </c>
      <c r="J43" s="80" t="s">
        <v>139</v>
      </c>
      <c r="K43" s="61" t="s">
        <v>17</v>
      </c>
      <c r="L43" s="629" t="s">
        <v>356</v>
      </c>
      <c r="M43" s="61">
        <v>46134</v>
      </c>
      <c r="N43" s="61">
        <v>46139</v>
      </c>
      <c r="O43" s="657"/>
      <c r="P43" s="79"/>
      <c r="Q43" s="571">
        <f t="shared" si="34"/>
        <v>0</v>
      </c>
      <c r="R43" s="642">
        <v>46231</v>
      </c>
      <c r="S43" s="576" t="str">
        <f t="shared" si="38"/>
        <v>July26</v>
      </c>
      <c r="T43" s="108" t="s">
        <v>164</v>
      </c>
      <c r="U43" s="3"/>
      <c r="V43" s="3"/>
      <c r="W43" s="660"/>
      <c r="X43" s="541"/>
      <c r="Y43" s="538"/>
      <c r="Z43" s="538"/>
      <c r="AA43" s="538"/>
      <c r="AB43" s="538"/>
      <c r="AC43" s="538"/>
      <c r="AD43" s="538"/>
    </row>
    <row r="44" spans="1:30" ht="15.75" thickBot="1" x14ac:dyDescent="0.3">
      <c r="A44" s="539" t="s">
        <v>1290</v>
      </c>
      <c r="B44" s="525" t="s">
        <v>3</v>
      </c>
      <c r="C44" s="526">
        <v>46157</v>
      </c>
      <c r="D44" s="527">
        <v>5600000409</v>
      </c>
      <c r="E44" s="528" t="s">
        <v>354</v>
      </c>
      <c r="F44" s="532" t="s">
        <v>600</v>
      </c>
      <c r="G44" s="532">
        <v>46099</v>
      </c>
      <c r="H44" s="530">
        <v>0.1</v>
      </c>
      <c r="I44" s="531" t="s">
        <v>183</v>
      </c>
      <c r="J44" s="528" t="s">
        <v>139</v>
      </c>
      <c r="K44" s="532" t="s">
        <v>17</v>
      </c>
      <c r="L44" s="633" t="s">
        <v>359</v>
      </c>
      <c r="M44" s="532">
        <v>46134</v>
      </c>
      <c r="N44" s="532">
        <v>46139</v>
      </c>
      <c r="O44" s="658"/>
      <c r="P44" s="533"/>
      <c r="Q44" s="575">
        <f t="shared" si="34"/>
        <v>0</v>
      </c>
      <c r="R44" s="642">
        <v>46231</v>
      </c>
      <c r="S44" s="580" t="str">
        <f t="shared" si="38"/>
        <v>July26</v>
      </c>
      <c r="T44" s="534" t="s">
        <v>164</v>
      </c>
      <c r="U44" s="547"/>
      <c r="V44" s="547"/>
      <c r="W44" s="661"/>
      <c r="X44" s="542"/>
      <c r="Y44" s="538"/>
      <c r="Z44" s="548"/>
      <c r="AA44" s="548"/>
      <c r="AB44" s="548"/>
      <c r="AC44" s="548"/>
      <c r="AD44" s="548"/>
    </row>
    <row r="45" spans="1:30" s="3" customFormat="1" ht="16.5" thickBot="1" x14ac:dyDescent="0.3">
      <c r="A45" s="500" t="s">
        <v>601</v>
      </c>
      <c r="B45" s="501" t="s">
        <v>3</v>
      </c>
      <c r="C45" s="502">
        <v>46160</v>
      </c>
      <c r="D45" s="503">
        <v>5600000440</v>
      </c>
      <c r="E45" s="504" t="s">
        <v>370</v>
      </c>
      <c r="F45" s="504" t="s">
        <v>602</v>
      </c>
      <c r="G45" s="505">
        <v>46099</v>
      </c>
      <c r="H45" s="506">
        <v>0.1</v>
      </c>
      <c r="I45" s="507" t="s">
        <v>371</v>
      </c>
      <c r="J45" s="504" t="s">
        <v>139</v>
      </c>
      <c r="K45" s="505" t="s">
        <v>17</v>
      </c>
      <c r="L45" s="637" t="s">
        <v>372</v>
      </c>
      <c r="M45" s="505">
        <v>46133</v>
      </c>
      <c r="N45" s="505">
        <v>46139</v>
      </c>
      <c r="O45" s="508">
        <v>456300</v>
      </c>
      <c r="P45" s="508">
        <v>95</v>
      </c>
      <c r="Q45" s="573">
        <f t="shared" ref="Q45:Q46" si="42">O45*P45</f>
        <v>43348500</v>
      </c>
      <c r="R45" s="641">
        <v>46232</v>
      </c>
      <c r="S45" s="578" t="str">
        <f t="shared" ref="S45" si="43">IF(R45="","-",TEXT(R45,"mmmmyy"))</f>
        <v>July26</v>
      </c>
      <c r="T45" s="509" t="s">
        <v>164</v>
      </c>
      <c r="U45" s="510"/>
      <c r="V45" s="570">
        <f>3993.84+100</f>
        <v>4093.84</v>
      </c>
      <c r="W45" s="563">
        <f t="shared" ref="W45:W46" si="44">O45+V45</f>
        <v>460393.84</v>
      </c>
      <c r="X45" s="563">
        <f t="shared" ref="X45:X49" si="45">W45*P45</f>
        <v>43737414.800000004</v>
      </c>
      <c r="Y45" s="538"/>
    </row>
    <row r="46" spans="1:30" s="3" customFormat="1" ht="16.5" thickBot="1" x14ac:dyDescent="0.3">
      <c r="A46" s="500" t="s">
        <v>603</v>
      </c>
      <c r="B46" s="501" t="s">
        <v>3</v>
      </c>
      <c r="C46" s="502">
        <v>46160</v>
      </c>
      <c r="D46" s="503">
        <v>5600000440</v>
      </c>
      <c r="E46" s="504" t="s">
        <v>370</v>
      </c>
      <c r="F46" s="504" t="s">
        <v>604</v>
      </c>
      <c r="G46" s="505">
        <v>46099</v>
      </c>
      <c r="H46" s="506">
        <v>0.1</v>
      </c>
      <c r="I46" s="507" t="s">
        <v>371</v>
      </c>
      <c r="J46" s="504" t="s">
        <v>139</v>
      </c>
      <c r="K46" s="505" t="s">
        <v>17</v>
      </c>
      <c r="L46" s="637" t="s">
        <v>375</v>
      </c>
      <c r="M46" s="505">
        <v>46133</v>
      </c>
      <c r="N46" s="505">
        <v>46139</v>
      </c>
      <c r="O46" s="508">
        <v>456300</v>
      </c>
      <c r="P46" s="508">
        <v>95</v>
      </c>
      <c r="Q46" s="573">
        <f t="shared" si="42"/>
        <v>43348500</v>
      </c>
      <c r="R46" s="641">
        <v>46234</v>
      </c>
      <c r="S46" s="578" t="str">
        <f t="shared" ref="S46" si="46">IF(R46="","-",TEXT(R46,"mmmmyy"))</f>
        <v>July26</v>
      </c>
      <c r="T46" s="509" t="s">
        <v>164</v>
      </c>
      <c r="U46" s="510"/>
      <c r="V46" s="570">
        <f>4100.14+100</f>
        <v>4200.1400000000003</v>
      </c>
      <c r="W46" s="563">
        <f t="shared" si="44"/>
        <v>460500.14</v>
      </c>
      <c r="X46" s="563">
        <f t="shared" si="45"/>
        <v>43747513.300000004</v>
      </c>
      <c r="Y46" s="538"/>
    </row>
    <row r="47" spans="1:30" ht="16.5" thickBot="1" x14ac:dyDescent="0.3">
      <c r="A47" s="500" t="s">
        <v>1284</v>
      </c>
      <c r="B47" s="501" t="s">
        <v>1</v>
      </c>
      <c r="C47" s="502">
        <v>46162</v>
      </c>
      <c r="D47" s="503">
        <v>5600000395</v>
      </c>
      <c r="E47" s="504" t="s">
        <v>430</v>
      </c>
      <c r="F47" s="504" t="s">
        <v>1283</v>
      </c>
      <c r="G47" s="505">
        <v>46108</v>
      </c>
      <c r="H47" s="506">
        <v>0.1</v>
      </c>
      <c r="I47" s="507" t="s">
        <v>245</v>
      </c>
      <c r="J47" s="504" t="s">
        <v>139</v>
      </c>
      <c r="K47" s="505" t="s">
        <v>17</v>
      </c>
      <c r="L47" s="637" t="s">
        <v>431</v>
      </c>
      <c r="M47" s="505">
        <v>46133</v>
      </c>
      <c r="N47" s="505">
        <v>46135</v>
      </c>
      <c r="O47" s="508">
        <v>1290358</v>
      </c>
      <c r="P47" s="508">
        <v>95</v>
      </c>
      <c r="Q47" s="573">
        <f t="shared" ref="Q47" si="47">O47*P47</f>
        <v>122584010</v>
      </c>
      <c r="R47" s="641">
        <v>46227</v>
      </c>
      <c r="S47" s="578" t="str">
        <f t="shared" ref="S47" si="48">IF(R47="","-",TEXT(R47,"mmmmyy"))</f>
        <v>July26</v>
      </c>
      <c r="T47" s="509" t="s">
        <v>164</v>
      </c>
      <c r="U47" s="510">
        <v>9647.9012000000002</v>
      </c>
      <c r="V47" s="510"/>
      <c r="W47" s="563">
        <f t="shared" ref="W47:W49" si="49">O47+V47</f>
        <v>1290358</v>
      </c>
      <c r="X47" s="566">
        <f t="shared" si="45"/>
        <v>122584010</v>
      </c>
      <c r="Y47" s="3"/>
      <c r="Z47" s="3"/>
      <c r="AA47" s="3"/>
      <c r="AB47" s="3"/>
      <c r="AC47" s="3"/>
      <c r="AD47" s="3"/>
    </row>
    <row r="48" spans="1:30" ht="16.5" thickBot="1" x14ac:dyDescent="0.3">
      <c r="A48" s="500" t="s">
        <v>1287</v>
      </c>
      <c r="B48" s="513" t="s">
        <v>3</v>
      </c>
      <c r="C48" s="514">
        <v>46163</v>
      </c>
      <c r="D48" s="503">
        <v>5600000409</v>
      </c>
      <c r="E48" s="504" t="s">
        <v>354</v>
      </c>
      <c r="F48" s="504" t="s">
        <v>1285</v>
      </c>
      <c r="G48" s="505">
        <v>46099</v>
      </c>
      <c r="H48" s="518">
        <v>0.1</v>
      </c>
      <c r="I48" s="507" t="s">
        <v>183</v>
      </c>
      <c r="J48" s="516" t="s">
        <v>139</v>
      </c>
      <c r="K48" s="520" t="s">
        <v>17</v>
      </c>
      <c r="L48" s="637" t="s">
        <v>357</v>
      </c>
      <c r="M48" s="505">
        <v>46134</v>
      </c>
      <c r="N48" s="505">
        <v>46139</v>
      </c>
      <c r="O48" s="508">
        <v>264810</v>
      </c>
      <c r="P48" s="521">
        <v>95</v>
      </c>
      <c r="Q48" s="574">
        <f t="shared" ref="Q48:Q50" si="50">O48*P48</f>
        <v>25156950</v>
      </c>
      <c r="R48" s="641">
        <v>46237</v>
      </c>
      <c r="S48" s="578" t="str">
        <f t="shared" ref="S48:S50" si="51">IF(R48="","-",TEXT(R48,"mmmmyy"))</f>
        <v>August26</v>
      </c>
      <c r="T48" s="509" t="s">
        <v>164</v>
      </c>
      <c r="U48" s="523"/>
      <c r="V48" s="560">
        <f>2335.28+120</f>
        <v>2455.2800000000002</v>
      </c>
      <c r="W48" s="563">
        <f t="shared" si="49"/>
        <v>267265.28000000003</v>
      </c>
      <c r="X48" s="563">
        <f t="shared" si="45"/>
        <v>25390201.600000001</v>
      </c>
      <c r="Y48" s="538"/>
      <c r="Z48" s="538"/>
      <c r="AA48" s="538"/>
      <c r="AB48" s="538"/>
      <c r="AC48" s="538"/>
      <c r="AD48" s="538"/>
    </row>
    <row r="49" spans="1:30" ht="16.5" thickBot="1" x14ac:dyDescent="0.3">
      <c r="A49" s="500" t="s">
        <v>1288</v>
      </c>
      <c r="B49" s="501" t="s">
        <v>3</v>
      </c>
      <c r="C49" s="514">
        <v>46163</v>
      </c>
      <c r="D49" s="503">
        <v>5600000409</v>
      </c>
      <c r="E49" s="504" t="s">
        <v>354</v>
      </c>
      <c r="F49" s="504" t="s">
        <v>1286</v>
      </c>
      <c r="G49" s="505">
        <v>46099</v>
      </c>
      <c r="H49" s="506">
        <v>0.1</v>
      </c>
      <c r="I49" s="507" t="s">
        <v>183</v>
      </c>
      <c r="J49" s="504" t="s">
        <v>139</v>
      </c>
      <c r="K49" s="505" t="s">
        <v>17</v>
      </c>
      <c r="L49" s="637" t="s">
        <v>358</v>
      </c>
      <c r="M49" s="505">
        <v>46134</v>
      </c>
      <c r="N49" s="505">
        <v>46139</v>
      </c>
      <c r="O49" s="508">
        <v>264810</v>
      </c>
      <c r="P49" s="508">
        <v>95</v>
      </c>
      <c r="Q49" s="574">
        <f t="shared" si="50"/>
        <v>25156950</v>
      </c>
      <c r="R49" s="641">
        <v>46237</v>
      </c>
      <c r="S49" s="578" t="str">
        <f t="shared" si="51"/>
        <v>August26</v>
      </c>
      <c r="T49" s="509" t="s">
        <v>164</v>
      </c>
      <c r="U49" s="523"/>
      <c r="V49" s="560">
        <f>2335.28+120</f>
        <v>2455.2800000000002</v>
      </c>
      <c r="W49" s="563">
        <f t="shared" si="49"/>
        <v>267265.28000000003</v>
      </c>
      <c r="X49" s="563">
        <f t="shared" si="45"/>
        <v>25390201.600000001</v>
      </c>
      <c r="Y49" s="538"/>
      <c r="Z49" s="538"/>
      <c r="AA49" s="538"/>
      <c r="AB49" s="538"/>
      <c r="AC49" s="538"/>
      <c r="AD49" s="538"/>
    </row>
    <row r="50" spans="1:30" ht="16.5" thickBot="1" x14ac:dyDescent="0.3">
      <c r="A50" s="500"/>
      <c r="B50" s="501" t="s">
        <v>2</v>
      </c>
      <c r="C50" s="502">
        <v>46164</v>
      </c>
      <c r="D50" s="503">
        <v>5600000396</v>
      </c>
      <c r="E50" s="504" t="s">
        <v>442</v>
      </c>
      <c r="F50" s="504" t="s">
        <v>1293</v>
      </c>
      <c r="G50" s="505">
        <v>46056</v>
      </c>
      <c r="H50" s="506">
        <v>0.1</v>
      </c>
      <c r="I50" s="507" t="s">
        <v>245</v>
      </c>
      <c r="J50" s="504" t="s">
        <v>139</v>
      </c>
      <c r="K50" s="505" t="s">
        <v>17</v>
      </c>
      <c r="L50" s="637" t="s">
        <v>443</v>
      </c>
      <c r="M50" s="505">
        <v>46140</v>
      </c>
      <c r="N50" s="505">
        <v>46144</v>
      </c>
      <c r="O50" s="508">
        <v>1291989.45</v>
      </c>
      <c r="P50" s="508">
        <v>95</v>
      </c>
      <c r="Q50" s="573">
        <f t="shared" si="50"/>
        <v>122738997.75</v>
      </c>
      <c r="R50" s="641">
        <v>46284</v>
      </c>
      <c r="S50" s="578" t="str">
        <f t="shared" si="51"/>
        <v>September26</v>
      </c>
      <c r="T50" s="509" t="s">
        <v>164</v>
      </c>
      <c r="U50" s="510"/>
      <c r="V50" s="510"/>
      <c r="W50" s="563">
        <f t="shared" ref="W50" si="52">O50+V50</f>
        <v>1291989.45</v>
      </c>
      <c r="X50" s="563">
        <f t="shared" ref="X50" si="53">W50*P50</f>
        <v>122738997.75</v>
      </c>
      <c r="Y50" s="538"/>
      <c r="Z50" s="3"/>
      <c r="AA50" s="3"/>
      <c r="AB50" s="3"/>
      <c r="AC50" s="3"/>
      <c r="AD50" s="3"/>
    </row>
    <row r="51" spans="1:30" ht="16.5" thickBot="1" x14ac:dyDescent="0.3">
      <c r="A51" s="500" t="s">
        <v>1295</v>
      </c>
      <c r="B51" s="501" t="s">
        <v>1</v>
      </c>
      <c r="C51" s="502">
        <v>46164</v>
      </c>
      <c r="D51" s="503">
        <v>5600000396</v>
      </c>
      <c r="E51" s="504" t="s">
        <v>424</v>
      </c>
      <c r="F51" s="504" t="s">
        <v>1294</v>
      </c>
      <c r="G51" s="505">
        <v>46119</v>
      </c>
      <c r="H51" s="506">
        <v>0.1</v>
      </c>
      <c r="I51" s="507" t="s">
        <v>245</v>
      </c>
      <c r="J51" s="504" t="s">
        <v>139</v>
      </c>
      <c r="K51" s="505" t="s">
        <v>17</v>
      </c>
      <c r="L51" s="637" t="s">
        <v>425</v>
      </c>
      <c r="M51" s="505">
        <v>46132</v>
      </c>
      <c r="N51" s="505">
        <v>46134</v>
      </c>
      <c r="O51" s="508">
        <v>1291871.45</v>
      </c>
      <c r="P51" s="508">
        <v>95</v>
      </c>
      <c r="Q51" s="573">
        <f t="shared" ref="Q51" si="54">O51*P51</f>
        <v>122727787.75</v>
      </c>
      <c r="R51" s="641">
        <v>46229</v>
      </c>
      <c r="S51" s="578" t="str">
        <f t="shared" ref="S51" si="55">IF(R51="","-",TEXT(R51,"mmmmyy"))</f>
        <v>July26</v>
      </c>
      <c r="T51" s="509" t="s">
        <v>164</v>
      </c>
      <c r="U51" s="510"/>
      <c r="V51" s="510">
        <v>9659.2111999999997</v>
      </c>
      <c r="W51" s="563">
        <f t="shared" ref="W51" si="56">O51+V51</f>
        <v>1301530.6612</v>
      </c>
      <c r="X51" s="566">
        <f t="shared" ref="X51" si="57">W51*P51</f>
        <v>123645412.814</v>
      </c>
      <c r="Y51" s="535">
        <v>43630359430</v>
      </c>
      <c r="Z51" s="537" t="s">
        <v>1357</v>
      </c>
      <c r="AA51" s="3"/>
      <c r="AB51" s="3"/>
      <c r="AC51" s="3"/>
      <c r="AD51" s="3"/>
    </row>
    <row r="52" spans="1:30" ht="16.5" thickBot="1" x14ac:dyDescent="0.3">
      <c r="A52" s="500" t="s">
        <v>1307</v>
      </c>
      <c r="B52" s="501" t="s">
        <v>3</v>
      </c>
      <c r="C52" s="502">
        <v>46168</v>
      </c>
      <c r="D52" s="503">
        <v>5600000416</v>
      </c>
      <c r="E52" s="504" t="s">
        <v>333</v>
      </c>
      <c r="F52" s="504" t="s">
        <v>1308</v>
      </c>
      <c r="G52" s="505">
        <v>46091</v>
      </c>
      <c r="H52" s="506">
        <v>0.1</v>
      </c>
      <c r="I52" s="507" t="s">
        <v>334</v>
      </c>
      <c r="J52" s="504" t="s">
        <v>139</v>
      </c>
      <c r="K52" s="505" t="s">
        <v>17</v>
      </c>
      <c r="L52" s="637" t="s">
        <v>335</v>
      </c>
      <c r="M52" s="505">
        <v>46133</v>
      </c>
      <c r="N52" s="505">
        <v>46139</v>
      </c>
      <c r="O52" s="508">
        <v>266112</v>
      </c>
      <c r="P52" s="508">
        <v>95</v>
      </c>
      <c r="Q52" s="573">
        <f t="shared" ref="Q52:Q57" si="58">O52*P52</f>
        <v>25280640</v>
      </c>
      <c r="R52" s="641">
        <v>46224</v>
      </c>
      <c r="S52" s="578" t="str">
        <f t="shared" ref="S52:S57" si="59">IF(R52="","-",TEXT(R52,"mmmmyy"))</f>
        <v>July26</v>
      </c>
      <c r="T52" s="509" t="s">
        <v>164</v>
      </c>
      <c r="U52" s="510"/>
      <c r="V52" s="570">
        <f>1858.84+120</f>
        <v>1978.84</v>
      </c>
      <c r="W52" s="563">
        <f t="shared" ref="W52:W57" si="60">O52+V52</f>
        <v>268090.84000000003</v>
      </c>
      <c r="X52" s="563">
        <f t="shared" ref="X52:X57" si="61">W52*P52</f>
        <v>25468629.800000001</v>
      </c>
      <c r="Y52" s="549"/>
      <c r="Z52" s="538"/>
      <c r="AA52" s="538"/>
      <c r="AB52" s="538"/>
      <c r="AC52" s="538"/>
      <c r="AD52" s="538"/>
    </row>
    <row r="53" spans="1:30" ht="16.5" thickBot="1" x14ac:dyDescent="0.3">
      <c r="A53" s="500" t="s">
        <v>1306</v>
      </c>
      <c r="B53" s="501" t="s">
        <v>3</v>
      </c>
      <c r="C53" s="502">
        <v>46168</v>
      </c>
      <c r="D53" s="503">
        <v>5600000415</v>
      </c>
      <c r="E53" s="504" t="s">
        <v>337</v>
      </c>
      <c r="F53" s="504" t="s">
        <v>1309</v>
      </c>
      <c r="G53" s="505">
        <v>46091</v>
      </c>
      <c r="H53" s="506">
        <v>0.1</v>
      </c>
      <c r="I53" s="507" t="s">
        <v>338</v>
      </c>
      <c r="J53" s="504" t="s">
        <v>139</v>
      </c>
      <c r="K53" s="505" t="s">
        <v>17</v>
      </c>
      <c r="L53" s="637" t="s">
        <v>339</v>
      </c>
      <c r="M53" s="505">
        <v>46125</v>
      </c>
      <c r="N53" s="505"/>
      <c r="O53" s="508">
        <v>249984</v>
      </c>
      <c r="P53" s="508">
        <v>95</v>
      </c>
      <c r="Q53" s="573">
        <f t="shared" si="58"/>
        <v>23748480</v>
      </c>
      <c r="R53" s="641">
        <v>46224</v>
      </c>
      <c r="S53" s="578" t="str">
        <f t="shared" si="59"/>
        <v>July26</v>
      </c>
      <c r="T53" s="509" t="s">
        <v>164</v>
      </c>
      <c r="U53" s="510"/>
      <c r="V53" s="570">
        <f>1746.18+120</f>
        <v>1866.18</v>
      </c>
      <c r="W53" s="563">
        <f t="shared" si="60"/>
        <v>251850.18</v>
      </c>
      <c r="X53" s="563">
        <f t="shared" si="61"/>
        <v>23925767.099999998</v>
      </c>
      <c r="Y53" s="549"/>
      <c r="Z53" s="538"/>
      <c r="AA53" s="538"/>
      <c r="AB53" s="538"/>
      <c r="AC53" s="538"/>
      <c r="AD53" s="538"/>
    </row>
    <row r="54" spans="1:30" ht="16.5" thickBot="1" x14ac:dyDescent="0.3">
      <c r="A54" s="500" t="s">
        <v>1305</v>
      </c>
      <c r="B54" s="501" t="s">
        <v>3</v>
      </c>
      <c r="C54" s="502">
        <v>46168</v>
      </c>
      <c r="D54" s="503">
        <v>5600000402</v>
      </c>
      <c r="E54" s="504" t="s">
        <v>340</v>
      </c>
      <c r="F54" s="504" t="s">
        <v>1310</v>
      </c>
      <c r="G54" s="505">
        <v>46094</v>
      </c>
      <c r="H54" s="506">
        <v>0.1</v>
      </c>
      <c r="I54" s="507" t="s">
        <v>341</v>
      </c>
      <c r="J54" s="504" t="s">
        <v>139</v>
      </c>
      <c r="K54" s="505" t="s">
        <v>17</v>
      </c>
      <c r="L54" s="637" t="s">
        <v>342</v>
      </c>
      <c r="M54" s="505">
        <v>46125</v>
      </c>
      <c r="N54" s="505">
        <v>46134</v>
      </c>
      <c r="O54" s="508">
        <v>274176</v>
      </c>
      <c r="P54" s="508">
        <v>95</v>
      </c>
      <c r="Q54" s="573">
        <f t="shared" si="58"/>
        <v>26046720</v>
      </c>
      <c r="R54" s="641">
        <v>46224</v>
      </c>
      <c r="S54" s="578" t="str">
        <f t="shared" si="59"/>
        <v>July26</v>
      </c>
      <c r="T54" s="509" t="s">
        <v>164</v>
      </c>
      <c r="U54" s="510"/>
      <c r="V54" s="570">
        <f>1915.17+120</f>
        <v>2035.17</v>
      </c>
      <c r="W54" s="563">
        <f t="shared" si="60"/>
        <v>276211.17</v>
      </c>
      <c r="X54" s="563">
        <f t="shared" si="61"/>
        <v>26240061.149999999</v>
      </c>
      <c r="Y54" s="549"/>
      <c r="Z54" s="538"/>
      <c r="AA54" s="538"/>
      <c r="AB54" s="538"/>
      <c r="AC54" s="538"/>
      <c r="AD54" s="538"/>
    </row>
    <row r="55" spans="1:30" ht="16.5" thickBot="1" x14ac:dyDescent="0.3">
      <c r="A55" s="500" t="s">
        <v>1322</v>
      </c>
      <c r="B55" s="501" t="s">
        <v>3</v>
      </c>
      <c r="C55" s="502">
        <v>46171</v>
      </c>
      <c r="D55" s="503">
        <v>5600000407</v>
      </c>
      <c r="E55" s="504" t="s">
        <v>360</v>
      </c>
      <c r="F55" s="504" t="s">
        <v>1326</v>
      </c>
      <c r="G55" s="505">
        <v>46099</v>
      </c>
      <c r="H55" s="506">
        <v>0.1</v>
      </c>
      <c r="I55" s="507" t="s">
        <v>156</v>
      </c>
      <c r="J55" s="504" t="s">
        <v>139</v>
      </c>
      <c r="K55" s="505" t="s">
        <v>17</v>
      </c>
      <c r="L55" s="637" t="s">
        <v>361</v>
      </c>
      <c r="M55" s="505">
        <v>46132</v>
      </c>
      <c r="N55" s="505">
        <v>46139</v>
      </c>
      <c r="O55" s="508">
        <v>477332.76</v>
      </c>
      <c r="P55" s="508">
        <v>95</v>
      </c>
      <c r="Q55" s="573">
        <f t="shared" si="58"/>
        <v>45346612.200000003</v>
      </c>
      <c r="R55" s="641">
        <v>46227</v>
      </c>
      <c r="S55" s="578" t="str">
        <f t="shared" si="59"/>
        <v>July26</v>
      </c>
      <c r="T55" s="509" t="s">
        <v>164</v>
      </c>
      <c r="U55" s="510"/>
      <c r="V55" s="570">
        <f>3219.26+120</f>
        <v>3339.26</v>
      </c>
      <c r="W55" s="563">
        <f t="shared" si="60"/>
        <v>480672.02</v>
      </c>
      <c r="X55" s="563">
        <f t="shared" si="61"/>
        <v>45663841.899999999</v>
      </c>
      <c r="Y55" s="549"/>
      <c r="Z55" s="538"/>
      <c r="AA55" s="538"/>
      <c r="AB55" s="538"/>
      <c r="AC55" s="538"/>
      <c r="AD55" s="538"/>
    </row>
    <row r="56" spans="1:30" ht="16.5" thickBot="1" x14ac:dyDescent="0.3">
      <c r="A56" s="500" t="s">
        <v>1323</v>
      </c>
      <c r="B56" s="501" t="s">
        <v>3</v>
      </c>
      <c r="C56" s="502">
        <v>46171</v>
      </c>
      <c r="D56" s="503">
        <v>5600000419</v>
      </c>
      <c r="E56" s="504" t="s">
        <v>378</v>
      </c>
      <c r="F56" s="504" t="s">
        <v>1325</v>
      </c>
      <c r="G56" s="505">
        <v>46105</v>
      </c>
      <c r="H56" s="506">
        <v>0.1</v>
      </c>
      <c r="I56" s="507" t="s">
        <v>303</v>
      </c>
      <c r="J56" s="504" t="s">
        <v>139</v>
      </c>
      <c r="K56" s="505" t="s">
        <v>17</v>
      </c>
      <c r="L56" s="637" t="s">
        <v>379</v>
      </c>
      <c r="M56" s="505">
        <v>46132</v>
      </c>
      <c r="N56" s="505">
        <v>46139</v>
      </c>
      <c r="O56" s="508">
        <v>282158.40000000002</v>
      </c>
      <c r="P56" s="508">
        <v>95</v>
      </c>
      <c r="Q56" s="573">
        <f t="shared" si="58"/>
        <v>26805048.000000004</v>
      </c>
      <c r="R56" s="641">
        <v>46227</v>
      </c>
      <c r="S56" s="578" t="str">
        <f t="shared" si="59"/>
        <v>July26</v>
      </c>
      <c r="T56" s="509" t="s">
        <v>164</v>
      </c>
      <c r="U56" s="510"/>
      <c r="V56" s="570">
        <f>1902.95+120</f>
        <v>2022.95</v>
      </c>
      <c r="W56" s="563">
        <f t="shared" si="60"/>
        <v>284181.35000000003</v>
      </c>
      <c r="X56" s="563">
        <f t="shared" si="61"/>
        <v>26997228.250000004</v>
      </c>
      <c r="Y56" s="549"/>
      <c r="Z56" s="538"/>
      <c r="AA56" s="538"/>
      <c r="AB56" s="538"/>
      <c r="AC56" s="538"/>
      <c r="AD56" s="538"/>
    </row>
    <row r="57" spans="1:30" ht="16.5" thickBot="1" x14ac:dyDescent="0.3">
      <c r="A57" s="500" t="s">
        <v>1324</v>
      </c>
      <c r="B57" s="501" t="s">
        <v>3</v>
      </c>
      <c r="C57" s="502">
        <v>46171</v>
      </c>
      <c r="D57" s="503">
        <v>5600000452</v>
      </c>
      <c r="E57" s="504" t="s">
        <v>409</v>
      </c>
      <c r="F57" s="504" t="s">
        <v>1327</v>
      </c>
      <c r="G57" s="505">
        <v>46114</v>
      </c>
      <c r="H57" s="506">
        <v>0.1</v>
      </c>
      <c r="I57" s="507" t="s">
        <v>371</v>
      </c>
      <c r="J57" s="504" t="s">
        <v>139</v>
      </c>
      <c r="K57" s="505" t="s">
        <v>17</v>
      </c>
      <c r="L57" s="637" t="s">
        <v>410</v>
      </c>
      <c r="M57" s="505">
        <v>46136</v>
      </c>
      <c r="N57" s="505">
        <v>46146</v>
      </c>
      <c r="O57" s="508">
        <v>463050</v>
      </c>
      <c r="P57" s="508">
        <v>95</v>
      </c>
      <c r="Q57" s="573">
        <f t="shared" si="58"/>
        <v>43989750</v>
      </c>
      <c r="R57" s="641">
        <v>46244</v>
      </c>
      <c r="S57" s="578" t="str">
        <f t="shared" si="59"/>
        <v>August26</v>
      </c>
      <c r="T57" s="509" t="s">
        <v>164</v>
      </c>
      <c r="U57" s="510"/>
      <c r="V57" s="570">
        <f>4038.28+120</f>
        <v>4158.2800000000007</v>
      </c>
      <c r="W57" s="563">
        <f t="shared" si="60"/>
        <v>467208.28</v>
      </c>
      <c r="X57" s="563">
        <f t="shared" si="61"/>
        <v>44384786.600000001</v>
      </c>
      <c r="Y57" s="549"/>
      <c r="Z57" s="538"/>
      <c r="AA57" s="538"/>
      <c r="AB57" s="538"/>
      <c r="AC57" s="538"/>
      <c r="AD57" s="538"/>
    </row>
    <row r="58" spans="1:30" ht="16.5" thickBot="1" x14ac:dyDescent="0.3">
      <c r="A58" s="500" t="s">
        <v>1328</v>
      </c>
      <c r="B58" s="501" t="s">
        <v>2</v>
      </c>
      <c r="C58" s="502">
        <v>46171</v>
      </c>
      <c r="D58" s="503">
        <v>5600000384</v>
      </c>
      <c r="E58" s="504" t="s">
        <v>313</v>
      </c>
      <c r="F58" s="504" t="s">
        <v>1330</v>
      </c>
      <c r="G58" s="505">
        <v>46056</v>
      </c>
      <c r="H58" s="506">
        <v>0.1</v>
      </c>
      <c r="I58" s="507" t="s">
        <v>156</v>
      </c>
      <c r="J58" s="504" t="s">
        <v>139</v>
      </c>
      <c r="K58" s="505" t="s">
        <v>17</v>
      </c>
      <c r="L58" s="637" t="s">
        <v>319</v>
      </c>
      <c r="M58" s="505">
        <v>46132</v>
      </c>
      <c r="N58" s="505">
        <v>46143</v>
      </c>
      <c r="O58" s="508">
        <v>217058.61</v>
      </c>
      <c r="P58" s="508">
        <v>95</v>
      </c>
      <c r="Q58" s="573">
        <f t="shared" ref="Q58:Q59" si="62">O58*P58</f>
        <v>20620567.949999999</v>
      </c>
      <c r="R58" s="641">
        <v>46349</v>
      </c>
      <c r="S58" s="578" t="str">
        <f t="shared" ref="S58:S59" si="63">IF(R58="","-",TEXT(R58,"mmmmyy"))</f>
        <v>November26</v>
      </c>
      <c r="T58" s="509" t="s">
        <v>164</v>
      </c>
      <c r="U58" s="510"/>
      <c r="V58" s="510">
        <v>0</v>
      </c>
      <c r="W58" s="563">
        <f t="shared" ref="W58:W59" si="64">O58+V58</f>
        <v>217058.61</v>
      </c>
      <c r="X58" s="563">
        <f t="shared" ref="X58:X59" si="65">W58*P58</f>
        <v>20620567.949999999</v>
      </c>
      <c r="Y58" s="549"/>
      <c r="Z58" s="538"/>
      <c r="AA58" s="538"/>
      <c r="AB58" s="538"/>
      <c r="AC58" s="538"/>
      <c r="AD58" s="538"/>
    </row>
    <row r="59" spans="1:30" ht="16.5" thickBot="1" x14ac:dyDescent="0.3">
      <c r="A59" s="500" t="s">
        <v>1331</v>
      </c>
      <c r="B59" s="501" t="s">
        <v>2</v>
      </c>
      <c r="C59" s="502">
        <v>46171</v>
      </c>
      <c r="D59" s="503">
        <v>5600000398</v>
      </c>
      <c r="E59" s="504" t="s">
        <v>328</v>
      </c>
      <c r="F59" s="504" t="s">
        <v>1329</v>
      </c>
      <c r="G59" s="505">
        <v>46074</v>
      </c>
      <c r="H59" s="506">
        <v>0.1</v>
      </c>
      <c r="I59" s="507" t="s">
        <v>138</v>
      </c>
      <c r="J59" s="504" t="s">
        <v>139</v>
      </c>
      <c r="K59" s="505" t="s">
        <v>17</v>
      </c>
      <c r="L59" s="637" t="s">
        <v>329</v>
      </c>
      <c r="M59" s="505">
        <v>46132</v>
      </c>
      <c r="N59" s="505">
        <v>46143</v>
      </c>
      <c r="O59" s="508">
        <v>3730346.24</v>
      </c>
      <c r="P59" s="508">
        <v>95</v>
      </c>
      <c r="Q59" s="573">
        <f t="shared" si="62"/>
        <v>354382892.80000001</v>
      </c>
      <c r="R59" s="641">
        <v>46351</v>
      </c>
      <c r="S59" s="578" t="str">
        <f t="shared" si="63"/>
        <v>November26</v>
      </c>
      <c r="T59" s="509" t="s">
        <v>164</v>
      </c>
      <c r="U59" s="510"/>
      <c r="V59" s="510">
        <v>0</v>
      </c>
      <c r="W59" s="563">
        <f t="shared" si="64"/>
        <v>3730346.24</v>
      </c>
      <c r="X59" s="563">
        <f t="shared" si="65"/>
        <v>354382892.80000001</v>
      </c>
      <c r="Y59" s="549"/>
      <c r="Z59" s="538"/>
      <c r="AA59" s="538"/>
      <c r="AB59" s="538"/>
      <c r="AC59" s="538"/>
      <c r="AD59" s="538"/>
    </row>
    <row r="60" spans="1:30" ht="16.5" thickBot="1" x14ac:dyDescent="0.3">
      <c r="A60" s="500" t="s">
        <v>1344</v>
      </c>
      <c r="B60" s="501" t="s">
        <v>2</v>
      </c>
      <c r="C60" s="502">
        <v>46174</v>
      </c>
      <c r="D60" s="503">
        <v>5600000400</v>
      </c>
      <c r="E60" s="504" t="s">
        <v>321</v>
      </c>
      <c r="F60" s="504" t="s">
        <v>1345</v>
      </c>
      <c r="G60" s="505">
        <v>46059</v>
      </c>
      <c r="H60" s="506">
        <v>0.1</v>
      </c>
      <c r="I60" s="507" t="s">
        <v>138</v>
      </c>
      <c r="J60" s="504" t="s">
        <v>139</v>
      </c>
      <c r="K60" s="505" t="s">
        <v>17</v>
      </c>
      <c r="L60" s="637" t="s">
        <v>322</v>
      </c>
      <c r="M60" s="505">
        <v>46132</v>
      </c>
      <c r="N60" s="505">
        <v>46140</v>
      </c>
      <c r="O60" s="508">
        <v>2080121.91</v>
      </c>
      <c r="P60" s="508">
        <v>95</v>
      </c>
      <c r="Q60" s="573">
        <f t="shared" ref="Q60:Q67" si="66">O60*P60</f>
        <v>197611581.44999999</v>
      </c>
      <c r="R60" s="641">
        <v>46351</v>
      </c>
      <c r="S60" s="578" t="str">
        <f t="shared" ref="S60:S67" si="67">IF(R60="","-",TEXT(R60,"mmmmyy"))</f>
        <v>November26</v>
      </c>
      <c r="T60" s="509" t="s">
        <v>164</v>
      </c>
      <c r="U60" s="510"/>
      <c r="V60" s="510">
        <v>0</v>
      </c>
      <c r="W60" s="563">
        <f>O60+V60</f>
        <v>2080121.91</v>
      </c>
      <c r="X60" s="563">
        <f t="shared" ref="X60:X67" si="68">W60*P60</f>
        <v>197611581.44999999</v>
      </c>
      <c r="Y60" s="549"/>
      <c r="Z60" s="538"/>
      <c r="AA60" s="538"/>
      <c r="AB60" s="538"/>
      <c r="AC60" s="538"/>
      <c r="AD60" s="538"/>
    </row>
    <row r="61" spans="1:30" ht="16.5" thickBot="1" x14ac:dyDescent="0.3">
      <c r="A61" s="500" t="s">
        <v>1347</v>
      </c>
      <c r="B61" s="501" t="s">
        <v>3</v>
      </c>
      <c r="C61" s="502">
        <v>46174</v>
      </c>
      <c r="D61" s="503">
        <v>5600000438</v>
      </c>
      <c r="E61" s="504" t="s">
        <v>343</v>
      </c>
      <c r="F61" s="504" t="s">
        <v>1349</v>
      </c>
      <c r="G61" s="505">
        <v>46099</v>
      </c>
      <c r="H61" s="506">
        <v>0.1</v>
      </c>
      <c r="I61" s="507" t="s">
        <v>344</v>
      </c>
      <c r="J61" s="504" t="s">
        <v>139</v>
      </c>
      <c r="K61" s="505" t="s">
        <v>17</v>
      </c>
      <c r="L61" s="637" t="s">
        <v>345</v>
      </c>
      <c r="M61" s="505">
        <v>46128</v>
      </c>
      <c r="N61" s="505">
        <v>46134</v>
      </c>
      <c r="O61" s="508">
        <v>500400</v>
      </c>
      <c r="P61" s="508">
        <v>95</v>
      </c>
      <c r="Q61" s="573">
        <f t="shared" si="66"/>
        <v>47538000</v>
      </c>
      <c r="R61" s="641">
        <v>46225</v>
      </c>
      <c r="S61" s="578" t="str">
        <f t="shared" si="67"/>
        <v>July26</v>
      </c>
      <c r="T61" s="509" t="s">
        <v>164</v>
      </c>
      <c r="U61" s="510"/>
      <c r="V61" s="570">
        <f>3146.88+120</f>
        <v>3266.88</v>
      </c>
      <c r="W61" s="563">
        <f>O61+V61</f>
        <v>503666.88</v>
      </c>
      <c r="X61" s="563">
        <f t="shared" si="68"/>
        <v>47848353.600000001</v>
      </c>
      <c r="Y61" s="549"/>
      <c r="Z61" s="538"/>
      <c r="AA61" s="538"/>
      <c r="AB61" s="538"/>
      <c r="AC61" s="538"/>
      <c r="AD61" s="538"/>
    </row>
    <row r="62" spans="1:30" ht="16.5" thickBot="1" x14ac:dyDescent="0.3">
      <c r="A62" s="500" t="s">
        <v>1348</v>
      </c>
      <c r="B62" s="501" t="s">
        <v>3</v>
      </c>
      <c r="C62" s="502">
        <v>46174</v>
      </c>
      <c r="D62" s="503">
        <v>5600000406</v>
      </c>
      <c r="E62" s="504" t="s">
        <v>376</v>
      </c>
      <c r="F62" s="504" t="s">
        <v>1350</v>
      </c>
      <c r="G62" s="505">
        <v>46101</v>
      </c>
      <c r="H62" s="506">
        <v>0.1</v>
      </c>
      <c r="I62" s="507" t="s">
        <v>190</v>
      </c>
      <c r="J62" s="504" t="s">
        <v>139</v>
      </c>
      <c r="K62" s="505" t="s">
        <v>17</v>
      </c>
      <c r="L62" s="637" t="s">
        <v>377</v>
      </c>
      <c r="M62" s="505">
        <v>46125</v>
      </c>
      <c r="N62" s="505">
        <v>46134</v>
      </c>
      <c r="O62" s="508">
        <v>1207470</v>
      </c>
      <c r="P62" s="508">
        <v>95</v>
      </c>
      <c r="Q62" s="573">
        <f t="shared" si="66"/>
        <v>114709650</v>
      </c>
      <c r="R62" s="641">
        <v>46231</v>
      </c>
      <c r="S62" s="578" t="str">
        <f t="shared" si="67"/>
        <v>July26</v>
      </c>
      <c r="T62" s="509" t="s">
        <v>164</v>
      </c>
      <c r="U62" s="510"/>
      <c r="V62" s="570">
        <f>8437.16+120</f>
        <v>8557.16</v>
      </c>
      <c r="W62" s="563">
        <f>O62+V62</f>
        <v>1216027.1599999999</v>
      </c>
      <c r="X62" s="563">
        <f t="shared" si="68"/>
        <v>115522580.19999999</v>
      </c>
      <c r="Y62" s="549"/>
      <c r="Z62" s="538"/>
      <c r="AA62" s="538"/>
      <c r="AB62" s="538"/>
      <c r="AC62" s="538"/>
      <c r="AD62" s="538"/>
    </row>
    <row r="63" spans="1:30" ht="16.5" thickBot="1" x14ac:dyDescent="0.3">
      <c r="A63" s="500" t="s">
        <v>1351</v>
      </c>
      <c r="B63" s="501" t="s">
        <v>1</v>
      </c>
      <c r="C63" s="502">
        <v>46174</v>
      </c>
      <c r="D63" s="503">
        <v>5600000444</v>
      </c>
      <c r="E63" s="504" t="s">
        <v>274</v>
      </c>
      <c r="F63" s="504" t="s">
        <v>1333</v>
      </c>
      <c r="G63" s="505">
        <v>46099</v>
      </c>
      <c r="H63" s="506">
        <v>0.1</v>
      </c>
      <c r="I63" s="507" t="s">
        <v>234</v>
      </c>
      <c r="J63" s="504" t="s">
        <v>139</v>
      </c>
      <c r="K63" s="504" t="s">
        <v>17</v>
      </c>
      <c r="L63" s="637" t="s">
        <v>280</v>
      </c>
      <c r="M63" s="505">
        <v>46134</v>
      </c>
      <c r="N63" s="505">
        <v>46141</v>
      </c>
      <c r="O63" s="508">
        <v>433266.62</v>
      </c>
      <c r="P63" s="508">
        <v>95</v>
      </c>
      <c r="Q63" s="573">
        <f t="shared" si="66"/>
        <v>41160328.899999999</v>
      </c>
      <c r="R63" s="641">
        <v>46216</v>
      </c>
      <c r="S63" s="578" t="str">
        <f t="shared" si="67"/>
        <v>July26</v>
      </c>
      <c r="T63" s="509" t="s">
        <v>164</v>
      </c>
      <c r="U63" s="510">
        <v>2256.1167</v>
      </c>
      <c r="V63" s="510"/>
      <c r="W63" s="563">
        <f>O63+U63</f>
        <v>435522.73670000001</v>
      </c>
      <c r="X63" s="563">
        <f t="shared" si="68"/>
        <v>41374659.986500002</v>
      </c>
      <c r="Y63" s="535">
        <v>44730457174</v>
      </c>
      <c r="Z63" s="536">
        <v>4300000</v>
      </c>
      <c r="AA63" s="3"/>
      <c r="AB63" s="3"/>
      <c r="AC63" s="3"/>
      <c r="AD63" s="3"/>
    </row>
    <row r="64" spans="1:30" ht="16.5" thickBot="1" x14ac:dyDescent="0.3">
      <c r="A64" s="500" t="s">
        <v>1352</v>
      </c>
      <c r="B64" s="501" t="s">
        <v>1</v>
      </c>
      <c r="C64" s="502">
        <v>46174</v>
      </c>
      <c r="D64" s="503">
        <v>5600000444</v>
      </c>
      <c r="E64" s="504" t="s">
        <v>274</v>
      </c>
      <c r="F64" s="504" t="s">
        <v>1334</v>
      </c>
      <c r="G64" s="505">
        <v>46099</v>
      </c>
      <c r="H64" s="506">
        <v>0.1</v>
      </c>
      <c r="I64" s="507" t="s">
        <v>234</v>
      </c>
      <c r="J64" s="504" t="s">
        <v>139</v>
      </c>
      <c r="K64" s="504" t="s">
        <v>17</v>
      </c>
      <c r="L64" s="637" t="s">
        <v>281</v>
      </c>
      <c r="M64" s="505">
        <v>46134</v>
      </c>
      <c r="N64" s="505">
        <v>46141</v>
      </c>
      <c r="O64" s="508">
        <v>433266.62</v>
      </c>
      <c r="P64" s="508">
        <v>95</v>
      </c>
      <c r="Q64" s="573">
        <f t="shared" si="66"/>
        <v>41160328.899999999</v>
      </c>
      <c r="R64" s="641">
        <v>46216</v>
      </c>
      <c r="S64" s="578" t="str">
        <f t="shared" si="67"/>
        <v>July26</v>
      </c>
      <c r="T64" s="509" t="s">
        <v>164</v>
      </c>
      <c r="U64" s="510">
        <v>2256.1167</v>
      </c>
      <c r="V64" s="510"/>
      <c r="W64" s="563">
        <f t="shared" ref="W64:W70" si="69">O64+V64</f>
        <v>433266.62</v>
      </c>
      <c r="X64" s="563">
        <f t="shared" si="68"/>
        <v>41160328.899999999</v>
      </c>
      <c r="Y64" s="535">
        <v>44730457174</v>
      </c>
      <c r="Z64" s="536">
        <v>4300000</v>
      </c>
      <c r="AA64" s="3"/>
      <c r="AB64" s="3"/>
      <c r="AC64" s="3"/>
      <c r="AD64" s="3"/>
    </row>
    <row r="65" spans="1:30" ht="16.5" thickBot="1" x14ac:dyDescent="0.3">
      <c r="A65" s="500" t="s">
        <v>1353</v>
      </c>
      <c r="B65" s="501" t="s">
        <v>1</v>
      </c>
      <c r="C65" s="502">
        <v>46174</v>
      </c>
      <c r="D65" s="503">
        <v>5600000444</v>
      </c>
      <c r="E65" s="504" t="s">
        <v>274</v>
      </c>
      <c r="F65" s="504" t="s">
        <v>1337</v>
      </c>
      <c r="G65" s="505">
        <v>46099</v>
      </c>
      <c r="H65" s="506">
        <v>0.1</v>
      </c>
      <c r="I65" s="507" t="s">
        <v>234</v>
      </c>
      <c r="J65" s="504" t="s">
        <v>139</v>
      </c>
      <c r="K65" s="504" t="s">
        <v>17</v>
      </c>
      <c r="L65" s="637" t="s">
        <v>282</v>
      </c>
      <c r="M65" s="505">
        <v>46134</v>
      </c>
      <c r="N65" s="505">
        <v>46141</v>
      </c>
      <c r="O65" s="508">
        <v>361972.8</v>
      </c>
      <c r="P65" s="508">
        <v>95</v>
      </c>
      <c r="Q65" s="573">
        <f t="shared" si="66"/>
        <v>34387416</v>
      </c>
      <c r="R65" s="641">
        <v>46216</v>
      </c>
      <c r="S65" s="578" t="str">
        <f t="shared" si="67"/>
        <v>July26</v>
      </c>
      <c r="T65" s="509" t="s">
        <v>164</v>
      </c>
      <c r="U65" s="510">
        <v>1884.8733999999999</v>
      </c>
      <c r="V65" s="510"/>
      <c r="W65" s="563">
        <f t="shared" si="69"/>
        <v>361972.8</v>
      </c>
      <c r="X65" s="563">
        <f t="shared" si="68"/>
        <v>34387416</v>
      </c>
      <c r="Y65" s="535">
        <v>44730457174</v>
      </c>
      <c r="Z65" s="536">
        <v>3500000</v>
      </c>
      <c r="AA65" s="3"/>
      <c r="AB65" s="3"/>
      <c r="AC65" s="3"/>
      <c r="AD65" s="3"/>
    </row>
    <row r="66" spans="1:30" ht="16.5" thickBot="1" x14ac:dyDescent="0.3">
      <c r="A66" s="500" t="s">
        <v>1354</v>
      </c>
      <c r="B66" s="501" t="s">
        <v>1</v>
      </c>
      <c r="C66" s="502">
        <v>46174</v>
      </c>
      <c r="D66" s="503">
        <v>5600000452</v>
      </c>
      <c r="E66" s="504" t="s">
        <v>416</v>
      </c>
      <c r="F66" s="504" t="s">
        <v>1335</v>
      </c>
      <c r="G66" s="505">
        <v>46116</v>
      </c>
      <c r="H66" s="506">
        <v>0.1</v>
      </c>
      <c r="I66" s="507" t="s">
        <v>371</v>
      </c>
      <c r="J66" s="504" t="s">
        <v>139</v>
      </c>
      <c r="K66" s="504" t="s">
        <v>17</v>
      </c>
      <c r="L66" s="637" t="s">
        <v>417</v>
      </c>
      <c r="M66" s="505">
        <v>46144</v>
      </c>
      <c r="N66" s="505">
        <v>46149</v>
      </c>
      <c r="O66" s="508">
        <v>463050</v>
      </c>
      <c r="P66" s="508">
        <v>95</v>
      </c>
      <c r="Q66" s="573">
        <f t="shared" si="66"/>
        <v>43989750</v>
      </c>
      <c r="R66" s="641">
        <v>46231</v>
      </c>
      <c r="S66" s="578" t="str">
        <f t="shared" si="67"/>
        <v>July26</v>
      </c>
      <c r="T66" s="509" t="s">
        <v>164</v>
      </c>
      <c r="U66" s="510">
        <v>3214.9400999999998</v>
      </c>
      <c r="V66" s="510"/>
      <c r="W66" s="563">
        <f t="shared" si="69"/>
        <v>463050</v>
      </c>
      <c r="X66" s="563">
        <f t="shared" si="68"/>
        <v>43989750</v>
      </c>
      <c r="Y66" s="535">
        <v>44730457174</v>
      </c>
      <c r="Z66" s="536">
        <v>4440000</v>
      </c>
      <c r="AA66" s="3"/>
      <c r="AB66" s="3"/>
      <c r="AC66" s="3"/>
      <c r="AD66" s="3"/>
    </row>
    <row r="67" spans="1:30" ht="16.5" thickBot="1" x14ac:dyDescent="0.3">
      <c r="A67" s="500" t="s">
        <v>1355</v>
      </c>
      <c r="B67" s="501" t="s">
        <v>1</v>
      </c>
      <c r="C67" s="502">
        <v>46174</v>
      </c>
      <c r="D67" s="503">
        <v>5600000452</v>
      </c>
      <c r="E67" s="504" t="s">
        <v>416</v>
      </c>
      <c r="F67" s="504" t="s">
        <v>1336</v>
      </c>
      <c r="G67" s="505">
        <v>46116</v>
      </c>
      <c r="H67" s="506">
        <v>0.1</v>
      </c>
      <c r="I67" s="507" t="s">
        <v>371</v>
      </c>
      <c r="J67" s="504" t="s">
        <v>139</v>
      </c>
      <c r="K67" s="504" t="s">
        <v>17</v>
      </c>
      <c r="L67" s="637" t="s">
        <v>418</v>
      </c>
      <c r="M67" s="505">
        <v>46144</v>
      </c>
      <c r="N67" s="505">
        <v>46149</v>
      </c>
      <c r="O67" s="508">
        <v>463050</v>
      </c>
      <c r="P67" s="508">
        <v>95</v>
      </c>
      <c r="Q67" s="573">
        <f t="shared" si="66"/>
        <v>43989750</v>
      </c>
      <c r="R67" s="641">
        <v>46231</v>
      </c>
      <c r="S67" s="578" t="str">
        <f t="shared" si="67"/>
        <v>July26</v>
      </c>
      <c r="T67" s="509" t="s">
        <v>164</v>
      </c>
      <c r="U67" s="510">
        <v>3214.9400999999998</v>
      </c>
      <c r="V67" s="510"/>
      <c r="W67" s="563">
        <f t="shared" si="69"/>
        <v>463050</v>
      </c>
      <c r="X67" s="563">
        <f t="shared" si="68"/>
        <v>43989750</v>
      </c>
      <c r="Y67" s="535">
        <v>44730457174</v>
      </c>
      <c r="Z67" s="536">
        <v>4440000</v>
      </c>
      <c r="AA67" s="3"/>
      <c r="AB67" s="3"/>
      <c r="AC67" s="3"/>
      <c r="AD67" s="3"/>
    </row>
    <row r="68" spans="1:30" ht="16.5" thickBot="1" x14ac:dyDescent="0.3">
      <c r="A68" s="500" t="s">
        <v>1364</v>
      </c>
      <c r="B68" s="501" t="s">
        <v>1</v>
      </c>
      <c r="C68" s="502">
        <v>46176</v>
      </c>
      <c r="D68" s="503">
        <v>5600000433</v>
      </c>
      <c r="E68" s="504" t="s">
        <v>439</v>
      </c>
      <c r="F68" s="507" t="s">
        <v>1361</v>
      </c>
      <c r="G68" s="505">
        <v>46130</v>
      </c>
      <c r="H68" s="506">
        <v>0.1</v>
      </c>
      <c r="I68" s="507" t="s">
        <v>245</v>
      </c>
      <c r="J68" s="504" t="s">
        <v>139</v>
      </c>
      <c r="K68" s="504" t="s">
        <v>17</v>
      </c>
      <c r="L68" s="637" t="s">
        <v>440</v>
      </c>
      <c r="M68" s="505">
        <v>46140</v>
      </c>
      <c r="N68" s="505">
        <v>46143</v>
      </c>
      <c r="O68" s="508">
        <v>1356957.35</v>
      </c>
      <c r="P68" s="508">
        <v>95</v>
      </c>
      <c r="Q68" s="573">
        <f t="shared" ref="Q68" si="70">O68*P68</f>
        <v>128910948.25000001</v>
      </c>
      <c r="R68" s="641">
        <v>46235</v>
      </c>
      <c r="S68" s="578" t="str">
        <f t="shared" ref="S68" si="71">IF(R68="","-",TEXT(R68,"mmmmyy"))</f>
        <v>August26</v>
      </c>
      <c r="T68" s="509" t="s">
        <v>164</v>
      </c>
      <c r="U68" s="510">
        <v>10049.396699999999</v>
      </c>
      <c r="V68" s="510"/>
      <c r="W68" s="563">
        <f t="shared" si="69"/>
        <v>1356957.35</v>
      </c>
      <c r="X68" s="563">
        <f t="shared" ref="X68" si="72">W68*P68</f>
        <v>128910948.25000001</v>
      </c>
      <c r="Y68" s="550">
        <v>44730457174</v>
      </c>
      <c r="Z68" s="551" t="s">
        <v>1365</v>
      </c>
      <c r="AA68" s="3"/>
      <c r="AB68" s="3"/>
      <c r="AC68" s="3"/>
      <c r="AD68" s="3"/>
    </row>
    <row r="69" spans="1:30" ht="16.5" thickBot="1" x14ac:dyDescent="0.3">
      <c r="A69" s="500"/>
      <c r="B69" s="501" t="s">
        <v>2</v>
      </c>
      <c r="C69" s="502">
        <v>46177</v>
      </c>
      <c r="D69" s="503">
        <v>5600000384</v>
      </c>
      <c r="E69" s="504" t="s">
        <v>313</v>
      </c>
      <c r="F69" s="507" t="s">
        <v>1372</v>
      </c>
      <c r="G69" s="505">
        <v>46056</v>
      </c>
      <c r="H69" s="506">
        <v>0.1</v>
      </c>
      <c r="I69" s="507" t="s">
        <v>156</v>
      </c>
      <c r="J69" s="504" t="s">
        <v>139</v>
      </c>
      <c r="K69" s="504" t="s">
        <v>17</v>
      </c>
      <c r="L69" s="637" t="s">
        <v>320</v>
      </c>
      <c r="M69" s="505">
        <v>46132</v>
      </c>
      <c r="N69" s="505">
        <v>46143</v>
      </c>
      <c r="O69" s="508">
        <v>93025.12</v>
      </c>
      <c r="P69" s="508">
        <v>95</v>
      </c>
      <c r="Q69" s="573">
        <f t="shared" ref="Q69:Q70" si="73">O69*P69</f>
        <v>8837386.4000000004</v>
      </c>
      <c r="R69" s="641">
        <v>46357</v>
      </c>
      <c r="S69" s="578" t="str">
        <f t="shared" ref="S69:S70" si="74">IF(R69="","-",TEXT(R69,"mmmmyy"))</f>
        <v>December26</v>
      </c>
      <c r="T69" s="509" t="s">
        <v>164</v>
      </c>
      <c r="U69" s="510"/>
      <c r="V69" s="510"/>
      <c r="W69" s="563">
        <f t="shared" si="69"/>
        <v>93025.12</v>
      </c>
      <c r="X69" s="563">
        <f t="shared" ref="X69:X70" si="75">W69*P69</f>
        <v>8837386.4000000004</v>
      </c>
      <c r="Y69" s="550"/>
      <c r="Z69" s="552"/>
      <c r="AA69" s="538"/>
      <c r="AB69" s="538"/>
      <c r="AC69" s="553"/>
      <c r="AD69" s="538"/>
    </row>
    <row r="70" spans="1:30" ht="16.5" thickBot="1" x14ac:dyDescent="0.3">
      <c r="A70" s="500" t="s">
        <v>1374</v>
      </c>
      <c r="B70" s="501" t="s">
        <v>3</v>
      </c>
      <c r="C70" s="502">
        <v>46177</v>
      </c>
      <c r="D70" s="503">
        <v>5600000407</v>
      </c>
      <c r="E70" s="504" t="s">
        <v>360</v>
      </c>
      <c r="F70" s="507" t="s">
        <v>1373</v>
      </c>
      <c r="G70" s="505">
        <v>46099</v>
      </c>
      <c r="H70" s="506">
        <v>0.1</v>
      </c>
      <c r="I70" s="507" t="s">
        <v>156</v>
      </c>
      <c r="J70" s="504" t="s">
        <v>139</v>
      </c>
      <c r="K70" s="504" t="s">
        <v>17</v>
      </c>
      <c r="L70" s="637" t="s">
        <v>362</v>
      </c>
      <c r="M70" s="505">
        <v>46135</v>
      </c>
      <c r="N70" s="505">
        <v>46143</v>
      </c>
      <c r="O70" s="53">
        <v>417666.17</v>
      </c>
      <c r="P70" s="508">
        <v>95</v>
      </c>
      <c r="Q70" s="573">
        <f t="shared" si="73"/>
        <v>39678286.149999999</v>
      </c>
      <c r="R70" s="641">
        <v>46234</v>
      </c>
      <c r="S70" s="578" t="str">
        <f t="shared" si="74"/>
        <v>July26</v>
      </c>
      <c r="T70" s="509" t="s">
        <v>164</v>
      </c>
      <c r="U70" s="510"/>
      <c r="V70" s="510"/>
      <c r="W70" s="563">
        <f t="shared" si="69"/>
        <v>417666.17</v>
      </c>
      <c r="X70" s="563">
        <f t="shared" si="75"/>
        <v>39678286.149999999</v>
      </c>
      <c r="Y70" s="550"/>
      <c r="Z70" s="552"/>
      <c r="AA70" s="538"/>
      <c r="AB70" s="538"/>
      <c r="AC70" s="538"/>
      <c r="AD70" s="538"/>
    </row>
    <row r="72" spans="1:30" x14ac:dyDescent="0.25">
      <c r="O72" s="58"/>
    </row>
    <row r="73" spans="1:30" x14ac:dyDescent="0.25">
      <c r="O73" s="58"/>
      <c r="T73" s="1"/>
    </row>
  </sheetData>
  <mergeCells count="5">
    <mergeCell ref="O39:O41"/>
    <mergeCell ref="W39:W41"/>
    <mergeCell ref="W33:W37"/>
    <mergeCell ref="O42:O44"/>
    <mergeCell ref="W42:W44"/>
  </mergeCells>
  <dataValidations count="3">
    <dataValidation type="list" allowBlank="1" showInputMessage="1" showErrorMessage="1" sqref="G30:G37 H26:H70" xr:uid="{B09BF517-FEC2-401D-A437-0811BF544B3E}">
      <formula1>".10,1,1.10"</formula1>
    </dataValidation>
    <dataValidation type="list" allowBlank="1" showInputMessage="1" showErrorMessage="1" sqref="K33:K70" xr:uid="{8B680252-03A6-44FF-9591-8CCC5012E896}">
      <formula1>"YES,NO,CANCELLED,SOFT COPY,SBLC"</formula1>
    </dataValidation>
    <dataValidation type="list" allowBlank="1" showInputMessage="1" showErrorMessage="1" sqref="J26:J70" xr:uid="{99CB59B4-09D3-4A51-9457-0A0DA4474E92}">
      <formula1>"USD,EUR,HKD,"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799FA-116E-4E86-8117-FFCA0106E44F}">
  <sheetPr>
    <tabColor theme="9" tint="0.59999389629810485"/>
  </sheetPr>
  <dimension ref="A1:G52"/>
  <sheetViews>
    <sheetView zoomScale="93" zoomScaleNormal="93" workbookViewId="0">
      <pane xSplit="1" ySplit="2" topLeftCell="B3" activePane="bottomRight" state="frozen"/>
      <selection pane="topRight" activeCell="F254" sqref="F254"/>
      <selection pane="bottomLeft" activeCell="F254" sqref="F254"/>
      <selection pane="bottomRight" sqref="A1:E1"/>
    </sheetView>
  </sheetViews>
  <sheetFormatPr defaultRowHeight="15" x14ac:dyDescent="0.25"/>
  <cols>
    <col min="1" max="1" width="10.42578125" bestFit="1" customWidth="1"/>
    <col min="2" max="2" width="20.7109375" bestFit="1" customWidth="1"/>
    <col min="3" max="3" width="14.7109375" bestFit="1" customWidth="1"/>
    <col min="4" max="4" width="13.7109375" bestFit="1" customWidth="1"/>
    <col min="5" max="5" width="18.140625" bestFit="1" customWidth="1"/>
    <col min="7" max="7" width="12.5703125" bestFit="1" customWidth="1"/>
  </cols>
  <sheetData>
    <row r="1" spans="1:7" x14ac:dyDescent="0.25">
      <c r="A1" s="662" t="s">
        <v>629</v>
      </c>
      <c r="B1" s="662"/>
      <c r="C1" s="662"/>
      <c r="D1" s="662"/>
      <c r="E1" s="662"/>
    </row>
    <row r="2" spans="1:7" x14ac:dyDescent="0.25">
      <c r="A2" s="9" t="s">
        <v>630</v>
      </c>
      <c r="B2" s="9" t="s">
        <v>631</v>
      </c>
      <c r="C2" s="9" t="s">
        <v>632</v>
      </c>
      <c r="D2" s="9" t="s">
        <v>633</v>
      </c>
      <c r="E2" s="9" t="s">
        <v>634</v>
      </c>
    </row>
    <row r="3" spans="1:7" x14ac:dyDescent="0.25">
      <c r="A3" s="108">
        <v>46111</v>
      </c>
      <c r="B3" s="437">
        <f>9255352769.85+79677082.92</f>
        <v>9335029852.7700005</v>
      </c>
      <c r="C3" s="88"/>
      <c r="D3" s="88">
        <v>0</v>
      </c>
      <c r="E3" s="437">
        <f>B3+C3-D3</f>
        <v>9335029852.7700005</v>
      </c>
      <c r="G3" s="1"/>
    </row>
    <row r="4" spans="1:7" x14ac:dyDescent="0.25">
      <c r="A4" s="447">
        <f t="shared" ref="A4:A49" si="0">A3+1</f>
        <v>46112</v>
      </c>
      <c r="B4" s="437">
        <f t="shared" ref="B4:B10" si="1">E3</f>
        <v>9335029852.7700005</v>
      </c>
      <c r="C4" s="448">
        <f>SUMIFS('LC-Final List'!$M:$M,'LC-Final List'!$D:$D,'Day wise'!A4,'LC-Final List'!$F:$F,"&lt;&gt;100%")</f>
        <v>0</v>
      </c>
      <c r="D4" s="448">
        <f>SUMIFS('LC-Final List'!$M:$M,'LC-Final List'!$AG:$AG,'Day wise'!A4,'LC-Final List'!$F:$F,"&lt;&gt;100%")</f>
        <v>0</v>
      </c>
      <c r="E4" s="437">
        <f>B4+C4-D4</f>
        <v>9335029852.7700005</v>
      </c>
      <c r="G4" s="1"/>
    </row>
    <row r="5" spans="1:7" x14ac:dyDescent="0.25">
      <c r="A5" s="447">
        <f t="shared" si="0"/>
        <v>46113</v>
      </c>
      <c r="B5" s="437">
        <f t="shared" si="1"/>
        <v>9335029852.7700005</v>
      </c>
      <c r="C5" s="448">
        <f>SUMIFS('LC-Final List'!$M:$M,'LC-Final List'!$D:$D,'Day wise'!A5,'LC-Final List'!$F:$F,"&lt;&gt;100%")</f>
        <v>0</v>
      </c>
      <c r="D5" s="448">
        <f>SUMIFS('LC-Final List'!$M:$M,'LC-Final List'!$AG:$AG,'Day wise'!A5,'LC-Final List'!$F:$F,"&lt;&gt;100%")</f>
        <v>0</v>
      </c>
      <c r="E5" s="437">
        <f t="shared" ref="E5:E8" si="2">B5+C5-D5</f>
        <v>9335029852.7700005</v>
      </c>
      <c r="G5" s="1"/>
    </row>
    <row r="6" spans="1:7" x14ac:dyDescent="0.25">
      <c r="A6" s="447">
        <f t="shared" si="0"/>
        <v>46114</v>
      </c>
      <c r="B6" s="437">
        <f t="shared" si="1"/>
        <v>9335029852.7700005</v>
      </c>
      <c r="C6" s="448">
        <f>SUMIFS('LC-Final List'!$M:$M,'LC-Final List'!$D:$D,'Day wise'!A6,'LC-Final List'!$F:$F,"&lt;&gt;100%")</f>
        <v>186988393.92000002</v>
      </c>
      <c r="D6" s="448">
        <f>SUMIFS('LC-Final List'!$M:$M,'LC-Final List'!$AG:$AG,'Day wise'!A6,'LC-Final List'!$F:$F,"&lt;&gt;100%")</f>
        <v>57926653.200000003</v>
      </c>
      <c r="E6" s="437">
        <f t="shared" si="2"/>
        <v>9464091593.4899998</v>
      </c>
      <c r="G6" s="1"/>
    </row>
    <row r="7" spans="1:7" x14ac:dyDescent="0.25">
      <c r="A7" s="447">
        <f t="shared" si="0"/>
        <v>46115</v>
      </c>
      <c r="B7" s="437">
        <f t="shared" si="1"/>
        <v>9464091593.4899998</v>
      </c>
      <c r="C7" s="448">
        <f>SUMIFS('LC-Final List'!$M:$M,'LC-Final List'!$D:$D,'Day wise'!A7,'LC-Final List'!$F:$F,"&lt;&gt;100%")</f>
        <v>0</v>
      </c>
      <c r="D7" s="448">
        <f>SUMIFS('LC-Final List'!$M:$M,'LC-Final List'!$AG:$AG,'Day wise'!A7,'LC-Final List'!$F:$F,"&lt;&gt;100%")</f>
        <v>0</v>
      </c>
      <c r="E7" s="437">
        <f t="shared" si="2"/>
        <v>9464091593.4899998</v>
      </c>
      <c r="G7" s="1"/>
    </row>
    <row r="8" spans="1:7" x14ac:dyDescent="0.25">
      <c r="A8" s="447">
        <f t="shared" si="0"/>
        <v>46116</v>
      </c>
      <c r="B8" s="437">
        <f t="shared" si="1"/>
        <v>9464091593.4899998</v>
      </c>
      <c r="C8" s="448">
        <f>SUMIFS('LC-Final List'!$M:$M,'LC-Final List'!$D:$D,'Day wise'!A8,'LC-Final List'!$F:$F,"&lt;&gt;100%")</f>
        <v>88905600</v>
      </c>
      <c r="D8" s="448">
        <f>SUMIFS('LC-Final List'!$M:$M,'LC-Final List'!$AG:$AG,'Day wise'!A8,'LC-Final List'!$F:$F,"&lt;&gt;100%")</f>
        <v>0</v>
      </c>
      <c r="E8" s="437">
        <f t="shared" si="2"/>
        <v>9552997193.4899998</v>
      </c>
      <c r="G8" s="1"/>
    </row>
    <row r="9" spans="1:7" x14ac:dyDescent="0.25">
      <c r="A9" s="447">
        <f t="shared" si="0"/>
        <v>46117</v>
      </c>
      <c r="B9" s="437">
        <f t="shared" si="1"/>
        <v>9552997193.4899998</v>
      </c>
      <c r="C9" s="448">
        <f>SUMIFS('LC-Final List'!$M:$M,'LC-Final List'!$D:$D,'Day wise'!A9,'LC-Final List'!$F:$F,"&lt;&gt;100%")</f>
        <v>0</v>
      </c>
      <c r="D9" s="448">
        <f>SUMIFS('LC-Final List'!$M:$M,'LC-Final List'!$AG:$AG,'Day wise'!A9,'LC-Final List'!$F:$F,"&lt;&gt;100%")</f>
        <v>0</v>
      </c>
      <c r="E9" s="437">
        <f t="shared" ref="E9:E10" si="3">B9+C9-D9</f>
        <v>9552997193.4899998</v>
      </c>
      <c r="G9" s="1"/>
    </row>
    <row r="10" spans="1:7" x14ac:dyDescent="0.25">
      <c r="A10" s="447">
        <f t="shared" si="0"/>
        <v>46118</v>
      </c>
      <c r="B10" s="437">
        <f t="shared" si="1"/>
        <v>9552997193.4899998</v>
      </c>
      <c r="C10" s="448">
        <f>SUMIFS('LC-Final List'!$M:$M,'LC-Final List'!$D:$D,'Day wise'!A10,'LC-Final List'!$F:$F,"&lt;&gt;100%")</f>
        <v>278429410.98366499</v>
      </c>
      <c r="D10" s="448">
        <f>SUMIFS('LC-Final List'!$M:$M,'LC-Final List'!$AG:$AG,'Day wise'!A10,'LC-Final List'!$F:$F,"&lt;&gt;100%")</f>
        <v>328900611.27920002</v>
      </c>
      <c r="E10" s="437">
        <f t="shared" si="3"/>
        <v>9502525993.1944656</v>
      </c>
      <c r="G10" s="1"/>
    </row>
    <row r="11" spans="1:7" x14ac:dyDescent="0.25">
      <c r="A11" s="447">
        <f t="shared" si="0"/>
        <v>46119</v>
      </c>
      <c r="B11" s="437">
        <f t="shared" ref="B11" si="4">E10</f>
        <v>9502525993.1944656</v>
      </c>
      <c r="C11" s="448">
        <f>SUMIFS('LC-Final List'!$M:$M,'LC-Final List'!$D:$D,'Day wise'!A11,'LC-Final List'!$F:$F,"&lt;&gt;100%")</f>
        <v>297617382.50872499</v>
      </c>
      <c r="D11" s="448">
        <f>SUMIFS('LC-Final List'!$M:$M,'LC-Final List'!$AG:$AG,'Day wise'!A11,'LC-Final List'!$F:$F,"&lt;&gt;100%")</f>
        <v>0</v>
      </c>
      <c r="E11" s="437">
        <f t="shared" ref="E11" si="5">B11+C11-D11</f>
        <v>9800143375.7031898</v>
      </c>
      <c r="G11" s="1"/>
    </row>
    <row r="12" spans="1:7" x14ac:dyDescent="0.25">
      <c r="A12" s="447">
        <f t="shared" si="0"/>
        <v>46120</v>
      </c>
      <c r="B12" s="437">
        <f t="shared" ref="B12" si="6">E11</f>
        <v>9800143375.7031898</v>
      </c>
      <c r="C12" s="448">
        <f>SUMIFS('LC-Final List'!$M:$M,'LC-Final List'!$D:$D,'Day wise'!A12,'LC-Final List'!$F:$F,"&lt;&gt;100%")</f>
        <v>122492704.99281001</v>
      </c>
      <c r="D12" s="448">
        <f>SUMIFS('LC-Final List'!$M:$M,'LC-Final List'!$AG:$AG,'Day wise'!A12,'LC-Final List'!$F:$F,"&lt;&gt;100%")</f>
        <v>0</v>
      </c>
      <c r="E12" s="437">
        <f t="shared" ref="E12" si="7">B12+C12-D12</f>
        <v>9922636080.6959991</v>
      </c>
      <c r="G12" s="1"/>
    </row>
    <row r="13" spans="1:7" x14ac:dyDescent="0.25">
      <c r="A13" s="447">
        <f t="shared" si="0"/>
        <v>46121</v>
      </c>
      <c r="B13" s="437">
        <f t="shared" ref="B13" si="8">E12</f>
        <v>9922636080.6959991</v>
      </c>
      <c r="C13" s="448">
        <f>SUMIFS('LC-Final List'!$M:$M,'LC-Final List'!$D:$D,'Day wise'!A13,'LC-Final List'!$F:$F,"&lt;&gt;100%")</f>
        <v>0</v>
      </c>
      <c r="D13" s="448">
        <f>SUMIFS('LC-Final List'!$M:$M,'LC-Final List'!$AG:$AG,'Day wise'!A13,'LC-Final List'!$F:$F,"&lt;&gt;100%")</f>
        <v>0</v>
      </c>
      <c r="E13" s="437">
        <f t="shared" ref="E13" si="9">B13+C13-D13</f>
        <v>9922636080.6959991</v>
      </c>
      <c r="G13" s="1"/>
    </row>
    <row r="14" spans="1:7" x14ac:dyDescent="0.25">
      <c r="A14" s="447">
        <f t="shared" si="0"/>
        <v>46122</v>
      </c>
      <c r="B14" s="437">
        <f t="shared" ref="B14" si="10">E13</f>
        <v>9922636080.6959991</v>
      </c>
      <c r="C14" s="448">
        <f>SUMIFS('LC-Final List'!$M:$M,'LC-Final List'!$D:$D,'Day wise'!A14,'LC-Final List'!$F:$F,"&lt;&gt;100%")</f>
        <v>0</v>
      </c>
      <c r="D14" s="448">
        <f>SUMIFS('LC-Final List'!$M:$M,'LC-Final List'!$AG:$AG,'Day wise'!A14,'LC-Final List'!$F:$F,"&lt;&gt;100%")</f>
        <v>191624091.12</v>
      </c>
      <c r="E14" s="437">
        <f t="shared" ref="E14" si="11">B14+C14-D14</f>
        <v>9731011989.5759983</v>
      </c>
      <c r="G14" s="1"/>
    </row>
    <row r="15" spans="1:7" x14ac:dyDescent="0.25">
      <c r="A15" s="447">
        <f t="shared" si="0"/>
        <v>46123</v>
      </c>
      <c r="B15" s="437">
        <f t="shared" ref="B15:B17" si="12">E14</f>
        <v>9731011989.5759983</v>
      </c>
      <c r="C15" s="448">
        <f>SUMIFS('LC-Final List'!$M:$M,'LC-Final List'!$D:$D,'Day wise'!A15,'LC-Final List'!$F:$F,"&lt;&gt;100%")</f>
        <v>0</v>
      </c>
      <c r="D15" s="448">
        <f>SUMIFS('LC-Final List'!$M:$M,'LC-Final List'!$AG:$AG,'Day wise'!A15,'LC-Final List'!$F:$F,"&lt;&gt;100%")</f>
        <v>0</v>
      </c>
      <c r="E15" s="437">
        <f t="shared" ref="E15:E17" si="13">B15+C15-D15</f>
        <v>9731011989.5759983</v>
      </c>
      <c r="G15" s="1"/>
    </row>
    <row r="16" spans="1:7" x14ac:dyDescent="0.25">
      <c r="A16" s="447">
        <f t="shared" si="0"/>
        <v>46124</v>
      </c>
      <c r="B16" s="437">
        <f t="shared" si="12"/>
        <v>9731011989.5759983</v>
      </c>
      <c r="C16" s="448">
        <f>SUMIFS('LC-Final List'!$M:$M,'LC-Final List'!$D:$D,'Day wise'!A16,'LC-Final List'!$F:$F,"&lt;&gt;100%")</f>
        <v>0</v>
      </c>
      <c r="D16" s="448">
        <f>SUMIFS('LC-Final List'!$M:$M,'LC-Final List'!$AG:$AG,'Day wise'!A16,'LC-Final List'!$F:$F,"&lt;&gt;100%")</f>
        <v>0</v>
      </c>
      <c r="E16" s="437">
        <f t="shared" si="13"/>
        <v>9731011989.5759983</v>
      </c>
      <c r="G16" s="1"/>
    </row>
    <row r="17" spans="1:7" x14ac:dyDescent="0.25">
      <c r="A17" s="447">
        <f t="shared" si="0"/>
        <v>46125</v>
      </c>
      <c r="B17" s="437">
        <f t="shared" si="12"/>
        <v>9731011989.5759983</v>
      </c>
      <c r="C17" s="448">
        <f>SUMIFS('LC-Final List'!$M:$M,'LC-Final List'!$D:$D,'Day wise'!A17,'LC-Final List'!$F:$F,"&lt;&gt;100%")</f>
        <v>0</v>
      </c>
      <c r="D17" s="448">
        <f>SUMIFS('LC-Final List'!$M:$M,'LC-Final List'!$AG:$AG,'Day wise'!A17,'LC-Final List'!$F:$F,"&lt;&gt;100%")</f>
        <v>466061287.45040005</v>
      </c>
      <c r="E17" s="437">
        <f t="shared" si="13"/>
        <v>9264950702.1255989</v>
      </c>
      <c r="G17" s="1"/>
    </row>
    <row r="18" spans="1:7" x14ac:dyDescent="0.25">
      <c r="A18" s="447">
        <f t="shared" si="0"/>
        <v>46126</v>
      </c>
      <c r="B18" s="437">
        <f t="shared" ref="B18:B19" si="14">E17</f>
        <v>9264950702.1255989</v>
      </c>
      <c r="C18" s="448">
        <f>SUMIFS('LC-Final List'!$M:$M,'LC-Final List'!$D:$D,'Day wise'!A18,'LC-Final List'!$F:$F,"&lt;&gt;100%")</f>
        <v>0</v>
      </c>
      <c r="D18" s="448">
        <f>SUMIFS('LC-Final List'!$M:$M,'LC-Final List'!$AG:$AG,'Day wise'!A18,'LC-Final List'!$F:$F,"&lt;&gt;100%")</f>
        <v>0</v>
      </c>
      <c r="E18" s="437">
        <f t="shared" ref="E18:E19" si="15">B18+C18-D18</f>
        <v>9264950702.1255989</v>
      </c>
      <c r="G18" s="1"/>
    </row>
    <row r="19" spans="1:7" x14ac:dyDescent="0.25">
      <c r="A19" s="447">
        <f t="shared" si="0"/>
        <v>46127</v>
      </c>
      <c r="B19" s="437">
        <f t="shared" si="14"/>
        <v>9264950702.1255989</v>
      </c>
      <c r="C19" s="448">
        <f>SUMIFS('LC-Final List'!$M:$M,'LC-Final List'!$D:$D,'Day wise'!A19,'LC-Final List'!$F:$F,"&lt;&gt;100%")</f>
        <v>105580800</v>
      </c>
      <c r="D19" s="448">
        <f>SUMIFS('LC-Final List'!$M:$M,'LC-Final List'!$AG:$AG,'Day wise'!A19,'LC-Final List'!$F:$F,"&lt;&gt;100%")</f>
        <v>368751999.66640002</v>
      </c>
      <c r="E19" s="437">
        <f t="shared" si="15"/>
        <v>9001779502.459198</v>
      </c>
      <c r="G19" s="1"/>
    </row>
    <row r="20" spans="1:7" x14ac:dyDescent="0.25">
      <c r="A20" s="447">
        <f t="shared" si="0"/>
        <v>46128</v>
      </c>
      <c r="B20" s="437">
        <f t="shared" ref="B20:B21" si="16">E19</f>
        <v>9001779502.459198</v>
      </c>
      <c r="C20" s="448">
        <f>SUMIFS('LC-Final List'!$M:$M,'LC-Final List'!$D:$D,'Day wise'!A20,'LC-Final List'!$F:$F,"&lt;&gt;100%")</f>
        <v>0</v>
      </c>
      <c r="D20" s="448">
        <f>SUMIFS('LC-Final List'!$M:$M,'LC-Final List'!$AG:$AG,'Day wise'!A20,'LC-Final List'!$F:$F,"&lt;&gt;100%")</f>
        <v>0</v>
      </c>
      <c r="E20" s="437">
        <f t="shared" ref="E20:E21" si="17">B20+C20-D20</f>
        <v>9001779502.459198</v>
      </c>
      <c r="G20" s="1"/>
    </row>
    <row r="21" spans="1:7" x14ac:dyDescent="0.25">
      <c r="A21" s="447">
        <f t="shared" si="0"/>
        <v>46129</v>
      </c>
      <c r="B21" s="437">
        <f t="shared" si="16"/>
        <v>9001779502.459198</v>
      </c>
      <c r="C21" s="448">
        <f>SUMIFS('LC-Final List'!$M:$M,'LC-Final List'!$D:$D,'Day wise'!A21,'LC-Final List'!$F:$F,"&lt;&gt;100%")</f>
        <v>93888000</v>
      </c>
      <c r="D21" s="448">
        <f>SUMIFS('LC-Final List'!$M:$M,'LC-Final List'!$AG:$AG,'Day wise'!A21,'LC-Final List'!$F:$F,"&lt;&gt;100%")</f>
        <v>0</v>
      </c>
      <c r="E21" s="437">
        <f t="shared" si="17"/>
        <v>9095667502.459198</v>
      </c>
      <c r="G21" s="1"/>
    </row>
    <row r="22" spans="1:7" x14ac:dyDescent="0.25">
      <c r="A22" s="447">
        <f t="shared" si="0"/>
        <v>46130</v>
      </c>
      <c r="B22" s="437">
        <f t="shared" ref="B22" si="18">E21</f>
        <v>9095667502.459198</v>
      </c>
      <c r="C22" s="448">
        <f>SUMIFS('LC-Final List'!$M:$M,'LC-Final List'!$D:$D,'Day wise'!A22,'LC-Final List'!$F:$F,"&lt;&gt;100%")</f>
        <v>276858561.60000002</v>
      </c>
      <c r="D22" s="448">
        <f>SUMIFS('LC-Final List'!$M:$M,'LC-Final List'!$AG:$AG,'Day wise'!A22,'LC-Final List'!$F:$F,"&lt;&gt;100%")</f>
        <v>0</v>
      </c>
      <c r="E22" s="437">
        <f t="shared" ref="E22" si="19">B22+C22-D22</f>
        <v>9372526064.0591984</v>
      </c>
      <c r="G22" s="1"/>
    </row>
    <row r="23" spans="1:7" x14ac:dyDescent="0.25">
      <c r="A23" s="447">
        <f t="shared" si="0"/>
        <v>46131</v>
      </c>
      <c r="B23" s="437">
        <f t="shared" ref="B23:B24" si="20">E22</f>
        <v>9372526064.0591984</v>
      </c>
      <c r="C23" s="448">
        <f>SUMIFS('LC-Final List'!$M:$M,'LC-Final List'!$D:$D,'Day wise'!A23,'LC-Final List'!$F:$F,"&lt;&gt;100%")</f>
        <v>0</v>
      </c>
      <c r="D23" s="448">
        <f>SUMIFS('LC-Final List'!$M:$M,'LC-Final List'!$AG:$AG,'Day wise'!A23,'LC-Final List'!$F:$F,"&lt;&gt;100%")</f>
        <v>0</v>
      </c>
      <c r="E23" s="437">
        <f t="shared" ref="E23:E24" si="21">B23+C23-D23</f>
        <v>9372526064.0591984</v>
      </c>
      <c r="G23" s="1"/>
    </row>
    <row r="24" spans="1:7" x14ac:dyDescent="0.25">
      <c r="A24" s="447">
        <f t="shared" si="0"/>
        <v>46132</v>
      </c>
      <c r="B24" s="437">
        <f t="shared" si="20"/>
        <v>9372526064.0591984</v>
      </c>
      <c r="C24" s="448">
        <f>SUMIFS('LC-Final List'!$M:$M,'LC-Final List'!$D:$D,'Day wise'!A24,'LC-Final List'!$F:$F,"&lt;&gt;100%")</f>
        <v>122894036.484</v>
      </c>
      <c r="D24" s="448">
        <f>SUMIFS('LC-Final List'!$M:$M,'LC-Final List'!$AG:$AG,'Day wise'!A24,'LC-Final List'!$F:$F,"&lt;&gt;100%")</f>
        <v>0</v>
      </c>
      <c r="E24" s="437">
        <f t="shared" si="21"/>
        <v>9495420100.5431976</v>
      </c>
      <c r="G24" s="1"/>
    </row>
    <row r="25" spans="1:7" x14ac:dyDescent="0.25">
      <c r="A25" s="447">
        <f t="shared" si="0"/>
        <v>46133</v>
      </c>
      <c r="B25" s="437">
        <f t="shared" ref="B25:B26" si="22">E24</f>
        <v>9495420100.5431976</v>
      </c>
      <c r="C25" s="448">
        <f>SUMIFS('LC-Final List'!$M:$M,'LC-Final List'!$D:$D,'Day wise'!A25,'LC-Final List'!$F:$F,"&lt;&gt;100%")</f>
        <v>49147084.799999997</v>
      </c>
      <c r="D25" s="448">
        <f>SUMIFS('LC-Final List'!$M:$M,'LC-Final List'!$AG:$AG,'Day wise'!A25,'LC-Final List'!$F:$F,"&lt;&gt;100%")</f>
        <v>0</v>
      </c>
      <c r="E25" s="437">
        <f t="shared" ref="E25:E26" si="23">B25+C25-D25</f>
        <v>9544567185.3431969</v>
      </c>
      <c r="G25" s="1"/>
    </row>
    <row r="26" spans="1:7" x14ac:dyDescent="0.25">
      <c r="A26" s="447">
        <f t="shared" si="0"/>
        <v>46134</v>
      </c>
      <c r="B26" s="437">
        <f t="shared" si="22"/>
        <v>9544567185.3431969</v>
      </c>
      <c r="C26" s="448">
        <f>SUMIFS('LC-Final List'!$M:$M,'LC-Final List'!$D:$D,'Day wise'!A26,'LC-Final List'!$F:$F,"&lt;&gt;100%")</f>
        <v>0</v>
      </c>
      <c r="D26" s="448">
        <f>SUMIFS('LC-Final List'!$M:$M,'LC-Final List'!$AG:$AG,'Day wise'!A26,'LC-Final List'!$F:$F,"&lt;&gt;100%")</f>
        <v>127843319.37280001</v>
      </c>
      <c r="E26" s="437">
        <f t="shared" si="23"/>
        <v>9416723865.970396</v>
      </c>
      <c r="G26" s="1"/>
    </row>
    <row r="27" spans="1:7" x14ac:dyDescent="0.25">
      <c r="A27" s="447">
        <f t="shared" si="0"/>
        <v>46135</v>
      </c>
      <c r="B27" s="437">
        <f t="shared" ref="B27" si="24">E26</f>
        <v>9416723865.970396</v>
      </c>
      <c r="C27" s="448">
        <f>SUMIFS('LC-Final List'!$M:$M,'LC-Final List'!$D:$D,'Day wise'!A27,'LC-Final List'!$F:$F,"&lt;&gt;100%")</f>
        <v>0</v>
      </c>
      <c r="D27" s="448">
        <f>SUMIFS('LC-Final List'!$M:$M,'LC-Final List'!$AG:$AG,'Day wise'!A27,'LC-Final List'!$F:$F,"&lt;&gt;100%")</f>
        <v>48403571.760000005</v>
      </c>
      <c r="E27" s="437">
        <f t="shared" ref="E27" si="25">B27+C27-D27</f>
        <v>9368320294.2103958</v>
      </c>
      <c r="G27" s="1"/>
    </row>
    <row r="28" spans="1:7" x14ac:dyDescent="0.25">
      <c r="A28" s="447">
        <f t="shared" si="0"/>
        <v>46136</v>
      </c>
      <c r="B28" s="437">
        <f t="shared" ref="B28" si="26">E27</f>
        <v>9368320294.2103958</v>
      </c>
      <c r="C28" s="448">
        <f>SUMIFS('LC-Final List'!$M:$M,'LC-Final List'!$D:$D,'Day wise'!A28,'LC-Final List'!$F:$F,"&lt;&gt;100%")</f>
        <v>0</v>
      </c>
      <c r="D28" s="448">
        <f>SUMIFS('LC-Final List'!$M:$M,'LC-Final List'!$AG:$AG,'Day wise'!A28,'LC-Final List'!$F:$F,"&lt;&gt;100%")</f>
        <v>191550872.5</v>
      </c>
      <c r="E28" s="437">
        <f t="shared" ref="E28" si="27">B28+C28-D28</f>
        <v>9176769421.7103958</v>
      </c>
      <c r="G28" s="1"/>
    </row>
    <row r="29" spans="1:7" x14ac:dyDescent="0.25">
      <c r="A29" s="447">
        <f t="shared" si="0"/>
        <v>46137</v>
      </c>
      <c r="B29" s="437">
        <f t="shared" ref="B29:B31" si="28">E28</f>
        <v>9176769421.7103958</v>
      </c>
      <c r="C29" s="448">
        <f>SUMIFS('LC-Final List'!$M:$M,'LC-Final List'!$D:$D,'Day wise'!A29,'LC-Final List'!$F:$F,"&lt;&gt;100%")</f>
        <v>0</v>
      </c>
      <c r="D29" s="448">
        <f>SUMIFS('LC-Final List'!$M:$M,'LC-Final List'!$AG:$AG,'Day wise'!A29,'LC-Final List'!$F:$F,"&lt;&gt;100%")</f>
        <v>0</v>
      </c>
      <c r="E29" s="437">
        <f t="shared" ref="E29:E31" si="29">B29+C29-D29</f>
        <v>9176769421.7103958</v>
      </c>
      <c r="G29" s="1"/>
    </row>
    <row r="30" spans="1:7" x14ac:dyDescent="0.25">
      <c r="A30" s="447">
        <f t="shared" si="0"/>
        <v>46138</v>
      </c>
      <c r="B30" s="437">
        <f t="shared" si="28"/>
        <v>9176769421.7103958</v>
      </c>
      <c r="C30" s="448">
        <f>SUMIFS('LC-Final List'!$M:$M,'LC-Final List'!$D:$D,'Day wise'!A30,'LC-Final List'!$F:$F,"&lt;&gt;100%")</f>
        <v>0</v>
      </c>
      <c r="D30" s="448">
        <f>SUMIFS('LC-Final List'!$M:$M,'LC-Final List'!$AG:$AG,'Day wise'!A30,'LC-Final List'!$F:$F,"&lt;&gt;100%")</f>
        <v>0</v>
      </c>
      <c r="E30" s="437">
        <f t="shared" si="29"/>
        <v>9176769421.7103958</v>
      </c>
      <c r="G30" s="1"/>
    </row>
    <row r="31" spans="1:7" x14ac:dyDescent="0.25">
      <c r="A31" s="447">
        <f t="shared" si="0"/>
        <v>46139</v>
      </c>
      <c r="B31" s="437">
        <f t="shared" si="28"/>
        <v>9176769421.7103958</v>
      </c>
      <c r="C31" s="448">
        <f>SUMIFS('LC-Final List'!$M:$M,'LC-Final List'!$D:$D,'Day wise'!A31,'LC-Final List'!$F:$F,"&lt;&gt;100%")</f>
        <v>5431296</v>
      </c>
      <c r="D31" s="448">
        <f>SUMIFS('LC-Final List'!$M:$M,'LC-Final List'!$AG:$AG,'Day wise'!A31,'LC-Final List'!$F:$F,"&lt;&gt;100%")</f>
        <v>224861408.9648</v>
      </c>
      <c r="E31" s="437">
        <f t="shared" si="29"/>
        <v>8957339308.7455959</v>
      </c>
      <c r="G31" s="1"/>
    </row>
    <row r="32" spans="1:7" x14ac:dyDescent="0.25">
      <c r="A32" s="447">
        <f t="shared" si="0"/>
        <v>46140</v>
      </c>
      <c r="B32" s="437">
        <f t="shared" ref="B32" si="30">E31</f>
        <v>8957339308.7455959</v>
      </c>
      <c r="C32" s="448">
        <f>SUMIFS('LC-Final List'!$M:$M,'LC-Final List'!$D:$D,'Day wise'!A32,'LC-Final List'!$F:$F,"&lt;&gt;100%")</f>
        <v>0</v>
      </c>
      <c r="D32" s="448">
        <f>SUMIFS('LC-Final List'!$M:$M,'LC-Final List'!$AG:$AG,'Day wise'!A32,'LC-Final List'!$F:$F,"&lt;&gt;100%")</f>
        <v>0</v>
      </c>
      <c r="E32" s="437">
        <f t="shared" ref="E32" si="31">B32+C32-D32</f>
        <v>8957339308.7455959</v>
      </c>
      <c r="G32" s="1"/>
    </row>
    <row r="33" spans="1:7" x14ac:dyDescent="0.25">
      <c r="A33" s="447">
        <f t="shared" si="0"/>
        <v>46141</v>
      </c>
      <c r="B33" s="437">
        <f t="shared" ref="B33" si="32">E32</f>
        <v>8957339308.7455959</v>
      </c>
      <c r="C33" s="448">
        <f>SUMIFS('LC-Final List'!$M:$M,'LC-Final List'!$D:$D,'Day wise'!A33,'LC-Final List'!$F:$F,"&lt;&gt;100%")</f>
        <v>348263368.31999999</v>
      </c>
      <c r="D33" s="448">
        <f>SUMIFS('LC-Final List'!$M:$M,'LC-Final List'!$AG:$AG,'Day wise'!A33,'LC-Final List'!$F:$F,"&lt;&gt;100%")</f>
        <v>613524000</v>
      </c>
      <c r="E33" s="437">
        <f t="shared" ref="E33" si="33">B33+C33-D33</f>
        <v>8692078677.0655956</v>
      </c>
      <c r="G33" s="1"/>
    </row>
    <row r="34" spans="1:7" x14ac:dyDescent="0.25">
      <c r="A34" s="447">
        <f t="shared" si="0"/>
        <v>46142</v>
      </c>
      <c r="B34" s="437">
        <f t="shared" ref="B34" si="34">E33</f>
        <v>8692078677.0655956</v>
      </c>
      <c r="C34" s="448">
        <f>SUMIFS('LC-Final List'!$M:$M,'LC-Final List'!$D:$D,'Day wise'!A34,'LC-Final List'!$F:$F,"&lt;&gt;100%")</f>
        <v>0</v>
      </c>
      <c r="D34" s="448">
        <f>SUMIFS('LC-Final List'!$M:$M,'LC-Final List'!$AG:$AG,'Day wise'!A34,'LC-Final List'!$F:$F,"&lt;&gt;100%")</f>
        <v>0</v>
      </c>
      <c r="E34" s="437">
        <f t="shared" ref="E34" si="35">B34+C34-D34</f>
        <v>8692078677.0655956</v>
      </c>
      <c r="G34" s="1"/>
    </row>
    <row r="35" spans="1:7" x14ac:dyDescent="0.25">
      <c r="A35" s="447">
        <f t="shared" si="0"/>
        <v>46143</v>
      </c>
      <c r="B35" s="437">
        <f t="shared" ref="B35:B36" si="36">E34</f>
        <v>8692078677.0655956</v>
      </c>
      <c r="C35" s="448">
        <f>SUMIFS('LC-Final List'!$M:$M,'LC-Final List'!$D:$D,'Day wise'!A35,'LC-Final List'!$F:$F,"&lt;&gt;100%")</f>
        <v>391200227.51999998</v>
      </c>
      <c r="D35" s="448">
        <f>SUMIFS('LC-Final List'!$M:$M,'LC-Final List'!$AG:$AG,'Day wise'!A35,'LC-Final List'!$F:$F,"&lt;&gt;100%")</f>
        <v>0</v>
      </c>
      <c r="E35" s="437">
        <f t="shared" ref="E35:E36" si="37">B35+C35-D35</f>
        <v>9083278904.5855961</v>
      </c>
      <c r="G35" s="1"/>
    </row>
    <row r="36" spans="1:7" x14ac:dyDescent="0.25">
      <c r="A36" s="447">
        <f t="shared" si="0"/>
        <v>46144</v>
      </c>
      <c r="B36" s="437">
        <f t="shared" si="36"/>
        <v>9083278904.5855961</v>
      </c>
      <c r="C36" s="448">
        <f>SUMIFS('LC-Final List'!$M:$M,'LC-Final List'!$D:$D,'Day wise'!A36,'LC-Final List'!$F:$F,"&lt;&gt;100%")</f>
        <v>299873203.20000005</v>
      </c>
      <c r="D36" s="448">
        <f>SUMIFS('LC-Final List'!$M:$M,'LC-Final List'!$AG:$AG,'Day wise'!A36,'LC-Final List'!$F:$F,"&lt;&gt;100%")</f>
        <v>0</v>
      </c>
      <c r="E36" s="437">
        <f t="shared" si="37"/>
        <v>9383152107.7855968</v>
      </c>
      <c r="G36" s="1"/>
    </row>
    <row r="37" spans="1:7" x14ac:dyDescent="0.25">
      <c r="A37" s="447">
        <f t="shared" si="0"/>
        <v>46145</v>
      </c>
      <c r="B37" s="437">
        <f t="shared" ref="B37:B38" si="38">E36</f>
        <v>9383152107.7855968</v>
      </c>
      <c r="C37" s="448">
        <f>SUMIFS('LC-Final List'!$M:$M,'LC-Final List'!$D:$D,'Day wise'!A37,'LC-Final List'!$F:$F,"&lt;&gt;100%")</f>
        <v>0</v>
      </c>
      <c r="D37" s="448">
        <f>SUMIFS('LC-Final List'!$M:$M,'LC-Final List'!$AG:$AG,'Day wise'!A37,'LC-Final List'!$F:$F,"&lt;&gt;100%")</f>
        <v>0</v>
      </c>
      <c r="E37" s="437">
        <f t="shared" ref="E37:E38" si="39">B37+C37-D37</f>
        <v>9383152107.7855968</v>
      </c>
      <c r="G37" s="1"/>
    </row>
    <row r="38" spans="1:7" x14ac:dyDescent="0.25">
      <c r="A38" s="447">
        <f t="shared" si="0"/>
        <v>46146</v>
      </c>
      <c r="B38" s="437">
        <f t="shared" si="38"/>
        <v>9383152107.7855968</v>
      </c>
      <c r="C38" s="448">
        <f>SUMIFS('LC-Final List'!$M:$M,'LC-Final List'!$D:$D,'Day wise'!A38,'LC-Final List'!$F:$F,"&lt;&gt;100%")</f>
        <v>0</v>
      </c>
      <c r="D38" s="448">
        <f>SUMIFS('LC-Final List'!$M:$M,'LC-Final List'!$AG:$AG,'Day wise'!A38,'LC-Final List'!$F:$F,"&lt;&gt;100%")</f>
        <v>586943218.41200006</v>
      </c>
      <c r="E38" s="437">
        <f t="shared" si="39"/>
        <v>8796208889.3735962</v>
      </c>
      <c r="G38" s="1"/>
    </row>
    <row r="39" spans="1:7" x14ac:dyDescent="0.25">
      <c r="A39" s="447">
        <f t="shared" si="0"/>
        <v>46147</v>
      </c>
      <c r="B39" s="437">
        <f t="shared" ref="B39" si="40">E38</f>
        <v>8796208889.3735962</v>
      </c>
      <c r="C39" s="448">
        <f>SUMIFS('LC-Final List'!$M:$M,'LC-Final List'!$D:$D,'Day wise'!A39,'LC-Final List'!$F:$F,"&lt;&gt;100%")</f>
        <v>0</v>
      </c>
      <c r="D39" s="448">
        <f>SUMIFS('LC-Final List'!$M:$M,'LC-Final List'!$AG:$AG,'Day wise'!A39,'LC-Final List'!$F:$F,"&lt;&gt;100%")</f>
        <v>0</v>
      </c>
      <c r="E39" s="437">
        <f t="shared" ref="E39" si="41">B39+C39-D39</f>
        <v>8796208889.3735962</v>
      </c>
      <c r="G39" s="1"/>
    </row>
    <row r="40" spans="1:7" x14ac:dyDescent="0.25">
      <c r="A40" s="447">
        <f t="shared" si="0"/>
        <v>46148</v>
      </c>
      <c r="B40" s="437">
        <f t="shared" ref="B40" si="42">E39</f>
        <v>8796208889.3735962</v>
      </c>
      <c r="C40" s="448">
        <f>SUMIFS('LC-Final List'!$M:$M,'LC-Final List'!$D:$D,'Day wise'!A40,'LC-Final List'!$F:$F,"&lt;&gt;100%")</f>
        <v>0</v>
      </c>
      <c r="D40" s="448">
        <f>SUMIFS('LC-Final List'!$M:$M,'LC-Final List'!$AG:$AG,'Day wise'!A40,'LC-Final List'!$F:$F,"&lt;&gt;100%")</f>
        <v>0</v>
      </c>
      <c r="E40" s="437">
        <f t="shared" ref="E40" si="43">B40+C40-D40</f>
        <v>8796208889.3735962</v>
      </c>
      <c r="G40" s="1"/>
    </row>
    <row r="41" spans="1:7" x14ac:dyDescent="0.25">
      <c r="A41" s="447">
        <f t="shared" si="0"/>
        <v>46149</v>
      </c>
      <c r="B41" s="437">
        <f t="shared" ref="B41" si="44">E40</f>
        <v>8796208889.3735962</v>
      </c>
      <c r="C41" s="448">
        <f>SUMIFS('LC-Final List'!$M:$M,'LC-Final List'!$D:$D,'Day wise'!A41,'LC-Final List'!$F:$F,"&lt;&gt;100%")</f>
        <v>0</v>
      </c>
      <c r="D41" s="448">
        <f>SUMIFS('LC-Final List'!$M:$M,'LC-Final List'!$AG:$AG,'Day wise'!A41,'LC-Final List'!$F:$F,"&lt;&gt;100%")</f>
        <v>124127537.85000001</v>
      </c>
      <c r="E41" s="437">
        <f t="shared" ref="E41" si="45">B41+C41-D41</f>
        <v>8672081351.5235958</v>
      </c>
      <c r="G41" s="1"/>
    </row>
    <row r="42" spans="1:7" x14ac:dyDescent="0.25">
      <c r="A42" s="447">
        <f t="shared" si="0"/>
        <v>46150</v>
      </c>
      <c r="B42" s="437">
        <f t="shared" ref="B42" si="46">E41</f>
        <v>8672081351.5235958</v>
      </c>
      <c r="C42" s="448">
        <f>SUMIFS('LC-Final List'!$M:$M,'LC-Final List'!$D:$D,'Day wise'!A42,'LC-Final List'!$F:$F,"&lt;&gt;100%")</f>
        <v>0</v>
      </c>
      <c r="D42" s="448">
        <f>SUMIFS('LC-Final List'!$M:$M,'LC-Final List'!$AG:$AG,'Day wise'!A42,'LC-Final List'!$F:$F,"&lt;&gt;100%")</f>
        <v>86978484.395000011</v>
      </c>
      <c r="E42" s="437">
        <f t="shared" ref="E42" si="47">B42+C42-D42</f>
        <v>8585102867.1285954</v>
      </c>
      <c r="G42" s="1"/>
    </row>
    <row r="43" spans="1:7" x14ac:dyDescent="0.25">
      <c r="A43" s="447">
        <f t="shared" si="0"/>
        <v>46151</v>
      </c>
      <c r="B43" s="437">
        <f t="shared" ref="B43:B45" si="48">E42</f>
        <v>8585102867.1285954</v>
      </c>
      <c r="C43" s="448">
        <f>SUMIFS('LC-Final List'!$M:$M,'LC-Final List'!$D:$D,'Day wise'!A43,'LC-Final List'!$F:$F,"&lt;&gt;100%")</f>
        <v>0</v>
      </c>
      <c r="D43" s="448">
        <f>SUMIFS('LC-Final List'!$M:$M,'LC-Final List'!$AG:$AG,'Day wise'!A43,'LC-Final List'!$F:$F,"&lt;&gt;100%")</f>
        <v>0</v>
      </c>
      <c r="E43" s="437">
        <f t="shared" ref="E43" si="49">B43+C43-D43</f>
        <v>8585102867.1285954</v>
      </c>
      <c r="G43" s="1"/>
    </row>
    <row r="44" spans="1:7" x14ac:dyDescent="0.25">
      <c r="A44" s="447">
        <f t="shared" si="0"/>
        <v>46152</v>
      </c>
      <c r="B44" s="437">
        <f t="shared" si="48"/>
        <v>8585102867.1285954</v>
      </c>
      <c r="C44" s="448">
        <f>SUMIFS('LC-Final List'!$M:$M,'LC-Final List'!$D:$D,'Day wise'!A44,'LC-Final List'!$F:$F,"&lt;&gt;100%")</f>
        <v>0</v>
      </c>
      <c r="D44" s="448">
        <f>SUMIFS('LC-Final List'!$M:$M,'LC-Final List'!$AG:$AG,'Day wise'!A44,'LC-Final List'!$F:$F,"&lt;&gt;100%")</f>
        <v>0</v>
      </c>
      <c r="E44" s="437">
        <f>B44+C44-D44</f>
        <v>8585102867.1285954</v>
      </c>
      <c r="G44" s="1"/>
    </row>
    <row r="45" spans="1:7" x14ac:dyDescent="0.25">
      <c r="A45" s="447">
        <f t="shared" si="0"/>
        <v>46153</v>
      </c>
      <c r="B45" s="437">
        <f t="shared" si="48"/>
        <v>8585102867.1285954</v>
      </c>
      <c r="C45" s="448">
        <f>SUMIFS('LC-Final List'!$M:$M,'LC-Final List'!$D:$D,'Day wise'!A45,'LC-Final List'!$F:$F,"&lt;&gt;100%")</f>
        <v>6344064</v>
      </c>
      <c r="D45" s="448">
        <f>SUMIFS('LC-Final List'!$M:$M,'LC-Final List'!$AG:$AG,'Day wise'!A45,'LC-Final List'!$F:$F,"&lt;&gt;100%")</f>
        <v>153648624.35000002</v>
      </c>
      <c r="E45" s="437">
        <f>B45+C45-D45</f>
        <v>8437798306.778595</v>
      </c>
      <c r="G45" s="1"/>
    </row>
    <row r="46" spans="1:7" x14ac:dyDescent="0.25">
      <c r="A46" s="447">
        <f t="shared" si="0"/>
        <v>46154</v>
      </c>
      <c r="B46" s="437">
        <f t="shared" ref="B46" si="50">E45</f>
        <v>8437798306.778595</v>
      </c>
      <c r="C46" s="448">
        <f>SUMIFS('LC-Final List'!$M:$M,'LC-Final List'!$D:$D,'Day wise'!A46,'LC-Final List'!$F:$F,"&lt;&gt;100%")</f>
        <v>0</v>
      </c>
      <c r="D46" s="448">
        <f>SUMIFS('LC-Final List'!$M:$M,'LC-Final List'!$AG:$AG,'Day wise'!A46,'LC-Final List'!$F:$F,"&lt;&gt;100%")</f>
        <v>249404861.954575</v>
      </c>
      <c r="E46" s="437">
        <f>B46+C46-D46</f>
        <v>8188393444.8240204</v>
      </c>
      <c r="G46" s="1"/>
    </row>
    <row r="47" spans="1:7" x14ac:dyDescent="0.25">
      <c r="A47" s="447">
        <f t="shared" si="0"/>
        <v>46155</v>
      </c>
      <c r="B47" s="437">
        <f t="shared" ref="B47" si="51">E46</f>
        <v>8188393444.8240204</v>
      </c>
      <c r="C47" s="448">
        <f>SUMIFS('LC-Final List'!$M:$M,'LC-Final List'!$D:$D,'Day wise'!A47,'LC-Final List'!$F:$F,"&lt;&gt;100%")</f>
        <v>0</v>
      </c>
      <c r="D47" s="448">
        <f>SUMIFS('LC-Final List'!$M:$M,'LC-Final List'!$AG:$AG,'Day wise'!A47,'LC-Final List'!$F:$F,"&lt;&gt;100%")</f>
        <v>0</v>
      </c>
      <c r="E47" s="437">
        <f t="shared" ref="E47" si="52">B47+C47-D47</f>
        <v>8188393444.8240204</v>
      </c>
      <c r="G47" s="1"/>
    </row>
    <row r="48" spans="1:7" x14ac:dyDescent="0.25">
      <c r="A48" s="447">
        <f t="shared" si="0"/>
        <v>46156</v>
      </c>
      <c r="B48" s="437">
        <f t="shared" ref="B48" si="53">E47</f>
        <v>8188393444.8240204</v>
      </c>
      <c r="C48" s="448">
        <f>SUMIFS('LC-Final List'!$M:$M,'LC-Final List'!$D:$D,'Day wise'!A48,'LC-Final List'!$F:$F,"&lt;&gt;100%")</f>
        <v>0</v>
      </c>
      <c r="D48" s="448">
        <f>SUMIFS('LC-Final List'!$M:$M,'LC-Final List'!$AG:$AG,'Day wise'!A48,'LC-Final List'!$F:$F,"&lt;&gt;100%")</f>
        <v>376831939.70060003</v>
      </c>
      <c r="E48" s="437">
        <f t="shared" ref="E48" si="54">B48+C48-D48</f>
        <v>7811561505.1234207</v>
      </c>
      <c r="G48" s="1"/>
    </row>
    <row r="49" spans="1:7" x14ac:dyDescent="0.25">
      <c r="A49" s="447">
        <f t="shared" si="0"/>
        <v>46157</v>
      </c>
      <c r="B49" s="437">
        <f t="shared" ref="B49" si="55">E48</f>
        <v>7811561505.1234207</v>
      </c>
      <c r="C49" s="448">
        <f>SUMIFS('LC-Final List'!$M:$M,'LC-Final List'!$D:$D,'Day wise'!A49,'LC-Final List'!$F:$F,"&lt;&gt;100%")</f>
        <v>82705440</v>
      </c>
      <c r="D49" s="448">
        <f>SUMIFS('LC-Final List'!$M:$M,'LC-Final List'!$AG:$AG,'Day wise'!A49,'LC-Final List'!$F:$F,"&lt;&gt;100%")</f>
        <v>225273574.24000001</v>
      </c>
      <c r="E49" s="437">
        <f t="shared" ref="E49" si="56">B49+C49-D49</f>
        <v>7668993370.8834209</v>
      </c>
      <c r="G49" s="1"/>
    </row>
    <row r="50" spans="1:7" x14ac:dyDescent="0.25">
      <c r="A50" s="447">
        <f>A49+1</f>
        <v>46158</v>
      </c>
      <c r="B50" s="437">
        <f>E49</f>
        <v>7668993370.8834209</v>
      </c>
      <c r="C50" s="448">
        <f>SUMIFS('LC-Final List'!$M:$M,'LC-Final List'!$D:$D,'Day wise'!A50,'LC-Final List'!$F:$F,"&lt;&gt;100%")</f>
        <v>0</v>
      </c>
      <c r="D50" s="448">
        <f>SUMIFS('LC-Final List'!$M:$M,'LC-Final List'!$AG:$AG,'Day wise'!A50,'LC-Final List'!$F:$F,"&lt;&gt;100%")</f>
        <v>0</v>
      </c>
      <c r="E50" s="437">
        <f>B50+C50-D50</f>
        <v>7668993370.8834209</v>
      </c>
      <c r="G50" s="1"/>
    </row>
    <row r="51" spans="1:7" x14ac:dyDescent="0.25">
      <c r="A51" s="447">
        <f>A50+1</f>
        <v>46159</v>
      </c>
      <c r="B51" s="437">
        <f>E50</f>
        <v>7668993370.8834209</v>
      </c>
      <c r="C51" s="448">
        <f>SUMIFS('LC-Final List'!$M:$M,'LC-Final List'!$D:$D,'Day wise'!A51,'LC-Final List'!$F:$F,"&lt;&gt;100%")</f>
        <v>0</v>
      </c>
      <c r="D51" s="448">
        <f>SUMIFS('LC-Final List'!$M:$M,'LC-Final List'!$AG:$AG,'Day wise'!A51,'LC-Final List'!$F:$F,"&lt;&gt;100%")</f>
        <v>0</v>
      </c>
      <c r="E51" s="437">
        <f>B51+C51-D51</f>
        <v>7668993370.8834209</v>
      </c>
      <c r="G51" s="1"/>
    </row>
    <row r="52" spans="1:7" x14ac:dyDescent="0.25">
      <c r="A52" s="447">
        <f>A51+1</f>
        <v>46160</v>
      </c>
      <c r="B52" s="437">
        <f>E51</f>
        <v>7668993370.8834209</v>
      </c>
      <c r="C52" s="448">
        <f>SUMIFS('LC-Final List'!$M:$M,'LC-Final List'!$D:$D,'Day wise'!A52,'LC-Final List'!$F:$F,"&lt;&gt;100%")</f>
        <v>0</v>
      </c>
      <c r="D52" s="448">
        <f>SUMIFS('LC-Final List'!$M:$M,'LC-Final List'!$AG:$AG,'Day wise'!A52,'LC-Final List'!$F:$F,"&lt;&gt;100%")</f>
        <v>597267984.61440003</v>
      </c>
      <c r="E52" s="437">
        <f>B52+C52-D52</f>
        <v>7071725386.269021</v>
      </c>
      <c r="G52" s="1"/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D56A6-EA54-4D95-A26F-8C2FE9D31D27}">
  <dimension ref="A1:AP224"/>
  <sheetViews>
    <sheetView showGridLines="0" zoomScale="110" zoomScaleNormal="110" workbookViewId="0">
      <pane ySplit="1" topLeftCell="A2" activePane="bottomLeft" state="frozen"/>
      <selection activeCell="D7" sqref="D7"/>
      <selection pane="bottomLeft"/>
    </sheetView>
  </sheetViews>
  <sheetFormatPr defaultColWidth="11" defaultRowHeight="15" x14ac:dyDescent="0.25"/>
  <cols>
    <col min="1" max="1" width="4" style="64" bestFit="1" customWidth="1"/>
    <col min="2" max="2" width="16.7109375" style="90" customWidth="1"/>
    <col min="3" max="3" width="17.28515625" bestFit="1" customWidth="1"/>
    <col min="4" max="4" width="14.7109375" style="58" customWidth="1"/>
    <col min="5" max="5" width="14.42578125" style="58" customWidth="1"/>
    <col min="6" max="6" width="8.7109375" style="255" customWidth="1"/>
    <col min="7" max="7" width="50.7109375" style="90" customWidth="1"/>
    <col min="8" max="8" width="12.5703125" customWidth="1"/>
    <col min="9" max="9" width="12.140625" bestFit="1" customWidth="1"/>
    <col min="10" max="10" width="11.140625" bestFit="1" customWidth="1"/>
    <col min="11" max="11" width="15.5703125" customWidth="1"/>
    <col min="12" max="12" width="9.42578125" customWidth="1"/>
    <col min="13" max="13" width="18.28515625" customWidth="1"/>
    <col min="14" max="14" width="11.5703125" customWidth="1"/>
    <col min="15" max="15" width="22.28515625" customWidth="1"/>
    <col min="16" max="16" width="10" bestFit="1" customWidth="1"/>
    <col min="17" max="17" width="22.42578125" style="64" bestFit="1" customWidth="1"/>
    <col min="18" max="18" width="17" style="176" customWidth="1"/>
    <col min="19" max="19" width="21.42578125" style="91" customWidth="1"/>
    <col min="20" max="20" width="30.28515625" style="64" customWidth="1"/>
    <col min="21" max="21" width="15.5703125" customWidth="1"/>
    <col min="22" max="22" width="19.42578125" customWidth="1"/>
    <col min="23" max="23" width="18.28515625" customWidth="1"/>
    <col min="24" max="24" width="19.42578125" customWidth="1"/>
    <col min="25" max="25" width="22.85546875" customWidth="1"/>
    <col min="26" max="26" width="21.140625" style="58" customWidth="1"/>
    <col min="27" max="27" width="19.42578125" customWidth="1"/>
    <col min="28" max="28" width="22.85546875" style="58" customWidth="1"/>
    <col min="29" max="29" width="24.140625" customWidth="1"/>
    <col min="30" max="30" width="29.140625" customWidth="1"/>
    <col min="31" max="31" width="15.7109375" style="256" customWidth="1"/>
    <col min="32" max="32" width="11.7109375" style="250" customWidth="1"/>
    <col min="33" max="33" width="13.7109375" style="268" customWidth="1"/>
    <col min="34" max="34" width="10.42578125" style="256" customWidth="1"/>
    <col min="35" max="35" width="13.5703125" style="256" bestFit="1" customWidth="1"/>
    <col min="36" max="36" width="19.5703125" bestFit="1" customWidth="1"/>
    <col min="37" max="37" width="19.140625" style="211" bestFit="1" customWidth="1"/>
    <col min="38" max="38" width="21.42578125" style="264" bestFit="1" customWidth="1"/>
    <col min="39" max="39" width="18.5703125" style="58" bestFit="1" customWidth="1"/>
    <col min="40" max="40" width="19.140625" style="64" bestFit="1" customWidth="1"/>
    <col min="41" max="41" width="22.5703125" style="58" bestFit="1" customWidth="1"/>
    <col min="42" max="42" width="12" style="90" bestFit="1" customWidth="1"/>
  </cols>
  <sheetData>
    <row r="1" spans="1:42" s="58" customFormat="1" ht="51" x14ac:dyDescent="0.25">
      <c r="A1" s="483" t="s">
        <v>97</v>
      </c>
      <c r="B1" s="623" t="s">
        <v>98</v>
      </c>
      <c r="C1" s="57" t="s">
        <v>99</v>
      </c>
      <c r="D1" s="581" t="s">
        <v>100</v>
      </c>
      <c r="E1" s="581" t="s">
        <v>101</v>
      </c>
      <c r="F1" s="252" t="s">
        <v>102</v>
      </c>
      <c r="G1" s="484" t="s">
        <v>103</v>
      </c>
      <c r="H1" s="57" t="s">
        <v>104</v>
      </c>
      <c r="I1" s="57" t="s">
        <v>105</v>
      </c>
      <c r="J1" s="57" t="s">
        <v>106</v>
      </c>
      <c r="K1" s="57" t="s">
        <v>107</v>
      </c>
      <c r="L1" s="57" t="s">
        <v>108</v>
      </c>
      <c r="M1" s="57" t="s">
        <v>109</v>
      </c>
      <c r="N1" s="57" t="s">
        <v>110</v>
      </c>
      <c r="O1" s="57" t="s">
        <v>111</v>
      </c>
      <c r="P1" s="57" t="s">
        <v>112</v>
      </c>
      <c r="Q1" s="57" t="s">
        <v>113</v>
      </c>
      <c r="R1" s="581" t="s">
        <v>114</v>
      </c>
      <c r="S1" s="581" t="s">
        <v>115</v>
      </c>
      <c r="T1" s="57" t="s">
        <v>116</v>
      </c>
      <c r="U1" s="57" t="s">
        <v>117</v>
      </c>
      <c r="V1" s="57" t="s">
        <v>118</v>
      </c>
      <c r="W1" s="57" t="s">
        <v>119</v>
      </c>
      <c r="X1" s="57" t="s">
        <v>120</v>
      </c>
      <c r="Y1" s="57" t="s">
        <v>121</v>
      </c>
      <c r="Z1" s="581" t="s">
        <v>122</v>
      </c>
      <c r="AA1" s="57" t="s">
        <v>13</v>
      </c>
      <c r="AB1" s="581" t="s">
        <v>123</v>
      </c>
      <c r="AC1" s="57" t="s">
        <v>124</v>
      </c>
      <c r="AD1" s="57" t="s">
        <v>125</v>
      </c>
      <c r="AE1" s="484" t="s">
        <v>126</v>
      </c>
      <c r="AF1" s="484" t="s">
        <v>127</v>
      </c>
      <c r="AG1" s="484" t="s">
        <v>128</v>
      </c>
      <c r="AH1" s="484" t="s">
        <v>129</v>
      </c>
      <c r="AI1" s="484" t="s">
        <v>1317</v>
      </c>
      <c r="AJ1" s="57" t="s">
        <v>130</v>
      </c>
      <c r="AK1" s="57" t="s">
        <v>131</v>
      </c>
      <c r="AL1" s="581" t="s">
        <v>132</v>
      </c>
      <c r="AM1" s="581" t="s">
        <v>133</v>
      </c>
      <c r="AN1" s="57" t="s">
        <v>134</v>
      </c>
      <c r="AO1" s="581" t="s">
        <v>135</v>
      </c>
      <c r="AP1" s="57" t="s">
        <v>136</v>
      </c>
    </row>
    <row r="2" spans="1:42" x14ac:dyDescent="0.25">
      <c r="A2" s="582">
        <v>191</v>
      </c>
      <c r="B2" s="46">
        <v>5600000355</v>
      </c>
      <c r="C2" s="80" t="s">
        <v>137</v>
      </c>
      <c r="D2" s="487">
        <v>46009</v>
      </c>
      <c r="E2" s="583" t="s">
        <v>1</v>
      </c>
      <c r="F2" s="262">
        <v>0.1</v>
      </c>
      <c r="G2" s="81" t="s">
        <v>138</v>
      </c>
      <c r="H2" s="584" t="s">
        <v>139</v>
      </c>
      <c r="I2" s="59">
        <v>1870000</v>
      </c>
      <c r="J2" s="59">
        <v>526966</v>
      </c>
      <c r="K2" s="621">
        <f>I2-J2</f>
        <v>1343034</v>
      </c>
      <c r="L2" s="585">
        <v>95.12</v>
      </c>
      <c r="M2" s="621">
        <f t="shared" ref="M2:M12" si="0">K2*L2</f>
        <v>127749394.08000001</v>
      </c>
      <c r="N2" s="584" t="s">
        <v>140</v>
      </c>
      <c r="O2" s="584">
        <v>60</v>
      </c>
      <c r="P2" s="487" t="s">
        <v>17</v>
      </c>
      <c r="Q2" s="6" t="s">
        <v>141</v>
      </c>
      <c r="R2" s="487">
        <v>46084</v>
      </c>
      <c r="S2" s="489">
        <v>46086</v>
      </c>
      <c r="T2" s="489">
        <v>46067</v>
      </c>
      <c r="U2" s="16">
        <v>1333841.04</v>
      </c>
      <c r="V2" s="620">
        <f t="shared" ref="V2:V36" si="1">K2-U2</f>
        <v>9192.9599999999627</v>
      </c>
      <c r="W2" s="618">
        <f t="shared" ref="W2:W11" si="2">U2*L2</f>
        <v>126874959.72480001</v>
      </c>
      <c r="X2" s="618">
        <f t="shared" ref="X2:X20" si="3">V2*L2</f>
        <v>874434.3551999965</v>
      </c>
      <c r="Y2" s="586">
        <v>46127</v>
      </c>
      <c r="Z2" s="616">
        <f>Y2+2</f>
        <v>46129</v>
      </c>
      <c r="AA2" s="617">
        <f t="shared" ref="AA2:AA8" si="4">M2</f>
        <v>127749394.08000001</v>
      </c>
      <c r="AB2" s="61">
        <v>46100</v>
      </c>
      <c r="AC2" s="616" t="str">
        <f t="shared" ref="AC2:AC12" si="5">IF(Y2="","-",TEXT(Y2,"mmmmyy"))</f>
        <v>April26</v>
      </c>
      <c r="AD2" s="588" t="s">
        <v>36</v>
      </c>
      <c r="AE2" s="589" t="s">
        <v>142</v>
      </c>
      <c r="AF2" s="250" t="s">
        <v>143</v>
      </c>
      <c r="AG2" s="250">
        <v>46127</v>
      </c>
      <c r="AH2" s="250" t="s">
        <v>144</v>
      </c>
      <c r="AI2" s="590"/>
      <c r="AJ2" s="554">
        <v>44321009525</v>
      </c>
      <c r="AK2" s="367">
        <v>10000000</v>
      </c>
      <c r="AL2" s="61">
        <v>46073</v>
      </c>
      <c r="AM2" s="61">
        <v>46101</v>
      </c>
      <c r="AN2" s="591">
        <v>7833669</v>
      </c>
      <c r="AO2" s="592">
        <v>46127</v>
      </c>
      <c r="AP2" s="46" t="s">
        <v>145</v>
      </c>
    </row>
    <row r="3" spans="1:42" x14ac:dyDescent="0.25">
      <c r="A3" s="582"/>
      <c r="B3" s="46">
        <v>5600000355</v>
      </c>
      <c r="C3" s="80" t="s">
        <v>137</v>
      </c>
      <c r="D3" s="487">
        <v>46009</v>
      </c>
      <c r="E3" s="583" t="s">
        <v>1</v>
      </c>
      <c r="F3" s="262">
        <v>0.1</v>
      </c>
      <c r="G3" s="81" t="s">
        <v>138</v>
      </c>
      <c r="H3" s="584" t="s">
        <v>139</v>
      </c>
      <c r="I3" s="59">
        <v>0</v>
      </c>
      <c r="J3" s="59">
        <v>0</v>
      </c>
      <c r="K3" s="621">
        <f t="shared" ref="K3:K12" si="6">J3+I3</f>
        <v>0</v>
      </c>
      <c r="L3" s="585">
        <v>92.42</v>
      </c>
      <c r="M3" s="621">
        <f t="shared" si="0"/>
        <v>0</v>
      </c>
      <c r="N3" s="584" t="s">
        <v>140</v>
      </c>
      <c r="O3" s="584">
        <v>60</v>
      </c>
      <c r="P3" s="487" t="s">
        <v>146</v>
      </c>
      <c r="Q3" s="6"/>
      <c r="R3" s="487"/>
      <c r="S3" s="489"/>
      <c r="T3" s="489"/>
      <c r="U3" s="16">
        <v>9192.9599999999991</v>
      </c>
      <c r="V3" s="620">
        <f t="shared" si="1"/>
        <v>-9192.9599999999991</v>
      </c>
      <c r="W3" s="618">
        <f t="shared" si="2"/>
        <v>849613.36319999991</v>
      </c>
      <c r="X3" s="618">
        <f t="shared" si="3"/>
        <v>-849613.36319999991</v>
      </c>
      <c r="Y3" s="586">
        <v>46127</v>
      </c>
      <c r="Z3" s="586"/>
      <c r="AA3" s="617">
        <f t="shared" si="4"/>
        <v>0</v>
      </c>
      <c r="AB3" s="61"/>
      <c r="AC3" s="616" t="str">
        <f t="shared" si="5"/>
        <v>April26</v>
      </c>
      <c r="AD3" s="588" t="s">
        <v>34</v>
      </c>
      <c r="AE3" s="589" t="s">
        <v>142</v>
      </c>
      <c r="AF3" s="250" t="s">
        <v>75</v>
      </c>
      <c r="AG3" s="250">
        <v>46127</v>
      </c>
      <c r="AH3" s="250" t="s">
        <v>144</v>
      </c>
      <c r="AI3" s="590"/>
      <c r="AJ3" s="554">
        <v>44730457174</v>
      </c>
      <c r="AK3" s="367">
        <v>7050000</v>
      </c>
      <c r="AL3" s="61">
        <v>46073</v>
      </c>
      <c r="AM3" s="61">
        <v>46101</v>
      </c>
      <c r="AN3" s="593"/>
      <c r="AO3" s="592"/>
      <c r="AP3" s="46" t="s">
        <v>145</v>
      </c>
    </row>
    <row r="4" spans="1:42" x14ac:dyDescent="0.25">
      <c r="A4" s="582">
        <v>192</v>
      </c>
      <c r="B4" s="46">
        <v>5600000355</v>
      </c>
      <c r="C4" s="80" t="s">
        <v>147</v>
      </c>
      <c r="D4" s="487">
        <v>46009</v>
      </c>
      <c r="E4" s="583" t="s">
        <v>1</v>
      </c>
      <c r="F4" s="262">
        <v>0.1</v>
      </c>
      <c r="G4" s="81" t="s">
        <v>138</v>
      </c>
      <c r="H4" s="584" t="s">
        <v>139</v>
      </c>
      <c r="I4" s="59">
        <v>1343034</v>
      </c>
      <c r="J4" s="59">
        <v>0</v>
      </c>
      <c r="K4" s="621">
        <f t="shared" si="6"/>
        <v>1343034</v>
      </c>
      <c r="L4" s="585">
        <v>95.12</v>
      </c>
      <c r="M4" s="621">
        <f t="shared" si="0"/>
        <v>127749394.08000001</v>
      </c>
      <c r="N4" s="584" t="s">
        <v>140</v>
      </c>
      <c r="O4" s="584">
        <v>60</v>
      </c>
      <c r="P4" s="487" t="s">
        <v>17</v>
      </c>
      <c r="Q4" s="6" t="s">
        <v>148</v>
      </c>
      <c r="R4" s="487">
        <v>46086</v>
      </c>
      <c r="S4" s="489">
        <v>46092</v>
      </c>
      <c r="T4" s="489">
        <v>46053</v>
      </c>
      <c r="U4" s="16">
        <v>1339478.9099999999</v>
      </c>
      <c r="V4" s="620">
        <f t="shared" si="1"/>
        <v>3555.0900000000838</v>
      </c>
      <c r="W4" s="618">
        <f t="shared" si="2"/>
        <v>127411233.9192</v>
      </c>
      <c r="X4" s="618">
        <f t="shared" si="3"/>
        <v>338160.16080000799</v>
      </c>
      <c r="Y4" s="586">
        <v>46125</v>
      </c>
      <c r="Z4" s="616">
        <f>Y4+2</f>
        <v>46127</v>
      </c>
      <c r="AA4" s="617">
        <f t="shared" si="4"/>
        <v>127749394.08000001</v>
      </c>
      <c r="AB4" s="61">
        <v>46097</v>
      </c>
      <c r="AC4" s="616" t="str">
        <f t="shared" si="5"/>
        <v>April26</v>
      </c>
      <c r="AD4" s="588" t="s">
        <v>36</v>
      </c>
      <c r="AE4" s="589" t="s">
        <v>142</v>
      </c>
      <c r="AF4" s="250" t="s">
        <v>143</v>
      </c>
      <c r="AG4" s="250">
        <v>46125</v>
      </c>
      <c r="AH4" s="250" t="s">
        <v>144</v>
      </c>
      <c r="AI4" s="590"/>
      <c r="AJ4" s="554">
        <v>43630359430</v>
      </c>
      <c r="AK4" s="367">
        <v>10900000</v>
      </c>
      <c r="AL4" s="61">
        <v>46073</v>
      </c>
      <c r="AM4" s="61">
        <v>46101</v>
      </c>
      <c r="AN4" s="593">
        <v>7972021</v>
      </c>
      <c r="AO4" s="592">
        <v>46125</v>
      </c>
      <c r="AP4" s="46" t="s">
        <v>145</v>
      </c>
    </row>
    <row r="5" spans="1:42" x14ac:dyDescent="0.25">
      <c r="A5" s="582"/>
      <c r="B5" s="46">
        <v>5600000355</v>
      </c>
      <c r="C5" s="80" t="s">
        <v>147</v>
      </c>
      <c r="D5" s="487">
        <v>46009</v>
      </c>
      <c r="E5" s="583" t="s">
        <v>1</v>
      </c>
      <c r="F5" s="262">
        <v>0.1</v>
      </c>
      <c r="G5" s="81" t="s">
        <v>138</v>
      </c>
      <c r="H5" s="584" t="s">
        <v>139</v>
      </c>
      <c r="I5" s="59">
        <v>0</v>
      </c>
      <c r="J5" s="59">
        <v>0</v>
      </c>
      <c r="K5" s="621">
        <f t="shared" si="6"/>
        <v>0</v>
      </c>
      <c r="L5" s="585">
        <v>95.12</v>
      </c>
      <c r="M5" s="621">
        <f t="shared" si="0"/>
        <v>0</v>
      </c>
      <c r="N5" s="584" t="s">
        <v>140</v>
      </c>
      <c r="O5" s="584">
        <v>60</v>
      </c>
      <c r="P5" s="487" t="s">
        <v>146</v>
      </c>
      <c r="Q5" s="6"/>
      <c r="R5" s="487"/>
      <c r="S5" s="489"/>
      <c r="T5" s="489"/>
      <c r="U5" s="16">
        <v>3555.09</v>
      </c>
      <c r="V5" s="620">
        <f t="shared" si="1"/>
        <v>-3555.09</v>
      </c>
      <c r="W5" s="618">
        <f t="shared" si="2"/>
        <v>338160.16080000001</v>
      </c>
      <c r="X5" s="618">
        <f t="shared" si="3"/>
        <v>-338160.16080000001</v>
      </c>
      <c r="Y5" s="586">
        <v>46125</v>
      </c>
      <c r="Z5" s="586"/>
      <c r="AA5" s="617">
        <f t="shared" si="4"/>
        <v>0</v>
      </c>
      <c r="AB5" s="61"/>
      <c r="AC5" s="616" t="str">
        <f t="shared" si="5"/>
        <v>April26</v>
      </c>
      <c r="AD5" s="588" t="s">
        <v>34</v>
      </c>
      <c r="AE5" s="589" t="s">
        <v>142</v>
      </c>
      <c r="AF5" s="250" t="s">
        <v>75</v>
      </c>
      <c r="AG5" s="250">
        <v>46125</v>
      </c>
      <c r="AH5" s="250" t="s">
        <v>144</v>
      </c>
      <c r="AI5" s="590"/>
      <c r="AJ5" s="554">
        <v>43607525170</v>
      </c>
      <c r="AK5" s="367">
        <v>6150000</v>
      </c>
      <c r="AL5" s="61">
        <v>46073</v>
      </c>
      <c r="AM5" s="61">
        <v>46101</v>
      </c>
      <c r="AN5" s="593"/>
      <c r="AO5" s="592"/>
      <c r="AP5" s="46" t="s">
        <v>145</v>
      </c>
    </row>
    <row r="6" spans="1:42" x14ac:dyDescent="0.25">
      <c r="A6" s="582">
        <v>193</v>
      </c>
      <c r="B6" s="46" t="s">
        <v>149</v>
      </c>
      <c r="C6" s="80" t="s">
        <v>150</v>
      </c>
      <c r="D6" s="487">
        <v>46009</v>
      </c>
      <c r="E6" s="583" t="s">
        <v>1</v>
      </c>
      <c r="F6" s="262">
        <v>0.1</v>
      </c>
      <c r="G6" s="81" t="s">
        <v>138</v>
      </c>
      <c r="H6" s="584" t="s">
        <v>139</v>
      </c>
      <c r="I6" s="59">
        <v>2014551</v>
      </c>
      <c r="J6" s="59">
        <v>0</v>
      </c>
      <c r="K6" s="621">
        <f t="shared" si="6"/>
        <v>2014551</v>
      </c>
      <c r="L6" s="585">
        <v>95.12</v>
      </c>
      <c r="M6" s="621">
        <f t="shared" si="0"/>
        <v>191624091.12</v>
      </c>
      <c r="N6" s="584" t="s">
        <v>140</v>
      </c>
      <c r="O6" s="584">
        <v>60</v>
      </c>
      <c r="P6" s="487" t="s">
        <v>17</v>
      </c>
      <c r="Q6" s="6" t="s">
        <v>151</v>
      </c>
      <c r="R6" s="487">
        <v>46087</v>
      </c>
      <c r="S6" s="489">
        <v>46092</v>
      </c>
      <c r="T6" s="489">
        <v>46053</v>
      </c>
      <c r="U6" s="16">
        <v>2007440.82</v>
      </c>
      <c r="V6" s="620">
        <f t="shared" si="1"/>
        <v>7110.1799999999348</v>
      </c>
      <c r="W6" s="618">
        <f t="shared" si="2"/>
        <v>190947770.79840001</v>
      </c>
      <c r="X6" s="618">
        <f t="shared" si="3"/>
        <v>676320.32159999385</v>
      </c>
      <c r="Y6" s="586">
        <v>46122</v>
      </c>
      <c r="Z6" s="616">
        <f>Y6+2</f>
        <v>46124</v>
      </c>
      <c r="AA6" s="617">
        <f t="shared" si="4"/>
        <v>191624091.12</v>
      </c>
      <c r="AB6" s="61">
        <v>46098</v>
      </c>
      <c r="AC6" s="616" t="str">
        <f t="shared" si="5"/>
        <v>April26</v>
      </c>
      <c r="AD6" s="588" t="s">
        <v>36</v>
      </c>
      <c r="AE6" s="589" t="s">
        <v>142</v>
      </c>
      <c r="AF6" s="250" t="s">
        <v>143</v>
      </c>
      <c r="AG6" s="250">
        <v>46122</v>
      </c>
      <c r="AH6" s="250" t="s">
        <v>144</v>
      </c>
      <c r="AI6" s="590"/>
      <c r="AJ6" s="554">
        <v>44730457174</v>
      </c>
      <c r="AK6" s="367">
        <v>17050000</v>
      </c>
      <c r="AL6" s="61">
        <v>46073</v>
      </c>
      <c r="AM6" s="61">
        <v>46111</v>
      </c>
      <c r="AN6" s="593" t="s">
        <v>152</v>
      </c>
      <c r="AO6" s="592">
        <v>46122</v>
      </c>
      <c r="AP6" s="46" t="s">
        <v>145</v>
      </c>
    </row>
    <row r="7" spans="1:42" x14ac:dyDescent="0.25">
      <c r="A7" s="582"/>
      <c r="B7" s="46" t="s">
        <v>149</v>
      </c>
      <c r="C7" s="80" t="s">
        <v>150</v>
      </c>
      <c r="D7" s="487">
        <v>46009</v>
      </c>
      <c r="E7" s="583" t="s">
        <v>1</v>
      </c>
      <c r="F7" s="262">
        <v>0.1</v>
      </c>
      <c r="G7" s="81" t="s">
        <v>138</v>
      </c>
      <c r="H7" s="584" t="s">
        <v>139</v>
      </c>
      <c r="I7" s="59">
        <v>0</v>
      </c>
      <c r="J7" s="59">
        <v>0</v>
      </c>
      <c r="K7" s="621">
        <f t="shared" ref="K7" si="7">J7+I7</f>
        <v>0</v>
      </c>
      <c r="L7" s="585">
        <v>95.12</v>
      </c>
      <c r="M7" s="621">
        <f t="shared" ref="M7" si="8">K7*L7</f>
        <v>0</v>
      </c>
      <c r="N7" s="584" t="s">
        <v>140</v>
      </c>
      <c r="O7" s="584">
        <v>60</v>
      </c>
      <c r="P7" s="487" t="s">
        <v>146</v>
      </c>
      <c r="Q7" s="6"/>
      <c r="R7" s="487"/>
      <c r="S7" s="489"/>
      <c r="T7" s="489"/>
      <c r="U7" s="16">
        <v>7110.18</v>
      </c>
      <c r="V7" s="620">
        <f t="shared" ref="V7" si="9">K7-U7</f>
        <v>-7110.18</v>
      </c>
      <c r="W7" s="618">
        <f t="shared" ref="W7" si="10">U7*L7</f>
        <v>676320.32160000002</v>
      </c>
      <c r="X7" s="618">
        <f t="shared" ref="X7" si="11">V7*L7</f>
        <v>-676320.32160000002</v>
      </c>
      <c r="Y7" s="586">
        <v>46122</v>
      </c>
      <c r="Z7" s="616">
        <f>Y7+2</f>
        <v>46124</v>
      </c>
      <c r="AA7" s="617">
        <f t="shared" ref="AA7" si="12">M7</f>
        <v>0</v>
      </c>
      <c r="AB7" s="61"/>
      <c r="AC7" s="616" t="str">
        <f t="shared" ref="AC7" si="13">IF(Y7="","-",TEXT(Y7,"mmmmyy"))</f>
        <v>April26</v>
      </c>
      <c r="AD7" s="588" t="s">
        <v>34</v>
      </c>
      <c r="AE7" s="589" t="s">
        <v>142</v>
      </c>
      <c r="AF7" s="250" t="s">
        <v>75</v>
      </c>
      <c r="AG7" s="250">
        <v>46122</v>
      </c>
      <c r="AH7" s="250" t="s">
        <v>144</v>
      </c>
      <c r="AI7" s="590"/>
      <c r="AJ7" s="554">
        <v>44730457174</v>
      </c>
      <c r="AK7" s="367">
        <v>17050000</v>
      </c>
      <c r="AL7" s="61">
        <v>46073</v>
      </c>
      <c r="AM7" s="61">
        <v>46111</v>
      </c>
      <c r="AN7" s="593"/>
      <c r="AO7" s="592"/>
      <c r="AP7" s="46" t="s">
        <v>145</v>
      </c>
    </row>
    <row r="8" spans="1:42" x14ac:dyDescent="0.25">
      <c r="A8" s="582">
        <v>195</v>
      </c>
      <c r="B8" s="46" t="s">
        <v>149</v>
      </c>
      <c r="C8" s="80" t="s">
        <v>153</v>
      </c>
      <c r="D8" s="487">
        <v>46010</v>
      </c>
      <c r="E8" s="583" t="s">
        <v>1</v>
      </c>
      <c r="F8" s="262">
        <v>0.1</v>
      </c>
      <c r="G8" s="81" t="s">
        <v>138</v>
      </c>
      <c r="H8" s="584" t="s">
        <v>139</v>
      </c>
      <c r="I8" s="59">
        <v>1343034</v>
      </c>
      <c r="J8" s="59">
        <v>0</v>
      </c>
      <c r="K8" s="621">
        <f t="shared" si="6"/>
        <v>1343034</v>
      </c>
      <c r="L8" s="585">
        <v>95.12</v>
      </c>
      <c r="M8" s="621">
        <f t="shared" si="0"/>
        <v>127749394.08000001</v>
      </c>
      <c r="N8" s="584" t="s">
        <v>140</v>
      </c>
      <c r="O8" s="584">
        <v>60</v>
      </c>
      <c r="P8" s="487" t="s">
        <v>17</v>
      </c>
      <c r="Q8" s="6" t="s">
        <v>154</v>
      </c>
      <c r="R8" s="487">
        <v>46086</v>
      </c>
      <c r="S8" s="489">
        <v>46094</v>
      </c>
      <c r="T8" s="489">
        <v>46063</v>
      </c>
      <c r="U8" s="16">
        <v>1339909.83</v>
      </c>
      <c r="V8" s="620">
        <f t="shared" si="1"/>
        <v>3124.1699999999255</v>
      </c>
      <c r="W8" s="618">
        <f t="shared" si="2"/>
        <v>127452223.02960001</v>
      </c>
      <c r="X8" s="618">
        <f t="shared" si="3"/>
        <v>297171.05039999291</v>
      </c>
      <c r="Y8" s="586">
        <v>46125</v>
      </c>
      <c r="Z8" s="616">
        <f>Y8+2</f>
        <v>46127</v>
      </c>
      <c r="AA8" s="617">
        <f t="shared" si="4"/>
        <v>127749394.08000001</v>
      </c>
      <c r="AB8" s="61">
        <v>46097</v>
      </c>
      <c r="AC8" s="616" t="str">
        <f t="shared" si="5"/>
        <v>April26</v>
      </c>
      <c r="AD8" s="588" t="s">
        <v>36</v>
      </c>
      <c r="AE8" s="589" t="s">
        <v>142</v>
      </c>
      <c r="AF8" s="250" t="s">
        <v>143</v>
      </c>
      <c r="AG8" s="250">
        <v>46125</v>
      </c>
      <c r="AH8" s="250" t="s">
        <v>144</v>
      </c>
      <c r="AI8" s="590"/>
      <c r="AJ8" s="554"/>
      <c r="AK8" s="367"/>
      <c r="AL8" s="61">
        <v>46073</v>
      </c>
      <c r="AM8" s="61">
        <v>46101</v>
      </c>
      <c r="AN8" s="593">
        <v>7972143</v>
      </c>
      <c r="AO8" s="592">
        <v>46125</v>
      </c>
      <c r="AP8" s="46" t="s">
        <v>145</v>
      </c>
    </row>
    <row r="9" spans="1:42" x14ac:dyDescent="0.25">
      <c r="A9" s="582"/>
      <c r="B9" s="46" t="s">
        <v>149</v>
      </c>
      <c r="C9" s="80" t="s">
        <v>153</v>
      </c>
      <c r="D9" s="487">
        <v>46010</v>
      </c>
      <c r="E9" s="583" t="s">
        <v>1</v>
      </c>
      <c r="F9" s="262">
        <v>0.1</v>
      </c>
      <c r="G9" s="81" t="s">
        <v>138</v>
      </c>
      <c r="H9" s="584" t="s">
        <v>139</v>
      </c>
      <c r="I9" s="59">
        <v>0</v>
      </c>
      <c r="J9" s="59">
        <v>0</v>
      </c>
      <c r="K9" s="621">
        <f t="shared" ref="K9" si="14">J9+I9</f>
        <v>0</v>
      </c>
      <c r="L9" s="585">
        <v>95.12</v>
      </c>
      <c r="M9" s="621">
        <f t="shared" ref="M9" si="15">K9*L9</f>
        <v>0</v>
      </c>
      <c r="N9" s="584" t="s">
        <v>140</v>
      </c>
      <c r="O9" s="584">
        <v>60</v>
      </c>
      <c r="P9" s="487" t="s">
        <v>146</v>
      </c>
      <c r="Q9" s="6"/>
      <c r="R9" s="487"/>
      <c r="S9" s="489"/>
      <c r="T9" s="489"/>
      <c r="U9" s="16">
        <v>3124.17</v>
      </c>
      <c r="V9" s="620">
        <f t="shared" ref="V9" si="16">K9-U9</f>
        <v>-3124.17</v>
      </c>
      <c r="W9" s="618">
        <f t="shared" ref="W9" si="17">U9*L9</f>
        <v>297171.05040000001</v>
      </c>
      <c r="X9" s="618">
        <f t="shared" ref="X9" si="18">V9*L9</f>
        <v>-297171.05040000001</v>
      </c>
      <c r="Y9" s="586">
        <v>46125</v>
      </c>
      <c r="Z9" s="616">
        <f>Y9+2</f>
        <v>46127</v>
      </c>
      <c r="AA9" s="617">
        <f t="shared" ref="AA9" si="19">M9</f>
        <v>0</v>
      </c>
      <c r="AB9" s="61"/>
      <c r="AC9" s="616" t="str">
        <f t="shared" ref="AC9" si="20">IF(Y9="","-",TEXT(Y9,"mmmmyy"))</f>
        <v>April26</v>
      </c>
      <c r="AD9" s="588" t="s">
        <v>34</v>
      </c>
      <c r="AE9" s="589" t="s">
        <v>142</v>
      </c>
      <c r="AF9" s="250" t="s">
        <v>75</v>
      </c>
      <c r="AG9" s="250">
        <v>46125</v>
      </c>
      <c r="AH9" s="250" t="s">
        <v>144</v>
      </c>
      <c r="AI9" s="590"/>
      <c r="AJ9" s="554"/>
      <c r="AK9" s="367"/>
      <c r="AL9" s="61">
        <v>46073</v>
      </c>
      <c r="AM9" s="61">
        <v>46101</v>
      </c>
      <c r="AN9" s="593"/>
      <c r="AO9" s="592"/>
      <c r="AP9" s="46" t="s">
        <v>145</v>
      </c>
    </row>
    <row r="10" spans="1:42" x14ac:dyDescent="0.25">
      <c r="A10" s="582">
        <v>197</v>
      </c>
      <c r="B10" s="46">
        <v>5600000351</v>
      </c>
      <c r="C10" s="80" t="s">
        <v>155</v>
      </c>
      <c r="D10" s="487">
        <v>46011</v>
      </c>
      <c r="E10" s="583" t="s">
        <v>1</v>
      </c>
      <c r="F10" s="262">
        <v>0.1</v>
      </c>
      <c r="G10" s="81" t="s">
        <v>156</v>
      </c>
      <c r="H10" s="584" t="s">
        <v>139</v>
      </c>
      <c r="I10" s="218">
        <v>447499.47</v>
      </c>
      <c r="J10" s="59">
        <v>0</v>
      </c>
      <c r="K10" s="621">
        <f t="shared" si="6"/>
        <v>447499.47</v>
      </c>
      <c r="L10" s="585">
        <v>95.12</v>
      </c>
      <c r="M10" s="621">
        <f t="shared" si="0"/>
        <v>42566149.586400002</v>
      </c>
      <c r="N10" s="584" t="s">
        <v>140</v>
      </c>
      <c r="O10" s="584">
        <v>60</v>
      </c>
      <c r="P10" s="487" t="s">
        <v>17</v>
      </c>
      <c r="Q10" s="6" t="s">
        <v>157</v>
      </c>
      <c r="R10" s="487">
        <v>46051</v>
      </c>
      <c r="S10" s="489">
        <v>46058</v>
      </c>
      <c r="T10" s="489">
        <v>46037</v>
      </c>
      <c r="U10" s="16">
        <v>149166.49</v>
      </c>
      <c r="V10" s="620">
        <f t="shared" si="1"/>
        <v>298332.98</v>
      </c>
      <c r="W10" s="618">
        <f t="shared" si="2"/>
        <v>14188716.5288</v>
      </c>
      <c r="X10" s="618">
        <f t="shared" si="3"/>
        <v>28377433.057599999</v>
      </c>
      <c r="Y10" s="616">
        <f>T10+O10</f>
        <v>46097</v>
      </c>
      <c r="Z10" s="586"/>
      <c r="AA10" s="587"/>
      <c r="AB10" s="61">
        <v>46092</v>
      </c>
      <c r="AC10" s="616" t="str">
        <f t="shared" si="5"/>
        <v>March26</v>
      </c>
      <c r="AD10" s="588" t="s">
        <v>36</v>
      </c>
      <c r="AE10" s="589" t="s">
        <v>142</v>
      </c>
      <c r="AF10" s="250" t="s">
        <v>143</v>
      </c>
      <c r="AG10" s="250">
        <v>46127</v>
      </c>
      <c r="AH10" s="250" t="s">
        <v>144</v>
      </c>
      <c r="AI10" s="590"/>
      <c r="AJ10" s="554"/>
      <c r="AK10" s="367"/>
      <c r="AL10" s="61">
        <v>46053</v>
      </c>
      <c r="AM10" s="61">
        <v>46074</v>
      </c>
      <c r="AN10" s="593">
        <v>7970293</v>
      </c>
      <c r="AO10" s="592">
        <v>46097</v>
      </c>
      <c r="AP10" s="46" t="s">
        <v>158</v>
      </c>
    </row>
    <row r="11" spans="1:42" x14ac:dyDescent="0.25">
      <c r="A11" s="582"/>
      <c r="B11" s="46">
        <v>5600000351</v>
      </c>
      <c r="C11" s="80" t="s">
        <v>155</v>
      </c>
      <c r="D11" s="487">
        <v>46011</v>
      </c>
      <c r="E11" s="583" t="s">
        <v>1</v>
      </c>
      <c r="F11" s="262">
        <v>0.1</v>
      </c>
      <c r="G11" s="81" t="s">
        <v>156</v>
      </c>
      <c r="H11" s="584" t="s">
        <v>139</v>
      </c>
      <c r="I11" s="218">
        <v>0</v>
      </c>
      <c r="J11" s="59">
        <v>0</v>
      </c>
      <c r="K11" s="621">
        <f t="shared" si="6"/>
        <v>0</v>
      </c>
      <c r="L11" s="585">
        <v>95.12</v>
      </c>
      <c r="M11" s="621">
        <f t="shared" si="0"/>
        <v>0</v>
      </c>
      <c r="N11" s="584" t="s">
        <v>140</v>
      </c>
      <c r="O11" s="584">
        <v>60</v>
      </c>
      <c r="P11" s="487" t="s">
        <v>17</v>
      </c>
      <c r="Q11" s="6" t="s">
        <v>159</v>
      </c>
      <c r="R11" s="487">
        <v>46084</v>
      </c>
      <c r="S11" s="489">
        <v>46092</v>
      </c>
      <c r="T11" s="489">
        <v>46066</v>
      </c>
      <c r="U11" s="16">
        <v>298332.98</v>
      </c>
      <c r="V11" s="620">
        <f t="shared" si="1"/>
        <v>-298332.98</v>
      </c>
      <c r="W11" s="618">
        <f t="shared" si="2"/>
        <v>28377433.057599999</v>
      </c>
      <c r="X11" s="618">
        <f t="shared" si="3"/>
        <v>-28377433.057599999</v>
      </c>
      <c r="Y11" s="586">
        <v>46127</v>
      </c>
      <c r="Z11" s="616">
        <f>Y11+2</f>
        <v>46129</v>
      </c>
      <c r="AA11" s="617">
        <f>M10</f>
        <v>42566149.586400002</v>
      </c>
      <c r="AB11" s="61">
        <v>46099</v>
      </c>
      <c r="AC11" s="616" t="str">
        <f t="shared" si="5"/>
        <v>April26</v>
      </c>
      <c r="AD11" s="588" t="s">
        <v>36</v>
      </c>
      <c r="AE11" s="589" t="s">
        <v>142</v>
      </c>
      <c r="AF11" s="250" t="s">
        <v>143</v>
      </c>
      <c r="AG11" s="250">
        <v>46127</v>
      </c>
      <c r="AH11" s="250" t="s">
        <v>144</v>
      </c>
      <c r="AI11" s="590"/>
      <c r="AJ11" s="554"/>
      <c r="AK11" s="367"/>
      <c r="AL11" s="61">
        <v>46053</v>
      </c>
      <c r="AM11" s="61">
        <v>46074</v>
      </c>
      <c r="AN11" s="593">
        <v>8017928</v>
      </c>
      <c r="AO11" s="592">
        <v>46127</v>
      </c>
      <c r="AP11" s="46" t="s">
        <v>158</v>
      </c>
    </row>
    <row r="12" spans="1:42" x14ac:dyDescent="0.25">
      <c r="A12" s="582">
        <v>205</v>
      </c>
      <c r="B12" s="46">
        <v>1400000398</v>
      </c>
      <c r="C12" s="80" t="s">
        <v>160</v>
      </c>
      <c r="D12" s="487">
        <v>46027</v>
      </c>
      <c r="E12" s="583" t="s">
        <v>1</v>
      </c>
      <c r="F12" s="262">
        <v>1</v>
      </c>
      <c r="G12" s="81" t="s">
        <v>161</v>
      </c>
      <c r="H12" s="584" t="s">
        <v>139</v>
      </c>
      <c r="I12" s="59">
        <v>1260000</v>
      </c>
      <c r="J12" s="59">
        <v>0</v>
      </c>
      <c r="K12" s="621">
        <f t="shared" si="6"/>
        <v>1260000</v>
      </c>
      <c r="L12" s="585">
        <v>91.456000000000003</v>
      </c>
      <c r="M12" s="621">
        <f t="shared" si="0"/>
        <v>115234560</v>
      </c>
      <c r="N12" s="584" t="s">
        <v>162</v>
      </c>
      <c r="O12" s="584">
        <v>180</v>
      </c>
      <c r="P12" s="487" t="s">
        <v>17</v>
      </c>
      <c r="Q12" s="64" t="s">
        <v>163</v>
      </c>
      <c r="R12" s="487">
        <v>46070</v>
      </c>
      <c r="S12" s="489">
        <v>46077</v>
      </c>
      <c r="T12" s="489">
        <v>46053</v>
      </c>
      <c r="U12" s="16">
        <v>1260000</v>
      </c>
      <c r="V12" s="620">
        <f t="shared" si="1"/>
        <v>0</v>
      </c>
      <c r="W12" s="15">
        <v>0</v>
      </c>
      <c r="X12" s="618">
        <f t="shared" si="3"/>
        <v>0</v>
      </c>
      <c r="Y12" s="616">
        <f>T12+O12</f>
        <v>46233</v>
      </c>
      <c r="Z12" s="586"/>
      <c r="AA12" s="587"/>
      <c r="AB12" s="61"/>
      <c r="AC12" s="616" t="str">
        <f t="shared" si="5"/>
        <v>July26</v>
      </c>
      <c r="AD12" s="588" t="s">
        <v>43</v>
      </c>
      <c r="AE12" s="589" t="s">
        <v>164</v>
      </c>
      <c r="AF12" s="250" t="s">
        <v>143</v>
      </c>
      <c r="AG12" s="250"/>
      <c r="AH12" s="250" t="s">
        <v>165</v>
      </c>
      <c r="AI12" s="590"/>
      <c r="AJ12" s="554">
        <v>44794347236</v>
      </c>
      <c r="AK12" s="367">
        <v>117180000</v>
      </c>
      <c r="AL12" s="61">
        <v>46053</v>
      </c>
      <c r="AM12" s="61">
        <v>46081</v>
      </c>
      <c r="AN12" s="593"/>
      <c r="AO12" s="592"/>
      <c r="AP12" s="46" t="s">
        <v>166</v>
      </c>
    </row>
    <row r="13" spans="1:42" x14ac:dyDescent="0.25">
      <c r="A13" s="582">
        <v>210</v>
      </c>
      <c r="B13" s="46">
        <v>5600000341</v>
      </c>
      <c r="C13" s="80" t="s">
        <v>167</v>
      </c>
      <c r="D13" s="487">
        <v>46031</v>
      </c>
      <c r="E13" s="583" t="s">
        <v>1</v>
      </c>
      <c r="F13" s="262">
        <v>0.1</v>
      </c>
      <c r="G13" s="81" t="s">
        <v>168</v>
      </c>
      <c r="H13" s="584" t="s">
        <v>139</v>
      </c>
      <c r="I13" s="59">
        <v>608985</v>
      </c>
      <c r="J13" s="59">
        <v>0</v>
      </c>
      <c r="K13" s="621">
        <f t="shared" ref="K13" si="21">J13+I13</f>
        <v>608985</v>
      </c>
      <c r="L13" s="585">
        <v>95.12</v>
      </c>
      <c r="M13" s="621">
        <f>K13*L13</f>
        <v>57926653.200000003</v>
      </c>
      <c r="N13" s="584" t="s">
        <v>140</v>
      </c>
      <c r="O13" s="584">
        <v>60</v>
      </c>
      <c r="P13" s="487" t="s">
        <v>17</v>
      </c>
      <c r="Q13" s="64" t="s">
        <v>169</v>
      </c>
      <c r="R13" s="487">
        <v>46063</v>
      </c>
      <c r="S13" s="489">
        <v>46065</v>
      </c>
      <c r="T13" s="489">
        <v>46046</v>
      </c>
      <c r="U13" s="16">
        <v>405990</v>
      </c>
      <c r="V13" s="620">
        <f t="shared" si="1"/>
        <v>202995</v>
      </c>
      <c r="W13" s="618">
        <f t="shared" ref="W13:W46" si="22">U13*L13</f>
        <v>38617768.800000004</v>
      </c>
      <c r="X13" s="618">
        <f t="shared" si="3"/>
        <v>19308884.400000002</v>
      </c>
      <c r="Y13" s="616">
        <f>T13+O13</f>
        <v>46106</v>
      </c>
      <c r="Z13" s="586"/>
      <c r="AA13" s="587"/>
      <c r="AB13" s="61">
        <v>46102</v>
      </c>
      <c r="AC13" s="616" t="str">
        <f t="shared" ref="AC13" si="23">IF(Y13="","-",TEXT(Y13,"mmmmyy"))</f>
        <v>March26</v>
      </c>
      <c r="AD13" s="588" t="s">
        <v>36</v>
      </c>
      <c r="AE13" s="589" t="s">
        <v>142</v>
      </c>
      <c r="AF13" s="250" t="s">
        <v>143</v>
      </c>
      <c r="AG13" s="594">
        <v>46114</v>
      </c>
      <c r="AH13" s="250" t="s">
        <v>144</v>
      </c>
      <c r="AI13" s="590"/>
      <c r="AJ13" s="554">
        <v>44730457174</v>
      </c>
      <c r="AK13" s="185"/>
      <c r="AL13" s="61">
        <v>46074</v>
      </c>
      <c r="AM13" s="6"/>
      <c r="AN13" s="593" t="s">
        <v>170</v>
      </c>
      <c r="AO13" s="592">
        <v>46106</v>
      </c>
      <c r="AP13" s="46" t="s">
        <v>171</v>
      </c>
    </row>
    <row r="14" spans="1:42" x14ac:dyDescent="0.25">
      <c r="A14" s="582"/>
      <c r="B14" s="46">
        <v>5600000341</v>
      </c>
      <c r="C14" s="80" t="s">
        <v>167</v>
      </c>
      <c r="D14" s="487">
        <v>46031</v>
      </c>
      <c r="E14" s="583" t="s">
        <v>1</v>
      </c>
      <c r="F14" s="262">
        <v>0.1</v>
      </c>
      <c r="G14" s="81" t="s">
        <v>168</v>
      </c>
      <c r="H14" s="584" t="s">
        <v>139</v>
      </c>
      <c r="I14" s="59"/>
      <c r="J14" s="59">
        <v>0</v>
      </c>
      <c r="K14" s="621">
        <f t="shared" ref="K14:K26" si="24">J14+I14</f>
        <v>0</v>
      </c>
      <c r="L14" s="585">
        <v>95.12</v>
      </c>
      <c r="M14" s="621">
        <f t="shared" ref="M14:M25" si="25">K14*L14</f>
        <v>0</v>
      </c>
      <c r="N14" s="584" t="s">
        <v>140</v>
      </c>
      <c r="O14" s="584">
        <v>60</v>
      </c>
      <c r="P14" s="487" t="s">
        <v>17</v>
      </c>
      <c r="Q14" s="64" t="s">
        <v>172</v>
      </c>
      <c r="R14" s="487">
        <v>46070</v>
      </c>
      <c r="S14" s="489">
        <v>46077</v>
      </c>
      <c r="T14" s="489">
        <v>46054</v>
      </c>
      <c r="U14" s="16">
        <v>202995</v>
      </c>
      <c r="V14" s="620">
        <f t="shared" si="1"/>
        <v>-202995</v>
      </c>
      <c r="W14" s="618">
        <f t="shared" si="22"/>
        <v>19308884.400000002</v>
      </c>
      <c r="X14" s="618">
        <f t="shared" si="3"/>
        <v>-19308884.400000002</v>
      </c>
      <c r="Y14" s="586">
        <v>46114</v>
      </c>
      <c r="Z14" s="616">
        <f>Y14+2</f>
        <v>46116</v>
      </c>
      <c r="AA14" s="617">
        <f>M13</f>
        <v>57926653.200000003</v>
      </c>
      <c r="AB14" s="61"/>
      <c r="AC14" s="616" t="str">
        <f t="shared" ref="AC14:AC25" si="26">IF(Y14="","-",TEXT(Y14,"mmmmyy"))</f>
        <v>April26</v>
      </c>
      <c r="AD14" s="588" t="s">
        <v>36</v>
      </c>
      <c r="AE14" s="589" t="s">
        <v>142</v>
      </c>
      <c r="AF14" s="250" t="s">
        <v>143</v>
      </c>
      <c r="AG14" s="594">
        <v>46114</v>
      </c>
      <c r="AH14" s="250" t="s">
        <v>144</v>
      </c>
      <c r="AI14" s="590"/>
      <c r="AJ14" s="554">
        <v>44730457174</v>
      </c>
      <c r="AK14" s="367"/>
      <c r="AL14" s="61">
        <v>46053</v>
      </c>
      <c r="AM14" s="61">
        <v>46074</v>
      </c>
      <c r="AN14" s="593" t="s">
        <v>173</v>
      </c>
      <c r="AO14" s="592">
        <v>46114</v>
      </c>
      <c r="AP14" s="46" t="s">
        <v>171</v>
      </c>
    </row>
    <row r="15" spans="1:42" x14ac:dyDescent="0.25">
      <c r="A15" s="582">
        <v>211</v>
      </c>
      <c r="B15" s="46">
        <v>5600000349</v>
      </c>
      <c r="C15" s="80" t="s">
        <v>174</v>
      </c>
      <c r="D15" s="487">
        <v>46031</v>
      </c>
      <c r="E15" s="583" t="s">
        <v>1</v>
      </c>
      <c r="F15" s="262">
        <v>0.1</v>
      </c>
      <c r="G15" s="81" t="s">
        <v>156</v>
      </c>
      <c r="H15" s="584" t="s">
        <v>139</v>
      </c>
      <c r="I15" s="218">
        <v>930251.17</v>
      </c>
      <c r="J15" s="59">
        <v>0</v>
      </c>
      <c r="K15" s="621">
        <f t="shared" si="24"/>
        <v>930251.17</v>
      </c>
      <c r="L15" s="585">
        <v>95.12</v>
      </c>
      <c r="M15" s="621">
        <f t="shared" si="25"/>
        <v>88485491.290400013</v>
      </c>
      <c r="N15" s="584" t="s">
        <v>140</v>
      </c>
      <c r="O15" s="584">
        <v>60</v>
      </c>
      <c r="P15" s="487" t="s">
        <v>17</v>
      </c>
      <c r="Q15" s="6" t="s">
        <v>175</v>
      </c>
      <c r="R15" s="487">
        <v>46086</v>
      </c>
      <c r="S15" s="489">
        <v>46094</v>
      </c>
      <c r="T15" s="489">
        <v>46074</v>
      </c>
      <c r="U15" s="16">
        <v>310083.71999999997</v>
      </c>
      <c r="V15" s="620">
        <f t="shared" si="1"/>
        <v>620167.45000000007</v>
      </c>
      <c r="W15" s="618">
        <f t="shared" si="22"/>
        <v>29495163.446399998</v>
      </c>
      <c r="X15" s="618">
        <f t="shared" si="3"/>
        <v>58990327.844000012</v>
      </c>
      <c r="Y15" s="586">
        <v>46134</v>
      </c>
      <c r="Z15" s="586"/>
      <c r="AA15" s="587"/>
      <c r="AB15" s="61">
        <v>46107</v>
      </c>
      <c r="AC15" s="616" t="str">
        <f t="shared" si="26"/>
        <v>April26</v>
      </c>
      <c r="AD15" s="588" t="s">
        <v>36</v>
      </c>
      <c r="AE15" s="589" t="s">
        <v>142</v>
      </c>
      <c r="AF15" s="250" t="s">
        <v>143</v>
      </c>
      <c r="AG15" s="250">
        <v>46146</v>
      </c>
      <c r="AH15" s="250" t="s">
        <v>144</v>
      </c>
      <c r="AI15" s="590"/>
      <c r="AJ15" s="554">
        <v>44730457174</v>
      </c>
      <c r="AK15" s="367">
        <v>8465000</v>
      </c>
      <c r="AL15" s="61">
        <v>46068</v>
      </c>
      <c r="AM15" s="61">
        <v>46089</v>
      </c>
      <c r="AN15" s="593">
        <v>7983882</v>
      </c>
      <c r="AO15" s="592">
        <v>46134</v>
      </c>
      <c r="AP15" s="46" t="s">
        <v>158</v>
      </c>
    </row>
    <row r="16" spans="1:42" x14ac:dyDescent="0.25">
      <c r="A16" s="582"/>
      <c r="B16" s="46">
        <v>5600000349</v>
      </c>
      <c r="C16" s="80" t="s">
        <v>174</v>
      </c>
      <c r="D16" s="487">
        <v>46031</v>
      </c>
      <c r="E16" s="583" t="s">
        <v>1</v>
      </c>
      <c r="F16" s="262">
        <v>0.1</v>
      </c>
      <c r="G16" s="81" t="s">
        <v>156</v>
      </c>
      <c r="H16" s="584" t="s">
        <v>139</v>
      </c>
      <c r="I16" s="218">
        <v>0</v>
      </c>
      <c r="J16" s="59">
        <v>0</v>
      </c>
      <c r="K16" s="621">
        <f t="shared" si="24"/>
        <v>0</v>
      </c>
      <c r="L16" s="585">
        <v>95.12</v>
      </c>
      <c r="M16" s="621">
        <f t="shared" si="25"/>
        <v>0</v>
      </c>
      <c r="N16" s="584" t="s">
        <v>140</v>
      </c>
      <c r="O16" s="584">
        <v>60</v>
      </c>
      <c r="P16" s="487" t="s">
        <v>17</v>
      </c>
      <c r="Q16" s="6" t="s">
        <v>176</v>
      </c>
      <c r="R16" s="487">
        <v>46084</v>
      </c>
      <c r="S16" s="489">
        <v>46092</v>
      </c>
      <c r="T16" s="489">
        <v>46063</v>
      </c>
      <c r="U16" s="16">
        <v>310083.71999999997</v>
      </c>
      <c r="V16" s="620">
        <f t="shared" si="1"/>
        <v>-310083.71999999997</v>
      </c>
      <c r="W16" s="618">
        <f t="shared" si="22"/>
        <v>29495163.446399998</v>
      </c>
      <c r="X16" s="618">
        <f t="shared" si="3"/>
        <v>-29495163.446399998</v>
      </c>
      <c r="Y16" s="586">
        <v>46125</v>
      </c>
      <c r="Z16" s="586"/>
      <c r="AA16" s="587"/>
      <c r="AB16" s="61"/>
      <c r="AC16" s="616" t="str">
        <f t="shared" si="26"/>
        <v>April26</v>
      </c>
      <c r="AD16" s="588" t="s">
        <v>36</v>
      </c>
      <c r="AE16" s="589" t="s">
        <v>142</v>
      </c>
      <c r="AF16" s="250" t="s">
        <v>143</v>
      </c>
      <c r="AG16" s="250">
        <v>46146</v>
      </c>
      <c r="AH16" s="250" t="s">
        <v>144</v>
      </c>
      <c r="AI16" s="590"/>
      <c r="AJ16" s="554">
        <v>44730457174</v>
      </c>
      <c r="AK16" s="367"/>
      <c r="AL16" s="61">
        <v>46068</v>
      </c>
      <c r="AM16" s="61">
        <v>46089</v>
      </c>
      <c r="AN16" s="593">
        <v>7660607</v>
      </c>
      <c r="AO16" s="592">
        <v>46125</v>
      </c>
      <c r="AP16" s="46" t="s">
        <v>158</v>
      </c>
    </row>
    <row r="17" spans="1:42" x14ac:dyDescent="0.25">
      <c r="A17" s="582"/>
      <c r="B17" s="46">
        <v>5600000349</v>
      </c>
      <c r="C17" s="80" t="s">
        <v>174</v>
      </c>
      <c r="D17" s="487">
        <v>46031</v>
      </c>
      <c r="E17" s="583" t="s">
        <v>1</v>
      </c>
      <c r="F17" s="262">
        <v>0.1</v>
      </c>
      <c r="G17" s="81" t="s">
        <v>156</v>
      </c>
      <c r="H17" s="584" t="s">
        <v>139</v>
      </c>
      <c r="I17" s="218">
        <v>0</v>
      </c>
      <c r="J17" s="59">
        <v>0</v>
      </c>
      <c r="K17" s="621">
        <f t="shared" si="24"/>
        <v>0</v>
      </c>
      <c r="L17" s="585">
        <v>95.12</v>
      </c>
      <c r="M17" s="621">
        <f t="shared" si="25"/>
        <v>0</v>
      </c>
      <c r="N17" s="584" t="s">
        <v>140</v>
      </c>
      <c r="O17" s="584">
        <v>60</v>
      </c>
      <c r="P17" s="487" t="s">
        <v>17</v>
      </c>
      <c r="Q17" s="6" t="s">
        <v>177</v>
      </c>
      <c r="R17" s="487">
        <v>46101</v>
      </c>
      <c r="S17" s="489">
        <v>46108</v>
      </c>
      <c r="T17" s="489">
        <v>46086</v>
      </c>
      <c r="U17" s="16">
        <v>310083.71999999997</v>
      </c>
      <c r="V17" s="620">
        <f t="shared" si="1"/>
        <v>-310083.71999999997</v>
      </c>
      <c r="W17" s="618">
        <f t="shared" si="22"/>
        <v>29495163.446399998</v>
      </c>
      <c r="X17" s="618">
        <f t="shared" si="3"/>
        <v>-29495163.446399998</v>
      </c>
      <c r="Y17" s="586">
        <v>46146</v>
      </c>
      <c r="Z17" s="616">
        <f>Y17+2</f>
        <v>46148</v>
      </c>
      <c r="AA17" s="617">
        <f>M15</f>
        <v>88485491.290400013</v>
      </c>
      <c r="AB17" s="61"/>
      <c r="AC17" s="616" t="str">
        <f t="shared" si="26"/>
        <v>May26</v>
      </c>
      <c r="AD17" s="588" t="s">
        <v>36</v>
      </c>
      <c r="AE17" s="586" t="s">
        <v>142</v>
      </c>
      <c r="AF17" s="250" t="s">
        <v>143</v>
      </c>
      <c r="AG17" s="250">
        <v>46146</v>
      </c>
      <c r="AH17" s="250" t="s">
        <v>144</v>
      </c>
      <c r="AI17" s="590"/>
      <c r="AJ17" s="554">
        <v>44730457174</v>
      </c>
      <c r="AK17" s="367"/>
      <c r="AL17" s="61">
        <v>46068</v>
      </c>
      <c r="AM17" s="61">
        <v>46089</v>
      </c>
      <c r="AN17" s="593">
        <v>8512490</v>
      </c>
      <c r="AO17" s="592">
        <v>46146</v>
      </c>
      <c r="AP17" s="46" t="s">
        <v>158</v>
      </c>
    </row>
    <row r="18" spans="1:42" x14ac:dyDescent="0.25">
      <c r="A18" s="582">
        <v>213</v>
      </c>
      <c r="B18" s="46">
        <v>5600000349</v>
      </c>
      <c r="C18" s="80" t="s">
        <v>178</v>
      </c>
      <c r="D18" s="487">
        <v>46034</v>
      </c>
      <c r="E18" s="583" t="s">
        <v>1</v>
      </c>
      <c r="F18" s="262">
        <v>0.1</v>
      </c>
      <c r="G18" s="81" t="s">
        <v>156</v>
      </c>
      <c r="H18" s="584" t="s">
        <v>139</v>
      </c>
      <c r="I18" s="218">
        <v>930251.17</v>
      </c>
      <c r="J18" s="59">
        <v>0</v>
      </c>
      <c r="K18" s="621">
        <f t="shared" si="24"/>
        <v>930251.17</v>
      </c>
      <c r="L18" s="585">
        <v>95.12</v>
      </c>
      <c r="M18" s="621">
        <f t="shared" si="25"/>
        <v>88485491.290400013</v>
      </c>
      <c r="N18" s="584" t="s">
        <v>140</v>
      </c>
      <c r="O18" s="584">
        <v>60</v>
      </c>
      <c r="P18" s="487" t="s">
        <v>17</v>
      </c>
      <c r="Q18" s="6" t="s">
        <v>179</v>
      </c>
      <c r="R18" s="487">
        <v>46062</v>
      </c>
      <c r="S18" s="489">
        <v>46070</v>
      </c>
      <c r="T18" s="489">
        <v>46050</v>
      </c>
      <c r="U18" s="16">
        <v>620167.44999999995</v>
      </c>
      <c r="V18" s="620">
        <f t="shared" si="1"/>
        <v>310083.72000000009</v>
      </c>
      <c r="W18" s="618">
        <f t="shared" si="22"/>
        <v>58990327.843999997</v>
      </c>
      <c r="X18" s="618">
        <f t="shared" si="3"/>
        <v>29495163.446400009</v>
      </c>
      <c r="Y18" s="586">
        <v>46111</v>
      </c>
      <c r="Z18" s="586"/>
      <c r="AA18" s="587"/>
      <c r="AB18" s="61"/>
      <c r="AC18" s="616" t="str">
        <f t="shared" si="26"/>
        <v>March26</v>
      </c>
      <c r="AD18" s="588" t="s">
        <v>36</v>
      </c>
      <c r="AE18" s="589" t="s">
        <v>142</v>
      </c>
      <c r="AF18" s="250" t="s">
        <v>143</v>
      </c>
      <c r="AG18" s="250">
        <v>46125</v>
      </c>
      <c r="AH18" s="250" t="s">
        <v>144</v>
      </c>
      <c r="AI18" s="590"/>
      <c r="AJ18" s="554">
        <v>44730457174</v>
      </c>
      <c r="AK18" s="367"/>
      <c r="AL18" s="61">
        <v>46068</v>
      </c>
      <c r="AM18" s="61">
        <v>46089</v>
      </c>
      <c r="AN18" s="593">
        <v>7382088</v>
      </c>
      <c r="AO18" s="592">
        <v>46111</v>
      </c>
      <c r="AP18" s="46" t="s">
        <v>158</v>
      </c>
    </row>
    <row r="19" spans="1:42" x14ac:dyDescent="0.25">
      <c r="A19" s="582"/>
      <c r="B19" s="46">
        <v>5600000349</v>
      </c>
      <c r="C19" s="80" t="s">
        <v>178</v>
      </c>
      <c r="D19" s="487">
        <v>46034</v>
      </c>
      <c r="E19" s="583" t="s">
        <v>1</v>
      </c>
      <c r="F19" s="262">
        <v>0.1</v>
      </c>
      <c r="G19" s="81" t="s">
        <v>156</v>
      </c>
      <c r="H19" s="584" t="s">
        <v>139</v>
      </c>
      <c r="I19" s="218">
        <v>0</v>
      </c>
      <c r="J19" s="59">
        <v>0</v>
      </c>
      <c r="K19" s="621">
        <f t="shared" si="24"/>
        <v>0</v>
      </c>
      <c r="L19" s="585">
        <v>95.12</v>
      </c>
      <c r="M19" s="621">
        <f t="shared" si="25"/>
        <v>0</v>
      </c>
      <c r="N19" s="584" t="s">
        <v>140</v>
      </c>
      <c r="O19" s="584">
        <v>60</v>
      </c>
      <c r="P19" s="487" t="s">
        <v>17</v>
      </c>
      <c r="Q19" s="6" t="s">
        <v>180</v>
      </c>
      <c r="R19" s="487">
        <v>46084</v>
      </c>
      <c r="S19" s="489">
        <v>46092</v>
      </c>
      <c r="T19" s="489">
        <v>46065</v>
      </c>
      <c r="U19" s="16">
        <v>155041.85999999999</v>
      </c>
      <c r="V19" s="620">
        <f t="shared" si="1"/>
        <v>-155041.85999999999</v>
      </c>
      <c r="W19" s="618">
        <f t="shared" si="22"/>
        <v>14747581.723199999</v>
      </c>
      <c r="X19" s="618">
        <f t="shared" si="3"/>
        <v>-14747581.723199999</v>
      </c>
      <c r="Y19" s="586">
        <v>46125</v>
      </c>
      <c r="Z19" s="616">
        <f>Y19+2</f>
        <v>46127</v>
      </c>
      <c r="AA19" s="617">
        <f>M18</f>
        <v>88485491.290400013</v>
      </c>
      <c r="AB19" s="61"/>
      <c r="AC19" s="616" t="str">
        <f t="shared" si="26"/>
        <v>April26</v>
      </c>
      <c r="AD19" s="588" t="s">
        <v>36</v>
      </c>
      <c r="AE19" s="589" t="s">
        <v>142</v>
      </c>
      <c r="AF19" s="250" t="s">
        <v>143</v>
      </c>
      <c r="AG19" s="250">
        <v>46125</v>
      </c>
      <c r="AH19" s="250" t="s">
        <v>144</v>
      </c>
      <c r="AI19" s="590"/>
      <c r="AJ19" s="554">
        <v>44730457174</v>
      </c>
      <c r="AK19" s="367"/>
      <c r="AL19" s="61">
        <v>46068</v>
      </c>
      <c r="AM19" s="61">
        <v>46089</v>
      </c>
      <c r="AN19" s="593">
        <v>8069916</v>
      </c>
      <c r="AO19" s="592">
        <v>46125</v>
      </c>
      <c r="AP19" s="46" t="s">
        <v>158</v>
      </c>
    </row>
    <row r="20" spans="1:42" x14ac:dyDescent="0.25">
      <c r="A20" s="582"/>
      <c r="B20" s="46">
        <v>5600000349</v>
      </c>
      <c r="C20" s="80" t="s">
        <v>178</v>
      </c>
      <c r="D20" s="487">
        <v>46034</v>
      </c>
      <c r="E20" s="583" t="s">
        <v>1</v>
      </c>
      <c r="F20" s="262">
        <v>0.1</v>
      </c>
      <c r="G20" s="81" t="s">
        <v>156</v>
      </c>
      <c r="H20" s="584" t="s">
        <v>139</v>
      </c>
      <c r="I20" s="218">
        <v>0</v>
      </c>
      <c r="J20" s="59">
        <v>0</v>
      </c>
      <c r="K20" s="621">
        <f t="shared" si="24"/>
        <v>0</v>
      </c>
      <c r="L20" s="585">
        <v>95.12</v>
      </c>
      <c r="M20" s="621">
        <f t="shared" si="25"/>
        <v>0</v>
      </c>
      <c r="N20" s="584" t="s">
        <v>140</v>
      </c>
      <c r="O20" s="584">
        <v>60</v>
      </c>
      <c r="P20" s="487" t="s">
        <v>17</v>
      </c>
      <c r="Q20" s="6" t="s">
        <v>181</v>
      </c>
      <c r="R20" s="487">
        <v>46084</v>
      </c>
      <c r="S20" s="489">
        <v>46092</v>
      </c>
      <c r="T20" s="489">
        <v>46063</v>
      </c>
      <c r="U20" s="16">
        <v>155041.85999999999</v>
      </c>
      <c r="V20" s="620">
        <f t="shared" si="1"/>
        <v>-155041.85999999999</v>
      </c>
      <c r="W20" s="618">
        <f t="shared" si="22"/>
        <v>14747581.723199999</v>
      </c>
      <c r="X20" s="618">
        <f t="shared" si="3"/>
        <v>-14747581.723199999</v>
      </c>
      <c r="Y20" s="586">
        <v>46125</v>
      </c>
      <c r="Z20" s="586"/>
      <c r="AA20" s="587"/>
      <c r="AB20" s="61">
        <v>46111</v>
      </c>
      <c r="AC20" s="616" t="str">
        <f t="shared" si="26"/>
        <v>April26</v>
      </c>
      <c r="AD20" s="588" t="s">
        <v>36</v>
      </c>
      <c r="AE20" s="589" t="s">
        <v>142</v>
      </c>
      <c r="AF20" s="250" t="s">
        <v>143</v>
      </c>
      <c r="AG20" s="250">
        <v>46125</v>
      </c>
      <c r="AH20" s="250" t="s">
        <v>144</v>
      </c>
      <c r="AI20" s="590"/>
      <c r="AJ20" s="554">
        <v>44730457174</v>
      </c>
      <c r="AK20" s="367"/>
      <c r="AL20" s="61">
        <v>46068</v>
      </c>
      <c r="AM20" s="61">
        <v>46089</v>
      </c>
      <c r="AN20" s="593">
        <v>7705857</v>
      </c>
      <c r="AO20" s="592">
        <v>46125</v>
      </c>
      <c r="AP20" s="46" t="s">
        <v>158</v>
      </c>
    </row>
    <row r="21" spans="1:42" x14ac:dyDescent="0.25">
      <c r="A21" s="582">
        <v>214</v>
      </c>
      <c r="B21" s="46">
        <v>5600000380</v>
      </c>
      <c r="C21" s="80" t="s">
        <v>182</v>
      </c>
      <c r="D21" s="487">
        <v>46036</v>
      </c>
      <c r="E21" s="583" t="s">
        <v>1</v>
      </c>
      <c r="F21" s="262">
        <v>0.1</v>
      </c>
      <c r="G21" s="81" t="s">
        <v>183</v>
      </c>
      <c r="H21" s="584" t="s">
        <v>139</v>
      </c>
      <c r="I21" s="59">
        <v>1283400</v>
      </c>
      <c r="J21" s="59">
        <v>0</v>
      </c>
      <c r="K21" s="621">
        <f t="shared" si="24"/>
        <v>1283400</v>
      </c>
      <c r="L21" s="585">
        <v>95.12</v>
      </c>
      <c r="M21" s="621">
        <f t="shared" si="25"/>
        <v>122077008</v>
      </c>
      <c r="N21" s="584" t="s">
        <v>140</v>
      </c>
      <c r="O21" s="584">
        <v>45</v>
      </c>
      <c r="P21" s="487" t="s">
        <v>17</v>
      </c>
      <c r="Q21" s="64" t="s">
        <v>184</v>
      </c>
      <c r="R21" s="487">
        <v>46070</v>
      </c>
      <c r="S21" s="489">
        <v>46077</v>
      </c>
      <c r="T21" s="489">
        <v>46058</v>
      </c>
      <c r="U21" s="16">
        <v>256680</v>
      </c>
      <c r="V21" s="620">
        <f t="shared" si="1"/>
        <v>1026720</v>
      </c>
      <c r="W21" s="618">
        <f t="shared" si="22"/>
        <v>24415401.600000001</v>
      </c>
      <c r="X21" s="228"/>
      <c r="Y21" s="586">
        <v>46101</v>
      </c>
      <c r="Z21" s="586"/>
      <c r="AA21" s="587"/>
      <c r="AB21" s="61"/>
      <c r="AC21" s="616" t="str">
        <f t="shared" si="26"/>
        <v>March26</v>
      </c>
      <c r="AD21" s="588" t="s">
        <v>36</v>
      </c>
      <c r="AE21" s="589" t="s">
        <v>142</v>
      </c>
      <c r="AF21" s="250" t="s">
        <v>143</v>
      </c>
      <c r="AG21" s="250">
        <v>46125</v>
      </c>
      <c r="AH21" s="250" t="s">
        <v>144</v>
      </c>
      <c r="AI21" s="590"/>
      <c r="AJ21" s="554">
        <v>43183923893</v>
      </c>
      <c r="AK21" s="367"/>
      <c r="AL21" s="61">
        <v>46068</v>
      </c>
      <c r="AM21" s="61">
        <v>46089</v>
      </c>
      <c r="AN21" s="593">
        <v>8058471</v>
      </c>
      <c r="AO21" s="592">
        <v>46101</v>
      </c>
      <c r="AP21" s="46" t="s">
        <v>171</v>
      </c>
    </row>
    <row r="22" spans="1:42" x14ac:dyDescent="0.25">
      <c r="A22" s="582"/>
      <c r="B22" s="46">
        <v>5600000380</v>
      </c>
      <c r="C22" s="80" t="s">
        <v>182</v>
      </c>
      <c r="D22" s="487">
        <v>46036</v>
      </c>
      <c r="E22" s="583" t="s">
        <v>1</v>
      </c>
      <c r="F22" s="262">
        <v>0.1</v>
      </c>
      <c r="G22" s="81" t="s">
        <v>183</v>
      </c>
      <c r="H22" s="584" t="s">
        <v>139</v>
      </c>
      <c r="I22" s="59"/>
      <c r="J22" s="59">
        <v>0</v>
      </c>
      <c r="K22" s="621">
        <f t="shared" si="24"/>
        <v>0</v>
      </c>
      <c r="L22" s="585">
        <v>95.12</v>
      </c>
      <c r="M22" s="621">
        <f t="shared" si="25"/>
        <v>0</v>
      </c>
      <c r="N22" s="584" t="s">
        <v>140</v>
      </c>
      <c r="O22" s="584">
        <v>45</v>
      </c>
      <c r="P22" s="487" t="s">
        <v>17</v>
      </c>
      <c r="Q22" s="64" t="s">
        <v>185</v>
      </c>
      <c r="R22" s="487">
        <v>46070</v>
      </c>
      <c r="S22" s="489">
        <v>46077</v>
      </c>
      <c r="T22" s="489">
        <v>46058</v>
      </c>
      <c r="U22" s="16">
        <v>256680</v>
      </c>
      <c r="V22" s="620">
        <f t="shared" si="1"/>
        <v>-256680</v>
      </c>
      <c r="W22" s="618">
        <f t="shared" si="22"/>
        <v>24415401.600000001</v>
      </c>
      <c r="X22" s="228"/>
      <c r="Y22" s="586">
        <v>46099</v>
      </c>
      <c r="Z22" s="586"/>
      <c r="AA22" s="587"/>
      <c r="AB22" s="61"/>
      <c r="AC22" s="616" t="str">
        <f t="shared" si="26"/>
        <v>March26</v>
      </c>
      <c r="AD22" s="588" t="s">
        <v>36</v>
      </c>
      <c r="AE22" s="589" t="s">
        <v>142</v>
      </c>
      <c r="AF22" s="250" t="s">
        <v>143</v>
      </c>
      <c r="AG22" s="250">
        <v>46125</v>
      </c>
      <c r="AH22" s="250" t="s">
        <v>144</v>
      </c>
      <c r="AI22" s="590"/>
      <c r="AJ22" s="554">
        <v>43183923893</v>
      </c>
      <c r="AK22" s="367"/>
      <c r="AL22" s="61">
        <v>46068</v>
      </c>
      <c r="AM22" s="61">
        <v>46089</v>
      </c>
      <c r="AN22" s="593"/>
      <c r="AO22" s="592"/>
      <c r="AP22" s="46" t="s">
        <v>171</v>
      </c>
    </row>
    <row r="23" spans="1:42" x14ac:dyDescent="0.25">
      <c r="A23" s="582"/>
      <c r="B23" s="46">
        <v>5600000380</v>
      </c>
      <c r="C23" s="80" t="s">
        <v>182</v>
      </c>
      <c r="D23" s="487">
        <v>46036</v>
      </c>
      <c r="E23" s="583" t="s">
        <v>1</v>
      </c>
      <c r="F23" s="262">
        <v>0.1</v>
      </c>
      <c r="G23" s="81" t="s">
        <v>183</v>
      </c>
      <c r="H23" s="584" t="s">
        <v>139</v>
      </c>
      <c r="I23" s="59"/>
      <c r="J23" s="59">
        <v>0</v>
      </c>
      <c r="K23" s="621">
        <f t="shared" si="24"/>
        <v>0</v>
      </c>
      <c r="L23" s="585">
        <v>95.12</v>
      </c>
      <c r="M23" s="621">
        <f t="shared" si="25"/>
        <v>0</v>
      </c>
      <c r="N23" s="584" t="s">
        <v>140</v>
      </c>
      <c r="O23" s="584">
        <v>45</v>
      </c>
      <c r="P23" s="487" t="s">
        <v>17</v>
      </c>
      <c r="Q23" s="64" t="s">
        <v>186</v>
      </c>
      <c r="R23" s="487">
        <v>46085</v>
      </c>
      <c r="S23" s="489">
        <v>46092</v>
      </c>
      <c r="T23" s="489">
        <v>46064</v>
      </c>
      <c r="U23" s="16">
        <v>256680</v>
      </c>
      <c r="V23" s="620">
        <f t="shared" si="1"/>
        <v>-256680</v>
      </c>
      <c r="W23" s="618">
        <f t="shared" si="22"/>
        <v>24415401.600000001</v>
      </c>
      <c r="X23" s="228"/>
      <c r="Y23" s="586">
        <v>46111</v>
      </c>
      <c r="Z23" s="586"/>
      <c r="AA23" s="587"/>
      <c r="AB23" s="61"/>
      <c r="AC23" s="616" t="str">
        <f t="shared" si="26"/>
        <v>March26</v>
      </c>
      <c r="AD23" s="588" t="s">
        <v>36</v>
      </c>
      <c r="AE23" s="589" t="s">
        <v>142</v>
      </c>
      <c r="AF23" s="250" t="s">
        <v>143</v>
      </c>
      <c r="AG23" s="250">
        <v>46125</v>
      </c>
      <c r="AH23" s="250" t="s">
        <v>144</v>
      </c>
      <c r="AI23" s="590"/>
      <c r="AJ23" s="554">
        <v>43183923893</v>
      </c>
      <c r="AK23" s="367"/>
      <c r="AL23" s="61">
        <v>46068</v>
      </c>
      <c r="AM23" s="61">
        <v>46089</v>
      </c>
      <c r="AN23" s="593">
        <v>8128834</v>
      </c>
      <c r="AO23" s="592">
        <v>46111</v>
      </c>
      <c r="AP23" s="46" t="s">
        <v>171</v>
      </c>
    </row>
    <row r="24" spans="1:42" x14ac:dyDescent="0.25">
      <c r="A24" s="582"/>
      <c r="B24" s="46">
        <v>5600000380</v>
      </c>
      <c r="C24" s="80" t="s">
        <v>182</v>
      </c>
      <c r="D24" s="487">
        <v>46036</v>
      </c>
      <c r="E24" s="583" t="s">
        <v>1</v>
      </c>
      <c r="F24" s="262">
        <v>0.1</v>
      </c>
      <c r="G24" s="81" t="s">
        <v>183</v>
      </c>
      <c r="H24" s="584" t="s">
        <v>139</v>
      </c>
      <c r="I24" s="59"/>
      <c r="J24" s="59">
        <v>0</v>
      </c>
      <c r="K24" s="621">
        <f t="shared" si="24"/>
        <v>0</v>
      </c>
      <c r="L24" s="585">
        <v>95.12</v>
      </c>
      <c r="M24" s="621">
        <f t="shared" si="25"/>
        <v>0</v>
      </c>
      <c r="N24" s="584" t="s">
        <v>140</v>
      </c>
      <c r="O24" s="584">
        <v>45</v>
      </c>
      <c r="P24" s="487" t="s">
        <v>17</v>
      </c>
      <c r="Q24" s="64" t="s">
        <v>187</v>
      </c>
      <c r="R24" s="487">
        <v>46091</v>
      </c>
      <c r="S24" s="489">
        <v>46097</v>
      </c>
      <c r="T24" s="489">
        <v>46079</v>
      </c>
      <c r="U24" s="16">
        <v>256680</v>
      </c>
      <c r="V24" s="620">
        <f t="shared" si="1"/>
        <v>-256680</v>
      </c>
      <c r="W24" s="618">
        <f t="shared" si="22"/>
        <v>24415401.600000001</v>
      </c>
      <c r="X24" s="228"/>
      <c r="Y24" s="586">
        <v>46125</v>
      </c>
      <c r="Z24" s="616">
        <f>Y24+2</f>
        <v>46127</v>
      </c>
      <c r="AA24" s="617">
        <f>M21</f>
        <v>122077008</v>
      </c>
      <c r="AB24" s="61"/>
      <c r="AC24" s="616" t="str">
        <f t="shared" si="26"/>
        <v>April26</v>
      </c>
      <c r="AD24" s="588" t="s">
        <v>36</v>
      </c>
      <c r="AE24" s="589" t="s">
        <v>142</v>
      </c>
      <c r="AF24" s="250" t="s">
        <v>143</v>
      </c>
      <c r="AG24" s="250">
        <v>46125</v>
      </c>
      <c r="AH24" s="250" t="s">
        <v>144</v>
      </c>
      <c r="AI24" s="590"/>
      <c r="AJ24" s="554">
        <v>43183923893</v>
      </c>
      <c r="AK24" s="367"/>
      <c r="AL24" s="61">
        <v>46068</v>
      </c>
      <c r="AM24" s="61">
        <v>46089</v>
      </c>
      <c r="AN24" s="593">
        <v>8215860</v>
      </c>
      <c r="AO24" s="592">
        <v>46125</v>
      </c>
      <c r="AP24" s="46" t="s">
        <v>171</v>
      </c>
    </row>
    <row r="25" spans="1:42" x14ac:dyDescent="0.25">
      <c r="A25" s="582"/>
      <c r="B25" s="46">
        <v>5600000380</v>
      </c>
      <c r="C25" s="80" t="s">
        <v>182</v>
      </c>
      <c r="D25" s="487">
        <v>46036</v>
      </c>
      <c r="E25" s="583" t="s">
        <v>1</v>
      </c>
      <c r="F25" s="262">
        <v>0.1</v>
      </c>
      <c r="G25" s="81" t="s">
        <v>183</v>
      </c>
      <c r="H25" s="584" t="s">
        <v>139</v>
      </c>
      <c r="I25" s="59"/>
      <c r="J25" s="59">
        <v>0</v>
      </c>
      <c r="K25" s="621">
        <f t="shared" si="24"/>
        <v>0</v>
      </c>
      <c r="L25" s="585">
        <v>95.12</v>
      </c>
      <c r="M25" s="621">
        <f t="shared" si="25"/>
        <v>0</v>
      </c>
      <c r="N25" s="584" t="s">
        <v>140</v>
      </c>
      <c r="O25" s="584">
        <v>45</v>
      </c>
      <c r="P25" s="487" t="s">
        <v>17</v>
      </c>
      <c r="Q25" s="64" t="s">
        <v>188</v>
      </c>
      <c r="R25" s="487">
        <v>46091</v>
      </c>
      <c r="S25" s="489">
        <v>46097</v>
      </c>
      <c r="T25" s="489">
        <v>46079</v>
      </c>
      <c r="U25" s="16">
        <v>256680</v>
      </c>
      <c r="V25" s="620">
        <f t="shared" si="1"/>
        <v>-256680</v>
      </c>
      <c r="W25" s="618">
        <f t="shared" si="22"/>
        <v>24415401.600000001</v>
      </c>
      <c r="X25" s="228"/>
      <c r="Y25" s="586">
        <v>46114</v>
      </c>
      <c r="Z25" s="586"/>
      <c r="AA25" s="587"/>
      <c r="AB25" s="61"/>
      <c r="AC25" s="616" t="str">
        <f t="shared" si="26"/>
        <v>April26</v>
      </c>
      <c r="AD25" s="588" t="s">
        <v>36</v>
      </c>
      <c r="AE25" s="589" t="s">
        <v>142</v>
      </c>
      <c r="AF25" s="250" t="s">
        <v>143</v>
      </c>
      <c r="AG25" s="250">
        <v>46125</v>
      </c>
      <c r="AH25" s="250" t="s">
        <v>144</v>
      </c>
      <c r="AI25" s="590"/>
      <c r="AJ25" s="554">
        <v>43183923893</v>
      </c>
      <c r="AK25" s="367"/>
      <c r="AL25" s="61">
        <v>46068</v>
      </c>
      <c r="AM25" s="61">
        <v>46089</v>
      </c>
      <c r="AN25" s="593"/>
      <c r="AO25" s="592"/>
      <c r="AP25" s="46" t="s">
        <v>171</v>
      </c>
    </row>
    <row r="26" spans="1:42" x14ac:dyDescent="0.25">
      <c r="A26" s="582">
        <v>217</v>
      </c>
      <c r="B26" s="46">
        <v>5600000360</v>
      </c>
      <c r="C26" s="80" t="s">
        <v>189</v>
      </c>
      <c r="D26" s="487">
        <v>46042</v>
      </c>
      <c r="E26" s="583" t="s">
        <v>1</v>
      </c>
      <c r="F26" s="262">
        <v>0.1</v>
      </c>
      <c r="G26" s="81" t="s">
        <v>190</v>
      </c>
      <c r="H26" s="584" t="s">
        <v>139</v>
      </c>
      <c r="I26" s="59">
        <v>351900</v>
      </c>
      <c r="J26" s="59">
        <v>0</v>
      </c>
      <c r="K26" s="621">
        <f t="shared" si="24"/>
        <v>351900</v>
      </c>
      <c r="L26" s="585">
        <v>95.12</v>
      </c>
      <c r="M26" s="621">
        <f t="shared" ref="M26:M50" si="27">K26*L26</f>
        <v>33472728</v>
      </c>
      <c r="N26" s="584" t="s">
        <v>140</v>
      </c>
      <c r="O26" s="584">
        <v>60</v>
      </c>
      <c r="P26" s="487" t="s">
        <v>17</v>
      </c>
      <c r="Q26" s="64" t="s">
        <v>191</v>
      </c>
      <c r="R26" s="487">
        <v>46070</v>
      </c>
      <c r="S26" s="489">
        <v>46077</v>
      </c>
      <c r="T26" s="489">
        <v>46057</v>
      </c>
      <c r="U26" s="16">
        <v>351900</v>
      </c>
      <c r="V26" s="620">
        <f t="shared" si="1"/>
        <v>0</v>
      </c>
      <c r="W26" s="618">
        <f t="shared" si="22"/>
        <v>33472728</v>
      </c>
      <c r="X26" s="228"/>
      <c r="Y26" s="586">
        <v>46118</v>
      </c>
      <c r="Z26" s="616">
        <f>Y26+2</f>
        <v>46120</v>
      </c>
      <c r="AA26" s="617">
        <f>M26</f>
        <v>33472728</v>
      </c>
      <c r="AB26" s="61"/>
      <c r="AC26" s="616" t="str">
        <f t="shared" ref="AC26:AC50" si="28">IF(Y26="","-",TEXT(Y26,"mmmmyy"))</f>
        <v>April26</v>
      </c>
      <c r="AD26" s="588" t="s">
        <v>36</v>
      </c>
      <c r="AE26" s="589" t="s">
        <v>142</v>
      </c>
      <c r="AF26" s="250" t="s">
        <v>143</v>
      </c>
      <c r="AG26" s="250">
        <v>46118</v>
      </c>
      <c r="AH26" s="250" t="s">
        <v>144</v>
      </c>
      <c r="AI26" s="590"/>
      <c r="AJ26" s="554">
        <v>43607525170</v>
      </c>
      <c r="AK26" s="367">
        <v>3232000</v>
      </c>
      <c r="AL26" s="61">
        <v>46063</v>
      </c>
      <c r="AM26" s="61">
        <v>46089</v>
      </c>
      <c r="AN26" s="593">
        <v>7764825</v>
      </c>
      <c r="AO26" s="592">
        <v>46118</v>
      </c>
      <c r="AP26" s="46" t="s">
        <v>192</v>
      </c>
    </row>
    <row r="27" spans="1:42" x14ac:dyDescent="0.25">
      <c r="A27" s="582">
        <v>223</v>
      </c>
      <c r="B27" s="46">
        <v>5600000361</v>
      </c>
      <c r="C27" s="80" t="s">
        <v>193</v>
      </c>
      <c r="D27" s="487">
        <v>46050</v>
      </c>
      <c r="E27" s="583" t="s">
        <v>1</v>
      </c>
      <c r="F27" s="262">
        <v>0.1</v>
      </c>
      <c r="G27" s="81" t="s">
        <v>190</v>
      </c>
      <c r="H27" s="584" t="s">
        <v>139</v>
      </c>
      <c r="I27" s="59">
        <v>1052825</v>
      </c>
      <c r="J27" s="59">
        <v>0</v>
      </c>
      <c r="K27" s="621">
        <f t="shared" ref="K27:K58" si="29">J27+I27</f>
        <v>1052825</v>
      </c>
      <c r="L27" s="585">
        <v>95.12</v>
      </c>
      <c r="M27" s="621">
        <f t="shared" si="27"/>
        <v>100144714</v>
      </c>
      <c r="N27" s="584" t="s">
        <v>140</v>
      </c>
      <c r="O27" s="584">
        <v>60</v>
      </c>
      <c r="P27" s="487" t="s">
        <v>17</v>
      </c>
      <c r="Q27" s="595" t="s">
        <v>194</v>
      </c>
      <c r="R27" s="487">
        <v>46086</v>
      </c>
      <c r="S27" s="489">
        <v>46094</v>
      </c>
      <c r="T27" s="489">
        <v>46066</v>
      </c>
      <c r="U27" s="16">
        <v>1052825</v>
      </c>
      <c r="V27" s="620">
        <f t="shared" si="1"/>
        <v>0</v>
      </c>
      <c r="W27" s="618">
        <f t="shared" si="22"/>
        <v>100144714</v>
      </c>
      <c r="X27" s="228"/>
      <c r="Y27" s="586">
        <v>46127</v>
      </c>
      <c r="Z27" s="616">
        <f>Y27+2</f>
        <v>46129</v>
      </c>
      <c r="AA27" s="617">
        <f>M27</f>
        <v>100144714</v>
      </c>
      <c r="AB27" s="61"/>
      <c r="AC27" s="616" t="str">
        <f t="shared" si="28"/>
        <v>April26</v>
      </c>
      <c r="AD27" s="588" t="s">
        <v>36</v>
      </c>
      <c r="AE27" s="589" t="s">
        <v>142</v>
      </c>
      <c r="AF27" s="250" t="s">
        <v>143</v>
      </c>
      <c r="AG27" s="250">
        <v>46127</v>
      </c>
      <c r="AH27" s="250" t="s">
        <v>144</v>
      </c>
      <c r="AI27" s="590"/>
      <c r="AJ27" s="554">
        <v>44857149620</v>
      </c>
      <c r="AK27" s="367"/>
      <c r="AL27" s="61">
        <v>46063</v>
      </c>
      <c r="AM27" s="61">
        <v>46084</v>
      </c>
      <c r="AN27" s="593">
        <v>7931429</v>
      </c>
      <c r="AO27" s="592">
        <v>46127</v>
      </c>
      <c r="AP27" s="46" t="s">
        <v>192</v>
      </c>
    </row>
    <row r="28" spans="1:42" x14ac:dyDescent="0.25">
      <c r="A28" s="582">
        <v>224</v>
      </c>
      <c r="B28" s="46">
        <v>5600000394</v>
      </c>
      <c r="C28" s="80" t="s">
        <v>195</v>
      </c>
      <c r="D28" s="487">
        <v>46050</v>
      </c>
      <c r="E28" s="583" t="s">
        <v>1</v>
      </c>
      <c r="F28" s="262">
        <v>0.1</v>
      </c>
      <c r="G28" s="81" t="s">
        <v>196</v>
      </c>
      <c r="H28" s="584" t="s">
        <v>139</v>
      </c>
      <c r="I28" s="59">
        <v>1230000</v>
      </c>
      <c r="J28" s="59">
        <v>0</v>
      </c>
      <c r="K28" s="621">
        <f t="shared" si="29"/>
        <v>1230000</v>
      </c>
      <c r="L28" s="585">
        <v>95.12</v>
      </c>
      <c r="M28" s="621">
        <f t="shared" si="27"/>
        <v>116997600</v>
      </c>
      <c r="N28" s="584" t="s">
        <v>140</v>
      </c>
      <c r="O28" s="584">
        <v>60</v>
      </c>
      <c r="P28" s="487" t="s">
        <v>17</v>
      </c>
      <c r="Q28" s="64" t="s">
        <v>197</v>
      </c>
      <c r="R28" s="487">
        <v>46106</v>
      </c>
      <c r="S28" s="489">
        <v>46115</v>
      </c>
      <c r="T28" s="489">
        <v>46078</v>
      </c>
      <c r="U28" s="16">
        <v>710048.1</v>
      </c>
      <c r="V28" s="620">
        <f t="shared" si="1"/>
        <v>519951.9</v>
      </c>
      <c r="W28" s="618">
        <f t="shared" si="22"/>
        <v>67539775.272</v>
      </c>
      <c r="X28" s="228"/>
      <c r="Y28" s="586">
        <v>46139</v>
      </c>
      <c r="Z28" s="586"/>
      <c r="AA28" s="587"/>
      <c r="AB28" s="61">
        <v>46102</v>
      </c>
      <c r="AC28" s="616" t="str">
        <f t="shared" si="28"/>
        <v>April26</v>
      </c>
      <c r="AD28" s="588" t="s">
        <v>36</v>
      </c>
      <c r="AE28" s="589" t="s">
        <v>142</v>
      </c>
      <c r="AF28" s="250" t="s">
        <v>143</v>
      </c>
      <c r="AG28" s="250">
        <v>46168</v>
      </c>
      <c r="AH28" s="250" t="s">
        <v>144</v>
      </c>
      <c r="AI28" s="590"/>
      <c r="AJ28" s="554">
        <v>43607525170</v>
      </c>
      <c r="AK28" s="367">
        <v>11530000</v>
      </c>
      <c r="AL28" s="61">
        <v>46081</v>
      </c>
      <c r="AM28" s="61">
        <v>46102</v>
      </c>
      <c r="AN28" s="593">
        <v>7993633</v>
      </c>
      <c r="AO28" s="592">
        <v>46139</v>
      </c>
      <c r="AP28" s="46" t="s">
        <v>145</v>
      </c>
    </row>
    <row r="29" spans="1:42" x14ac:dyDescent="0.25">
      <c r="A29" s="582"/>
      <c r="B29" s="46">
        <v>5600000394</v>
      </c>
      <c r="C29" s="80" t="s">
        <v>195</v>
      </c>
      <c r="D29" s="487">
        <v>46050</v>
      </c>
      <c r="E29" s="583" t="s">
        <v>1</v>
      </c>
      <c r="F29" s="262">
        <v>0.1</v>
      </c>
      <c r="G29" s="81" t="s">
        <v>196</v>
      </c>
      <c r="H29" s="584" t="s">
        <v>139</v>
      </c>
      <c r="I29" s="59">
        <v>0</v>
      </c>
      <c r="J29" s="59">
        <v>0</v>
      </c>
      <c r="K29" s="621">
        <f>J29+I29</f>
        <v>0</v>
      </c>
      <c r="L29" s="585">
        <v>95.12</v>
      </c>
      <c r="M29" s="621">
        <f>K29*L29</f>
        <v>0</v>
      </c>
      <c r="N29" s="584" t="s">
        <v>140</v>
      </c>
      <c r="O29" s="584">
        <v>60</v>
      </c>
      <c r="P29" s="487" t="s">
        <v>17</v>
      </c>
      <c r="Q29" s="64" t="s">
        <v>198</v>
      </c>
      <c r="R29" s="487">
        <v>46127</v>
      </c>
      <c r="S29" s="489">
        <v>46133</v>
      </c>
      <c r="T29" s="489">
        <v>46107</v>
      </c>
      <c r="U29" s="16">
        <v>519674.72</v>
      </c>
      <c r="V29" s="620">
        <f>K29-U29</f>
        <v>-519674.72</v>
      </c>
      <c r="W29" s="618">
        <f>U29*L29</f>
        <v>49431459.366399996</v>
      </c>
      <c r="X29" s="228"/>
      <c r="Y29" s="586">
        <v>46168</v>
      </c>
      <c r="Z29" s="616">
        <f>Y29+2</f>
        <v>46170</v>
      </c>
      <c r="AA29" s="617">
        <f>M28</f>
        <v>116997600</v>
      </c>
      <c r="AB29" s="61"/>
      <c r="AC29" s="616" t="str">
        <f>IF(Y29="","-",TEXT(Y29,"mmmmyy"))</f>
        <v>May26</v>
      </c>
      <c r="AD29" s="588" t="s">
        <v>36</v>
      </c>
      <c r="AE29" s="589" t="s">
        <v>142</v>
      </c>
      <c r="AF29" s="250" t="s">
        <v>143</v>
      </c>
      <c r="AG29" s="250">
        <v>46168</v>
      </c>
      <c r="AH29" s="250" t="s">
        <v>144</v>
      </c>
      <c r="AI29" s="590"/>
      <c r="AJ29" s="554">
        <v>43607525170</v>
      </c>
      <c r="AK29" s="367"/>
      <c r="AL29" s="61">
        <v>46081</v>
      </c>
      <c r="AM29" s="61">
        <v>46102</v>
      </c>
      <c r="AN29" s="593"/>
      <c r="AO29" s="592"/>
      <c r="AP29" s="46" t="s">
        <v>145</v>
      </c>
    </row>
    <row r="30" spans="1:42" x14ac:dyDescent="0.25">
      <c r="A30" s="582"/>
      <c r="B30" s="46">
        <v>5600000394</v>
      </c>
      <c r="C30" s="80" t="s">
        <v>195</v>
      </c>
      <c r="D30" s="487">
        <v>46050</v>
      </c>
      <c r="E30" s="583" t="s">
        <v>1</v>
      </c>
      <c r="F30" s="262">
        <v>0.1</v>
      </c>
      <c r="G30" s="81" t="s">
        <v>196</v>
      </c>
      <c r="H30" s="584" t="s">
        <v>139</v>
      </c>
      <c r="I30" s="59">
        <v>0</v>
      </c>
      <c r="J30" s="59">
        <v>0</v>
      </c>
      <c r="K30" s="621">
        <f>J30+I30</f>
        <v>0</v>
      </c>
      <c r="L30" s="585">
        <v>95.12</v>
      </c>
      <c r="M30" s="621">
        <f>K30*L30</f>
        <v>0</v>
      </c>
      <c r="N30" s="584" t="s">
        <v>140</v>
      </c>
      <c r="O30" s="584">
        <v>60</v>
      </c>
      <c r="P30" s="487" t="s">
        <v>146</v>
      </c>
      <c r="R30" s="487"/>
      <c r="S30" s="489"/>
      <c r="T30" s="489"/>
      <c r="U30" s="16">
        <v>277.18</v>
      </c>
      <c r="V30" s="620">
        <f>K30-U30</f>
        <v>-277.18</v>
      </c>
      <c r="W30" s="618">
        <f>U30*L30</f>
        <v>26365.3616</v>
      </c>
      <c r="X30" s="228"/>
      <c r="Y30" s="586">
        <v>46168</v>
      </c>
      <c r="Z30" s="586"/>
      <c r="AA30" s="617">
        <f>M29</f>
        <v>0</v>
      </c>
      <c r="AB30" s="61"/>
      <c r="AC30" s="616" t="str">
        <f>IF(Y30="","-",TEXT(Y30,"mmmmyy"))</f>
        <v>May26</v>
      </c>
      <c r="AD30" s="588" t="s">
        <v>34</v>
      </c>
      <c r="AE30" s="589" t="s">
        <v>142</v>
      </c>
      <c r="AF30" s="250" t="s">
        <v>75</v>
      </c>
      <c r="AG30" s="250">
        <v>46168</v>
      </c>
      <c r="AH30" s="250" t="s">
        <v>144</v>
      </c>
      <c r="AI30" s="590"/>
      <c r="AJ30" s="554">
        <v>43607525170</v>
      </c>
      <c r="AK30" s="367"/>
      <c r="AL30" s="61">
        <v>46081</v>
      </c>
      <c r="AM30" s="61">
        <v>46102</v>
      </c>
      <c r="AN30" s="593"/>
      <c r="AO30" s="592"/>
      <c r="AP30" s="46" t="s">
        <v>145</v>
      </c>
    </row>
    <row r="31" spans="1:42" x14ac:dyDescent="0.25">
      <c r="A31" s="582">
        <v>228</v>
      </c>
      <c r="B31" s="46">
        <v>5600000376</v>
      </c>
      <c r="C31" s="80" t="s">
        <v>199</v>
      </c>
      <c r="D31" s="487">
        <v>46050</v>
      </c>
      <c r="E31" s="583" t="s">
        <v>1</v>
      </c>
      <c r="F31" s="262">
        <v>0.1</v>
      </c>
      <c r="G31" s="81" t="s">
        <v>200</v>
      </c>
      <c r="H31" s="584" t="s">
        <v>139</v>
      </c>
      <c r="I31" s="265">
        <v>997920</v>
      </c>
      <c r="J31" s="59">
        <v>0</v>
      </c>
      <c r="K31" s="621">
        <f t="shared" si="29"/>
        <v>997920</v>
      </c>
      <c r="L31" s="585">
        <v>95.12</v>
      </c>
      <c r="M31" s="621">
        <f t="shared" si="27"/>
        <v>94922150.400000006</v>
      </c>
      <c r="N31" s="584" t="s">
        <v>140</v>
      </c>
      <c r="O31" s="584">
        <v>60</v>
      </c>
      <c r="P31" s="487" t="s">
        <v>17</v>
      </c>
      <c r="Q31" s="64" t="s">
        <v>201</v>
      </c>
      <c r="R31" s="487">
        <v>46065</v>
      </c>
      <c r="S31" s="489">
        <v>46070</v>
      </c>
      <c r="T31" s="489">
        <v>46053</v>
      </c>
      <c r="U31" s="16">
        <v>399168</v>
      </c>
      <c r="V31" s="620">
        <f t="shared" si="1"/>
        <v>598752</v>
      </c>
      <c r="W31" s="618">
        <f t="shared" si="22"/>
        <v>37968860.160000004</v>
      </c>
      <c r="X31" s="228"/>
      <c r="Y31" s="586">
        <v>46114</v>
      </c>
      <c r="Z31" s="586"/>
      <c r="AA31" s="587"/>
      <c r="AB31" s="61"/>
      <c r="AC31" s="616" t="str">
        <f t="shared" si="28"/>
        <v>April26</v>
      </c>
      <c r="AD31" s="588" t="s">
        <v>36</v>
      </c>
      <c r="AE31" s="589" t="s">
        <v>142</v>
      </c>
      <c r="AF31" s="250" t="s">
        <v>143</v>
      </c>
      <c r="AG31" s="250">
        <v>46118</v>
      </c>
      <c r="AH31" s="250" t="s">
        <v>144</v>
      </c>
      <c r="AI31" s="590"/>
      <c r="AJ31" s="554">
        <v>44857149620</v>
      </c>
      <c r="AK31" s="367">
        <v>9290000</v>
      </c>
      <c r="AL31" s="61">
        <v>46068</v>
      </c>
      <c r="AM31" s="61">
        <v>46089</v>
      </c>
      <c r="AN31" s="593">
        <v>7566638</v>
      </c>
      <c r="AO31" s="592">
        <v>46114</v>
      </c>
      <c r="AP31" s="46" t="s">
        <v>202</v>
      </c>
    </row>
    <row r="32" spans="1:42" x14ac:dyDescent="0.25">
      <c r="A32" s="582"/>
      <c r="B32" s="46">
        <v>5600000376</v>
      </c>
      <c r="C32" s="80" t="s">
        <v>199</v>
      </c>
      <c r="D32" s="487">
        <v>46050</v>
      </c>
      <c r="E32" s="583" t="s">
        <v>1</v>
      </c>
      <c r="F32" s="262">
        <v>0.1</v>
      </c>
      <c r="G32" s="81" t="s">
        <v>200</v>
      </c>
      <c r="H32" s="584" t="s">
        <v>139</v>
      </c>
      <c r="I32" s="265">
        <v>0</v>
      </c>
      <c r="J32" s="59">
        <v>0</v>
      </c>
      <c r="K32" s="621">
        <f t="shared" si="29"/>
        <v>0</v>
      </c>
      <c r="L32" s="585">
        <v>95.12</v>
      </c>
      <c r="M32" s="621">
        <f t="shared" si="27"/>
        <v>0</v>
      </c>
      <c r="N32" s="584" t="s">
        <v>140</v>
      </c>
      <c r="O32" s="584">
        <v>60</v>
      </c>
      <c r="P32" s="487" t="s">
        <v>17</v>
      </c>
      <c r="Q32" s="64" t="s">
        <v>203</v>
      </c>
      <c r="R32" s="487">
        <v>46069</v>
      </c>
      <c r="S32" s="489">
        <v>46077</v>
      </c>
      <c r="T32" s="489">
        <v>46057</v>
      </c>
      <c r="U32" s="16">
        <v>598752</v>
      </c>
      <c r="V32" s="620">
        <f t="shared" si="1"/>
        <v>-598752</v>
      </c>
      <c r="W32" s="618">
        <f t="shared" si="22"/>
        <v>56953290.240000002</v>
      </c>
      <c r="X32" s="228"/>
      <c r="Y32" s="586">
        <v>46118</v>
      </c>
      <c r="Z32" s="616">
        <f>Y32+2</f>
        <v>46120</v>
      </c>
      <c r="AA32" s="617">
        <f>M31</f>
        <v>94922150.400000006</v>
      </c>
      <c r="AB32" s="61"/>
      <c r="AC32" s="616" t="str">
        <f t="shared" si="28"/>
        <v>April26</v>
      </c>
      <c r="AD32" s="588" t="s">
        <v>36</v>
      </c>
      <c r="AE32" s="589" t="s">
        <v>142</v>
      </c>
      <c r="AF32" s="250" t="s">
        <v>143</v>
      </c>
      <c r="AG32" s="250">
        <v>46118</v>
      </c>
      <c r="AH32" s="250" t="s">
        <v>144</v>
      </c>
      <c r="AI32" s="590"/>
      <c r="AJ32" s="554">
        <v>44857149620</v>
      </c>
      <c r="AK32" s="367"/>
      <c r="AL32" s="61">
        <v>46068</v>
      </c>
      <c r="AM32" s="61">
        <v>46089</v>
      </c>
      <c r="AN32" s="593">
        <v>7683760</v>
      </c>
      <c r="AO32" s="592">
        <v>46118</v>
      </c>
      <c r="AP32" s="46" t="s">
        <v>202</v>
      </c>
    </row>
    <row r="33" spans="1:42" x14ac:dyDescent="0.25">
      <c r="A33" s="582">
        <v>229</v>
      </c>
      <c r="B33" s="46">
        <v>5600000384</v>
      </c>
      <c r="C33" s="80" t="s">
        <v>204</v>
      </c>
      <c r="D33" s="487">
        <v>46051</v>
      </c>
      <c r="E33" s="583" t="s">
        <v>1</v>
      </c>
      <c r="F33" s="262">
        <v>0.1</v>
      </c>
      <c r="G33" s="81" t="s">
        <v>156</v>
      </c>
      <c r="H33" s="584" t="s">
        <v>139</v>
      </c>
      <c r="I33" s="265">
        <v>1085293.04</v>
      </c>
      <c r="J33" s="59">
        <v>0</v>
      </c>
      <c r="K33" s="621">
        <f t="shared" si="29"/>
        <v>1085293.04</v>
      </c>
      <c r="L33" s="585">
        <v>95.12</v>
      </c>
      <c r="M33" s="621">
        <f t="shared" si="27"/>
        <v>103233073.96480002</v>
      </c>
      <c r="N33" s="584" t="s">
        <v>140</v>
      </c>
      <c r="O33" s="584">
        <v>60</v>
      </c>
      <c r="P33" s="487" t="s">
        <v>17</v>
      </c>
      <c r="Q33" s="64" t="s">
        <v>205</v>
      </c>
      <c r="R33" s="487">
        <v>46074</v>
      </c>
      <c r="S33" s="489">
        <v>46084</v>
      </c>
      <c r="T33" s="489">
        <v>46063</v>
      </c>
      <c r="U33" s="16">
        <v>310083.71999999997</v>
      </c>
      <c r="V33" s="620">
        <f t="shared" si="1"/>
        <v>775209.32000000007</v>
      </c>
      <c r="W33" s="618">
        <f t="shared" si="22"/>
        <v>29495163.446399998</v>
      </c>
      <c r="X33" s="228"/>
      <c r="Y33" s="586">
        <v>46125</v>
      </c>
      <c r="Z33" s="586"/>
      <c r="AA33" s="587"/>
      <c r="AB33" s="61"/>
      <c r="AC33" s="616" t="str">
        <f t="shared" si="28"/>
        <v>April26</v>
      </c>
      <c r="AD33" s="588" t="s">
        <v>36</v>
      </c>
      <c r="AE33" s="589" t="s">
        <v>142</v>
      </c>
      <c r="AF33" s="250" t="s">
        <v>143</v>
      </c>
      <c r="AG33" s="250">
        <v>46139</v>
      </c>
      <c r="AH33" s="250" t="s">
        <v>144</v>
      </c>
      <c r="AI33" s="590"/>
      <c r="AJ33" s="554">
        <v>43730175696</v>
      </c>
      <c r="AK33" s="367"/>
      <c r="AL33" s="61">
        <v>46091</v>
      </c>
      <c r="AM33" s="61">
        <v>46112</v>
      </c>
      <c r="AN33" s="593">
        <v>7660610</v>
      </c>
      <c r="AO33" s="592">
        <v>46125</v>
      </c>
      <c r="AP33" s="46" t="s">
        <v>158</v>
      </c>
    </row>
    <row r="34" spans="1:42" x14ac:dyDescent="0.25">
      <c r="A34" s="582"/>
      <c r="B34" s="46">
        <v>5600000384</v>
      </c>
      <c r="C34" s="80" t="s">
        <v>204</v>
      </c>
      <c r="D34" s="487">
        <v>46051</v>
      </c>
      <c r="E34" s="583" t="s">
        <v>1</v>
      </c>
      <c r="F34" s="262">
        <v>0.1</v>
      </c>
      <c r="G34" s="81" t="s">
        <v>156</v>
      </c>
      <c r="H34" s="584" t="s">
        <v>139</v>
      </c>
      <c r="I34" s="218">
        <v>0</v>
      </c>
      <c r="J34" s="59">
        <v>0</v>
      </c>
      <c r="K34" s="621">
        <f t="shared" si="29"/>
        <v>0</v>
      </c>
      <c r="L34" s="585">
        <v>95.12</v>
      </c>
      <c r="M34" s="621">
        <f t="shared" si="27"/>
        <v>0</v>
      </c>
      <c r="N34" s="584" t="s">
        <v>140</v>
      </c>
      <c r="O34" s="584">
        <v>60</v>
      </c>
      <c r="P34" s="487" t="s">
        <v>17</v>
      </c>
      <c r="Q34" s="64" t="s">
        <v>206</v>
      </c>
      <c r="R34" s="487">
        <v>46086</v>
      </c>
      <c r="S34" s="489">
        <v>46094</v>
      </c>
      <c r="T34" s="489">
        <v>46074</v>
      </c>
      <c r="U34" s="16">
        <v>310083.71999999997</v>
      </c>
      <c r="V34" s="620">
        <f t="shared" si="1"/>
        <v>-310083.71999999997</v>
      </c>
      <c r="W34" s="618">
        <f t="shared" si="22"/>
        <v>29495163.446399998</v>
      </c>
      <c r="X34" s="228"/>
      <c r="Y34" s="586">
        <v>46134</v>
      </c>
      <c r="Z34" s="586"/>
      <c r="AA34" s="587"/>
      <c r="AB34" s="61"/>
      <c r="AC34" s="616" t="str">
        <f t="shared" si="28"/>
        <v>April26</v>
      </c>
      <c r="AD34" s="588" t="s">
        <v>36</v>
      </c>
      <c r="AE34" s="589" t="s">
        <v>142</v>
      </c>
      <c r="AF34" s="250" t="s">
        <v>143</v>
      </c>
      <c r="AG34" s="250">
        <v>46139</v>
      </c>
      <c r="AH34" s="250" t="s">
        <v>144</v>
      </c>
      <c r="AI34" s="590"/>
      <c r="AJ34" s="554">
        <v>43607525170</v>
      </c>
      <c r="AK34" s="367"/>
      <c r="AL34" s="61">
        <v>46091</v>
      </c>
      <c r="AM34" s="61">
        <v>46112</v>
      </c>
      <c r="AN34" s="593">
        <v>7921474</v>
      </c>
      <c r="AO34" s="592">
        <v>46134</v>
      </c>
      <c r="AP34" s="46" t="s">
        <v>158</v>
      </c>
    </row>
    <row r="35" spans="1:42" x14ac:dyDescent="0.25">
      <c r="A35" s="582"/>
      <c r="B35" s="46">
        <v>5600000384</v>
      </c>
      <c r="C35" s="80" t="s">
        <v>204</v>
      </c>
      <c r="D35" s="487">
        <v>46051</v>
      </c>
      <c r="E35" s="583" t="s">
        <v>1</v>
      </c>
      <c r="F35" s="262">
        <v>0.1</v>
      </c>
      <c r="G35" s="81" t="s">
        <v>156</v>
      </c>
      <c r="H35" s="584" t="s">
        <v>139</v>
      </c>
      <c r="I35" s="218">
        <v>0</v>
      </c>
      <c r="J35" s="59">
        <v>0</v>
      </c>
      <c r="K35" s="621">
        <f t="shared" si="29"/>
        <v>0</v>
      </c>
      <c r="L35" s="585">
        <v>95.12</v>
      </c>
      <c r="M35" s="621">
        <f t="shared" si="27"/>
        <v>0</v>
      </c>
      <c r="N35" s="584" t="s">
        <v>140</v>
      </c>
      <c r="O35" s="584">
        <v>60</v>
      </c>
      <c r="P35" s="487" t="s">
        <v>17</v>
      </c>
      <c r="Q35" s="64" t="s">
        <v>207</v>
      </c>
      <c r="R35" s="487">
        <v>46084</v>
      </c>
      <c r="S35" s="489">
        <v>46092</v>
      </c>
      <c r="T35" s="489">
        <v>46068</v>
      </c>
      <c r="U35" s="16">
        <v>155041.87</v>
      </c>
      <c r="V35" s="620">
        <f t="shared" si="1"/>
        <v>-155041.87</v>
      </c>
      <c r="W35" s="618">
        <f t="shared" si="22"/>
        <v>14747582.6744</v>
      </c>
      <c r="X35" s="228"/>
      <c r="Y35" s="586">
        <v>46128</v>
      </c>
      <c r="Z35" s="586"/>
      <c r="AA35" s="617">
        <f>M34</f>
        <v>0</v>
      </c>
      <c r="AB35" s="61"/>
      <c r="AC35" s="616" t="str">
        <f t="shared" si="28"/>
        <v>April26</v>
      </c>
      <c r="AD35" s="588" t="s">
        <v>36</v>
      </c>
      <c r="AE35" s="589" t="s">
        <v>142</v>
      </c>
      <c r="AF35" s="250" t="s">
        <v>143</v>
      </c>
      <c r="AG35" s="250">
        <v>46139</v>
      </c>
      <c r="AH35" s="250" t="s">
        <v>144</v>
      </c>
      <c r="AI35" s="590"/>
      <c r="AJ35" s="554"/>
      <c r="AK35" s="367"/>
      <c r="AL35" s="61">
        <v>46091</v>
      </c>
      <c r="AM35" s="61">
        <v>46112</v>
      </c>
      <c r="AN35" s="593">
        <v>8104396</v>
      </c>
      <c r="AO35" s="592">
        <v>46128</v>
      </c>
      <c r="AP35" s="46" t="s">
        <v>158</v>
      </c>
    </row>
    <row r="36" spans="1:42" x14ac:dyDescent="0.25">
      <c r="A36" s="582"/>
      <c r="B36" s="46">
        <v>5600000384</v>
      </c>
      <c r="C36" s="80" t="s">
        <v>204</v>
      </c>
      <c r="D36" s="487">
        <v>46051</v>
      </c>
      <c r="E36" s="583" t="s">
        <v>1</v>
      </c>
      <c r="F36" s="262">
        <v>0.1</v>
      </c>
      <c r="G36" s="81" t="s">
        <v>156</v>
      </c>
      <c r="H36" s="584" t="s">
        <v>139</v>
      </c>
      <c r="I36" s="218">
        <v>0</v>
      </c>
      <c r="J36" s="59">
        <v>0</v>
      </c>
      <c r="K36" s="621">
        <f t="shared" si="29"/>
        <v>0</v>
      </c>
      <c r="L36" s="585">
        <v>95.12</v>
      </c>
      <c r="M36" s="621">
        <f t="shared" si="27"/>
        <v>0</v>
      </c>
      <c r="N36" s="584" t="s">
        <v>140</v>
      </c>
      <c r="O36" s="584">
        <v>60</v>
      </c>
      <c r="P36" s="487" t="s">
        <v>17</v>
      </c>
      <c r="Q36" s="64" t="s">
        <v>208</v>
      </c>
      <c r="R36" s="487">
        <v>46097</v>
      </c>
      <c r="S36" s="489">
        <v>46101</v>
      </c>
      <c r="T36" s="489">
        <v>46078</v>
      </c>
      <c r="U36" s="16">
        <v>310083.73</v>
      </c>
      <c r="V36" s="620">
        <f t="shared" si="1"/>
        <v>-310083.73</v>
      </c>
      <c r="W36" s="618">
        <f t="shared" si="22"/>
        <v>29495164.397599999</v>
      </c>
      <c r="X36" s="228"/>
      <c r="Y36" s="586">
        <v>46139</v>
      </c>
      <c r="Z36" s="616">
        <f>Y36+2</f>
        <v>46141</v>
      </c>
      <c r="AA36" s="617">
        <f>M33</f>
        <v>103233073.96480002</v>
      </c>
      <c r="AB36" s="61"/>
      <c r="AC36" s="616" t="str">
        <f t="shared" si="28"/>
        <v>April26</v>
      </c>
      <c r="AD36" s="588" t="s">
        <v>36</v>
      </c>
      <c r="AE36" s="589" t="s">
        <v>142</v>
      </c>
      <c r="AF36" s="250" t="s">
        <v>143</v>
      </c>
      <c r="AG36" s="250">
        <v>46139</v>
      </c>
      <c r="AH36" s="250" t="s">
        <v>144</v>
      </c>
      <c r="AI36" s="590"/>
      <c r="AJ36" s="554">
        <v>43607525170</v>
      </c>
      <c r="AK36" s="367">
        <v>1435000</v>
      </c>
      <c r="AL36" s="61">
        <v>46091</v>
      </c>
      <c r="AM36" s="61">
        <v>46112</v>
      </c>
      <c r="AN36" s="593">
        <v>8048476</v>
      </c>
      <c r="AO36" s="592">
        <v>46139</v>
      </c>
      <c r="AP36" s="46" t="s">
        <v>158</v>
      </c>
    </row>
    <row r="37" spans="1:42" x14ac:dyDescent="0.25">
      <c r="A37" s="582">
        <v>234</v>
      </c>
      <c r="B37" s="46">
        <v>5600000399</v>
      </c>
      <c r="C37" s="80" t="s">
        <v>209</v>
      </c>
      <c r="D37" s="487">
        <v>46059</v>
      </c>
      <c r="E37" s="583" t="s">
        <v>1</v>
      </c>
      <c r="F37" s="262">
        <v>0.1</v>
      </c>
      <c r="G37" s="81" t="s">
        <v>138</v>
      </c>
      <c r="H37" s="584" t="s">
        <v>139</v>
      </c>
      <c r="I37" s="78">
        <v>4484985.12</v>
      </c>
      <c r="J37" s="59">
        <v>0</v>
      </c>
      <c r="K37" s="621">
        <f t="shared" si="29"/>
        <v>4484985.12</v>
      </c>
      <c r="L37" s="585">
        <v>95.12</v>
      </c>
      <c r="M37" s="621">
        <f t="shared" si="27"/>
        <v>426611784.61440003</v>
      </c>
      <c r="N37" s="584" t="s">
        <v>140</v>
      </c>
      <c r="O37" s="584">
        <v>60</v>
      </c>
      <c r="P37" s="487" t="s">
        <v>17</v>
      </c>
      <c r="Q37" s="64" t="s">
        <v>210</v>
      </c>
      <c r="R37" s="487">
        <v>46111</v>
      </c>
      <c r="S37" s="489">
        <v>46119</v>
      </c>
      <c r="T37" s="489">
        <v>46090</v>
      </c>
      <c r="U37" s="16">
        <v>4320848.45</v>
      </c>
      <c r="V37" s="620">
        <f t="shared" ref="V37:V76" si="30">K37-U37</f>
        <v>164136.66999999993</v>
      </c>
      <c r="W37" s="618">
        <f t="shared" si="22"/>
        <v>410999104.56400001</v>
      </c>
      <c r="X37" s="618">
        <f t="shared" ref="X37:X43" si="31">V37*L37</f>
        <v>15612680.050399994</v>
      </c>
      <c r="Y37" s="586">
        <v>46160</v>
      </c>
      <c r="Z37" s="586"/>
      <c r="AA37" s="587"/>
      <c r="AB37" s="61"/>
      <c r="AC37" s="616" t="str">
        <f t="shared" si="28"/>
        <v>May26</v>
      </c>
      <c r="AD37" s="588" t="s">
        <v>36</v>
      </c>
      <c r="AE37" s="589" t="s">
        <v>142</v>
      </c>
      <c r="AF37" s="250" t="s">
        <v>143</v>
      </c>
      <c r="AG37" s="250">
        <v>46160</v>
      </c>
      <c r="AH37" s="250" t="s">
        <v>144</v>
      </c>
      <c r="AI37" s="590"/>
      <c r="AJ37" s="554">
        <v>43650012802</v>
      </c>
      <c r="AK37" s="367">
        <v>12727000</v>
      </c>
      <c r="AL37" s="61">
        <v>46117</v>
      </c>
      <c r="AM37" s="61">
        <v>46138</v>
      </c>
      <c r="AN37" s="593"/>
      <c r="AO37" s="592"/>
      <c r="AP37" s="46" t="s">
        <v>145</v>
      </c>
    </row>
    <row r="38" spans="1:42" x14ac:dyDescent="0.25">
      <c r="A38" s="582"/>
      <c r="B38" s="46">
        <v>5600000399</v>
      </c>
      <c r="C38" s="80" t="s">
        <v>209</v>
      </c>
      <c r="D38" s="487">
        <v>46059</v>
      </c>
      <c r="E38" s="583" t="s">
        <v>1</v>
      </c>
      <c r="F38" s="262">
        <v>0.1</v>
      </c>
      <c r="G38" s="81" t="s">
        <v>138</v>
      </c>
      <c r="H38" s="584" t="s">
        <v>139</v>
      </c>
      <c r="I38" s="78">
        <v>0</v>
      </c>
      <c r="J38" s="59">
        <v>0</v>
      </c>
      <c r="K38" s="621">
        <f t="shared" si="29"/>
        <v>0</v>
      </c>
      <c r="L38" s="585">
        <v>95.12</v>
      </c>
      <c r="M38" s="621">
        <f t="shared" si="27"/>
        <v>0</v>
      </c>
      <c r="N38" s="584" t="s">
        <v>140</v>
      </c>
      <c r="O38" s="584">
        <v>60</v>
      </c>
      <c r="P38" s="487" t="s">
        <v>16</v>
      </c>
      <c r="R38" s="487"/>
      <c r="S38" s="489"/>
      <c r="T38" s="489">
        <v>46117</v>
      </c>
      <c r="U38" s="16">
        <v>164136.67000000001</v>
      </c>
      <c r="V38" s="620">
        <f t="shared" si="30"/>
        <v>-164136.67000000001</v>
      </c>
      <c r="W38" s="618">
        <f t="shared" si="22"/>
        <v>15612680.050400002</v>
      </c>
      <c r="X38" s="618">
        <f t="shared" si="31"/>
        <v>-15612680.050400002</v>
      </c>
      <c r="Y38" s="586">
        <v>46160</v>
      </c>
      <c r="Z38" s="616">
        <f>Y38+2</f>
        <v>46162</v>
      </c>
      <c r="AA38" s="617">
        <f>M37</f>
        <v>426611784.61440003</v>
      </c>
      <c r="AB38" s="61"/>
      <c r="AC38" s="616" t="str">
        <f t="shared" si="28"/>
        <v>May26</v>
      </c>
      <c r="AD38" s="588" t="s">
        <v>36</v>
      </c>
      <c r="AE38" s="589" t="s">
        <v>142</v>
      </c>
      <c r="AF38" s="250" t="s">
        <v>75</v>
      </c>
      <c r="AG38" s="250">
        <v>46160</v>
      </c>
      <c r="AH38" s="250" t="s">
        <v>75</v>
      </c>
      <c r="AI38" s="590"/>
      <c r="AJ38" s="554">
        <v>44361399732</v>
      </c>
      <c r="AK38" s="367">
        <v>12645000</v>
      </c>
      <c r="AL38" s="61">
        <v>46117</v>
      </c>
      <c r="AM38" s="61">
        <v>46138</v>
      </c>
      <c r="AN38" s="593"/>
      <c r="AO38" s="592"/>
      <c r="AP38" s="46" t="s">
        <v>145</v>
      </c>
    </row>
    <row r="39" spans="1:42" x14ac:dyDescent="0.25">
      <c r="A39" s="582"/>
      <c r="B39" s="46">
        <v>5600000399</v>
      </c>
      <c r="C39" s="80" t="s">
        <v>209</v>
      </c>
      <c r="D39" s="487">
        <v>46059</v>
      </c>
      <c r="E39" s="583" t="s">
        <v>1</v>
      </c>
      <c r="F39" s="262">
        <v>0.1</v>
      </c>
      <c r="G39" s="81" t="s">
        <v>138</v>
      </c>
      <c r="H39" s="584" t="s">
        <v>139</v>
      </c>
      <c r="I39" s="78">
        <v>0</v>
      </c>
      <c r="J39" s="59">
        <v>0</v>
      </c>
      <c r="K39" s="621">
        <f t="shared" si="29"/>
        <v>0</v>
      </c>
      <c r="L39" s="585">
        <v>95.12</v>
      </c>
      <c r="M39" s="621">
        <f t="shared" si="27"/>
        <v>0</v>
      </c>
      <c r="N39" s="584" t="s">
        <v>140</v>
      </c>
      <c r="O39" s="584">
        <v>60</v>
      </c>
      <c r="P39" s="487" t="s">
        <v>16</v>
      </c>
      <c r="R39" s="487"/>
      <c r="S39" s="489"/>
      <c r="T39" s="489"/>
      <c r="U39" s="16"/>
      <c r="V39" s="620">
        <f t="shared" si="30"/>
        <v>0</v>
      </c>
      <c r="W39" s="618">
        <f t="shared" si="22"/>
        <v>0</v>
      </c>
      <c r="X39" s="618">
        <f t="shared" si="31"/>
        <v>0</v>
      </c>
      <c r="Y39" s="586"/>
      <c r="Z39" s="586"/>
      <c r="AA39" s="617">
        <f>M39</f>
        <v>0</v>
      </c>
      <c r="AB39" s="61"/>
      <c r="AC39" s="616" t="str">
        <f t="shared" si="28"/>
        <v>-</v>
      </c>
      <c r="AD39" s="588" t="s">
        <v>36</v>
      </c>
      <c r="AE39" s="589" t="s">
        <v>142</v>
      </c>
      <c r="AF39" s="250" t="s">
        <v>211</v>
      </c>
      <c r="AG39" s="250">
        <v>46160</v>
      </c>
      <c r="AH39" s="250" t="s">
        <v>144</v>
      </c>
      <c r="AI39" s="590"/>
      <c r="AJ39" s="554">
        <v>43730175696</v>
      </c>
      <c r="AK39" s="367">
        <v>8693000</v>
      </c>
      <c r="AL39" s="61">
        <v>46117</v>
      </c>
      <c r="AM39" s="61">
        <v>46138</v>
      </c>
      <c r="AN39" s="593"/>
      <c r="AO39" s="592"/>
      <c r="AP39" s="46" t="s">
        <v>145</v>
      </c>
    </row>
    <row r="40" spans="1:42" x14ac:dyDescent="0.25">
      <c r="A40" s="582"/>
      <c r="B40" s="46">
        <v>5600000399</v>
      </c>
      <c r="C40" s="80" t="s">
        <v>209</v>
      </c>
      <c r="D40" s="487">
        <v>46059</v>
      </c>
      <c r="E40" s="583" t="s">
        <v>1</v>
      </c>
      <c r="F40" s="262">
        <v>0.1</v>
      </c>
      <c r="G40" s="81" t="s">
        <v>138</v>
      </c>
      <c r="H40" s="584" t="s">
        <v>139</v>
      </c>
      <c r="I40" s="59">
        <v>0</v>
      </c>
      <c r="J40" s="59">
        <v>0</v>
      </c>
      <c r="K40" s="621">
        <f t="shared" si="29"/>
        <v>0</v>
      </c>
      <c r="L40" s="585">
        <v>95.12</v>
      </c>
      <c r="M40" s="621">
        <f t="shared" si="27"/>
        <v>0</v>
      </c>
      <c r="N40" s="584" t="s">
        <v>140</v>
      </c>
      <c r="O40" s="584">
        <v>60</v>
      </c>
      <c r="P40" s="487" t="s">
        <v>16</v>
      </c>
      <c r="R40" s="487"/>
      <c r="S40" s="489"/>
      <c r="T40" s="489"/>
      <c r="U40" s="16"/>
      <c r="V40" s="620">
        <f t="shared" si="30"/>
        <v>0</v>
      </c>
      <c r="W40" s="618">
        <f t="shared" si="22"/>
        <v>0</v>
      </c>
      <c r="X40" s="618">
        <f t="shared" si="31"/>
        <v>0</v>
      </c>
      <c r="Y40" s="586"/>
      <c r="Z40" s="586"/>
      <c r="AA40" s="617">
        <f>M40</f>
        <v>0</v>
      </c>
      <c r="AB40" s="61"/>
      <c r="AC40" s="616" t="str">
        <f t="shared" si="28"/>
        <v>-</v>
      </c>
      <c r="AD40" s="588" t="s">
        <v>36</v>
      </c>
      <c r="AE40" s="589" t="s">
        <v>142</v>
      </c>
      <c r="AF40" s="250" t="s">
        <v>211</v>
      </c>
      <c r="AG40" s="250">
        <v>46160</v>
      </c>
      <c r="AH40" s="250" t="s">
        <v>144</v>
      </c>
      <c r="AI40" s="590"/>
      <c r="AJ40" s="554">
        <v>44416414800</v>
      </c>
      <c r="AK40" s="367">
        <v>8</v>
      </c>
      <c r="AL40" s="61">
        <v>46117</v>
      </c>
      <c r="AM40" s="61">
        <v>46138</v>
      </c>
      <c r="AN40" s="593"/>
      <c r="AO40" s="592"/>
      <c r="AP40" s="46" t="s">
        <v>145</v>
      </c>
    </row>
    <row r="41" spans="1:42" x14ac:dyDescent="0.25">
      <c r="A41" s="582"/>
      <c r="B41" s="46">
        <v>5600000399</v>
      </c>
      <c r="C41" s="80" t="s">
        <v>209</v>
      </c>
      <c r="D41" s="487">
        <v>46059</v>
      </c>
      <c r="E41" s="583" t="s">
        <v>1</v>
      </c>
      <c r="F41" s="262">
        <v>0.1</v>
      </c>
      <c r="G41" s="81" t="s">
        <v>138</v>
      </c>
      <c r="H41" s="584" t="s">
        <v>139</v>
      </c>
      <c r="I41" s="78">
        <v>0</v>
      </c>
      <c r="J41" s="59">
        <v>0</v>
      </c>
      <c r="K41" s="621">
        <f t="shared" si="29"/>
        <v>0</v>
      </c>
      <c r="L41" s="585">
        <v>95.12</v>
      </c>
      <c r="M41" s="621">
        <f t="shared" si="27"/>
        <v>0</v>
      </c>
      <c r="N41" s="584" t="s">
        <v>140</v>
      </c>
      <c r="O41" s="584">
        <v>60</v>
      </c>
      <c r="P41" s="487" t="s">
        <v>16</v>
      </c>
      <c r="R41" s="487"/>
      <c r="S41" s="489"/>
      <c r="T41" s="489"/>
      <c r="U41" s="16"/>
      <c r="V41" s="620">
        <f t="shared" si="30"/>
        <v>0</v>
      </c>
      <c r="W41" s="618">
        <f t="shared" si="22"/>
        <v>0</v>
      </c>
      <c r="X41" s="618">
        <f t="shared" si="31"/>
        <v>0</v>
      </c>
      <c r="Y41" s="586"/>
      <c r="Z41" s="586"/>
      <c r="AA41" s="617">
        <f>M41</f>
        <v>0</v>
      </c>
      <c r="AB41" s="61"/>
      <c r="AC41" s="616" t="str">
        <f t="shared" si="28"/>
        <v>-</v>
      </c>
      <c r="AD41" s="588" t="s">
        <v>36</v>
      </c>
      <c r="AE41" s="589" t="s">
        <v>142</v>
      </c>
      <c r="AF41" s="250" t="s">
        <v>211</v>
      </c>
      <c r="AG41" s="250">
        <v>46160</v>
      </c>
      <c r="AH41" s="250" t="s">
        <v>144</v>
      </c>
      <c r="AI41" s="590"/>
      <c r="AJ41" s="554">
        <v>44803304283</v>
      </c>
      <c r="AK41" s="367">
        <v>177000</v>
      </c>
      <c r="AL41" s="61">
        <v>46117</v>
      </c>
      <c r="AM41" s="61">
        <v>46138</v>
      </c>
      <c r="AN41" s="593"/>
      <c r="AO41" s="592"/>
      <c r="AP41" s="46" t="s">
        <v>145</v>
      </c>
    </row>
    <row r="42" spans="1:42" x14ac:dyDescent="0.25">
      <c r="A42" s="582">
        <v>236</v>
      </c>
      <c r="B42" s="46">
        <v>5600000401</v>
      </c>
      <c r="C42" s="80" t="s">
        <v>212</v>
      </c>
      <c r="D42" s="487">
        <v>46059</v>
      </c>
      <c r="E42" s="583" t="s">
        <v>1</v>
      </c>
      <c r="F42" s="262">
        <v>0.1</v>
      </c>
      <c r="G42" s="81" t="s">
        <v>138</v>
      </c>
      <c r="H42" s="584" t="s">
        <v>139</v>
      </c>
      <c r="I42" s="78">
        <v>3737487.6</v>
      </c>
      <c r="J42" s="59">
        <v>0</v>
      </c>
      <c r="K42" s="621">
        <f t="shared" si="29"/>
        <v>3737487.6</v>
      </c>
      <c r="L42" s="585">
        <v>96</v>
      </c>
      <c r="M42" s="621">
        <f t="shared" si="27"/>
        <v>358798809.60000002</v>
      </c>
      <c r="N42" s="584" t="s">
        <v>140</v>
      </c>
      <c r="O42" s="584">
        <v>60</v>
      </c>
      <c r="P42" s="487" t="s">
        <v>17</v>
      </c>
      <c r="Q42" s="64" t="s">
        <v>213</v>
      </c>
      <c r="R42" s="487">
        <v>46106</v>
      </c>
      <c r="S42" s="489">
        <v>46114</v>
      </c>
      <c r="T42" s="489">
        <v>46090</v>
      </c>
      <c r="U42" s="16">
        <v>1428451.92</v>
      </c>
      <c r="V42" s="620">
        <f t="shared" si="30"/>
        <v>2309035.6800000002</v>
      </c>
      <c r="W42" s="618">
        <f t="shared" si="22"/>
        <v>137131384.31999999</v>
      </c>
      <c r="X42" s="618">
        <f t="shared" si="31"/>
        <v>221667425.28000003</v>
      </c>
      <c r="Y42" s="586">
        <v>46150</v>
      </c>
      <c r="Z42" s="586"/>
      <c r="AA42" s="587"/>
      <c r="AB42" s="61">
        <v>46099</v>
      </c>
      <c r="AC42" s="616" t="str">
        <f t="shared" si="28"/>
        <v>May26</v>
      </c>
      <c r="AD42" s="588" t="s">
        <v>43</v>
      </c>
      <c r="AE42" s="589" t="s">
        <v>142</v>
      </c>
      <c r="AF42" s="250" t="s">
        <v>143</v>
      </c>
      <c r="AG42" s="250"/>
      <c r="AH42" s="250" t="s">
        <v>165</v>
      </c>
      <c r="AI42" s="590"/>
      <c r="AJ42" s="554">
        <v>43630359430</v>
      </c>
      <c r="AK42" s="367">
        <v>22339000</v>
      </c>
      <c r="AL42" s="61">
        <v>46121</v>
      </c>
      <c r="AM42" s="61">
        <v>46142</v>
      </c>
      <c r="AN42" s="591" t="s">
        <v>214</v>
      </c>
      <c r="AO42" s="592">
        <v>46150</v>
      </c>
      <c r="AP42" s="46" t="s">
        <v>145</v>
      </c>
    </row>
    <row r="43" spans="1:42" x14ac:dyDescent="0.25">
      <c r="A43" s="582"/>
      <c r="B43" s="46">
        <v>5600000401</v>
      </c>
      <c r="C43" s="80" t="s">
        <v>212</v>
      </c>
      <c r="D43" s="487">
        <v>46059</v>
      </c>
      <c r="E43" s="583" t="s">
        <v>1</v>
      </c>
      <c r="F43" s="262">
        <v>0.1</v>
      </c>
      <c r="G43" s="81" t="s">
        <v>138</v>
      </c>
      <c r="H43" s="584" t="s">
        <v>139</v>
      </c>
      <c r="I43" s="78">
        <v>0</v>
      </c>
      <c r="J43" s="59">
        <v>0</v>
      </c>
      <c r="K43" s="621">
        <f t="shared" si="29"/>
        <v>0</v>
      </c>
      <c r="L43" s="585">
        <v>96</v>
      </c>
      <c r="M43" s="621">
        <f t="shared" si="27"/>
        <v>0</v>
      </c>
      <c r="N43" s="584" t="s">
        <v>140</v>
      </c>
      <c r="O43" s="584">
        <v>60</v>
      </c>
      <c r="P43" s="487" t="s">
        <v>17</v>
      </c>
      <c r="Q43" s="64" t="s">
        <v>215</v>
      </c>
      <c r="R43" s="487">
        <v>46133</v>
      </c>
      <c r="S43" s="489">
        <v>46135</v>
      </c>
      <c r="T43" s="489">
        <v>46121</v>
      </c>
      <c r="U43" s="16">
        <v>1436361.7</v>
      </c>
      <c r="V43" s="620">
        <f t="shared" si="30"/>
        <v>-1436361.7</v>
      </c>
      <c r="W43" s="618">
        <f t="shared" si="22"/>
        <v>137890723.19999999</v>
      </c>
      <c r="X43" s="618">
        <f t="shared" si="31"/>
        <v>-137890723.19999999</v>
      </c>
      <c r="Y43" s="586">
        <v>46182</v>
      </c>
      <c r="Z43" s="616">
        <f>Y43+2</f>
        <v>46184</v>
      </c>
      <c r="AA43" s="617">
        <f>M42</f>
        <v>358798809.60000002</v>
      </c>
      <c r="AB43" s="61"/>
      <c r="AC43" s="616" t="str">
        <f t="shared" si="28"/>
        <v>June26</v>
      </c>
      <c r="AD43" s="588" t="s">
        <v>43</v>
      </c>
      <c r="AE43" s="589" t="s">
        <v>164</v>
      </c>
      <c r="AF43" s="250" t="s">
        <v>143</v>
      </c>
      <c r="AG43" s="250"/>
      <c r="AH43" s="250" t="s">
        <v>165</v>
      </c>
      <c r="AI43" s="590"/>
      <c r="AJ43" s="554">
        <v>42371819184</v>
      </c>
      <c r="AK43" s="367">
        <v>172000</v>
      </c>
      <c r="AL43" s="61">
        <v>46121</v>
      </c>
      <c r="AM43" s="61">
        <v>46142</v>
      </c>
      <c r="AN43" s="593"/>
      <c r="AO43" s="592"/>
      <c r="AP43" s="46" t="s">
        <v>145</v>
      </c>
    </row>
    <row r="44" spans="1:42" x14ac:dyDescent="0.25">
      <c r="A44" s="582"/>
      <c r="B44" s="46">
        <v>5600000401</v>
      </c>
      <c r="C44" s="80" t="s">
        <v>212</v>
      </c>
      <c r="D44" s="487">
        <v>46059</v>
      </c>
      <c r="E44" s="583" t="s">
        <v>1</v>
      </c>
      <c r="F44" s="262">
        <v>0.1</v>
      </c>
      <c r="G44" s="81" t="s">
        <v>138</v>
      </c>
      <c r="H44" s="584" t="s">
        <v>139</v>
      </c>
      <c r="I44" s="78">
        <v>0</v>
      </c>
      <c r="J44" s="59">
        <v>0</v>
      </c>
      <c r="K44" s="621">
        <f t="shared" ref="K44" si="32">J44+I44</f>
        <v>0</v>
      </c>
      <c r="L44" s="585">
        <v>96</v>
      </c>
      <c r="M44" s="621">
        <f t="shared" ref="M44" si="33">K44*L44</f>
        <v>0</v>
      </c>
      <c r="N44" s="584" t="s">
        <v>140</v>
      </c>
      <c r="O44" s="584">
        <v>60</v>
      </c>
      <c r="P44" s="487" t="s">
        <v>146</v>
      </c>
      <c r="R44" s="487"/>
      <c r="S44" s="489"/>
      <c r="T44" s="489"/>
      <c r="U44" s="16">
        <v>872673.98</v>
      </c>
      <c r="V44" s="620">
        <f t="shared" ref="V44" si="34">K44-U44</f>
        <v>-872673.98</v>
      </c>
      <c r="W44" s="618">
        <f t="shared" ref="W44" si="35">U44*L44</f>
        <v>83776702.079999998</v>
      </c>
      <c r="X44" s="618">
        <f t="shared" ref="X44" si="36">V44*L44</f>
        <v>-83776702.079999998</v>
      </c>
      <c r="Y44" s="586">
        <v>46182</v>
      </c>
      <c r="Z44" s="586"/>
      <c r="AA44" s="617">
        <f>M44</f>
        <v>0</v>
      </c>
      <c r="AB44" s="61"/>
      <c r="AC44" s="616" t="str">
        <f t="shared" ref="AC44" si="37">IF(Y44="","-",TEXT(Y44,"mmmmyy"))</f>
        <v>June26</v>
      </c>
      <c r="AD44" s="588" t="s">
        <v>45</v>
      </c>
      <c r="AE44" s="589" t="s">
        <v>75</v>
      </c>
      <c r="AF44" s="250" t="s">
        <v>75</v>
      </c>
      <c r="AG44" s="250"/>
      <c r="AH44" s="250" t="s">
        <v>165</v>
      </c>
      <c r="AI44" s="590"/>
      <c r="AJ44" s="554">
        <v>43649959856</v>
      </c>
      <c r="AK44" s="367">
        <v>11569000</v>
      </c>
      <c r="AL44" s="61">
        <v>46121</v>
      </c>
      <c r="AM44" s="61">
        <v>46142</v>
      </c>
      <c r="AN44" s="593"/>
      <c r="AO44" s="592"/>
      <c r="AP44" s="46" t="s">
        <v>145</v>
      </c>
    </row>
    <row r="45" spans="1:42" x14ac:dyDescent="0.25">
      <c r="A45" s="582">
        <v>238</v>
      </c>
      <c r="B45" s="46">
        <v>5600000383</v>
      </c>
      <c r="C45" s="80" t="s">
        <v>216</v>
      </c>
      <c r="D45" s="487">
        <v>46066</v>
      </c>
      <c r="E45" s="583" t="s">
        <v>1</v>
      </c>
      <c r="F45" s="262">
        <v>0.1</v>
      </c>
      <c r="G45" s="81" t="s">
        <v>156</v>
      </c>
      <c r="H45" s="584" t="s">
        <v>139</v>
      </c>
      <c r="I45" s="265">
        <v>930251.17</v>
      </c>
      <c r="J45" s="59">
        <v>0</v>
      </c>
      <c r="K45" s="621">
        <f t="shared" si="29"/>
        <v>930251.17</v>
      </c>
      <c r="L45" s="585">
        <v>95.12</v>
      </c>
      <c r="M45" s="621">
        <f t="shared" si="27"/>
        <v>88485491.290400013</v>
      </c>
      <c r="N45" s="584" t="s">
        <v>140</v>
      </c>
      <c r="O45" s="584">
        <v>60</v>
      </c>
      <c r="P45" s="487" t="s">
        <v>17</v>
      </c>
      <c r="Q45" s="6" t="s">
        <v>217</v>
      </c>
      <c r="R45" s="487">
        <v>46118</v>
      </c>
      <c r="S45" s="489">
        <v>46122</v>
      </c>
      <c r="T45" s="489">
        <v>46099</v>
      </c>
      <c r="U45" s="16">
        <v>155041.85999999999</v>
      </c>
      <c r="V45" s="620">
        <f t="shared" si="30"/>
        <v>775209.31</v>
      </c>
      <c r="W45" s="618">
        <f t="shared" si="22"/>
        <v>14747581.723199999</v>
      </c>
      <c r="X45" s="228"/>
      <c r="Y45" s="586">
        <v>46160</v>
      </c>
      <c r="Z45" s="586"/>
      <c r="AA45" s="587"/>
      <c r="AB45" s="61"/>
      <c r="AC45" s="616" t="str">
        <f t="shared" si="28"/>
        <v>May26</v>
      </c>
      <c r="AD45" s="588" t="s">
        <v>36</v>
      </c>
      <c r="AE45" s="589" t="s">
        <v>142</v>
      </c>
      <c r="AF45" s="250" t="s">
        <v>143</v>
      </c>
      <c r="AG45" s="250">
        <v>46168</v>
      </c>
      <c r="AH45" s="250" t="s">
        <v>144</v>
      </c>
      <c r="AI45" s="590"/>
      <c r="AJ45" s="554">
        <v>43749450461</v>
      </c>
      <c r="AK45" s="367">
        <v>5000000</v>
      </c>
      <c r="AL45" s="61">
        <v>46112</v>
      </c>
      <c r="AM45" s="61">
        <v>46133</v>
      </c>
      <c r="AN45" s="593"/>
      <c r="AO45" s="592"/>
      <c r="AP45" s="46" t="s">
        <v>158</v>
      </c>
    </row>
    <row r="46" spans="1:42" x14ac:dyDescent="0.25">
      <c r="A46" s="582"/>
      <c r="B46" s="46">
        <v>5600000383</v>
      </c>
      <c r="C46" s="80" t="s">
        <v>216</v>
      </c>
      <c r="D46" s="487">
        <v>46066</v>
      </c>
      <c r="E46" s="583" t="s">
        <v>1</v>
      </c>
      <c r="F46" s="262">
        <v>0.1</v>
      </c>
      <c r="G46" s="81" t="s">
        <v>156</v>
      </c>
      <c r="H46" s="584" t="s">
        <v>139</v>
      </c>
      <c r="I46" s="265">
        <v>0</v>
      </c>
      <c r="J46" s="59">
        <v>0</v>
      </c>
      <c r="K46" s="621">
        <f t="shared" si="29"/>
        <v>0</v>
      </c>
      <c r="L46" s="585">
        <v>95.12</v>
      </c>
      <c r="M46" s="621">
        <f t="shared" si="27"/>
        <v>0</v>
      </c>
      <c r="N46" s="584" t="s">
        <v>140</v>
      </c>
      <c r="O46" s="584">
        <v>60</v>
      </c>
      <c r="P46" s="487" t="s">
        <v>17</v>
      </c>
      <c r="Q46" s="6" t="s">
        <v>218</v>
      </c>
      <c r="R46" s="487">
        <v>46116</v>
      </c>
      <c r="S46" s="489">
        <v>46120</v>
      </c>
      <c r="T46" s="489">
        <v>46099</v>
      </c>
      <c r="U46" s="16">
        <v>155041.85999999999</v>
      </c>
      <c r="V46" s="620">
        <f t="shared" si="30"/>
        <v>-155041.85999999999</v>
      </c>
      <c r="W46" s="618">
        <f t="shared" si="22"/>
        <v>14747581.723199999</v>
      </c>
      <c r="X46" s="228"/>
      <c r="Y46" s="586">
        <v>46160</v>
      </c>
      <c r="Z46" s="586"/>
      <c r="AA46" s="587"/>
      <c r="AB46" s="61"/>
      <c r="AC46" s="616" t="str">
        <f t="shared" si="28"/>
        <v>May26</v>
      </c>
      <c r="AD46" s="588" t="s">
        <v>36</v>
      </c>
      <c r="AE46" s="589" t="s">
        <v>142</v>
      </c>
      <c r="AF46" s="250" t="s">
        <v>143</v>
      </c>
      <c r="AG46" s="250">
        <v>46168</v>
      </c>
      <c r="AH46" s="250" t="s">
        <v>144</v>
      </c>
      <c r="AI46" s="590"/>
      <c r="AJ46" s="554">
        <v>43749450461</v>
      </c>
      <c r="AK46" s="367"/>
      <c r="AL46" s="61">
        <v>46112</v>
      </c>
      <c r="AM46" s="61">
        <v>46133</v>
      </c>
      <c r="AN46" s="593"/>
      <c r="AO46" s="592"/>
      <c r="AP46" s="46" t="s">
        <v>158</v>
      </c>
    </row>
    <row r="47" spans="1:42" x14ac:dyDescent="0.25">
      <c r="A47" s="582"/>
      <c r="B47" s="46">
        <v>5600000383</v>
      </c>
      <c r="C47" s="80" t="s">
        <v>216</v>
      </c>
      <c r="D47" s="487">
        <v>46066</v>
      </c>
      <c r="E47" s="583" t="s">
        <v>1</v>
      </c>
      <c r="F47" s="262">
        <v>0.1</v>
      </c>
      <c r="G47" s="81" t="s">
        <v>156</v>
      </c>
      <c r="H47" s="584" t="s">
        <v>139</v>
      </c>
      <c r="I47" s="265">
        <v>0</v>
      </c>
      <c r="J47" s="59">
        <v>0</v>
      </c>
      <c r="K47" s="621">
        <f t="shared" si="29"/>
        <v>0</v>
      </c>
      <c r="L47" s="585">
        <v>95.12</v>
      </c>
      <c r="M47" s="621">
        <f t="shared" si="27"/>
        <v>0</v>
      </c>
      <c r="N47" s="584" t="s">
        <v>140</v>
      </c>
      <c r="O47" s="584">
        <v>60</v>
      </c>
      <c r="P47" s="487" t="s">
        <v>17</v>
      </c>
      <c r="Q47" s="6" t="s">
        <v>219</v>
      </c>
      <c r="R47" s="487">
        <v>46116</v>
      </c>
      <c r="S47" s="489">
        <v>46120</v>
      </c>
      <c r="T47" s="489">
        <v>46099</v>
      </c>
      <c r="U47" s="16">
        <v>155041.85999999999</v>
      </c>
      <c r="V47" s="620">
        <f t="shared" si="30"/>
        <v>-155041.85999999999</v>
      </c>
      <c r="W47" s="618">
        <f t="shared" ref="W47:W84" si="38">U47*L47</f>
        <v>14747581.723199999</v>
      </c>
      <c r="X47" s="228"/>
      <c r="Y47" s="586">
        <v>46160</v>
      </c>
      <c r="Z47" s="586"/>
      <c r="AA47" s="587"/>
      <c r="AB47" s="61"/>
      <c r="AC47" s="616" t="str">
        <f t="shared" si="28"/>
        <v>May26</v>
      </c>
      <c r="AD47" s="588" t="s">
        <v>36</v>
      </c>
      <c r="AE47" s="589" t="s">
        <v>142</v>
      </c>
      <c r="AF47" s="250" t="s">
        <v>143</v>
      </c>
      <c r="AG47" s="250">
        <v>46168</v>
      </c>
      <c r="AH47" s="250" t="s">
        <v>144</v>
      </c>
      <c r="AI47" s="590"/>
      <c r="AJ47" s="554">
        <v>43749450461</v>
      </c>
      <c r="AK47" s="367"/>
      <c r="AL47" s="61">
        <v>46112</v>
      </c>
      <c r="AM47" s="61">
        <v>46133</v>
      </c>
      <c r="AN47" s="593"/>
      <c r="AO47" s="592"/>
      <c r="AP47" s="46" t="s">
        <v>158</v>
      </c>
    </row>
    <row r="48" spans="1:42" x14ac:dyDescent="0.25">
      <c r="A48" s="582"/>
      <c r="B48" s="46">
        <v>5600000383</v>
      </c>
      <c r="C48" s="80" t="s">
        <v>216</v>
      </c>
      <c r="D48" s="487">
        <v>46066</v>
      </c>
      <c r="E48" s="583" t="s">
        <v>1</v>
      </c>
      <c r="F48" s="262">
        <v>0.1</v>
      </c>
      <c r="G48" s="81" t="s">
        <v>156</v>
      </c>
      <c r="H48" s="584" t="s">
        <v>139</v>
      </c>
      <c r="I48" s="265">
        <v>0</v>
      </c>
      <c r="J48" s="59">
        <v>0</v>
      </c>
      <c r="K48" s="621">
        <f t="shared" si="29"/>
        <v>0</v>
      </c>
      <c r="L48" s="585">
        <v>95.12</v>
      </c>
      <c r="M48" s="621">
        <f t="shared" si="27"/>
        <v>0</v>
      </c>
      <c r="N48" s="584" t="s">
        <v>140</v>
      </c>
      <c r="O48" s="584">
        <v>60</v>
      </c>
      <c r="P48" s="487" t="s">
        <v>17</v>
      </c>
      <c r="Q48" s="6" t="s">
        <v>220</v>
      </c>
      <c r="R48" s="487">
        <v>46118</v>
      </c>
      <c r="S48" s="489">
        <v>46122</v>
      </c>
      <c r="T48" s="489">
        <v>46097</v>
      </c>
      <c r="U48" s="16">
        <v>155041.85999999999</v>
      </c>
      <c r="V48" s="620">
        <f t="shared" si="30"/>
        <v>-155041.85999999999</v>
      </c>
      <c r="W48" s="618">
        <f t="shared" si="38"/>
        <v>14747581.723199999</v>
      </c>
      <c r="X48" s="228"/>
      <c r="Y48" s="616">
        <f t="shared" ref="Y48" si="39">T48+O48</f>
        <v>46157</v>
      </c>
      <c r="Z48" s="586"/>
      <c r="AA48" s="587"/>
      <c r="AB48" s="61"/>
      <c r="AC48" s="616" t="str">
        <f t="shared" si="28"/>
        <v>May26</v>
      </c>
      <c r="AD48" s="588" t="s">
        <v>36</v>
      </c>
      <c r="AE48" s="589" t="s">
        <v>142</v>
      </c>
      <c r="AF48" s="250" t="s">
        <v>143</v>
      </c>
      <c r="AG48" s="250">
        <v>46168</v>
      </c>
      <c r="AH48" s="250" t="s">
        <v>144</v>
      </c>
      <c r="AI48" s="590"/>
      <c r="AJ48" s="554">
        <v>43749450461</v>
      </c>
      <c r="AK48" s="367"/>
      <c r="AL48" s="61">
        <v>46112</v>
      </c>
      <c r="AM48" s="61">
        <v>46133</v>
      </c>
      <c r="AN48" s="593"/>
      <c r="AO48" s="592"/>
      <c r="AP48" s="46" t="s">
        <v>158</v>
      </c>
    </row>
    <row r="49" spans="1:42" x14ac:dyDescent="0.25">
      <c r="A49" s="582"/>
      <c r="B49" s="46">
        <v>5600000383</v>
      </c>
      <c r="C49" s="80" t="s">
        <v>216</v>
      </c>
      <c r="D49" s="487">
        <v>46066</v>
      </c>
      <c r="E49" s="583" t="s">
        <v>1</v>
      </c>
      <c r="F49" s="262">
        <v>0.1</v>
      </c>
      <c r="G49" s="81" t="s">
        <v>156</v>
      </c>
      <c r="H49" s="584" t="s">
        <v>139</v>
      </c>
      <c r="I49" s="265">
        <v>0</v>
      </c>
      <c r="J49" s="59">
        <v>0</v>
      </c>
      <c r="K49" s="621">
        <f t="shared" si="29"/>
        <v>0</v>
      </c>
      <c r="L49" s="585">
        <v>95.12</v>
      </c>
      <c r="M49" s="621">
        <f t="shared" si="27"/>
        <v>0</v>
      </c>
      <c r="N49" s="584" t="s">
        <v>140</v>
      </c>
      <c r="O49" s="584">
        <v>60</v>
      </c>
      <c r="P49" s="487" t="s">
        <v>17</v>
      </c>
      <c r="Q49" s="6" t="s">
        <v>221</v>
      </c>
      <c r="R49" s="487">
        <v>46132</v>
      </c>
      <c r="S49" s="489">
        <v>46135</v>
      </c>
      <c r="T49" s="489">
        <v>46107</v>
      </c>
      <c r="U49" s="16">
        <v>310083.71999999997</v>
      </c>
      <c r="V49" s="620">
        <f t="shared" si="30"/>
        <v>-310083.71999999997</v>
      </c>
      <c r="W49" s="618">
        <f t="shared" si="38"/>
        <v>29495163.446399998</v>
      </c>
      <c r="X49" s="228"/>
      <c r="Y49" s="586">
        <v>46168</v>
      </c>
      <c r="Z49" s="616">
        <f>Y49+2</f>
        <v>46170</v>
      </c>
      <c r="AA49" s="617">
        <f>M45</f>
        <v>88485491.290400013</v>
      </c>
      <c r="AB49" s="61"/>
      <c r="AC49" s="616" t="str">
        <f t="shared" si="28"/>
        <v>May26</v>
      </c>
      <c r="AD49" s="588" t="s">
        <v>36</v>
      </c>
      <c r="AE49" s="589" t="s">
        <v>142</v>
      </c>
      <c r="AF49" s="250" t="s">
        <v>143</v>
      </c>
      <c r="AG49" s="250">
        <v>46168</v>
      </c>
      <c r="AH49" s="250" t="s">
        <v>144</v>
      </c>
      <c r="AI49" s="590"/>
      <c r="AJ49" s="554">
        <v>44485511084</v>
      </c>
      <c r="AK49" s="367">
        <v>3505000</v>
      </c>
      <c r="AL49" s="61">
        <v>46112</v>
      </c>
      <c r="AM49" s="61">
        <v>46133</v>
      </c>
      <c r="AN49" s="593"/>
      <c r="AO49" s="592"/>
      <c r="AP49" s="46" t="s">
        <v>158</v>
      </c>
    </row>
    <row r="50" spans="1:42" x14ac:dyDescent="0.25">
      <c r="A50" s="582">
        <v>239</v>
      </c>
      <c r="B50" s="46">
        <v>5600000387</v>
      </c>
      <c r="C50" s="80" t="s">
        <v>222</v>
      </c>
      <c r="D50" s="487">
        <v>46066</v>
      </c>
      <c r="E50" s="583" t="s">
        <v>1</v>
      </c>
      <c r="F50" s="262">
        <v>0.1</v>
      </c>
      <c r="G50" s="81" t="s">
        <v>223</v>
      </c>
      <c r="H50" s="584" t="s">
        <v>139</v>
      </c>
      <c r="I50" s="265">
        <v>588000</v>
      </c>
      <c r="J50" s="59">
        <v>0</v>
      </c>
      <c r="K50" s="621">
        <f t="shared" si="29"/>
        <v>588000</v>
      </c>
      <c r="L50" s="585">
        <v>95.12</v>
      </c>
      <c r="M50" s="621">
        <f t="shared" si="27"/>
        <v>55930560</v>
      </c>
      <c r="N50" s="584" t="s">
        <v>140</v>
      </c>
      <c r="O50" s="584">
        <v>60</v>
      </c>
      <c r="P50" s="487" t="s">
        <v>17</v>
      </c>
      <c r="Q50" s="6" t="s">
        <v>224</v>
      </c>
      <c r="R50" s="487">
        <v>46086</v>
      </c>
      <c r="S50" s="489">
        <v>46094</v>
      </c>
      <c r="T50" s="489">
        <v>46079</v>
      </c>
      <c r="U50" s="16">
        <v>588000</v>
      </c>
      <c r="V50" s="620">
        <f t="shared" si="30"/>
        <v>0</v>
      </c>
      <c r="W50" s="618">
        <f t="shared" si="38"/>
        <v>55930560</v>
      </c>
      <c r="X50" s="228"/>
      <c r="Y50" s="586">
        <v>46139</v>
      </c>
      <c r="Z50" s="616">
        <f>Y50+2</f>
        <v>46141</v>
      </c>
      <c r="AA50" s="617">
        <f t="shared" ref="AA50:AA58" si="40">M50</f>
        <v>55930560</v>
      </c>
      <c r="AB50" s="61"/>
      <c r="AC50" s="616" t="str">
        <f t="shared" si="28"/>
        <v>April26</v>
      </c>
      <c r="AD50" s="588" t="s">
        <v>36</v>
      </c>
      <c r="AE50" s="589" t="s">
        <v>142</v>
      </c>
      <c r="AF50" s="250" t="s">
        <v>143</v>
      </c>
      <c r="AG50" s="250">
        <v>46139</v>
      </c>
      <c r="AH50" s="250" t="s">
        <v>144</v>
      </c>
      <c r="AI50" s="590"/>
      <c r="AJ50" s="554">
        <v>44450034472</v>
      </c>
      <c r="AK50" s="367"/>
      <c r="AL50" s="61">
        <v>46081</v>
      </c>
      <c r="AM50" s="61">
        <v>46102</v>
      </c>
      <c r="AN50" s="593">
        <v>7931820</v>
      </c>
      <c r="AO50" s="592">
        <v>46139</v>
      </c>
      <c r="AP50" s="46" t="s">
        <v>225</v>
      </c>
    </row>
    <row r="51" spans="1:42" x14ac:dyDescent="0.25">
      <c r="A51" s="582">
        <v>240</v>
      </c>
      <c r="B51" s="46">
        <v>5600000371</v>
      </c>
      <c r="C51" s="80" t="s">
        <v>226</v>
      </c>
      <c r="D51" s="487">
        <v>46069</v>
      </c>
      <c r="E51" s="583" t="s">
        <v>1</v>
      </c>
      <c r="F51" s="262">
        <v>0.1</v>
      </c>
      <c r="G51" s="81" t="s">
        <v>227</v>
      </c>
      <c r="H51" s="584" t="s">
        <v>139</v>
      </c>
      <c r="I51" s="265">
        <v>310356.25</v>
      </c>
      <c r="J51" s="59">
        <v>0</v>
      </c>
      <c r="K51" s="621">
        <f t="shared" si="29"/>
        <v>310356.25</v>
      </c>
      <c r="L51" s="585">
        <v>95.12</v>
      </c>
      <c r="M51" s="621">
        <f t="shared" ref="M51:M107" si="41">K51*L51</f>
        <v>29521086.5</v>
      </c>
      <c r="N51" s="584" t="s">
        <v>140</v>
      </c>
      <c r="O51" s="584">
        <v>60</v>
      </c>
      <c r="P51" s="487" t="s">
        <v>17</v>
      </c>
      <c r="Q51" s="6" t="s">
        <v>228</v>
      </c>
      <c r="R51" s="487">
        <v>46114</v>
      </c>
      <c r="S51" s="489">
        <v>46119</v>
      </c>
      <c r="T51" s="489">
        <v>46093</v>
      </c>
      <c r="U51" s="16">
        <v>310356.25</v>
      </c>
      <c r="V51" s="620">
        <f t="shared" si="30"/>
        <v>0</v>
      </c>
      <c r="W51" s="618">
        <f t="shared" si="38"/>
        <v>29521086.5</v>
      </c>
      <c r="X51" s="228"/>
      <c r="Y51" s="586">
        <v>46153</v>
      </c>
      <c r="Z51" s="616">
        <f>Y51+2</f>
        <v>46155</v>
      </c>
      <c r="AA51" s="617">
        <f t="shared" si="40"/>
        <v>29521086.5</v>
      </c>
      <c r="AB51" s="61"/>
      <c r="AC51" s="616" t="str">
        <f t="shared" ref="AC51:AC107" si="42">IF(Y51="","-",TEXT(Y51,"mmmmyy"))</f>
        <v>May26</v>
      </c>
      <c r="AD51" s="588" t="s">
        <v>36</v>
      </c>
      <c r="AE51" s="589" t="s">
        <v>142</v>
      </c>
      <c r="AF51" s="250" t="s">
        <v>143</v>
      </c>
      <c r="AG51" s="250">
        <v>46153</v>
      </c>
      <c r="AH51" s="250" t="s">
        <v>144</v>
      </c>
      <c r="AI51" s="590"/>
      <c r="AJ51" s="554">
        <v>44450034472</v>
      </c>
      <c r="AK51" s="367">
        <v>2842000</v>
      </c>
      <c r="AL51" s="61">
        <v>46101</v>
      </c>
      <c r="AM51" s="61">
        <v>46122</v>
      </c>
      <c r="AN51" s="593"/>
      <c r="AO51" s="592"/>
      <c r="AP51" s="46" t="s">
        <v>145</v>
      </c>
    </row>
    <row r="52" spans="1:42" x14ac:dyDescent="0.25">
      <c r="A52" s="582">
        <v>241</v>
      </c>
      <c r="B52" s="46">
        <v>5600000413</v>
      </c>
      <c r="C52" s="80" t="s">
        <v>229</v>
      </c>
      <c r="D52" s="487">
        <v>46070</v>
      </c>
      <c r="E52" s="583" t="s">
        <v>1</v>
      </c>
      <c r="F52" s="262">
        <v>0.1</v>
      </c>
      <c r="G52" s="81" t="s">
        <v>138</v>
      </c>
      <c r="H52" s="584" t="s">
        <v>139</v>
      </c>
      <c r="I52" s="59">
        <v>3039498</v>
      </c>
      <c r="J52" s="59">
        <v>0</v>
      </c>
      <c r="K52" s="621">
        <f t="shared" si="29"/>
        <v>3039498</v>
      </c>
      <c r="L52" s="585">
        <v>96</v>
      </c>
      <c r="M52" s="621">
        <f t="shared" si="41"/>
        <v>291791808</v>
      </c>
      <c r="N52" s="584" t="s">
        <v>140</v>
      </c>
      <c r="O52" s="584">
        <v>60</v>
      </c>
      <c r="P52" s="487" t="s">
        <v>17</v>
      </c>
      <c r="Q52" s="6" t="s">
        <v>230</v>
      </c>
      <c r="R52" s="487">
        <v>46129</v>
      </c>
      <c r="S52" s="489">
        <v>46133</v>
      </c>
      <c r="T52" s="489">
        <v>46112</v>
      </c>
      <c r="U52" s="16">
        <v>2992494.02</v>
      </c>
      <c r="V52" s="620">
        <f t="shared" si="30"/>
        <v>47003.979999999981</v>
      </c>
      <c r="W52" s="618">
        <f t="shared" si="38"/>
        <v>287279425.92000002</v>
      </c>
      <c r="X52" s="618">
        <f t="shared" ref="X52:X57" si="43">V52*L52</f>
        <v>4512382.0799999982</v>
      </c>
      <c r="Y52" s="586">
        <v>46174</v>
      </c>
      <c r="Z52" s="616">
        <f>Y52+2</f>
        <v>46176</v>
      </c>
      <c r="AA52" s="617">
        <f t="shared" si="40"/>
        <v>291791808</v>
      </c>
      <c r="AB52" s="61"/>
      <c r="AC52" s="616" t="str">
        <f t="shared" si="42"/>
        <v>June26</v>
      </c>
      <c r="AD52" s="588" t="s">
        <v>36</v>
      </c>
      <c r="AE52" s="589" t="s">
        <v>142</v>
      </c>
      <c r="AF52" s="250" t="s">
        <v>143</v>
      </c>
      <c r="AG52" s="250">
        <v>46174</v>
      </c>
      <c r="AH52" s="250" t="s">
        <v>144</v>
      </c>
      <c r="AI52" s="590"/>
      <c r="AJ52" s="554">
        <v>43792161126</v>
      </c>
      <c r="AK52" s="367">
        <v>3381000</v>
      </c>
      <c r="AL52" s="61">
        <v>46127</v>
      </c>
      <c r="AM52" s="61">
        <v>46152</v>
      </c>
      <c r="AN52" s="593"/>
      <c r="AO52" s="592"/>
      <c r="AP52" s="46" t="s">
        <v>145</v>
      </c>
    </row>
    <row r="53" spans="1:42" x14ac:dyDescent="0.25">
      <c r="A53" s="582"/>
      <c r="B53" s="46">
        <v>5600000413</v>
      </c>
      <c r="C53" s="80" t="s">
        <v>229</v>
      </c>
      <c r="D53" s="487">
        <v>46070</v>
      </c>
      <c r="E53" s="583" t="s">
        <v>1</v>
      </c>
      <c r="F53" s="262">
        <v>0.1</v>
      </c>
      <c r="G53" s="81" t="s">
        <v>138</v>
      </c>
      <c r="H53" s="584" t="s">
        <v>139</v>
      </c>
      <c r="I53" s="59">
        <v>0</v>
      </c>
      <c r="J53" s="59">
        <v>0</v>
      </c>
      <c r="K53" s="621">
        <f t="shared" ref="K53" si="44">J53+I53</f>
        <v>0</v>
      </c>
      <c r="L53" s="585">
        <v>96</v>
      </c>
      <c r="M53" s="621">
        <f t="shared" ref="M53" si="45">K53*L53</f>
        <v>0</v>
      </c>
      <c r="N53" s="584" t="s">
        <v>140</v>
      </c>
      <c r="O53" s="584">
        <v>60</v>
      </c>
      <c r="P53" s="487" t="s">
        <v>146</v>
      </c>
      <c r="Q53" s="6"/>
      <c r="R53" s="487"/>
      <c r="S53" s="489"/>
      <c r="T53" s="489"/>
      <c r="U53" s="16">
        <v>47003.98</v>
      </c>
      <c r="V53" s="620">
        <f t="shared" ref="V53" si="46">K53-U53</f>
        <v>-47003.98</v>
      </c>
      <c r="W53" s="618">
        <f t="shared" ref="W53" si="47">U53*L53</f>
        <v>4512382.08</v>
      </c>
      <c r="X53" s="618">
        <f t="shared" si="43"/>
        <v>-4512382.08</v>
      </c>
      <c r="Y53" s="586">
        <v>46174</v>
      </c>
      <c r="Z53" s="586"/>
      <c r="AA53" s="617">
        <f t="shared" si="40"/>
        <v>0</v>
      </c>
      <c r="AB53" s="61"/>
      <c r="AC53" s="616" t="str">
        <f t="shared" ref="AC53" si="48">IF(Y53="","-",TEXT(Y53,"mmmmyy"))</f>
        <v>June26</v>
      </c>
      <c r="AD53" s="588" t="s">
        <v>34</v>
      </c>
      <c r="AE53" s="589" t="s">
        <v>142</v>
      </c>
      <c r="AF53" s="250" t="s">
        <v>75</v>
      </c>
      <c r="AG53" s="250">
        <v>46174</v>
      </c>
      <c r="AH53" s="250" t="s">
        <v>144</v>
      </c>
      <c r="AI53" s="590"/>
      <c r="AJ53" s="554">
        <v>44450034472</v>
      </c>
      <c r="AK53" s="367">
        <v>5390000</v>
      </c>
      <c r="AL53" s="61">
        <v>46127</v>
      </c>
      <c r="AM53" s="61">
        <v>46152</v>
      </c>
      <c r="AN53" s="593"/>
      <c r="AO53" s="592"/>
      <c r="AP53" s="46" t="s">
        <v>145</v>
      </c>
    </row>
    <row r="54" spans="1:42" x14ac:dyDescent="0.25">
      <c r="A54" s="582"/>
      <c r="B54" s="46">
        <v>5600000413</v>
      </c>
      <c r="C54" s="80" t="s">
        <v>229</v>
      </c>
      <c r="D54" s="487">
        <v>46070</v>
      </c>
      <c r="E54" s="583" t="s">
        <v>1</v>
      </c>
      <c r="F54" s="262">
        <v>0.1</v>
      </c>
      <c r="G54" s="81" t="s">
        <v>138</v>
      </c>
      <c r="H54" s="584" t="s">
        <v>139</v>
      </c>
      <c r="I54" s="59">
        <v>0</v>
      </c>
      <c r="J54" s="59">
        <v>0</v>
      </c>
      <c r="K54" s="621">
        <f t="shared" ref="K54" si="49">J54+I54</f>
        <v>0</v>
      </c>
      <c r="L54" s="585">
        <v>96</v>
      </c>
      <c r="M54" s="621">
        <f t="shared" ref="M54" si="50">K54*L54</f>
        <v>0</v>
      </c>
      <c r="N54" s="584" t="s">
        <v>140</v>
      </c>
      <c r="O54" s="584">
        <v>60</v>
      </c>
      <c r="P54" s="487" t="s">
        <v>146</v>
      </c>
      <c r="Q54" s="6"/>
      <c r="R54" s="487"/>
      <c r="S54" s="489"/>
      <c r="T54" s="489"/>
      <c r="U54" s="16">
        <v>0</v>
      </c>
      <c r="V54" s="620">
        <f t="shared" ref="V54" si="51">K54-U54</f>
        <v>0</v>
      </c>
      <c r="W54" s="618">
        <f t="shared" ref="W54" si="52">U54*L54</f>
        <v>0</v>
      </c>
      <c r="X54" s="618">
        <f t="shared" si="43"/>
        <v>0</v>
      </c>
      <c r="Y54" s="586">
        <v>46174</v>
      </c>
      <c r="Z54" s="586"/>
      <c r="AA54" s="617">
        <f t="shared" ref="AA54" si="53">M54</f>
        <v>0</v>
      </c>
      <c r="AB54" s="61"/>
      <c r="AC54" s="616" t="str">
        <f t="shared" ref="AC54" si="54">IF(Y54="","-",TEXT(Y54,"mmmmyy"))</f>
        <v>June26</v>
      </c>
      <c r="AD54" s="588" t="s">
        <v>34</v>
      </c>
      <c r="AE54" s="589" t="s">
        <v>142</v>
      </c>
      <c r="AF54" s="250" t="s">
        <v>75</v>
      </c>
      <c r="AG54" s="250">
        <v>46174</v>
      </c>
      <c r="AH54" s="250" t="s">
        <v>144</v>
      </c>
      <c r="AI54" s="590"/>
      <c r="AJ54" s="554">
        <v>44803304283</v>
      </c>
      <c r="AK54" s="367">
        <v>19049000</v>
      </c>
      <c r="AL54" s="61">
        <v>46127</v>
      </c>
      <c r="AM54" s="61">
        <v>46152</v>
      </c>
      <c r="AN54" s="593"/>
      <c r="AO54" s="592"/>
      <c r="AP54" s="46" t="s">
        <v>145</v>
      </c>
    </row>
    <row r="55" spans="1:42" x14ac:dyDescent="0.25">
      <c r="A55" s="582">
        <v>242</v>
      </c>
      <c r="B55" s="46">
        <v>5600000414</v>
      </c>
      <c r="C55" s="80" t="s">
        <v>231</v>
      </c>
      <c r="D55" s="487">
        <v>46070</v>
      </c>
      <c r="E55" s="583" t="s">
        <v>1</v>
      </c>
      <c r="F55" s="262">
        <v>0.1</v>
      </c>
      <c r="G55" s="81" t="s">
        <v>138</v>
      </c>
      <c r="H55" s="584" t="s">
        <v>139</v>
      </c>
      <c r="I55" s="78">
        <v>3039498</v>
      </c>
      <c r="J55" s="59">
        <v>0</v>
      </c>
      <c r="K55" s="621">
        <f t="shared" si="29"/>
        <v>3039498</v>
      </c>
      <c r="L55" s="585">
        <v>96</v>
      </c>
      <c r="M55" s="621">
        <f t="shared" si="41"/>
        <v>291791808</v>
      </c>
      <c r="N55" s="584" t="s">
        <v>140</v>
      </c>
      <c r="O55" s="584">
        <v>60</v>
      </c>
      <c r="P55" s="487" t="s">
        <v>17</v>
      </c>
      <c r="Q55" s="64" t="s">
        <v>232</v>
      </c>
      <c r="R55" s="487">
        <v>46132</v>
      </c>
      <c r="S55" s="489">
        <v>46135</v>
      </c>
      <c r="T55" s="489">
        <v>46112</v>
      </c>
      <c r="U55" s="16">
        <v>2989373.63</v>
      </c>
      <c r="V55" s="620">
        <f t="shared" si="30"/>
        <v>50124.370000000112</v>
      </c>
      <c r="W55" s="618">
        <f t="shared" si="38"/>
        <v>286979868.48000002</v>
      </c>
      <c r="X55" s="618">
        <f t="shared" si="43"/>
        <v>4811939.5200000107</v>
      </c>
      <c r="Y55" s="586">
        <v>46174</v>
      </c>
      <c r="Z55" s="616">
        <f>Y55+2</f>
        <v>46176</v>
      </c>
      <c r="AA55" s="617">
        <f t="shared" si="40"/>
        <v>291791808</v>
      </c>
      <c r="AB55" s="61"/>
      <c r="AC55" s="616" t="str">
        <f t="shared" si="42"/>
        <v>June26</v>
      </c>
      <c r="AD55" s="588" t="s">
        <v>36</v>
      </c>
      <c r="AE55" s="589" t="s">
        <v>142</v>
      </c>
      <c r="AF55" s="250" t="s">
        <v>143</v>
      </c>
      <c r="AG55" s="250">
        <v>46174</v>
      </c>
      <c r="AH55" s="250" t="s">
        <v>144</v>
      </c>
      <c r="AI55" s="590"/>
      <c r="AJ55" s="554">
        <v>43607525170</v>
      </c>
      <c r="AK55" s="367">
        <v>7264000</v>
      </c>
      <c r="AL55" s="61">
        <v>46127</v>
      </c>
      <c r="AM55" s="61">
        <v>46152</v>
      </c>
      <c r="AN55" s="593"/>
      <c r="AO55" s="592"/>
      <c r="AP55" s="46" t="s">
        <v>145</v>
      </c>
    </row>
    <row r="56" spans="1:42" x14ac:dyDescent="0.25">
      <c r="A56" s="582"/>
      <c r="B56" s="46">
        <v>5600000414</v>
      </c>
      <c r="C56" s="80" t="s">
        <v>231</v>
      </c>
      <c r="D56" s="487">
        <v>46070</v>
      </c>
      <c r="E56" s="583" t="s">
        <v>1</v>
      </c>
      <c r="F56" s="262">
        <v>0.1</v>
      </c>
      <c r="G56" s="81" t="s">
        <v>138</v>
      </c>
      <c r="H56" s="584" t="s">
        <v>139</v>
      </c>
      <c r="I56" s="78">
        <v>0</v>
      </c>
      <c r="J56" s="59">
        <v>0</v>
      </c>
      <c r="K56" s="621">
        <f t="shared" ref="K56" si="55">J56+I56</f>
        <v>0</v>
      </c>
      <c r="L56" s="585">
        <v>96</v>
      </c>
      <c r="M56" s="621">
        <f t="shared" ref="M56" si="56">K56*L56</f>
        <v>0</v>
      </c>
      <c r="N56" s="584" t="s">
        <v>140</v>
      </c>
      <c r="O56" s="584">
        <v>60</v>
      </c>
      <c r="P56" s="487" t="s">
        <v>146</v>
      </c>
      <c r="R56" s="487"/>
      <c r="S56" s="489"/>
      <c r="T56" s="489"/>
      <c r="U56" s="16">
        <v>50124.37</v>
      </c>
      <c r="V56" s="620">
        <f t="shared" ref="V56" si="57">K56-U56</f>
        <v>-50124.37</v>
      </c>
      <c r="W56" s="618">
        <f t="shared" ref="W56" si="58">U56*L56</f>
        <v>4811939.5200000005</v>
      </c>
      <c r="X56" s="618">
        <f t="shared" si="43"/>
        <v>-4811939.5200000005</v>
      </c>
      <c r="Y56" s="586">
        <v>46174</v>
      </c>
      <c r="Z56" s="586"/>
      <c r="AA56" s="617">
        <f t="shared" ref="AA56" si="59">M56</f>
        <v>0</v>
      </c>
      <c r="AB56" s="61"/>
      <c r="AC56" s="616" t="str">
        <f t="shared" ref="AC56" si="60">IF(Y56="","-",TEXT(Y56,"mmmmyy"))</f>
        <v>June26</v>
      </c>
      <c r="AD56" s="588" t="s">
        <v>34</v>
      </c>
      <c r="AE56" s="589" t="s">
        <v>142</v>
      </c>
      <c r="AF56" s="250" t="s">
        <v>75</v>
      </c>
      <c r="AG56" s="250">
        <v>46174</v>
      </c>
      <c r="AH56" s="250" t="s">
        <v>144</v>
      </c>
      <c r="AI56" s="590"/>
      <c r="AJ56" s="554">
        <v>44325393960</v>
      </c>
      <c r="AK56" s="367">
        <v>10778000</v>
      </c>
      <c r="AL56" s="61">
        <v>46127</v>
      </c>
      <c r="AM56" s="61">
        <v>46152</v>
      </c>
      <c r="AN56" s="593"/>
      <c r="AO56" s="592"/>
      <c r="AP56" s="46" t="s">
        <v>145</v>
      </c>
    </row>
    <row r="57" spans="1:42" x14ac:dyDescent="0.25">
      <c r="A57" s="582"/>
      <c r="B57" s="46">
        <v>5600000414</v>
      </c>
      <c r="C57" s="80" t="s">
        <v>231</v>
      </c>
      <c r="D57" s="487">
        <v>46070</v>
      </c>
      <c r="E57" s="583" t="s">
        <v>1</v>
      </c>
      <c r="F57" s="262">
        <v>0.1</v>
      </c>
      <c r="G57" s="81" t="s">
        <v>138</v>
      </c>
      <c r="H57" s="584" t="s">
        <v>139</v>
      </c>
      <c r="I57" s="78">
        <v>0</v>
      </c>
      <c r="J57" s="59">
        <v>0</v>
      </c>
      <c r="K57" s="621">
        <f t="shared" ref="K57" si="61">J57+I57</f>
        <v>0</v>
      </c>
      <c r="L57" s="585">
        <v>96</v>
      </c>
      <c r="M57" s="621">
        <f t="shared" ref="M57" si="62">K57*L57</f>
        <v>0</v>
      </c>
      <c r="N57" s="584" t="s">
        <v>140</v>
      </c>
      <c r="O57" s="584">
        <v>60</v>
      </c>
      <c r="P57" s="487" t="s">
        <v>146</v>
      </c>
      <c r="R57" s="487"/>
      <c r="S57" s="489"/>
      <c r="T57" s="489"/>
      <c r="U57" s="16">
        <v>0</v>
      </c>
      <c r="V57" s="620">
        <f t="shared" ref="V57" si="63">K57-U57</f>
        <v>0</v>
      </c>
      <c r="W57" s="618">
        <f t="shared" ref="W57" si="64">U57*L57</f>
        <v>0</v>
      </c>
      <c r="X57" s="618">
        <f t="shared" si="43"/>
        <v>0</v>
      </c>
      <c r="Y57" s="586">
        <v>46174</v>
      </c>
      <c r="Z57" s="586"/>
      <c r="AA57" s="617">
        <f t="shared" ref="AA57" si="65">M57</f>
        <v>0</v>
      </c>
      <c r="AB57" s="61"/>
      <c r="AC57" s="616" t="str">
        <f t="shared" ref="AC57" si="66">IF(Y57="","-",TEXT(Y57,"mmmmyy"))</f>
        <v>June26</v>
      </c>
      <c r="AD57" s="588" t="s">
        <v>34</v>
      </c>
      <c r="AE57" s="589" t="s">
        <v>142</v>
      </c>
      <c r="AF57" s="250" t="s">
        <v>75</v>
      </c>
      <c r="AG57" s="250">
        <v>46174</v>
      </c>
      <c r="AH57" s="250" t="s">
        <v>144</v>
      </c>
      <c r="AI57" s="590"/>
      <c r="AJ57" s="554">
        <v>44803304283</v>
      </c>
      <c r="AK57" s="367">
        <v>9778000</v>
      </c>
      <c r="AL57" s="61">
        <v>46127</v>
      </c>
      <c r="AM57" s="61">
        <v>46152</v>
      </c>
      <c r="AN57" s="593"/>
      <c r="AO57" s="592"/>
      <c r="AP57" s="46" t="s">
        <v>145</v>
      </c>
    </row>
    <row r="58" spans="1:42" x14ac:dyDescent="0.25">
      <c r="A58" s="582">
        <v>244</v>
      </c>
      <c r="B58" s="46">
        <v>5600000422</v>
      </c>
      <c r="C58" s="80" t="s">
        <v>233</v>
      </c>
      <c r="D58" s="487">
        <v>46076</v>
      </c>
      <c r="E58" s="583" t="s">
        <v>1</v>
      </c>
      <c r="F58" s="262">
        <v>0.1</v>
      </c>
      <c r="G58" s="81" t="s">
        <v>234</v>
      </c>
      <c r="H58" s="584" t="s">
        <v>139</v>
      </c>
      <c r="I58" s="265">
        <v>6450000</v>
      </c>
      <c r="J58" s="59">
        <v>0</v>
      </c>
      <c r="K58" s="621">
        <f t="shared" si="29"/>
        <v>6450000</v>
      </c>
      <c r="L58" s="585">
        <v>95.12</v>
      </c>
      <c r="M58" s="621">
        <f t="shared" si="41"/>
        <v>613524000</v>
      </c>
      <c r="N58" s="584" t="s">
        <v>140</v>
      </c>
      <c r="O58" s="584">
        <v>60</v>
      </c>
      <c r="P58" s="487" t="s">
        <v>17</v>
      </c>
      <c r="Q58" s="6" t="s">
        <v>235</v>
      </c>
      <c r="R58" s="487">
        <v>46101</v>
      </c>
      <c r="S58" s="489">
        <v>46101</v>
      </c>
      <c r="T58" s="489">
        <v>46081</v>
      </c>
      <c r="U58" s="16">
        <v>477999.98</v>
      </c>
      <c r="V58" s="620">
        <f t="shared" si="30"/>
        <v>5972000.0199999996</v>
      </c>
      <c r="W58" s="618">
        <f t="shared" si="38"/>
        <v>45467358.097599998</v>
      </c>
      <c r="X58" s="228"/>
      <c r="Y58" s="586">
        <v>46141</v>
      </c>
      <c r="Z58" s="616">
        <f>Y58+2</f>
        <v>46143</v>
      </c>
      <c r="AA58" s="617">
        <f t="shared" si="40"/>
        <v>613524000</v>
      </c>
      <c r="AB58" s="108">
        <v>46093</v>
      </c>
      <c r="AC58" s="616" t="str">
        <f t="shared" si="42"/>
        <v>April26</v>
      </c>
      <c r="AD58" s="588" t="s">
        <v>36</v>
      </c>
      <c r="AE58" s="589" t="s">
        <v>142</v>
      </c>
      <c r="AF58" s="250" t="s">
        <v>143</v>
      </c>
      <c r="AG58" s="250">
        <v>46141</v>
      </c>
      <c r="AH58" s="250" t="s">
        <v>144</v>
      </c>
      <c r="AI58" s="590"/>
      <c r="AJ58" s="554"/>
      <c r="AK58" s="367"/>
      <c r="AL58" s="61">
        <v>46112</v>
      </c>
      <c r="AM58" s="61">
        <v>46133</v>
      </c>
      <c r="AN58" s="593">
        <v>7998661</v>
      </c>
      <c r="AO58" s="592">
        <v>46141</v>
      </c>
      <c r="AP58" s="46" t="s">
        <v>145</v>
      </c>
    </row>
    <row r="59" spans="1:42" x14ac:dyDescent="0.25">
      <c r="A59" s="582"/>
      <c r="B59" s="46">
        <v>5600000422</v>
      </c>
      <c r="C59" s="80" t="s">
        <v>233</v>
      </c>
      <c r="D59" s="487">
        <v>46076</v>
      </c>
      <c r="E59" s="583" t="s">
        <v>1</v>
      </c>
      <c r="F59" s="262">
        <v>0.1</v>
      </c>
      <c r="G59" s="81" t="s">
        <v>234</v>
      </c>
      <c r="H59" s="584" t="s">
        <v>139</v>
      </c>
      <c r="I59" s="265"/>
      <c r="J59" s="59">
        <v>0</v>
      </c>
      <c r="K59" s="621">
        <f t="shared" ref="K59:K111" si="67">J59+I59</f>
        <v>0</v>
      </c>
      <c r="L59" s="585">
        <v>95.12</v>
      </c>
      <c r="M59" s="621">
        <f t="shared" si="41"/>
        <v>0</v>
      </c>
      <c r="N59" s="584" t="s">
        <v>140</v>
      </c>
      <c r="O59" s="584">
        <v>60</v>
      </c>
      <c r="P59" s="487" t="s">
        <v>17</v>
      </c>
      <c r="Q59" s="6" t="s">
        <v>236</v>
      </c>
      <c r="R59" s="487">
        <v>46101</v>
      </c>
      <c r="S59" s="489">
        <v>46105</v>
      </c>
      <c r="T59" s="489">
        <v>46081</v>
      </c>
      <c r="U59" s="16">
        <v>746591.73</v>
      </c>
      <c r="V59" s="620">
        <f t="shared" si="30"/>
        <v>-746591.73</v>
      </c>
      <c r="W59" s="618">
        <f t="shared" si="38"/>
        <v>71015805.357600003</v>
      </c>
      <c r="X59" s="228"/>
      <c r="Y59" s="586">
        <v>46141</v>
      </c>
      <c r="Z59" s="586"/>
      <c r="AA59" s="617">
        <f t="shared" ref="AA59:AA65" si="68">M59</f>
        <v>0</v>
      </c>
      <c r="AB59" s="108">
        <v>46093</v>
      </c>
      <c r="AC59" s="616" t="str">
        <f t="shared" si="42"/>
        <v>April26</v>
      </c>
      <c r="AD59" s="588" t="s">
        <v>36</v>
      </c>
      <c r="AE59" s="589" t="s">
        <v>142</v>
      </c>
      <c r="AF59" s="250" t="s">
        <v>143</v>
      </c>
      <c r="AG59" s="250">
        <v>46141</v>
      </c>
      <c r="AH59" s="250" t="s">
        <v>144</v>
      </c>
      <c r="AI59" s="590"/>
      <c r="AJ59" s="554"/>
      <c r="AK59" s="367"/>
      <c r="AL59" s="61">
        <v>46112</v>
      </c>
      <c r="AM59" s="61">
        <v>46133</v>
      </c>
      <c r="AN59" s="593">
        <v>7998664</v>
      </c>
      <c r="AO59" s="592">
        <v>46141</v>
      </c>
      <c r="AP59" s="46" t="s">
        <v>145</v>
      </c>
    </row>
    <row r="60" spans="1:42" x14ac:dyDescent="0.25">
      <c r="A60" s="582"/>
      <c r="B60" s="46">
        <v>5600000422</v>
      </c>
      <c r="C60" s="80" t="s">
        <v>233</v>
      </c>
      <c r="D60" s="487">
        <v>46076</v>
      </c>
      <c r="E60" s="583" t="s">
        <v>1</v>
      </c>
      <c r="F60" s="262">
        <v>0.1</v>
      </c>
      <c r="G60" s="81" t="s">
        <v>234</v>
      </c>
      <c r="H60" s="584" t="s">
        <v>139</v>
      </c>
      <c r="I60" s="265"/>
      <c r="J60" s="59">
        <v>0</v>
      </c>
      <c r="K60" s="621">
        <f t="shared" si="67"/>
        <v>0</v>
      </c>
      <c r="L60" s="585">
        <v>95.12</v>
      </c>
      <c r="M60" s="621">
        <f t="shared" si="41"/>
        <v>0</v>
      </c>
      <c r="N60" s="584" t="s">
        <v>140</v>
      </c>
      <c r="O60" s="584">
        <v>60</v>
      </c>
      <c r="P60" s="487" t="s">
        <v>17</v>
      </c>
      <c r="Q60" s="6" t="s">
        <v>237</v>
      </c>
      <c r="R60" s="487">
        <v>46101</v>
      </c>
      <c r="S60" s="489">
        <v>46105</v>
      </c>
      <c r="T60" s="489">
        <v>46081</v>
      </c>
      <c r="U60" s="16">
        <v>746349.01</v>
      </c>
      <c r="V60" s="620">
        <f t="shared" si="30"/>
        <v>-746349.01</v>
      </c>
      <c r="W60" s="618">
        <f t="shared" si="38"/>
        <v>70992717.831200004</v>
      </c>
      <c r="X60" s="228"/>
      <c r="Y60" s="586">
        <v>46141</v>
      </c>
      <c r="Z60" s="586"/>
      <c r="AA60" s="617">
        <f t="shared" si="68"/>
        <v>0</v>
      </c>
      <c r="AB60" s="108">
        <v>46093</v>
      </c>
      <c r="AC60" s="616" t="str">
        <f t="shared" si="42"/>
        <v>April26</v>
      </c>
      <c r="AD60" s="588" t="s">
        <v>36</v>
      </c>
      <c r="AE60" s="589" t="s">
        <v>142</v>
      </c>
      <c r="AF60" s="250" t="s">
        <v>143</v>
      </c>
      <c r="AG60" s="250">
        <v>46141</v>
      </c>
      <c r="AH60" s="250" t="s">
        <v>144</v>
      </c>
      <c r="AI60" s="590"/>
      <c r="AJ60" s="554"/>
      <c r="AK60" s="367"/>
      <c r="AL60" s="61">
        <v>46112</v>
      </c>
      <c r="AM60" s="61">
        <v>46133</v>
      </c>
      <c r="AN60" s="593">
        <v>8027729</v>
      </c>
      <c r="AO60" s="592">
        <v>46141</v>
      </c>
      <c r="AP60" s="46" t="s">
        <v>145</v>
      </c>
    </row>
    <row r="61" spans="1:42" x14ac:dyDescent="0.25">
      <c r="A61" s="582"/>
      <c r="B61" s="46">
        <v>5600000422</v>
      </c>
      <c r="C61" s="80" t="s">
        <v>233</v>
      </c>
      <c r="D61" s="487">
        <v>46076</v>
      </c>
      <c r="E61" s="583" t="s">
        <v>1</v>
      </c>
      <c r="F61" s="262">
        <v>0.1</v>
      </c>
      <c r="G61" s="81" t="s">
        <v>234</v>
      </c>
      <c r="H61" s="584" t="s">
        <v>139</v>
      </c>
      <c r="I61" s="218"/>
      <c r="J61" s="59">
        <v>0</v>
      </c>
      <c r="K61" s="621">
        <f t="shared" si="67"/>
        <v>0</v>
      </c>
      <c r="L61" s="585">
        <v>95.12</v>
      </c>
      <c r="M61" s="621">
        <f t="shared" si="41"/>
        <v>0</v>
      </c>
      <c r="N61" s="584" t="s">
        <v>140</v>
      </c>
      <c r="O61" s="584">
        <v>60</v>
      </c>
      <c r="P61" s="487" t="s">
        <v>17</v>
      </c>
      <c r="Q61" s="64" t="s">
        <v>238</v>
      </c>
      <c r="R61" s="487">
        <v>46101</v>
      </c>
      <c r="S61" s="489">
        <v>46105</v>
      </c>
      <c r="T61" s="489">
        <v>46081</v>
      </c>
      <c r="U61" s="16">
        <v>746591.73</v>
      </c>
      <c r="V61" s="620">
        <f t="shared" si="30"/>
        <v>-746591.73</v>
      </c>
      <c r="W61" s="618">
        <f t="shared" si="38"/>
        <v>71015805.357600003</v>
      </c>
      <c r="X61" s="228"/>
      <c r="Y61" s="586">
        <v>46141</v>
      </c>
      <c r="Z61" s="586"/>
      <c r="AA61" s="617">
        <f t="shared" si="68"/>
        <v>0</v>
      </c>
      <c r="AB61" s="108">
        <v>46093</v>
      </c>
      <c r="AC61" s="616" t="str">
        <f t="shared" si="42"/>
        <v>April26</v>
      </c>
      <c r="AD61" s="588" t="s">
        <v>36</v>
      </c>
      <c r="AE61" s="589" t="s">
        <v>142</v>
      </c>
      <c r="AF61" s="250" t="s">
        <v>143</v>
      </c>
      <c r="AG61" s="250">
        <v>46141</v>
      </c>
      <c r="AH61" s="250" t="s">
        <v>144</v>
      </c>
      <c r="AI61" s="590"/>
      <c r="AJ61" s="554"/>
      <c r="AK61" s="367"/>
      <c r="AL61" s="61">
        <v>46112</v>
      </c>
      <c r="AM61" s="61">
        <v>46133</v>
      </c>
      <c r="AN61" s="593">
        <v>7967766</v>
      </c>
      <c r="AO61" s="592">
        <v>46141</v>
      </c>
      <c r="AP61" s="46" t="s">
        <v>145</v>
      </c>
    </row>
    <row r="62" spans="1:42" x14ac:dyDescent="0.25">
      <c r="A62" s="582"/>
      <c r="B62" s="46">
        <v>5600000422</v>
      </c>
      <c r="C62" s="80" t="s">
        <v>233</v>
      </c>
      <c r="D62" s="487">
        <v>46076</v>
      </c>
      <c r="E62" s="583" t="s">
        <v>1</v>
      </c>
      <c r="F62" s="262">
        <v>0.1</v>
      </c>
      <c r="G62" s="81" t="s">
        <v>234</v>
      </c>
      <c r="H62" s="584" t="s">
        <v>139</v>
      </c>
      <c r="I62" s="218"/>
      <c r="J62" s="59">
        <v>0</v>
      </c>
      <c r="K62" s="621">
        <f t="shared" si="67"/>
        <v>0</v>
      </c>
      <c r="L62" s="585">
        <v>95.12</v>
      </c>
      <c r="M62" s="621">
        <f t="shared" si="41"/>
        <v>0</v>
      </c>
      <c r="N62" s="584" t="s">
        <v>140</v>
      </c>
      <c r="O62" s="584">
        <v>60</v>
      </c>
      <c r="P62" s="487" t="s">
        <v>17</v>
      </c>
      <c r="Q62" s="64" t="s">
        <v>239</v>
      </c>
      <c r="R62" s="487">
        <v>46101</v>
      </c>
      <c r="S62" s="489">
        <v>46101</v>
      </c>
      <c r="T62" s="489">
        <v>46081</v>
      </c>
      <c r="U62" s="16">
        <v>746071.61</v>
      </c>
      <c r="V62" s="620">
        <f t="shared" si="30"/>
        <v>-746071.61</v>
      </c>
      <c r="W62" s="618">
        <f t="shared" si="38"/>
        <v>70966331.543200001</v>
      </c>
      <c r="X62" s="228"/>
      <c r="Y62" s="586">
        <v>46140</v>
      </c>
      <c r="Z62" s="586"/>
      <c r="AA62" s="617">
        <f t="shared" si="68"/>
        <v>0</v>
      </c>
      <c r="AB62" s="108">
        <v>46095</v>
      </c>
      <c r="AC62" s="616" t="str">
        <f t="shared" si="42"/>
        <v>April26</v>
      </c>
      <c r="AD62" s="588" t="s">
        <v>36</v>
      </c>
      <c r="AE62" s="589" t="s">
        <v>142</v>
      </c>
      <c r="AF62" s="250" t="s">
        <v>143</v>
      </c>
      <c r="AG62" s="250">
        <v>46141</v>
      </c>
      <c r="AH62" s="250" t="s">
        <v>144</v>
      </c>
      <c r="AI62" s="590"/>
      <c r="AJ62" s="554"/>
      <c r="AK62" s="367"/>
      <c r="AL62" s="61">
        <v>46112</v>
      </c>
      <c r="AM62" s="61">
        <v>46133</v>
      </c>
      <c r="AN62" s="593">
        <v>7886048</v>
      </c>
      <c r="AO62" s="592">
        <v>46140</v>
      </c>
      <c r="AP62" s="46" t="s">
        <v>145</v>
      </c>
    </row>
    <row r="63" spans="1:42" x14ac:dyDescent="0.25">
      <c r="A63" s="582"/>
      <c r="B63" s="46">
        <v>5600000422</v>
      </c>
      <c r="C63" s="80" t="s">
        <v>233</v>
      </c>
      <c r="D63" s="487">
        <v>46076</v>
      </c>
      <c r="E63" s="583" t="s">
        <v>1</v>
      </c>
      <c r="F63" s="262">
        <v>0.1</v>
      </c>
      <c r="G63" s="81" t="s">
        <v>234</v>
      </c>
      <c r="H63" s="584" t="s">
        <v>139</v>
      </c>
      <c r="I63" s="218"/>
      <c r="J63" s="59">
        <v>0</v>
      </c>
      <c r="K63" s="621">
        <f t="shared" si="67"/>
        <v>0</v>
      </c>
      <c r="L63" s="585">
        <v>95.12</v>
      </c>
      <c r="M63" s="621">
        <f t="shared" si="41"/>
        <v>0</v>
      </c>
      <c r="N63" s="584" t="s">
        <v>140</v>
      </c>
      <c r="O63" s="584">
        <v>60</v>
      </c>
      <c r="P63" s="487" t="s">
        <v>17</v>
      </c>
      <c r="Q63" s="64" t="s">
        <v>240</v>
      </c>
      <c r="R63" s="487">
        <v>46101</v>
      </c>
      <c r="S63" s="489">
        <v>46105</v>
      </c>
      <c r="T63" s="489">
        <v>46081</v>
      </c>
      <c r="U63" s="16">
        <v>746591.73</v>
      </c>
      <c r="V63" s="620">
        <f t="shared" si="30"/>
        <v>-746591.73</v>
      </c>
      <c r="W63" s="618">
        <f t="shared" si="38"/>
        <v>71015805.357600003</v>
      </c>
      <c r="X63" s="228"/>
      <c r="Y63" s="586">
        <v>46141</v>
      </c>
      <c r="Z63" s="586"/>
      <c r="AA63" s="617">
        <f t="shared" si="68"/>
        <v>0</v>
      </c>
      <c r="AB63" s="108">
        <v>46100</v>
      </c>
      <c r="AC63" s="616" t="str">
        <f t="shared" si="42"/>
        <v>April26</v>
      </c>
      <c r="AD63" s="588" t="s">
        <v>36</v>
      </c>
      <c r="AE63" s="589" t="s">
        <v>142</v>
      </c>
      <c r="AF63" s="250" t="s">
        <v>143</v>
      </c>
      <c r="AG63" s="250">
        <v>46141</v>
      </c>
      <c r="AH63" s="250" t="s">
        <v>144</v>
      </c>
      <c r="AI63" s="590"/>
      <c r="AJ63" s="554"/>
      <c r="AK63" s="367"/>
      <c r="AL63" s="61">
        <v>46112</v>
      </c>
      <c r="AM63" s="61">
        <v>46133</v>
      </c>
      <c r="AN63" s="593">
        <v>7967237</v>
      </c>
      <c r="AO63" s="592">
        <v>46141</v>
      </c>
      <c r="AP63" s="46" t="s">
        <v>145</v>
      </c>
    </row>
    <row r="64" spans="1:42" x14ac:dyDescent="0.25">
      <c r="A64" s="582"/>
      <c r="B64" s="46">
        <v>5600000422</v>
      </c>
      <c r="C64" s="80" t="s">
        <v>233</v>
      </c>
      <c r="D64" s="487">
        <v>46076</v>
      </c>
      <c r="E64" s="583" t="s">
        <v>1</v>
      </c>
      <c r="F64" s="262">
        <v>0.1</v>
      </c>
      <c r="G64" s="81" t="s">
        <v>234</v>
      </c>
      <c r="H64" s="584" t="s">
        <v>139</v>
      </c>
      <c r="I64" s="265"/>
      <c r="J64" s="59">
        <v>0</v>
      </c>
      <c r="K64" s="621">
        <f t="shared" si="67"/>
        <v>0</v>
      </c>
      <c r="L64" s="585">
        <v>95.12</v>
      </c>
      <c r="M64" s="621">
        <f t="shared" si="41"/>
        <v>0</v>
      </c>
      <c r="N64" s="584" t="s">
        <v>140</v>
      </c>
      <c r="O64" s="584">
        <v>60</v>
      </c>
      <c r="P64" s="487" t="s">
        <v>17</v>
      </c>
      <c r="Q64" s="64" t="s">
        <v>241</v>
      </c>
      <c r="R64" s="487">
        <v>46101</v>
      </c>
      <c r="S64" s="489">
        <v>46105</v>
      </c>
      <c r="T64" s="489">
        <v>46081</v>
      </c>
      <c r="U64" s="16">
        <v>746591.73</v>
      </c>
      <c r="V64" s="620">
        <f t="shared" si="30"/>
        <v>-746591.73</v>
      </c>
      <c r="W64" s="618">
        <f t="shared" si="38"/>
        <v>71015805.357600003</v>
      </c>
      <c r="X64" s="228"/>
      <c r="Y64" s="586">
        <v>46141</v>
      </c>
      <c r="Z64" s="586"/>
      <c r="AA64" s="617">
        <f t="shared" si="68"/>
        <v>0</v>
      </c>
      <c r="AB64" s="108">
        <v>46100</v>
      </c>
      <c r="AC64" s="616" t="str">
        <f t="shared" si="42"/>
        <v>April26</v>
      </c>
      <c r="AD64" s="588" t="s">
        <v>36</v>
      </c>
      <c r="AE64" s="589" t="s">
        <v>142</v>
      </c>
      <c r="AF64" s="250" t="s">
        <v>143</v>
      </c>
      <c r="AG64" s="250">
        <v>46141</v>
      </c>
      <c r="AH64" s="250" t="s">
        <v>144</v>
      </c>
      <c r="AI64" s="590"/>
      <c r="AJ64" s="554"/>
      <c r="AK64" s="367"/>
      <c r="AL64" s="61">
        <v>46112</v>
      </c>
      <c r="AM64" s="61">
        <v>46133</v>
      </c>
      <c r="AN64" s="593">
        <v>7931077</v>
      </c>
      <c r="AO64" s="592">
        <v>46141</v>
      </c>
      <c r="AP64" s="46" t="s">
        <v>145</v>
      </c>
    </row>
    <row r="65" spans="1:42" x14ac:dyDescent="0.25">
      <c r="A65" s="582"/>
      <c r="B65" s="46">
        <v>5600000422</v>
      </c>
      <c r="C65" s="80" t="s">
        <v>233</v>
      </c>
      <c r="D65" s="487">
        <v>46076</v>
      </c>
      <c r="E65" s="583" t="s">
        <v>1</v>
      </c>
      <c r="F65" s="262">
        <v>0.1</v>
      </c>
      <c r="G65" s="81" t="s">
        <v>234</v>
      </c>
      <c r="H65" s="584" t="s">
        <v>139</v>
      </c>
      <c r="I65" s="218"/>
      <c r="J65" s="59">
        <v>0</v>
      </c>
      <c r="K65" s="621">
        <f t="shared" si="67"/>
        <v>0</v>
      </c>
      <c r="L65" s="585">
        <v>95.12</v>
      </c>
      <c r="M65" s="621">
        <f t="shared" si="41"/>
        <v>0</v>
      </c>
      <c r="N65" s="584" t="s">
        <v>140</v>
      </c>
      <c r="O65" s="584">
        <v>60</v>
      </c>
      <c r="P65" s="487" t="s">
        <v>17</v>
      </c>
      <c r="Q65" s="64" t="s">
        <v>242</v>
      </c>
      <c r="R65" s="487">
        <v>46101</v>
      </c>
      <c r="S65" s="489">
        <v>46101</v>
      </c>
      <c r="T65" s="489">
        <v>46081</v>
      </c>
      <c r="U65" s="16">
        <v>746591.73</v>
      </c>
      <c r="V65" s="620">
        <f t="shared" si="30"/>
        <v>-746591.73</v>
      </c>
      <c r="W65" s="618">
        <f t="shared" si="38"/>
        <v>71015805.357600003</v>
      </c>
      <c r="X65" s="228"/>
      <c r="Y65" s="586">
        <v>46140</v>
      </c>
      <c r="Z65" s="586"/>
      <c r="AA65" s="617">
        <f t="shared" si="68"/>
        <v>0</v>
      </c>
      <c r="AB65" s="108">
        <v>46097</v>
      </c>
      <c r="AC65" s="616" t="str">
        <f t="shared" si="42"/>
        <v>April26</v>
      </c>
      <c r="AD65" s="588" t="s">
        <v>36</v>
      </c>
      <c r="AE65" s="589" t="s">
        <v>142</v>
      </c>
      <c r="AF65" s="250" t="s">
        <v>143</v>
      </c>
      <c r="AG65" s="250">
        <v>46141</v>
      </c>
      <c r="AH65" s="250" t="s">
        <v>144</v>
      </c>
      <c r="AI65" s="590"/>
      <c r="AJ65" s="554"/>
      <c r="AK65" s="367"/>
      <c r="AL65" s="61">
        <v>46112</v>
      </c>
      <c r="AM65" s="61">
        <v>46133</v>
      </c>
      <c r="AN65" s="593">
        <v>7917366</v>
      </c>
      <c r="AO65" s="592">
        <v>46140</v>
      </c>
      <c r="AP65" s="46" t="s">
        <v>145</v>
      </c>
    </row>
    <row r="66" spans="1:42" x14ac:dyDescent="0.25">
      <c r="A66" s="582"/>
      <c r="B66" s="46">
        <v>5600000422</v>
      </c>
      <c r="C66" s="80" t="s">
        <v>233</v>
      </c>
      <c r="D66" s="487">
        <v>46076</v>
      </c>
      <c r="E66" s="583" t="s">
        <v>1</v>
      </c>
      <c r="F66" s="262">
        <v>0.1</v>
      </c>
      <c r="G66" s="81" t="s">
        <v>234</v>
      </c>
      <c r="H66" s="584" t="s">
        <v>139</v>
      </c>
      <c r="I66" s="265"/>
      <c r="J66" s="59">
        <v>0</v>
      </c>
      <c r="K66" s="621">
        <f t="shared" si="67"/>
        <v>0</v>
      </c>
      <c r="L66" s="585">
        <v>95.12</v>
      </c>
      <c r="M66" s="621">
        <f t="shared" si="41"/>
        <v>0</v>
      </c>
      <c r="N66" s="584" t="s">
        <v>140</v>
      </c>
      <c r="O66" s="584">
        <v>60</v>
      </c>
      <c r="P66" s="487" t="s">
        <v>17</v>
      </c>
      <c r="Q66" s="6" t="s">
        <v>243</v>
      </c>
      <c r="R66" s="487">
        <v>46101</v>
      </c>
      <c r="S66" s="489">
        <v>46101</v>
      </c>
      <c r="T66" s="489">
        <v>46081</v>
      </c>
      <c r="U66" s="16">
        <v>746591.73</v>
      </c>
      <c r="V66" s="620">
        <f t="shared" si="30"/>
        <v>-746591.73</v>
      </c>
      <c r="W66" s="618">
        <f t="shared" si="38"/>
        <v>71015805.357600003</v>
      </c>
      <c r="X66" s="228"/>
      <c r="Y66" s="586">
        <v>46140</v>
      </c>
      <c r="Z66" s="586"/>
      <c r="AA66" s="587"/>
      <c r="AB66" s="108">
        <v>46089</v>
      </c>
      <c r="AC66" s="616" t="str">
        <f t="shared" si="42"/>
        <v>April26</v>
      </c>
      <c r="AD66" s="588" t="s">
        <v>36</v>
      </c>
      <c r="AE66" s="589" t="s">
        <v>142</v>
      </c>
      <c r="AF66" s="250" t="s">
        <v>143</v>
      </c>
      <c r="AG66" s="250">
        <v>46141</v>
      </c>
      <c r="AH66" s="250" t="s">
        <v>144</v>
      </c>
      <c r="AI66" s="590"/>
      <c r="AJ66" s="554"/>
      <c r="AK66" s="367"/>
      <c r="AL66" s="61">
        <v>46112</v>
      </c>
      <c r="AM66" s="61">
        <v>46133</v>
      </c>
      <c r="AN66" s="593">
        <v>7915721</v>
      </c>
      <c r="AO66" s="592">
        <v>46140</v>
      </c>
      <c r="AP66" s="46" t="s">
        <v>145</v>
      </c>
    </row>
    <row r="67" spans="1:42" x14ac:dyDescent="0.25">
      <c r="A67" s="582">
        <v>245</v>
      </c>
      <c r="B67" s="46">
        <v>5600000390</v>
      </c>
      <c r="C67" s="80" t="s">
        <v>244</v>
      </c>
      <c r="D67" s="487">
        <v>46076</v>
      </c>
      <c r="E67" s="583" t="s">
        <v>1</v>
      </c>
      <c r="F67" s="262">
        <v>0.1</v>
      </c>
      <c r="G67" s="81" t="s">
        <v>245</v>
      </c>
      <c r="H67" s="584" t="s">
        <v>139</v>
      </c>
      <c r="I67" s="265">
        <v>2020311.91</v>
      </c>
      <c r="J67" s="59">
        <v>0</v>
      </c>
      <c r="K67" s="621">
        <f t="shared" si="67"/>
        <v>2020311.91</v>
      </c>
      <c r="L67" s="585">
        <v>95.12</v>
      </c>
      <c r="M67" s="621">
        <f t="shared" si="41"/>
        <v>192172068.87920001</v>
      </c>
      <c r="N67" s="584" t="s">
        <v>140</v>
      </c>
      <c r="O67" s="584">
        <v>55</v>
      </c>
      <c r="P67" s="487" t="s">
        <v>17</v>
      </c>
      <c r="Q67" s="6" t="s">
        <v>246</v>
      </c>
      <c r="R67" s="487">
        <v>46097</v>
      </c>
      <c r="S67" s="489">
        <v>46106</v>
      </c>
      <c r="T67" s="489">
        <v>46063</v>
      </c>
      <c r="U67" s="16">
        <v>2011633.59</v>
      </c>
      <c r="V67" s="620">
        <f t="shared" si="30"/>
        <v>8678.3199999998324</v>
      </c>
      <c r="W67" s="618">
        <f t="shared" si="38"/>
        <v>191346587.08080003</v>
      </c>
      <c r="X67" s="228"/>
      <c r="Y67" s="616">
        <f>T67+O67</f>
        <v>46118</v>
      </c>
      <c r="Z67" s="616">
        <f>Y67+2</f>
        <v>46120</v>
      </c>
      <c r="AA67" s="617">
        <f>M67</f>
        <v>192172068.87920001</v>
      </c>
      <c r="AB67" s="108">
        <v>46087</v>
      </c>
      <c r="AC67" s="616" t="str">
        <f t="shared" si="42"/>
        <v>April26</v>
      </c>
      <c r="AD67" s="588" t="s">
        <v>36</v>
      </c>
      <c r="AE67" s="589" t="s">
        <v>142</v>
      </c>
      <c r="AF67" s="250" t="s">
        <v>143</v>
      </c>
      <c r="AG67" s="250">
        <v>46118</v>
      </c>
      <c r="AH67" s="250" t="s">
        <v>144</v>
      </c>
      <c r="AI67" s="590"/>
      <c r="AJ67" s="554"/>
      <c r="AK67" s="367"/>
      <c r="AL67" s="61">
        <v>46112</v>
      </c>
      <c r="AM67" s="61">
        <v>46133</v>
      </c>
      <c r="AN67" s="593">
        <v>7830736</v>
      </c>
      <c r="AO67" s="592">
        <v>46118</v>
      </c>
      <c r="AP67" s="46" t="s">
        <v>145</v>
      </c>
    </row>
    <row r="68" spans="1:42" x14ac:dyDescent="0.25">
      <c r="A68" s="582"/>
      <c r="B68" s="46">
        <v>5600000390</v>
      </c>
      <c r="C68" s="80" t="s">
        <v>244</v>
      </c>
      <c r="D68" s="487">
        <v>46076</v>
      </c>
      <c r="E68" s="583" t="s">
        <v>1</v>
      </c>
      <c r="F68" s="262">
        <v>0.1</v>
      </c>
      <c r="G68" s="81" t="s">
        <v>245</v>
      </c>
      <c r="H68" s="584" t="s">
        <v>139</v>
      </c>
      <c r="I68" s="265">
        <v>0</v>
      </c>
      <c r="J68" s="59">
        <v>0</v>
      </c>
      <c r="K68" s="621">
        <f t="shared" ref="K68" si="69">J68+I68</f>
        <v>0</v>
      </c>
      <c r="L68" s="585">
        <v>95.12</v>
      </c>
      <c r="M68" s="621">
        <f t="shared" ref="M68" si="70">K68*L68</f>
        <v>0</v>
      </c>
      <c r="N68" s="584" t="s">
        <v>140</v>
      </c>
      <c r="O68" s="584">
        <v>55</v>
      </c>
      <c r="P68" s="487" t="s">
        <v>146</v>
      </c>
      <c r="Q68" s="6"/>
      <c r="R68" s="487"/>
      <c r="S68" s="489"/>
      <c r="T68" s="489"/>
      <c r="U68" s="16">
        <v>8678.32</v>
      </c>
      <c r="V68" s="620">
        <f t="shared" ref="V68" si="71">K68-U68</f>
        <v>-8678.32</v>
      </c>
      <c r="W68" s="618">
        <f t="shared" ref="W68" si="72">U68*L68</f>
        <v>825481.79839999997</v>
      </c>
      <c r="X68" s="228"/>
      <c r="Y68" s="586">
        <v>46118</v>
      </c>
      <c r="Z68" s="586" t="s">
        <v>247</v>
      </c>
      <c r="AA68" s="617">
        <f>M68</f>
        <v>0</v>
      </c>
      <c r="AB68" s="61"/>
      <c r="AC68" s="616" t="str">
        <f t="shared" ref="AC68" si="73">IF(Y68="","-",TEXT(Y68,"mmmmyy"))</f>
        <v>April26</v>
      </c>
      <c r="AD68" s="588" t="s">
        <v>34</v>
      </c>
      <c r="AE68" s="589" t="s">
        <v>142</v>
      </c>
      <c r="AF68" s="250" t="s">
        <v>75</v>
      </c>
      <c r="AG68" s="250">
        <v>46118</v>
      </c>
      <c r="AH68" s="250" t="s">
        <v>144</v>
      </c>
      <c r="AI68" s="590"/>
      <c r="AJ68" s="554"/>
      <c r="AK68" s="367"/>
      <c r="AL68" s="61">
        <v>46112</v>
      </c>
      <c r="AM68" s="61">
        <v>46133</v>
      </c>
      <c r="AN68" s="593"/>
      <c r="AO68" s="592"/>
      <c r="AP68" s="46" t="s">
        <v>145</v>
      </c>
    </row>
    <row r="69" spans="1:42" x14ac:dyDescent="0.25">
      <c r="A69" s="582">
        <v>246</v>
      </c>
      <c r="B69" s="46">
        <v>5600000387</v>
      </c>
      <c r="C69" s="80" t="s">
        <v>248</v>
      </c>
      <c r="D69" s="487">
        <v>46078</v>
      </c>
      <c r="E69" s="583" t="s">
        <v>1</v>
      </c>
      <c r="F69" s="262">
        <v>0.1</v>
      </c>
      <c r="G69" s="81" t="s">
        <v>223</v>
      </c>
      <c r="H69" s="584" t="s">
        <v>139</v>
      </c>
      <c r="I69" s="218">
        <v>588000</v>
      </c>
      <c r="J69" s="59">
        <v>0</v>
      </c>
      <c r="K69" s="621">
        <f t="shared" si="67"/>
        <v>588000</v>
      </c>
      <c r="L69" s="585">
        <v>95.12</v>
      </c>
      <c r="M69" s="621">
        <f t="shared" si="41"/>
        <v>55930560</v>
      </c>
      <c r="N69" s="584" t="s">
        <v>140</v>
      </c>
      <c r="O69" s="584">
        <v>60</v>
      </c>
      <c r="P69" s="487" t="s">
        <v>17</v>
      </c>
      <c r="Q69" s="64" t="s">
        <v>249</v>
      </c>
      <c r="R69" s="487">
        <v>46097</v>
      </c>
      <c r="S69" s="489">
        <v>46101</v>
      </c>
      <c r="T69" s="489">
        <v>46085</v>
      </c>
      <c r="U69" s="16">
        <v>588000</v>
      </c>
      <c r="V69" s="620">
        <f t="shared" si="30"/>
        <v>0</v>
      </c>
      <c r="W69" s="618">
        <f t="shared" si="38"/>
        <v>55930560</v>
      </c>
      <c r="X69" s="228"/>
      <c r="Y69" s="586">
        <v>46146</v>
      </c>
      <c r="Z69" s="616">
        <f>Y69+2</f>
        <v>46148</v>
      </c>
      <c r="AA69" s="617">
        <f>M69</f>
        <v>55930560</v>
      </c>
      <c r="AB69" s="61"/>
      <c r="AC69" s="616" t="str">
        <f t="shared" si="42"/>
        <v>May26</v>
      </c>
      <c r="AD69" s="588" t="s">
        <v>36</v>
      </c>
      <c r="AE69" s="589" t="s">
        <v>142</v>
      </c>
      <c r="AF69" s="250" t="s">
        <v>143</v>
      </c>
      <c r="AG69" s="250">
        <v>46146</v>
      </c>
      <c r="AH69" s="250" t="s">
        <v>144</v>
      </c>
      <c r="AI69" s="590"/>
      <c r="AJ69" s="554"/>
      <c r="AK69" s="367"/>
      <c r="AL69" s="61">
        <v>46101</v>
      </c>
      <c r="AM69" s="61">
        <v>46122</v>
      </c>
      <c r="AN69" s="593">
        <v>8060758</v>
      </c>
      <c r="AO69" s="592">
        <v>46146</v>
      </c>
      <c r="AP69" s="46" t="s">
        <v>225</v>
      </c>
    </row>
    <row r="70" spans="1:42" x14ac:dyDescent="0.25">
      <c r="A70" s="582">
        <v>247</v>
      </c>
      <c r="B70" s="46">
        <v>5600000407</v>
      </c>
      <c r="C70" s="80" t="s">
        <v>250</v>
      </c>
      <c r="D70" s="487">
        <v>46078</v>
      </c>
      <c r="E70" s="583" t="s">
        <v>1</v>
      </c>
      <c r="F70" s="262">
        <v>0.1</v>
      </c>
      <c r="G70" s="81" t="s">
        <v>156</v>
      </c>
      <c r="H70" s="584" t="s">
        <v>139</v>
      </c>
      <c r="I70" s="218">
        <v>894998.94</v>
      </c>
      <c r="J70" s="59">
        <v>0</v>
      </c>
      <c r="K70" s="621">
        <f t="shared" si="67"/>
        <v>894998.94</v>
      </c>
      <c r="L70" s="585">
        <v>95.12</v>
      </c>
      <c r="M70" s="621">
        <f t="shared" si="41"/>
        <v>85132299.172800004</v>
      </c>
      <c r="N70" s="584" t="s">
        <v>140</v>
      </c>
      <c r="O70" s="584">
        <v>60</v>
      </c>
      <c r="P70" s="487" t="s">
        <v>17</v>
      </c>
      <c r="Q70" s="64" t="s">
        <v>251</v>
      </c>
      <c r="R70" s="487">
        <v>46114</v>
      </c>
      <c r="S70" s="489">
        <v>46119</v>
      </c>
      <c r="T70" s="489">
        <v>46099</v>
      </c>
      <c r="U70" s="16">
        <v>357999.57</v>
      </c>
      <c r="V70" s="620">
        <f t="shared" si="30"/>
        <v>536999.36999999988</v>
      </c>
      <c r="W70" s="618">
        <f t="shared" si="38"/>
        <v>34052919.098400004</v>
      </c>
      <c r="X70" s="228"/>
      <c r="Y70" s="586">
        <v>46160</v>
      </c>
      <c r="Z70" s="586"/>
      <c r="AA70" s="587"/>
      <c r="AB70" s="61"/>
      <c r="AC70" s="616" t="str">
        <f t="shared" si="42"/>
        <v>May26</v>
      </c>
      <c r="AD70" s="588" t="s">
        <v>36</v>
      </c>
      <c r="AE70" s="589" t="s">
        <v>142</v>
      </c>
      <c r="AF70" s="250" t="s">
        <v>143</v>
      </c>
      <c r="AG70" s="250">
        <v>46168</v>
      </c>
      <c r="AH70" s="250" t="s">
        <v>144</v>
      </c>
      <c r="AI70" s="590"/>
      <c r="AJ70" s="554">
        <v>44028685576</v>
      </c>
      <c r="AK70" s="367">
        <v>8225000</v>
      </c>
      <c r="AL70" s="61">
        <v>46112</v>
      </c>
      <c r="AM70" s="61">
        <v>46133</v>
      </c>
      <c r="AN70" s="593"/>
      <c r="AO70" s="592"/>
      <c r="AP70" s="46" t="s">
        <v>158</v>
      </c>
    </row>
    <row r="71" spans="1:42" x14ac:dyDescent="0.25">
      <c r="A71" s="582"/>
      <c r="B71" s="46">
        <v>5600000407</v>
      </c>
      <c r="C71" s="80" t="s">
        <v>250</v>
      </c>
      <c r="D71" s="487">
        <v>46078</v>
      </c>
      <c r="E71" s="583" t="s">
        <v>1</v>
      </c>
      <c r="F71" s="262">
        <v>0.1</v>
      </c>
      <c r="G71" s="81" t="s">
        <v>156</v>
      </c>
      <c r="H71" s="584" t="s">
        <v>139</v>
      </c>
      <c r="I71" s="218">
        <v>0</v>
      </c>
      <c r="J71" s="59">
        <v>0</v>
      </c>
      <c r="K71" s="621">
        <f t="shared" si="67"/>
        <v>0</v>
      </c>
      <c r="L71" s="585">
        <v>95.12</v>
      </c>
      <c r="M71" s="621">
        <f t="shared" si="41"/>
        <v>0</v>
      </c>
      <c r="N71" s="584" t="s">
        <v>140</v>
      </c>
      <c r="O71" s="584">
        <v>60</v>
      </c>
      <c r="P71" s="487" t="s">
        <v>17</v>
      </c>
      <c r="Q71" s="64" t="s">
        <v>252</v>
      </c>
      <c r="R71" s="487">
        <v>46136</v>
      </c>
      <c r="S71" s="489">
        <v>46147</v>
      </c>
      <c r="T71" s="489">
        <v>46105</v>
      </c>
      <c r="U71" s="16">
        <v>387832.87</v>
      </c>
      <c r="V71" s="620">
        <f t="shared" si="30"/>
        <v>-387832.87</v>
      </c>
      <c r="W71" s="618">
        <f t="shared" si="38"/>
        <v>36890662.594400004</v>
      </c>
      <c r="X71" s="228"/>
      <c r="Y71" s="586">
        <v>46168</v>
      </c>
      <c r="Z71" s="586"/>
      <c r="AA71" s="587"/>
      <c r="AB71" s="61"/>
      <c r="AC71" s="616" t="str">
        <f t="shared" si="42"/>
        <v>May26</v>
      </c>
      <c r="AD71" s="588" t="s">
        <v>36</v>
      </c>
      <c r="AE71" s="589" t="s">
        <v>142</v>
      </c>
      <c r="AF71" s="250" t="s">
        <v>143</v>
      </c>
      <c r="AG71" s="250">
        <v>46168</v>
      </c>
      <c r="AH71" s="250" t="s">
        <v>144</v>
      </c>
      <c r="AI71" s="590"/>
      <c r="AJ71" s="554"/>
      <c r="AK71" s="367"/>
      <c r="AL71" s="61">
        <v>46112</v>
      </c>
      <c r="AM71" s="61">
        <v>46133</v>
      </c>
      <c r="AN71" s="593"/>
      <c r="AO71" s="592"/>
      <c r="AP71" s="46" t="s">
        <v>158</v>
      </c>
    </row>
    <row r="72" spans="1:42" x14ac:dyDescent="0.25">
      <c r="A72" s="582"/>
      <c r="B72" s="46">
        <v>5600000407</v>
      </c>
      <c r="C72" s="80" t="s">
        <v>250</v>
      </c>
      <c r="D72" s="487">
        <v>46078</v>
      </c>
      <c r="E72" s="583" t="s">
        <v>1</v>
      </c>
      <c r="F72" s="262">
        <v>0.1</v>
      </c>
      <c r="G72" s="81" t="s">
        <v>156</v>
      </c>
      <c r="H72" s="584" t="s">
        <v>139</v>
      </c>
      <c r="I72" s="218">
        <v>0</v>
      </c>
      <c r="J72" s="59">
        <v>0</v>
      </c>
      <c r="K72" s="621">
        <f t="shared" ref="K72" si="74">J72+I72</f>
        <v>0</v>
      </c>
      <c r="L72" s="585">
        <v>95.12</v>
      </c>
      <c r="M72" s="621">
        <f t="shared" ref="M72" si="75">K72*L72</f>
        <v>0</v>
      </c>
      <c r="N72" s="584" t="s">
        <v>140</v>
      </c>
      <c r="O72" s="584">
        <v>60</v>
      </c>
      <c r="P72" s="487" t="s">
        <v>17</v>
      </c>
      <c r="Q72" s="64" t="s">
        <v>253</v>
      </c>
      <c r="R72" s="487">
        <v>46122</v>
      </c>
      <c r="S72" s="489">
        <v>46133</v>
      </c>
      <c r="T72" s="489">
        <v>46105</v>
      </c>
      <c r="U72" s="16">
        <v>149166.49</v>
      </c>
      <c r="V72" s="620">
        <f t="shared" si="30"/>
        <v>-149166.49</v>
      </c>
      <c r="W72" s="618">
        <f t="shared" si="38"/>
        <v>14188716.5288</v>
      </c>
      <c r="X72" s="228"/>
      <c r="Y72" s="586">
        <v>46168</v>
      </c>
      <c r="Z72" s="616">
        <f t="shared" ref="Z72" si="76">Y72+2</f>
        <v>46170</v>
      </c>
      <c r="AA72" s="617">
        <f>M70</f>
        <v>85132299.172800004</v>
      </c>
      <c r="AB72" s="61"/>
      <c r="AC72" s="616" t="str">
        <f t="shared" ref="AC72" si="77">IF(Y72="","-",TEXT(Y72,"mmmmyy"))</f>
        <v>May26</v>
      </c>
      <c r="AD72" s="588" t="s">
        <v>36</v>
      </c>
      <c r="AE72" s="589" t="s">
        <v>142</v>
      </c>
      <c r="AF72" s="250" t="s">
        <v>143</v>
      </c>
      <c r="AG72" s="250">
        <v>46168</v>
      </c>
      <c r="AH72" s="250" t="s">
        <v>144</v>
      </c>
      <c r="AI72" s="590"/>
      <c r="AJ72" s="554"/>
      <c r="AK72" s="367"/>
      <c r="AL72" s="61">
        <v>46112</v>
      </c>
      <c r="AM72" s="61">
        <v>46133</v>
      </c>
      <c r="AN72" s="593"/>
      <c r="AO72" s="592"/>
      <c r="AP72" s="46" t="s">
        <v>158</v>
      </c>
    </row>
    <row r="73" spans="1:42" x14ac:dyDescent="0.25">
      <c r="A73" s="582">
        <v>248</v>
      </c>
      <c r="B73" s="46">
        <v>5600000427</v>
      </c>
      <c r="C73" s="80" t="s">
        <v>254</v>
      </c>
      <c r="D73" s="487">
        <v>46083</v>
      </c>
      <c r="E73" s="583" t="s">
        <v>1</v>
      </c>
      <c r="F73" s="262">
        <v>0.1</v>
      </c>
      <c r="G73" s="81" t="s">
        <v>138</v>
      </c>
      <c r="H73" s="584" t="s">
        <v>139</v>
      </c>
      <c r="I73" s="78">
        <v>3441715.2000000002</v>
      </c>
      <c r="J73" s="619">
        <f t="shared" ref="J73:J78" si="78">I73*1%</f>
        <v>34417.152000000002</v>
      </c>
      <c r="K73" s="621">
        <f t="shared" si="67"/>
        <v>3476132.352</v>
      </c>
      <c r="L73" s="585">
        <v>96</v>
      </c>
      <c r="M73" s="621">
        <f t="shared" si="41"/>
        <v>333708705.792</v>
      </c>
      <c r="N73" s="584" t="s">
        <v>140</v>
      </c>
      <c r="O73" s="584">
        <v>60</v>
      </c>
      <c r="P73" s="487" t="s">
        <v>17</v>
      </c>
      <c r="Q73" s="64" t="s">
        <v>255</v>
      </c>
      <c r="R73" s="487">
        <v>46132</v>
      </c>
      <c r="S73" s="489">
        <v>46135</v>
      </c>
      <c r="T73" s="489">
        <v>46126</v>
      </c>
      <c r="U73" s="16">
        <v>2068376.08</v>
      </c>
      <c r="V73" s="620">
        <f t="shared" si="30"/>
        <v>1407756.2719999999</v>
      </c>
      <c r="W73" s="618">
        <f t="shared" si="38"/>
        <v>198564103.68000001</v>
      </c>
      <c r="X73" s="618">
        <f t="shared" ref="X73:X78" si="79">V73*L73</f>
        <v>135144602.11199999</v>
      </c>
      <c r="Y73" s="586">
        <v>46188</v>
      </c>
      <c r="AB73" s="61"/>
      <c r="AC73" s="616" t="str">
        <f t="shared" si="42"/>
        <v>June26</v>
      </c>
      <c r="AD73" s="588" t="s">
        <v>43</v>
      </c>
      <c r="AE73" s="589" t="s">
        <v>164</v>
      </c>
      <c r="AF73" s="250" t="s">
        <v>143</v>
      </c>
      <c r="AG73" s="250"/>
      <c r="AH73" s="250" t="s">
        <v>165</v>
      </c>
      <c r="AI73" s="590"/>
      <c r="AJ73" s="554">
        <v>44707855866</v>
      </c>
      <c r="AK73" s="367">
        <v>30000000</v>
      </c>
      <c r="AL73" s="61">
        <v>46132</v>
      </c>
      <c r="AM73" s="61">
        <v>46157</v>
      </c>
      <c r="AN73" s="593"/>
      <c r="AO73" s="592"/>
      <c r="AP73" s="46" t="s">
        <v>145</v>
      </c>
    </row>
    <row r="74" spans="1:42" x14ac:dyDescent="0.25">
      <c r="A74" s="582"/>
      <c r="B74" s="46">
        <v>5600000427</v>
      </c>
      <c r="C74" s="80" t="s">
        <v>254</v>
      </c>
      <c r="D74" s="487">
        <v>46083</v>
      </c>
      <c r="E74" s="583" t="s">
        <v>1</v>
      </c>
      <c r="F74" s="262">
        <v>0.1</v>
      </c>
      <c r="G74" s="81" t="s">
        <v>138</v>
      </c>
      <c r="H74" s="584" t="s">
        <v>139</v>
      </c>
      <c r="I74" s="78">
        <v>0</v>
      </c>
      <c r="J74" s="619">
        <f t="shared" si="78"/>
        <v>0</v>
      </c>
      <c r="K74" s="621">
        <f t="shared" ref="K74" si="80">J74+I74</f>
        <v>0</v>
      </c>
      <c r="L74" s="585">
        <v>96</v>
      </c>
      <c r="M74" s="621">
        <f t="shared" ref="M74" si="81">K74*L74</f>
        <v>0</v>
      </c>
      <c r="N74" s="584" t="s">
        <v>140</v>
      </c>
      <c r="O74" s="584">
        <v>60</v>
      </c>
      <c r="P74" s="487" t="s">
        <v>17</v>
      </c>
      <c r="Q74" s="64" t="s">
        <v>256</v>
      </c>
      <c r="R74" s="487">
        <v>46140</v>
      </c>
      <c r="S74" s="489">
        <v>46147</v>
      </c>
      <c r="T74" s="489">
        <v>46130</v>
      </c>
      <c r="U74" s="16">
        <v>1384612.19</v>
      </c>
      <c r="V74" s="620">
        <f t="shared" ref="V74" si="82">K74-U74</f>
        <v>-1384612.19</v>
      </c>
      <c r="W74" s="618">
        <f t="shared" ref="W74" si="83">U74*L74</f>
        <v>132922770.23999999</v>
      </c>
      <c r="X74" s="618">
        <f t="shared" si="79"/>
        <v>-132922770.23999999</v>
      </c>
      <c r="Y74" s="586">
        <v>46190</v>
      </c>
      <c r="AB74" s="61"/>
      <c r="AC74" s="616" t="str">
        <f t="shared" ref="AC74" si="84">IF(Y74="","-",TEXT(Y74,"mmmmyy"))</f>
        <v>June26</v>
      </c>
      <c r="AD74" s="588" t="s">
        <v>43</v>
      </c>
      <c r="AE74" s="589" t="s">
        <v>164</v>
      </c>
      <c r="AF74" s="250" t="s">
        <v>143</v>
      </c>
      <c r="AG74" s="250"/>
      <c r="AH74" s="250" t="s">
        <v>165</v>
      </c>
      <c r="AI74" s="590"/>
      <c r="AJ74" s="554">
        <v>42814707478</v>
      </c>
      <c r="AK74" s="367">
        <v>1760000</v>
      </c>
      <c r="AL74" s="61">
        <v>46132</v>
      </c>
      <c r="AM74" s="61">
        <v>46157</v>
      </c>
      <c r="AN74" s="593"/>
      <c r="AO74" s="592"/>
      <c r="AP74" s="46" t="s">
        <v>145</v>
      </c>
    </row>
    <row r="75" spans="1:42" x14ac:dyDescent="0.25">
      <c r="A75" s="582"/>
      <c r="B75" s="46">
        <v>5600000427</v>
      </c>
      <c r="C75" s="80" t="s">
        <v>254</v>
      </c>
      <c r="D75" s="487">
        <v>46083</v>
      </c>
      <c r="E75" s="583" t="s">
        <v>1</v>
      </c>
      <c r="F75" s="262">
        <v>0.1</v>
      </c>
      <c r="G75" s="81" t="s">
        <v>138</v>
      </c>
      <c r="H75" s="584" t="s">
        <v>139</v>
      </c>
      <c r="I75" s="78">
        <v>0</v>
      </c>
      <c r="J75" s="619">
        <f t="shared" si="78"/>
        <v>0</v>
      </c>
      <c r="K75" s="621">
        <f t="shared" ref="K75" si="85">J75+I75</f>
        <v>0</v>
      </c>
      <c r="L75" s="585">
        <v>96</v>
      </c>
      <c r="M75" s="621">
        <f t="shared" ref="M75" si="86">K75*L75</f>
        <v>0</v>
      </c>
      <c r="N75" s="584" t="s">
        <v>140</v>
      </c>
      <c r="O75" s="584">
        <v>60</v>
      </c>
      <c r="P75" s="487" t="s">
        <v>146</v>
      </c>
      <c r="R75" s="487"/>
      <c r="S75" s="489"/>
      <c r="T75" s="489"/>
      <c r="U75" s="16">
        <v>23144.080000000002</v>
      </c>
      <c r="V75" s="620">
        <f t="shared" ref="V75" si="87">K75-U75</f>
        <v>-23144.080000000002</v>
      </c>
      <c r="W75" s="618">
        <f t="shared" ref="W75" si="88">U75*L75</f>
        <v>2221831.6800000002</v>
      </c>
      <c r="X75" s="618">
        <f t="shared" si="79"/>
        <v>-2221831.6800000002</v>
      </c>
      <c r="Y75" s="586">
        <v>46190</v>
      </c>
      <c r="Z75" s="616">
        <f>Y75+2</f>
        <v>46192</v>
      </c>
      <c r="AA75" s="617">
        <f>M73</f>
        <v>333708705.792</v>
      </c>
      <c r="AB75" s="61"/>
      <c r="AC75" s="616" t="str">
        <f t="shared" ref="AC75" si="89">IF(Y75="","-",TEXT(Y75,"mmmmyy"))</f>
        <v>June26</v>
      </c>
      <c r="AD75" s="588" t="s">
        <v>45</v>
      </c>
      <c r="AE75" s="589" t="s">
        <v>75</v>
      </c>
      <c r="AF75" s="250" t="s">
        <v>75</v>
      </c>
      <c r="AG75" s="250"/>
      <c r="AH75" s="250" t="s">
        <v>165</v>
      </c>
      <c r="AI75" s="590"/>
      <c r="AJ75" s="554">
        <v>42840339454</v>
      </c>
      <c r="AK75" s="367">
        <v>892000</v>
      </c>
      <c r="AL75" s="61">
        <v>46132</v>
      </c>
      <c r="AM75" s="61">
        <v>46157</v>
      </c>
      <c r="AN75" s="593"/>
      <c r="AO75" s="592"/>
      <c r="AP75" s="46" t="s">
        <v>145</v>
      </c>
    </row>
    <row r="76" spans="1:42" x14ac:dyDescent="0.25">
      <c r="A76" s="582">
        <v>249</v>
      </c>
      <c r="B76" s="46">
        <v>5600000426</v>
      </c>
      <c r="C76" s="80" t="s">
        <v>257</v>
      </c>
      <c r="D76" s="487">
        <v>46083</v>
      </c>
      <c r="E76" s="583" t="s">
        <v>1</v>
      </c>
      <c r="F76" s="262">
        <v>0.1</v>
      </c>
      <c r="G76" s="81" t="s">
        <v>138</v>
      </c>
      <c r="H76" s="584" t="s">
        <v>139</v>
      </c>
      <c r="I76" s="78">
        <v>3441715.2000000002</v>
      </c>
      <c r="J76" s="619">
        <f t="shared" si="78"/>
        <v>34417.152000000002</v>
      </c>
      <c r="K76" s="621">
        <f t="shared" si="67"/>
        <v>3476132.352</v>
      </c>
      <c r="L76" s="585">
        <v>96</v>
      </c>
      <c r="M76" s="621">
        <f t="shared" si="41"/>
        <v>333708705.792</v>
      </c>
      <c r="N76" s="584" t="s">
        <v>140</v>
      </c>
      <c r="O76" s="584">
        <v>60</v>
      </c>
      <c r="P76" s="487" t="s">
        <v>17</v>
      </c>
      <c r="Q76" s="64" t="s">
        <v>258</v>
      </c>
      <c r="R76" s="487">
        <v>46132</v>
      </c>
      <c r="S76" s="489">
        <v>46135</v>
      </c>
      <c r="T76" s="489">
        <v>46116</v>
      </c>
      <c r="U76" s="16">
        <v>2764823.85</v>
      </c>
      <c r="V76" s="620">
        <f t="shared" si="30"/>
        <v>711308.50199999986</v>
      </c>
      <c r="W76" s="618">
        <f t="shared" si="38"/>
        <v>265423089.60000002</v>
      </c>
      <c r="X76" s="618">
        <f t="shared" si="79"/>
        <v>68285616.191999987</v>
      </c>
      <c r="Y76" s="586">
        <v>46176</v>
      </c>
      <c r="Z76" s="586"/>
      <c r="AA76" s="587"/>
      <c r="AB76" s="61"/>
      <c r="AC76" s="616" t="str">
        <f t="shared" si="42"/>
        <v>June26</v>
      </c>
      <c r="AD76" s="588" t="s">
        <v>43</v>
      </c>
      <c r="AE76" s="589" t="s">
        <v>142</v>
      </c>
      <c r="AF76" s="250" t="s">
        <v>143</v>
      </c>
      <c r="AG76" s="250"/>
      <c r="AH76" s="250" t="s">
        <v>165</v>
      </c>
      <c r="AI76" s="590"/>
      <c r="AJ76" s="554">
        <v>43607525170</v>
      </c>
      <c r="AK76" s="367">
        <v>1148000</v>
      </c>
      <c r="AL76" s="61">
        <v>46132</v>
      </c>
      <c r="AM76" s="61">
        <v>46157</v>
      </c>
      <c r="AN76" s="593"/>
      <c r="AO76" s="592"/>
      <c r="AP76" s="46" t="s">
        <v>145</v>
      </c>
    </row>
    <row r="77" spans="1:42" x14ac:dyDescent="0.25">
      <c r="A77" s="582"/>
      <c r="B77" s="46">
        <v>5600000426</v>
      </c>
      <c r="C77" s="80" t="s">
        <v>257</v>
      </c>
      <c r="D77" s="487">
        <v>46083</v>
      </c>
      <c r="E77" s="583" t="s">
        <v>1</v>
      </c>
      <c r="F77" s="262">
        <v>0.1</v>
      </c>
      <c r="G77" s="81" t="s">
        <v>138</v>
      </c>
      <c r="H77" s="584" t="s">
        <v>139</v>
      </c>
      <c r="I77" s="78">
        <v>0</v>
      </c>
      <c r="J77" s="619">
        <f t="shared" si="78"/>
        <v>0</v>
      </c>
      <c r="K77" s="621">
        <f t="shared" ref="K77" si="90">J77+I77</f>
        <v>0</v>
      </c>
      <c r="L77" s="585">
        <v>96</v>
      </c>
      <c r="M77" s="621">
        <f t="shared" ref="M77" si="91">K77*L77</f>
        <v>0</v>
      </c>
      <c r="N77" s="584" t="s">
        <v>140</v>
      </c>
      <c r="O77" s="584">
        <v>60</v>
      </c>
      <c r="P77" s="487" t="s">
        <v>17</v>
      </c>
      <c r="Q77" s="64" t="s">
        <v>259</v>
      </c>
      <c r="R77" s="487">
        <v>46132</v>
      </c>
      <c r="S77" s="489">
        <v>46135</v>
      </c>
      <c r="T77" s="489">
        <v>46127</v>
      </c>
      <c r="U77" s="16">
        <v>688293.85</v>
      </c>
      <c r="V77" s="620">
        <f t="shared" ref="V77" si="92">K77-U77</f>
        <v>-688293.85</v>
      </c>
      <c r="W77" s="618">
        <f t="shared" ref="W77" si="93">U77*L77</f>
        <v>66076209.599999994</v>
      </c>
      <c r="X77" s="618">
        <f t="shared" si="79"/>
        <v>-66076209.599999994</v>
      </c>
      <c r="Y77" s="586">
        <v>46188</v>
      </c>
      <c r="Z77" s="616">
        <f t="shared" ref="Z77" si="94">Y77+2</f>
        <v>46190</v>
      </c>
      <c r="AA77" s="617">
        <f>M76</f>
        <v>333708705.792</v>
      </c>
      <c r="AB77" s="61"/>
      <c r="AC77" s="616" t="str">
        <f t="shared" ref="AC77" si="95">IF(Y77="","-",TEXT(Y77,"mmmmyy"))</f>
        <v>June26</v>
      </c>
      <c r="AD77" s="588" t="s">
        <v>43</v>
      </c>
      <c r="AE77" s="589" t="s">
        <v>164</v>
      </c>
      <c r="AF77" s="250" t="s">
        <v>143</v>
      </c>
      <c r="AG77" s="250"/>
      <c r="AH77" s="250" t="s">
        <v>165</v>
      </c>
      <c r="AI77" s="590"/>
      <c r="AJ77" s="554">
        <v>43792161126</v>
      </c>
      <c r="AK77" s="367">
        <v>6996000</v>
      </c>
      <c r="AL77" s="61">
        <v>46132</v>
      </c>
      <c r="AM77" s="61">
        <v>46157</v>
      </c>
      <c r="AN77" s="593"/>
      <c r="AO77" s="592"/>
      <c r="AP77" s="46" t="s">
        <v>145</v>
      </c>
    </row>
    <row r="78" spans="1:42" x14ac:dyDescent="0.25">
      <c r="A78" s="582"/>
      <c r="B78" s="46">
        <v>5600000426</v>
      </c>
      <c r="C78" s="80" t="s">
        <v>257</v>
      </c>
      <c r="D78" s="487">
        <v>46083</v>
      </c>
      <c r="E78" s="583" t="s">
        <v>1</v>
      </c>
      <c r="F78" s="262">
        <v>0.1</v>
      </c>
      <c r="G78" s="81" t="s">
        <v>138</v>
      </c>
      <c r="H78" s="584" t="s">
        <v>139</v>
      </c>
      <c r="I78" s="78">
        <v>0</v>
      </c>
      <c r="J78" s="619">
        <f t="shared" si="78"/>
        <v>0</v>
      </c>
      <c r="K78" s="621">
        <f t="shared" ref="K78" si="96">J78+I78</f>
        <v>0</v>
      </c>
      <c r="L78" s="585">
        <v>96</v>
      </c>
      <c r="M78" s="621">
        <f t="shared" ref="M78" si="97">K78*L78</f>
        <v>0</v>
      </c>
      <c r="N78" s="584" t="s">
        <v>140</v>
      </c>
      <c r="O78" s="584">
        <v>60</v>
      </c>
      <c r="P78" s="487" t="s">
        <v>146</v>
      </c>
      <c r="R78" s="487"/>
      <c r="S78" s="489"/>
      <c r="T78" s="489"/>
      <c r="U78" s="16">
        <v>23014.65</v>
      </c>
      <c r="V78" s="620">
        <f t="shared" ref="V78" si="98">K78-U78</f>
        <v>-23014.65</v>
      </c>
      <c r="W78" s="618">
        <f t="shared" ref="W78" si="99">U78*L78</f>
        <v>2209406.4000000004</v>
      </c>
      <c r="X78" s="618">
        <f t="shared" si="79"/>
        <v>-2209406.4000000004</v>
      </c>
      <c r="Y78" s="586">
        <v>46188</v>
      </c>
      <c r="Z78" s="586"/>
      <c r="AA78" s="617">
        <f>M77</f>
        <v>0</v>
      </c>
      <c r="AB78" s="61"/>
      <c r="AC78" s="616" t="str">
        <f t="shared" ref="AC78" si="100">IF(Y78="","-",TEXT(Y78,"mmmmyy"))</f>
        <v>June26</v>
      </c>
      <c r="AD78" s="588" t="s">
        <v>45</v>
      </c>
      <c r="AE78" s="589" t="s">
        <v>75</v>
      </c>
      <c r="AF78" s="250" t="s">
        <v>75</v>
      </c>
      <c r="AG78" s="250"/>
      <c r="AH78" s="250" t="s">
        <v>165</v>
      </c>
      <c r="AI78" s="590"/>
      <c r="AJ78" s="554">
        <v>44803304283</v>
      </c>
      <c r="AK78" s="367">
        <v>2316000</v>
      </c>
      <c r="AL78" s="61">
        <v>46132</v>
      </c>
      <c r="AM78" s="61">
        <v>46157</v>
      </c>
      <c r="AN78" s="593"/>
      <c r="AO78" s="592"/>
      <c r="AP78" s="46" t="s">
        <v>145</v>
      </c>
    </row>
    <row r="79" spans="1:42" x14ac:dyDescent="0.25">
      <c r="A79" s="582">
        <v>254</v>
      </c>
      <c r="B79" s="46">
        <v>5600000391</v>
      </c>
      <c r="C79" s="80" t="s">
        <v>260</v>
      </c>
      <c r="D79" s="487">
        <v>46091</v>
      </c>
      <c r="E79" s="583" t="s">
        <v>1</v>
      </c>
      <c r="F79" s="262">
        <v>0.1</v>
      </c>
      <c r="G79" s="81" t="s">
        <v>245</v>
      </c>
      <c r="H79" s="584" t="s">
        <v>139</v>
      </c>
      <c r="I79" s="218">
        <v>669762.42000000004</v>
      </c>
      <c r="J79" s="59">
        <v>0</v>
      </c>
      <c r="K79" s="621">
        <f t="shared" si="67"/>
        <v>669762.42000000004</v>
      </c>
      <c r="L79" s="585">
        <v>95.12</v>
      </c>
      <c r="M79" s="621">
        <f t="shared" si="41"/>
        <v>63707801.390400007</v>
      </c>
      <c r="N79" s="584" t="s">
        <v>140</v>
      </c>
      <c r="O79" s="584">
        <v>55</v>
      </c>
      <c r="P79" s="487" t="s">
        <v>17</v>
      </c>
      <c r="Q79" s="64" t="s">
        <v>261</v>
      </c>
      <c r="R79" s="487">
        <v>46111</v>
      </c>
      <c r="S79" s="489">
        <v>46118</v>
      </c>
      <c r="T79" s="489">
        <v>46081</v>
      </c>
      <c r="U79" s="16">
        <v>669655.96</v>
      </c>
      <c r="V79" s="620">
        <f t="shared" ref="V79:V119" si="101">K79-U79</f>
        <v>106.46000000007916</v>
      </c>
      <c r="W79" s="618">
        <f t="shared" si="38"/>
        <v>63697674.915200002</v>
      </c>
      <c r="X79" s="228"/>
      <c r="Y79" s="586">
        <v>46136</v>
      </c>
      <c r="Z79" s="616">
        <f t="shared" ref="Z79:Z110" si="102">Y79+2</f>
        <v>46138</v>
      </c>
      <c r="AA79" s="617">
        <f t="shared" ref="AA79:AA83" si="103">M79</f>
        <v>63707801.390400007</v>
      </c>
      <c r="AB79" s="61"/>
      <c r="AC79" s="616" t="str">
        <f t="shared" si="42"/>
        <v>April26</v>
      </c>
      <c r="AD79" s="588" t="s">
        <v>36</v>
      </c>
      <c r="AE79" s="589" t="s">
        <v>142</v>
      </c>
      <c r="AF79" s="250" t="s">
        <v>143</v>
      </c>
      <c r="AG79" s="250">
        <v>46136</v>
      </c>
      <c r="AH79" s="250" t="s">
        <v>144</v>
      </c>
      <c r="AI79" s="590"/>
      <c r="AJ79" s="554"/>
      <c r="AK79" s="367"/>
      <c r="AL79" s="61">
        <v>46096</v>
      </c>
      <c r="AM79" s="61">
        <v>46117</v>
      </c>
      <c r="AN79" s="593">
        <v>8248503</v>
      </c>
      <c r="AO79" s="592">
        <v>46136</v>
      </c>
      <c r="AP79" s="46" t="s">
        <v>145</v>
      </c>
    </row>
    <row r="80" spans="1:42" x14ac:dyDescent="0.25">
      <c r="A80" s="582"/>
      <c r="B80" s="46">
        <v>5600000391</v>
      </c>
      <c r="C80" s="80" t="s">
        <v>260</v>
      </c>
      <c r="D80" s="487">
        <v>46091</v>
      </c>
      <c r="E80" s="583" t="s">
        <v>1</v>
      </c>
      <c r="F80" s="262">
        <v>0.1</v>
      </c>
      <c r="G80" s="81" t="s">
        <v>245</v>
      </c>
      <c r="H80" s="584" t="s">
        <v>139</v>
      </c>
      <c r="I80" s="218">
        <v>0</v>
      </c>
      <c r="J80" s="59">
        <v>0</v>
      </c>
      <c r="K80" s="621">
        <f t="shared" ref="K80" si="104">J80+I80</f>
        <v>0</v>
      </c>
      <c r="L80" s="585">
        <v>95.12</v>
      </c>
      <c r="M80" s="621">
        <f t="shared" ref="M80" si="105">K80*L80</f>
        <v>0</v>
      </c>
      <c r="N80" s="584" t="s">
        <v>140</v>
      </c>
      <c r="O80" s="584">
        <v>55</v>
      </c>
      <c r="P80" s="487" t="s">
        <v>146</v>
      </c>
      <c r="R80" s="487"/>
      <c r="S80" s="489"/>
      <c r="T80" s="489"/>
      <c r="U80" s="16">
        <v>106.46</v>
      </c>
      <c r="V80" s="620">
        <f t="shared" ref="V80" si="106">K80-U80</f>
        <v>-106.46</v>
      </c>
      <c r="W80" s="618">
        <f t="shared" ref="W80" si="107">U80*L80</f>
        <v>10126.475200000001</v>
      </c>
      <c r="X80" s="228"/>
      <c r="Y80" s="586">
        <v>46136</v>
      </c>
      <c r="Z80" s="586"/>
      <c r="AA80" s="617">
        <f t="shared" ref="AA80" si="108">M80</f>
        <v>0</v>
      </c>
      <c r="AB80" s="61"/>
      <c r="AC80" s="616" t="str">
        <f t="shared" ref="AC80" si="109">IF(Y80="","-",TEXT(Y80,"mmmmyy"))</f>
        <v>April26</v>
      </c>
      <c r="AD80" s="588" t="s">
        <v>34</v>
      </c>
      <c r="AE80" s="589" t="s">
        <v>142</v>
      </c>
      <c r="AF80" s="250" t="s">
        <v>75</v>
      </c>
      <c r="AG80" s="250">
        <v>46136</v>
      </c>
      <c r="AH80" s="250" t="s">
        <v>144</v>
      </c>
      <c r="AI80" s="590"/>
      <c r="AJ80" s="554"/>
      <c r="AK80" s="367"/>
      <c r="AL80" s="61">
        <v>46096</v>
      </c>
      <c r="AM80" s="61">
        <v>46117</v>
      </c>
      <c r="AN80" s="593"/>
      <c r="AO80" s="592"/>
      <c r="AP80" s="46" t="s">
        <v>145</v>
      </c>
    </row>
    <row r="81" spans="1:42" x14ac:dyDescent="0.25">
      <c r="A81" s="582">
        <v>255</v>
      </c>
      <c r="B81" s="46">
        <v>5600000390</v>
      </c>
      <c r="C81" s="80" t="s">
        <v>262</v>
      </c>
      <c r="D81" s="487">
        <v>46094</v>
      </c>
      <c r="E81" s="583" t="s">
        <v>1</v>
      </c>
      <c r="F81" s="262">
        <v>0.1</v>
      </c>
      <c r="G81" s="81" t="s">
        <v>245</v>
      </c>
      <c r="H81" s="584" t="s">
        <v>139</v>
      </c>
      <c r="I81" s="218">
        <v>1344018.83</v>
      </c>
      <c r="J81" s="59">
        <v>0</v>
      </c>
      <c r="K81" s="621">
        <f t="shared" si="67"/>
        <v>1344018.83</v>
      </c>
      <c r="L81" s="585">
        <v>95.12</v>
      </c>
      <c r="M81" s="621">
        <f t="shared" si="41"/>
        <v>127843071.10960001</v>
      </c>
      <c r="N81" s="584" t="s">
        <v>140</v>
      </c>
      <c r="O81" s="584">
        <v>55</v>
      </c>
      <c r="P81" s="487" t="s">
        <v>17</v>
      </c>
      <c r="Q81" s="64" t="s">
        <v>263</v>
      </c>
      <c r="R81" s="487">
        <v>46118</v>
      </c>
      <c r="S81" s="489">
        <v>46120</v>
      </c>
      <c r="T81" s="489">
        <v>46081</v>
      </c>
      <c r="U81" s="16">
        <v>1344065.61</v>
      </c>
      <c r="V81" s="620">
        <f t="shared" si="101"/>
        <v>-46.78000000002794</v>
      </c>
      <c r="W81" s="618">
        <f t="shared" si="38"/>
        <v>127847520.82320002</v>
      </c>
      <c r="X81" s="228"/>
      <c r="Y81" s="586">
        <v>46136</v>
      </c>
      <c r="Z81" s="616">
        <f t="shared" si="102"/>
        <v>46138</v>
      </c>
      <c r="AA81" s="617">
        <f t="shared" si="103"/>
        <v>127843071.10960001</v>
      </c>
      <c r="AB81" s="61">
        <v>46101</v>
      </c>
      <c r="AC81" s="616" t="str">
        <f t="shared" si="42"/>
        <v>April26</v>
      </c>
      <c r="AD81" s="588" t="s">
        <v>36</v>
      </c>
      <c r="AE81" s="589" t="s">
        <v>142</v>
      </c>
      <c r="AF81" s="250" t="s">
        <v>143</v>
      </c>
      <c r="AG81" s="250">
        <v>46136</v>
      </c>
      <c r="AH81" s="250" t="s">
        <v>144</v>
      </c>
      <c r="AI81" s="590"/>
      <c r="AJ81" s="554"/>
      <c r="AK81" s="367"/>
      <c r="AL81" s="61">
        <v>46096</v>
      </c>
      <c r="AM81" s="61">
        <v>46117</v>
      </c>
      <c r="AN81" s="593">
        <v>8112424</v>
      </c>
      <c r="AO81" s="592">
        <v>46136</v>
      </c>
      <c r="AP81" s="46" t="s">
        <v>145</v>
      </c>
    </row>
    <row r="82" spans="1:42" x14ac:dyDescent="0.25">
      <c r="A82" s="582">
        <v>256</v>
      </c>
      <c r="B82" s="46">
        <v>5600000406</v>
      </c>
      <c r="C82" s="80" t="s">
        <v>264</v>
      </c>
      <c r="D82" s="487">
        <v>46094</v>
      </c>
      <c r="E82" s="583" t="s">
        <v>1</v>
      </c>
      <c r="F82" s="262">
        <v>0.1</v>
      </c>
      <c r="G82" s="81" t="s">
        <v>190</v>
      </c>
      <c r="H82" s="584" t="s">
        <v>139</v>
      </c>
      <c r="I82" s="218">
        <v>804980</v>
      </c>
      <c r="J82" s="59">
        <v>0</v>
      </c>
      <c r="K82" s="621">
        <f t="shared" si="67"/>
        <v>804980</v>
      </c>
      <c r="L82" s="585">
        <v>94.920500000000004</v>
      </c>
      <c r="M82" s="621">
        <f t="shared" si="41"/>
        <v>76409104.090000004</v>
      </c>
      <c r="N82" s="584" t="s">
        <v>140</v>
      </c>
      <c r="O82" s="584">
        <v>60</v>
      </c>
      <c r="P82" s="487" t="s">
        <v>17</v>
      </c>
      <c r="Q82" s="64" t="s">
        <v>265</v>
      </c>
      <c r="R82" s="487">
        <v>46118</v>
      </c>
      <c r="S82" s="489">
        <v>46122</v>
      </c>
      <c r="T82" s="489">
        <v>46107</v>
      </c>
      <c r="U82" s="16">
        <v>804980</v>
      </c>
      <c r="V82" s="620">
        <f t="shared" si="101"/>
        <v>0</v>
      </c>
      <c r="W82" s="618">
        <f t="shared" si="38"/>
        <v>76409104.090000004</v>
      </c>
      <c r="X82" s="228"/>
      <c r="Y82" s="586">
        <v>46168</v>
      </c>
      <c r="Z82" s="616">
        <f t="shared" si="102"/>
        <v>46170</v>
      </c>
      <c r="AA82" s="617">
        <f t="shared" si="103"/>
        <v>76409104.090000004</v>
      </c>
      <c r="AB82" s="61"/>
      <c r="AC82" s="616" t="str">
        <f t="shared" si="42"/>
        <v>May26</v>
      </c>
      <c r="AD82" s="588" t="s">
        <v>36</v>
      </c>
      <c r="AE82" s="589" t="s">
        <v>142</v>
      </c>
      <c r="AF82" s="250" t="s">
        <v>143</v>
      </c>
      <c r="AG82" s="250">
        <v>46168</v>
      </c>
      <c r="AH82" s="250" t="s">
        <v>144</v>
      </c>
      <c r="AI82" s="590"/>
      <c r="AJ82" s="554">
        <v>42371819184</v>
      </c>
      <c r="AK82" s="367">
        <v>7505000</v>
      </c>
      <c r="AL82" s="61">
        <v>46122</v>
      </c>
      <c r="AM82" s="61">
        <v>46143</v>
      </c>
      <c r="AN82" s="593"/>
      <c r="AO82" s="592"/>
      <c r="AP82" s="46" t="s">
        <v>192</v>
      </c>
    </row>
    <row r="83" spans="1:42" x14ac:dyDescent="0.25">
      <c r="A83" s="582">
        <v>258</v>
      </c>
      <c r="B83" s="46">
        <v>5600000412</v>
      </c>
      <c r="C83" s="80" t="s">
        <v>266</v>
      </c>
      <c r="D83" s="487">
        <v>46097</v>
      </c>
      <c r="E83" s="583" t="s">
        <v>1</v>
      </c>
      <c r="F83" s="262">
        <v>0.1</v>
      </c>
      <c r="G83" s="81" t="s">
        <v>267</v>
      </c>
      <c r="H83" s="584" t="s">
        <v>139</v>
      </c>
      <c r="I83" s="218">
        <v>1307700</v>
      </c>
      <c r="J83" s="59">
        <v>0</v>
      </c>
      <c r="K83" s="621">
        <f t="shared" si="67"/>
        <v>1307700</v>
      </c>
      <c r="L83" s="585">
        <v>94.920500000000004</v>
      </c>
      <c r="M83" s="621">
        <f t="shared" si="41"/>
        <v>124127537.85000001</v>
      </c>
      <c r="N83" s="584" t="s">
        <v>140</v>
      </c>
      <c r="O83" s="584">
        <v>45</v>
      </c>
      <c r="P83" s="487" t="s">
        <v>17</v>
      </c>
      <c r="Q83" s="64" t="s">
        <v>268</v>
      </c>
      <c r="R83" s="487">
        <v>46118</v>
      </c>
      <c r="S83" s="489">
        <v>46122</v>
      </c>
      <c r="T83" s="489">
        <v>46104</v>
      </c>
      <c r="U83" s="16">
        <v>1307700</v>
      </c>
      <c r="V83" s="620">
        <f t="shared" si="101"/>
        <v>0</v>
      </c>
      <c r="W83" s="618">
        <f t="shared" si="38"/>
        <v>124127537.85000001</v>
      </c>
      <c r="X83" s="228"/>
      <c r="Y83" s="586">
        <v>46149</v>
      </c>
      <c r="Z83" s="616">
        <f>Y83+2</f>
        <v>46151</v>
      </c>
      <c r="AA83" s="617">
        <f t="shared" si="103"/>
        <v>124127537.85000001</v>
      </c>
      <c r="AB83" s="61"/>
      <c r="AC83" s="616" t="str">
        <f t="shared" si="42"/>
        <v>May26</v>
      </c>
      <c r="AD83" s="588" t="s">
        <v>36</v>
      </c>
      <c r="AE83" s="589" t="s">
        <v>142</v>
      </c>
      <c r="AF83" s="250" t="s">
        <v>143</v>
      </c>
      <c r="AG83" s="250">
        <v>46149</v>
      </c>
      <c r="AH83" s="250" t="s">
        <v>144</v>
      </c>
      <c r="AI83" s="590"/>
      <c r="AJ83" s="554"/>
      <c r="AK83" s="367"/>
      <c r="AL83" s="61">
        <v>46127</v>
      </c>
      <c r="AM83" s="61">
        <v>46148</v>
      </c>
      <c r="AN83" s="593"/>
      <c r="AO83" s="592"/>
      <c r="AP83" s="46" t="s">
        <v>171</v>
      </c>
    </row>
    <row r="84" spans="1:42" x14ac:dyDescent="0.25">
      <c r="A84" s="582">
        <v>259</v>
      </c>
      <c r="B84" s="46">
        <v>5600000412</v>
      </c>
      <c r="C84" s="80" t="s">
        <v>269</v>
      </c>
      <c r="D84" s="487">
        <v>46097</v>
      </c>
      <c r="E84" s="583" t="s">
        <v>1</v>
      </c>
      <c r="F84" s="262">
        <v>0.1</v>
      </c>
      <c r="G84" s="81" t="s">
        <v>267</v>
      </c>
      <c r="H84" s="584" t="s">
        <v>139</v>
      </c>
      <c r="I84" s="218">
        <v>1307700</v>
      </c>
      <c r="J84" s="59">
        <v>0</v>
      </c>
      <c r="K84" s="621">
        <f t="shared" si="67"/>
        <v>1307700</v>
      </c>
      <c r="L84" s="585">
        <v>95.12</v>
      </c>
      <c r="M84" s="621">
        <f t="shared" si="41"/>
        <v>124388424</v>
      </c>
      <c r="N84" s="584" t="s">
        <v>140</v>
      </c>
      <c r="O84" s="584">
        <v>45</v>
      </c>
      <c r="P84" s="487" t="s">
        <v>17</v>
      </c>
      <c r="Q84" s="64" t="s">
        <v>270</v>
      </c>
      <c r="R84" s="487">
        <v>46116</v>
      </c>
      <c r="S84" s="489">
        <v>46120</v>
      </c>
      <c r="T84" s="489">
        <v>46100</v>
      </c>
      <c r="U84" s="16">
        <v>1307700</v>
      </c>
      <c r="V84" s="620">
        <f t="shared" si="101"/>
        <v>0</v>
      </c>
      <c r="W84" s="618">
        <f t="shared" si="38"/>
        <v>124388424</v>
      </c>
      <c r="X84" s="228"/>
      <c r="Y84" s="586">
        <v>46146</v>
      </c>
      <c r="Z84" s="616">
        <f>Y84+2</f>
        <v>46148</v>
      </c>
      <c r="AA84" s="617">
        <f t="shared" ref="AA84:AA95" si="110">M84</f>
        <v>124388424</v>
      </c>
      <c r="AB84" s="61"/>
      <c r="AC84" s="616" t="str">
        <f t="shared" si="42"/>
        <v>May26</v>
      </c>
      <c r="AD84" s="588" t="s">
        <v>36</v>
      </c>
      <c r="AE84" s="589" t="s">
        <v>142</v>
      </c>
      <c r="AF84" s="250" t="s">
        <v>143</v>
      </c>
      <c r="AG84" s="250">
        <v>46146</v>
      </c>
      <c r="AH84" s="250" t="s">
        <v>144</v>
      </c>
      <c r="AI84" s="590"/>
      <c r="AJ84" s="554"/>
      <c r="AK84" s="367"/>
      <c r="AL84" s="61">
        <v>46127</v>
      </c>
      <c r="AM84" s="61">
        <v>46148</v>
      </c>
      <c r="AN84" s="593" t="s">
        <v>271</v>
      </c>
      <c r="AO84" s="592">
        <v>46146</v>
      </c>
      <c r="AP84" s="46" t="s">
        <v>171</v>
      </c>
    </row>
    <row r="85" spans="1:42" x14ac:dyDescent="0.25">
      <c r="A85" s="582">
        <v>260</v>
      </c>
      <c r="B85" s="46">
        <v>5600000412</v>
      </c>
      <c r="C85" s="80" t="s">
        <v>272</v>
      </c>
      <c r="D85" s="487">
        <v>46099</v>
      </c>
      <c r="E85" s="583" t="s">
        <v>1</v>
      </c>
      <c r="F85" s="262">
        <v>0.1</v>
      </c>
      <c r="G85" s="81" t="s">
        <v>267</v>
      </c>
      <c r="H85" s="584" t="s">
        <v>139</v>
      </c>
      <c r="I85" s="218">
        <v>1307700</v>
      </c>
      <c r="J85" s="59">
        <v>0</v>
      </c>
      <c r="K85" s="621">
        <f t="shared" si="67"/>
        <v>1307700</v>
      </c>
      <c r="L85" s="585">
        <v>96</v>
      </c>
      <c r="M85" s="621">
        <f t="shared" si="41"/>
        <v>125539200</v>
      </c>
      <c r="N85" s="584" t="s">
        <v>140</v>
      </c>
      <c r="O85" s="584">
        <v>45</v>
      </c>
      <c r="P85" s="487" t="s">
        <v>17</v>
      </c>
      <c r="Q85" s="64" t="s">
        <v>273</v>
      </c>
      <c r="R85" s="487">
        <v>46147</v>
      </c>
      <c r="S85" s="489">
        <v>46154</v>
      </c>
      <c r="T85" s="489">
        <v>46137</v>
      </c>
      <c r="U85" s="16">
        <v>1307700</v>
      </c>
      <c r="V85" s="620">
        <f t="shared" si="101"/>
        <v>0</v>
      </c>
      <c r="W85" s="618">
        <f t="shared" ref="W85:W99" si="111">U85*L85</f>
        <v>125539200</v>
      </c>
      <c r="X85" s="228"/>
      <c r="Y85" s="586">
        <v>46182</v>
      </c>
      <c r="Z85" s="616">
        <f t="shared" si="102"/>
        <v>46184</v>
      </c>
      <c r="AA85" s="617">
        <f>M85</f>
        <v>125539200</v>
      </c>
      <c r="AB85" s="61"/>
      <c r="AC85" s="616" t="str">
        <f t="shared" si="42"/>
        <v>June26</v>
      </c>
      <c r="AD85" s="588" t="s">
        <v>43</v>
      </c>
      <c r="AE85" s="589" t="s">
        <v>164</v>
      </c>
      <c r="AF85" s="250" t="s">
        <v>143</v>
      </c>
      <c r="AG85" s="250"/>
      <c r="AH85" s="250" t="s">
        <v>165</v>
      </c>
      <c r="AI85" s="590"/>
      <c r="AJ85" s="554">
        <v>44730457174</v>
      </c>
      <c r="AK85" s="367">
        <v>12197000</v>
      </c>
      <c r="AL85" s="61">
        <v>46157</v>
      </c>
      <c r="AM85" s="61">
        <v>46178</v>
      </c>
      <c r="AN85" s="593"/>
      <c r="AO85" s="592"/>
      <c r="AP85" s="46" t="s">
        <v>171</v>
      </c>
    </row>
    <row r="86" spans="1:42" x14ac:dyDescent="0.25">
      <c r="A86" s="582">
        <v>261</v>
      </c>
      <c r="B86" s="46">
        <v>5600000444</v>
      </c>
      <c r="C86" s="80" t="s">
        <v>274</v>
      </c>
      <c r="D86" s="487">
        <v>46099</v>
      </c>
      <c r="E86" s="583" t="s">
        <v>1</v>
      </c>
      <c r="F86" s="262">
        <v>0.1</v>
      </c>
      <c r="G86" s="81" t="s">
        <v>234</v>
      </c>
      <c r="H86" s="584" t="s">
        <v>139</v>
      </c>
      <c r="I86" s="218">
        <v>3203988.48</v>
      </c>
      <c r="J86" s="59">
        <v>0</v>
      </c>
      <c r="K86" s="621">
        <f t="shared" si="67"/>
        <v>3203988.48</v>
      </c>
      <c r="L86" s="585">
        <v>96</v>
      </c>
      <c r="M86" s="621">
        <f t="shared" si="41"/>
        <v>307582894.07999998</v>
      </c>
      <c r="N86" s="584" t="s">
        <v>140</v>
      </c>
      <c r="O86" s="584">
        <v>60</v>
      </c>
      <c r="P86" s="487" t="s">
        <v>17</v>
      </c>
      <c r="Q86" s="64" t="s">
        <v>275</v>
      </c>
      <c r="R86" s="487">
        <v>46134</v>
      </c>
      <c r="S86" s="489">
        <v>46139</v>
      </c>
      <c r="T86" s="489">
        <v>46113</v>
      </c>
      <c r="U86" s="16">
        <v>361972.8</v>
      </c>
      <c r="V86" s="620">
        <f t="shared" si="101"/>
        <v>2842015.68</v>
      </c>
      <c r="W86" s="618">
        <f t="shared" si="111"/>
        <v>34749388.799999997</v>
      </c>
      <c r="X86" s="228"/>
      <c r="Y86" s="586">
        <v>46175</v>
      </c>
      <c r="Z86" s="616">
        <f>Y86+2</f>
        <v>46177</v>
      </c>
      <c r="AA86" s="617">
        <f>M86</f>
        <v>307582894.07999998</v>
      </c>
      <c r="AB86" s="61"/>
      <c r="AC86" s="616" t="str">
        <f t="shared" si="42"/>
        <v>June26</v>
      </c>
      <c r="AD86" s="588" t="s">
        <v>36</v>
      </c>
      <c r="AE86" s="589" t="s">
        <v>142</v>
      </c>
      <c r="AF86" s="250" t="s">
        <v>143</v>
      </c>
      <c r="AG86" s="250">
        <v>46175</v>
      </c>
      <c r="AH86" s="250" t="s">
        <v>144</v>
      </c>
      <c r="AI86" s="590"/>
      <c r="AJ86" s="554">
        <v>42815340031</v>
      </c>
      <c r="AK86" s="367">
        <v>300000</v>
      </c>
      <c r="AL86" s="61">
        <v>46127</v>
      </c>
      <c r="AM86" s="61">
        <v>46148</v>
      </c>
      <c r="AN86" s="593"/>
      <c r="AO86" s="592"/>
      <c r="AP86" s="46" t="s">
        <v>145</v>
      </c>
    </row>
    <row r="87" spans="1:42" x14ac:dyDescent="0.25">
      <c r="A87" s="582"/>
      <c r="B87" s="46">
        <v>5600000444</v>
      </c>
      <c r="C87" s="80" t="s">
        <v>274</v>
      </c>
      <c r="D87" s="487">
        <v>46099</v>
      </c>
      <c r="E87" s="583" t="s">
        <v>1</v>
      </c>
      <c r="F87" s="262">
        <v>0.1</v>
      </c>
      <c r="G87" s="81" t="s">
        <v>234</v>
      </c>
      <c r="H87" s="584" t="s">
        <v>139</v>
      </c>
      <c r="I87" s="218">
        <v>0</v>
      </c>
      <c r="J87" s="59">
        <v>0</v>
      </c>
      <c r="K87" s="621">
        <f t="shared" ref="K87" si="112">J87+I87</f>
        <v>0</v>
      </c>
      <c r="L87" s="585">
        <v>96</v>
      </c>
      <c r="M87" s="621">
        <f t="shared" ref="M87" si="113">K87*L87</f>
        <v>0</v>
      </c>
      <c r="N87" s="584" t="s">
        <v>140</v>
      </c>
      <c r="O87" s="584">
        <v>60</v>
      </c>
      <c r="P87" s="487" t="s">
        <v>17</v>
      </c>
      <c r="Q87" s="64" t="s">
        <v>276</v>
      </c>
      <c r="R87" s="487">
        <v>46134</v>
      </c>
      <c r="S87" s="489">
        <v>46139</v>
      </c>
      <c r="T87" s="489">
        <v>46111</v>
      </c>
      <c r="U87" s="16">
        <v>433266.62</v>
      </c>
      <c r="V87" s="620">
        <f t="shared" ref="V87" si="114">K87-U87</f>
        <v>-433266.62</v>
      </c>
      <c r="W87" s="618">
        <f t="shared" ref="W87" si="115">U87*L87</f>
        <v>41593595.519999996</v>
      </c>
      <c r="X87" s="228"/>
      <c r="Y87" s="586">
        <v>46171</v>
      </c>
      <c r="Z87" s="586"/>
      <c r="AA87" s="587"/>
      <c r="AB87" s="61"/>
      <c r="AC87" s="616" t="str">
        <f t="shared" ref="AC87" si="116">IF(Y87="","-",TEXT(Y87,"mmmmyy"))</f>
        <v>May26</v>
      </c>
      <c r="AD87" s="588" t="s">
        <v>36</v>
      </c>
      <c r="AE87" s="589" t="s">
        <v>142</v>
      </c>
      <c r="AF87" s="250" t="s">
        <v>143</v>
      </c>
      <c r="AG87" s="250">
        <v>46175</v>
      </c>
      <c r="AH87" s="250" t="s">
        <v>144</v>
      </c>
      <c r="AI87" s="590"/>
      <c r="AJ87" s="554"/>
      <c r="AK87" s="367"/>
      <c r="AL87" s="61">
        <v>46127</v>
      </c>
      <c r="AM87" s="61">
        <v>46148</v>
      </c>
      <c r="AN87" s="593"/>
      <c r="AO87" s="592"/>
      <c r="AP87" s="46" t="s">
        <v>145</v>
      </c>
    </row>
    <row r="88" spans="1:42" x14ac:dyDescent="0.25">
      <c r="A88" s="582"/>
      <c r="B88" s="46">
        <v>5600000444</v>
      </c>
      <c r="C88" s="80" t="s">
        <v>274</v>
      </c>
      <c r="D88" s="487">
        <v>46099</v>
      </c>
      <c r="E88" s="583" t="s">
        <v>1</v>
      </c>
      <c r="F88" s="262">
        <v>0.1</v>
      </c>
      <c r="G88" s="81" t="s">
        <v>234</v>
      </c>
      <c r="H88" s="584" t="s">
        <v>139</v>
      </c>
      <c r="I88" s="218">
        <v>0</v>
      </c>
      <c r="J88" s="59">
        <v>0</v>
      </c>
      <c r="K88" s="621">
        <f t="shared" ref="K88" si="117">J88+I88</f>
        <v>0</v>
      </c>
      <c r="L88" s="585">
        <v>96</v>
      </c>
      <c r="M88" s="621">
        <f t="shared" ref="M88" si="118">K88*L88</f>
        <v>0</v>
      </c>
      <c r="N88" s="584" t="s">
        <v>140</v>
      </c>
      <c r="O88" s="584">
        <v>60</v>
      </c>
      <c r="P88" s="487" t="s">
        <v>17</v>
      </c>
      <c r="Q88" s="64" t="s">
        <v>277</v>
      </c>
      <c r="R88" s="487">
        <v>46134</v>
      </c>
      <c r="S88" s="489">
        <v>46139</v>
      </c>
      <c r="T88" s="489">
        <v>46107</v>
      </c>
      <c r="U88" s="16">
        <v>361972.8</v>
      </c>
      <c r="V88" s="620">
        <f t="shared" ref="V88" si="119">K88-U88</f>
        <v>-361972.8</v>
      </c>
      <c r="W88" s="618">
        <f t="shared" ref="W88" si="120">U88*L88</f>
        <v>34749388.799999997</v>
      </c>
      <c r="X88" s="228"/>
      <c r="Y88" s="586">
        <v>46168</v>
      </c>
      <c r="Z88" s="586"/>
      <c r="AA88" s="587"/>
      <c r="AB88" s="61"/>
      <c r="AC88" s="616" t="str">
        <f t="shared" ref="AC88" si="121">IF(Y88="","-",TEXT(Y88,"mmmmyy"))</f>
        <v>May26</v>
      </c>
      <c r="AD88" s="588" t="s">
        <v>36</v>
      </c>
      <c r="AE88" s="589" t="s">
        <v>142</v>
      </c>
      <c r="AF88" s="250" t="s">
        <v>143</v>
      </c>
      <c r="AG88" s="250">
        <v>46175</v>
      </c>
      <c r="AH88" s="250" t="s">
        <v>144</v>
      </c>
      <c r="AI88" s="590"/>
      <c r="AJ88" s="554"/>
      <c r="AK88" s="367"/>
      <c r="AL88" s="61">
        <v>46127</v>
      </c>
      <c r="AM88" s="61">
        <v>46148</v>
      </c>
      <c r="AN88" s="593"/>
      <c r="AO88" s="592"/>
      <c r="AP88" s="46" t="s">
        <v>145</v>
      </c>
    </row>
    <row r="89" spans="1:42" x14ac:dyDescent="0.25">
      <c r="A89" s="582"/>
      <c r="B89" s="46">
        <v>5600000444</v>
      </c>
      <c r="C89" s="80" t="s">
        <v>274</v>
      </c>
      <c r="D89" s="487">
        <v>46099</v>
      </c>
      <c r="E89" s="583" t="s">
        <v>1</v>
      </c>
      <c r="F89" s="262">
        <v>0.1</v>
      </c>
      <c r="G89" s="81" t="s">
        <v>234</v>
      </c>
      <c r="H89" s="584" t="s">
        <v>139</v>
      </c>
      <c r="I89" s="218">
        <v>0</v>
      </c>
      <c r="J89" s="59">
        <v>0</v>
      </c>
      <c r="K89" s="621">
        <f t="shared" ref="K89" si="122">J89+I89</f>
        <v>0</v>
      </c>
      <c r="L89" s="585">
        <v>96</v>
      </c>
      <c r="M89" s="621">
        <f t="shared" ref="M89" si="123">K89*L89</f>
        <v>0</v>
      </c>
      <c r="N89" s="584" t="s">
        <v>140</v>
      </c>
      <c r="O89" s="584">
        <v>60</v>
      </c>
      <c r="P89" s="487" t="s">
        <v>17</v>
      </c>
      <c r="Q89" s="64" t="s">
        <v>278</v>
      </c>
      <c r="R89" s="487">
        <v>46134</v>
      </c>
      <c r="S89" s="489">
        <v>46141</v>
      </c>
      <c r="T89" s="489">
        <v>46107</v>
      </c>
      <c r="U89" s="16">
        <v>433266.62</v>
      </c>
      <c r="V89" s="620">
        <f t="shared" ref="V89" si="124">K89-U89</f>
        <v>-433266.62</v>
      </c>
      <c r="W89" s="618">
        <f t="shared" ref="W89" si="125">U89*L89</f>
        <v>41593595.519999996</v>
      </c>
      <c r="X89" s="228"/>
      <c r="Y89" s="586">
        <v>46168</v>
      </c>
      <c r="Z89" s="586"/>
      <c r="AA89" s="587"/>
      <c r="AB89" s="61"/>
      <c r="AC89" s="616" t="str">
        <f t="shared" ref="AC89" si="126">IF(Y89="","-",TEXT(Y89,"mmmmyy"))</f>
        <v>May26</v>
      </c>
      <c r="AD89" s="588" t="s">
        <v>36</v>
      </c>
      <c r="AE89" s="589" t="s">
        <v>142</v>
      </c>
      <c r="AF89" s="250" t="s">
        <v>143</v>
      </c>
      <c r="AG89" s="250">
        <v>46175</v>
      </c>
      <c r="AH89" s="250" t="s">
        <v>144</v>
      </c>
      <c r="AI89" s="590"/>
      <c r="AJ89" s="554"/>
      <c r="AK89" s="367"/>
      <c r="AL89" s="61">
        <v>46127</v>
      </c>
      <c r="AM89" s="61">
        <v>46148</v>
      </c>
      <c r="AN89" s="593"/>
      <c r="AO89" s="592"/>
      <c r="AP89" s="46" t="s">
        <v>145</v>
      </c>
    </row>
    <row r="90" spans="1:42" x14ac:dyDescent="0.25">
      <c r="A90" s="582"/>
      <c r="B90" s="46">
        <v>5600000444</v>
      </c>
      <c r="C90" s="80" t="s">
        <v>274</v>
      </c>
      <c r="D90" s="487">
        <v>46099</v>
      </c>
      <c r="E90" s="583" t="s">
        <v>1</v>
      </c>
      <c r="F90" s="262">
        <v>0.1</v>
      </c>
      <c r="G90" s="81" t="s">
        <v>234</v>
      </c>
      <c r="H90" s="584" t="s">
        <v>139</v>
      </c>
      <c r="I90" s="218">
        <v>0</v>
      </c>
      <c r="J90" s="59">
        <v>0</v>
      </c>
      <c r="K90" s="621">
        <f t="shared" ref="K90" si="127">J90+I90</f>
        <v>0</v>
      </c>
      <c r="L90" s="585">
        <v>96</v>
      </c>
      <c r="M90" s="621">
        <f t="shared" ref="M90" si="128">K90*L90</f>
        <v>0</v>
      </c>
      <c r="N90" s="584" t="s">
        <v>140</v>
      </c>
      <c r="O90" s="584">
        <v>60</v>
      </c>
      <c r="P90" s="487" t="s">
        <v>17</v>
      </c>
      <c r="Q90" s="64" t="s">
        <v>279</v>
      </c>
      <c r="R90" s="487">
        <v>46134</v>
      </c>
      <c r="S90" s="489">
        <v>46141</v>
      </c>
      <c r="T90" s="489">
        <v>46107</v>
      </c>
      <c r="U90" s="16">
        <v>361972.8</v>
      </c>
      <c r="V90" s="620">
        <f t="shared" ref="V90" si="129">K90-U90</f>
        <v>-361972.8</v>
      </c>
      <c r="W90" s="618">
        <f t="shared" ref="W90" si="130">U90*L90</f>
        <v>34749388.799999997</v>
      </c>
      <c r="X90" s="228"/>
      <c r="Y90" s="586">
        <v>46168</v>
      </c>
      <c r="Z90" s="586"/>
      <c r="AA90" s="587"/>
      <c r="AB90" s="61"/>
      <c r="AC90" s="616" t="str">
        <f t="shared" ref="AC90" si="131">IF(Y90="","-",TEXT(Y90,"mmmmyy"))</f>
        <v>May26</v>
      </c>
      <c r="AD90" s="588" t="s">
        <v>36</v>
      </c>
      <c r="AE90" s="589" t="s">
        <v>142</v>
      </c>
      <c r="AF90" s="250" t="s">
        <v>143</v>
      </c>
      <c r="AG90" s="250">
        <v>46175</v>
      </c>
      <c r="AH90" s="250" t="s">
        <v>144</v>
      </c>
      <c r="AI90" s="590"/>
      <c r="AJ90" s="554"/>
      <c r="AK90" s="367"/>
      <c r="AL90" s="61">
        <v>46127</v>
      </c>
      <c r="AM90" s="61">
        <v>46148</v>
      </c>
      <c r="AN90" s="593"/>
      <c r="AO90" s="592"/>
      <c r="AP90" s="46" t="s">
        <v>145</v>
      </c>
    </row>
    <row r="91" spans="1:42" x14ac:dyDescent="0.25">
      <c r="A91" s="582"/>
      <c r="B91" s="46">
        <v>5600000444</v>
      </c>
      <c r="C91" s="80" t="s">
        <v>274</v>
      </c>
      <c r="D91" s="487">
        <v>46099</v>
      </c>
      <c r="E91" s="583" t="s">
        <v>1</v>
      </c>
      <c r="F91" s="262">
        <v>0.1</v>
      </c>
      <c r="G91" s="81" t="s">
        <v>234</v>
      </c>
      <c r="H91" s="584" t="s">
        <v>139</v>
      </c>
      <c r="I91" s="218">
        <v>0</v>
      </c>
      <c r="J91" s="59">
        <v>0</v>
      </c>
      <c r="K91" s="621">
        <f t="shared" ref="K91" si="132">J91+I91</f>
        <v>0</v>
      </c>
      <c r="L91" s="585">
        <v>96</v>
      </c>
      <c r="M91" s="621">
        <f t="shared" ref="M91" si="133">K91*L91</f>
        <v>0</v>
      </c>
      <c r="N91" s="584" t="s">
        <v>140</v>
      </c>
      <c r="O91" s="584">
        <v>60</v>
      </c>
      <c r="P91" s="487" t="s">
        <v>17</v>
      </c>
      <c r="Q91" s="64" t="s">
        <v>280</v>
      </c>
      <c r="R91" s="487">
        <v>46134</v>
      </c>
      <c r="S91" s="489">
        <v>46141</v>
      </c>
      <c r="T91" s="489">
        <v>46113</v>
      </c>
      <c r="U91" s="16">
        <v>433266.62</v>
      </c>
      <c r="V91" s="620">
        <f t="shared" ref="V91" si="134">K91-U91</f>
        <v>-433266.62</v>
      </c>
      <c r="W91" s="618">
        <f t="shared" ref="W91" si="135">U91*L91</f>
        <v>41593595.519999996</v>
      </c>
      <c r="X91" s="228"/>
      <c r="Y91" s="586">
        <v>46174</v>
      </c>
      <c r="Z91" s="586"/>
      <c r="AA91" s="587"/>
      <c r="AB91" s="61"/>
      <c r="AC91" s="616" t="str">
        <f t="shared" ref="AC91" si="136">IF(Y91="","-",TEXT(Y91,"mmmmyy"))</f>
        <v>June26</v>
      </c>
      <c r="AD91" s="588" t="s">
        <v>36</v>
      </c>
      <c r="AE91" s="589" t="s">
        <v>142</v>
      </c>
      <c r="AF91" s="250" t="s">
        <v>143</v>
      </c>
      <c r="AG91" s="250">
        <v>46175</v>
      </c>
      <c r="AH91" s="250" t="s">
        <v>144</v>
      </c>
      <c r="AI91" s="590" t="s">
        <v>1316</v>
      </c>
      <c r="AJ91" s="554"/>
      <c r="AK91" s="367"/>
      <c r="AL91" s="61">
        <v>46127</v>
      </c>
      <c r="AM91" s="61">
        <v>46148</v>
      </c>
      <c r="AN91" s="593"/>
      <c r="AO91" s="592"/>
      <c r="AP91" s="46" t="s">
        <v>145</v>
      </c>
    </row>
    <row r="92" spans="1:42" x14ac:dyDescent="0.25">
      <c r="A92" s="582"/>
      <c r="B92" s="46">
        <v>5600000444</v>
      </c>
      <c r="C92" s="80" t="s">
        <v>274</v>
      </c>
      <c r="D92" s="487">
        <v>46099</v>
      </c>
      <c r="E92" s="583" t="s">
        <v>1</v>
      </c>
      <c r="F92" s="262">
        <v>0.1</v>
      </c>
      <c r="G92" s="81" t="s">
        <v>234</v>
      </c>
      <c r="H92" s="584" t="s">
        <v>139</v>
      </c>
      <c r="I92" s="218">
        <v>0</v>
      </c>
      <c r="J92" s="59">
        <v>0</v>
      </c>
      <c r="K92" s="621">
        <f t="shared" ref="K92" si="137">J92+I92</f>
        <v>0</v>
      </c>
      <c r="L92" s="585">
        <v>96</v>
      </c>
      <c r="M92" s="621">
        <f t="shared" ref="M92" si="138">K92*L92</f>
        <v>0</v>
      </c>
      <c r="N92" s="584" t="s">
        <v>140</v>
      </c>
      <c r="O92" s="584">
        <v>60</v>
      </c>
      <c r="P92" s="487" t="s">
        <v>17</v>
      </c>
      <c r="Q92" s="64" t="s">
        <v>281</v>
      </c>
      <c r="R92" s="487">
        <v>46134</v>
      </c>
      <c r="S92" s="489">
        <v>46141</v>
      </c>
      <c r="T92" s="489">
        <v>46113</v>
      </c>
      <c r="U92" s="16">
        <v>433266.62</v>
      </c>
      <c r="V92" s="620">
        <f t="shared" ref="V92" si="139">K92-U92</f>
        <v>-433266.62</v>
      </c>
      <c r="W92" s="618">
        <f t="shared" ref="W92" si="140">U92*L92</f>
        <v>41593595.519999996</v>
      </c>
      <c r="X92" s="228"/>
      <c r="Y92" s="586">
        <v>46174</v>
      </c>
      <c r="Z92" s="586"/>
      <c r="AA92" s="587"/>
      <c r="AB92" s="61"/>
      <c r="AC92" s="616" t="str">
        <f t="shared" ref="AC92" si="141">IF(Y92="","-",TEXT(Y92,"mmmmyy"))</f>
        <v>June26</v>
      </c>
      <c r="AD92" s="588" t="s">
        <v>36</v>
      </c>
      <c r="AE92" s="589" t="s">
        <v>142</v>
      </c>
      <c r="AF92" s="250" t="s">
        <v>143</v>
      </c>
      <c r="AG92" s="250">
        <v>46175</v>
      </c>
      <c r="AH92" s="250" t="s">
        <v>144</v>
      </c>
      <c r="AI92" s="590" t="s">
        <v>1316</v>
      </c>
      <c r="AJ92" s="554"/>
      <c r="AK92" s="367"/>
      <c r="AL92" s="61">
        <v>46127</v>
      </c>
      <c r="AM92" s="61">
        <v>46148</v>
      </c>
      <c r="AN92" s="593"/>
      <c r="AO92" s="592"/>
      <c r="AP92" s="46" t="s">
        <v>145</v>
      </c>
    </row>
    <row r="93" spans="1:42" x14ac:dyDescent="0.25">
      <c r="A93" s="582"/>
      <c r="B93" s="46">
        <v>5600000444</v>
      </c>
      <c r="C93" s="80" t="s">
        <v>274</v>
      </c>
      <c r="D93" s="487">
        <v>46099</v>
      </c>
      <c r="E93" s="583" t="s">
        <v>1</v>
      </c>
      <c r="F93" s="262">
        <v>0.1</v>
      </c>
      <c r="G93" s="81" t="s">
        <v>234</v>
      </c>
      <c r="H93" s="584" t="s">
        <v>139</v>
      </c>
      <c r="I93" s="218">
        <v>0</v>
      </c>
      <c r="J93" s="59">
        <v>0</v>
      </c>
      <c r="K93" s="621">
        <f t="shared" ref="K93" si="142">J93+I93</f>
        <v>0</v>
      </c>
      <c r="L93" s="585">
        <v>96</v>
      </c>
      <c r="M93" s="621">
        <f t="shared" ref="M93" si="143">K93*L93</f>
        <v>0</v>
      </c>
      <c r="N93" s="584" t="s">
        <v>140</v>
      </c>
      <c r="O93" s="584">
        <v>60</v>
      </c>
      <c r="P93" s="487" t="s">
        <v>17</v>
      </c>
      <c r="Q93" s="64" t="s">
        <v>282</v>
      </c>
      <c r="R93" s="487">
        <v>46134</v>
      </c>
      <c r="S93" s="489">
        <v>46141</v>
      </c>
      <c r="T93" s="489">
        <v>46113</v>
      </c>
      <c r="U93" s="16">
        <v>361972.8</v>
      </c>
      <c r="V93" s="620">
        <f t="shared" ref="V93" si="144">K93-U93</f>
        <v>-361972.8</v>
      </c>
      <c r="W93" s="618">
        <f t="shared" ref="W93" si="145">U93*L93</f>
        <v>34749388.799999997</v>
      </c>
      <c r="X93" s="228"/>
      <c r="Y93" s="586">
        <v>46174</v>
      </c>
      <c r="Z93" s="586"/>
      <c r="AA93" s="587"/>
      <c r="AB93" s="61"/>
      <c r="AC93" s="616" t="str">
        <f t="shared" ref="AC93" si="146">IF(Y93="","-",TEXT(Y93,"mmmmyy"))</f>
        <v>June26</v>
      </c>
      <c r="AD93" s="588" t="s">
        <v>36</v>
      </c>
      <c r="AE93" s="589" t="s">
        <v>142</v>
      </c>
      <c r="AF93" s="250" t="s">
        <v>143</v>
      </c>
      <c r="AG93" s="250">
        <v>46175</v>
      </c>
      <c r="AH93" s="250" t="s">
        <v>144</v>
      </c>
      <c r="AI93" s="590" t="s">
        <v>1316</v>
      </c>
      <c r="AJ93" s="554"/>
      <c r="AK93" s="367"/>
      <c r="AL93" s="61">
        <v>46127</v>
      </c>
      <c r="AM93" s="61">
        <v>46148</v>
      </c>
      <c r="AN93" s="593"/>
      <c r="AO93" s="592"/>
      <c r="AP93" s="46" t="s">
        <v>145</v>
      </c>
    </row>
    <row r="94" spans="1:42" x14ac:dyDescent="0.25">
      <c r="A94" s="582"/>
      <c r="B94" s="46">
        <v>5600000444</v>
      </c>
      <c r="C94" s="80" t="s">
        <v>274</v>
      </c>
      <c r="D94" s="487">
        <v>46099</v>
      </c>
      <c r="E94" s="583" t="s">
        <v>1</v>
      </c>
      <c r="F94" s="262">
        <v>0.1</v>
      </c>
      <c r="G94" s="81" t="s">
        <v>234</v>
      </c>
      <c r="H94" s="584" t="s">
        <v>139</v>
      </c>
      <c r="I94" s="218">
        <v>0</v>
      </c>
      <c r="J94" s="59">
        <v>0</v>
      </c>
      <c r="K94" s="621">
        <f t="shared" ref="K94" si="147">J94+I94</f>
        <v>0</v>
      </c>
      <c r="L94" s="585">
        <v>96</v>
      </c>
      <c r="M94" s="621">
        <f t="shared" ref="M94" si="148">K94*L94</f>
        <v>0</v>
      </c>
      <c r="N94" s="584" t="s">
        <v>140</v>
      </c>
      <c r="O94" s="584">
        <v>60</v>
      </c>
      <c r="P94" s="487" t="s">
        <v>146</v>
      </c>
      <c r="R94" s="487"/>
      <c r="S94" s="489"/>
      <c r="T94" s="489"/>
      <c r="U94" s="16">
        <v>23030.799999999999</v>
      </c>
      <c r="V94" s="620">
        <f t="shared" ref="V94" si="149">K94-U94</f>
        <v>-23030.799999999999</v>
      </c>
      <c r="W94" s="618">
        <f t="shared" ref="W94" si="150">U94*L94</f>
        <v>2210956.7999999998</v>
      </c>
      <c r="X94" s="228"/>
      <c r="Y94" s="586">
        <v>46175</v>
      </c>
      <c r="Z94" s="586"/>
      <c r="AA94" s="587"/>
      <c r="AB94" s="61"/>
      <c r="AC94" s="616" t="str">
        <f t="shared" ref="AC94" si="151">IF(Y94="","-",TEXT(Y94,"mmmmyy"))</f>
        <v>June26</v>
      </c>
      <c r="AD94" s="588" t="s">
        <v>34</v>
      </c>
      <c r="AE94" s="589" t="s">
        <v>142</v>
      </c>
      <c r="AF94" s="250" t="s">
        <v>75</v>
      </c>
      <c r="AG94" s="250">
        <v>46175</v>
      </c>
      <c r="AH94" s="250" t="s">
        <v>144</v>
      </c>
      <c r="AI94" s="590"/>
      <c r="AJ94" s="554"/>
      <c r="AK94" s="367"/>
      <c r="AL94" s="61">
        <v>46127</v>
      </c>
      <c r="AM94" s="61">
        <v>46148</v>
      </c>
      <c r="AN94" s="593"/>
      <c r="AO94" s="592"/>
      <c r="AP94" s="46" t="s">
        <v>145</v>
      </c>
    </row>
    <row r="95" spans="1:42" x14ac:dyDescent="0.25">
      <c r="A95" s="582">
        <v>270</v>
      </c>
      <c r="B95" s="46">
        <v>5600000446</v>
      </c>
      <c r="C95" s="80" t="s">
        <v>283</v>
      </c>
      <c r="D95" s="487">
        <v>46101</v>
      </c>
      <c r="E95" s="583" t="s">
        <v>1</v>
      </c>
      <c r="F95" s="262">
        <v>0.1</v>
      </c>
      <c r="G95" s="81" t="s">
        <v>267</v>
      </c>
      <c r="H95" s="584" t="s">
        <v>139</v>
      </c>
      <c r="I95" s="218">
        <v>1307700</v>
      </c>
      <c r="J95" s="59">
        <v>0</v>
      </c>
      <c r="K95" s="621">
        <f t="shared" si="67"/>
        <v>1307700</v>
      </c>
      <c r="L95" s="585">
        <v>94.920500000000004</v>
      </c>
      <c r="M95" s="621">
        <f t="shared" si="41"/>
        <v>124127537.85000001</v>
      </c>
      <c r="N95" s="584" t="s">
        <v>140</v>
      </c>
      <c r="O95" s="584">
        <v>45</v>
      </c>
      <c r="P95" s="487" t="s">
        <v>17</v>
      </c>
      <c r="Q95" s="64" t="s">
        <v>284</v>
      </c>
      <c r="R95" s="487">
        <v>46119</v>
      </c>
      <c r="S95" s="489">
        <v>46122</v>
      </c>
      <c r="T95" s="489">
        <v>46107</v>
      </c>
      <c r="U95" s="16">
        <v>1307700</v>
      </c>
      <c r="V95" s="620">
        <f t="shared" si="101"/>
        <v>0</v>
      </c>
      <c r="W95" s="618">
        <f t="shared" si="111"/>
        <v>124127537.85000001</v>
      </c>
      <c r="X95" s="228"/>
      <c r="Y95" s="586">
        <v>46153</v>
      </c>
      <c r="Z95" s="616">
        <f t="shared" si="102"/>
        <v>46155</v>
      </c>
      <c r="AA95" s="617">
        <f t="shared" si="110"/>
        <v>124127537.85000001</v>
      </c>
      <c r="AB95" s="61"/>
      <c r="AC95" s="616" t="str">
        <f t="shared" si="42"/>
        <v>May26</v>
      </c>
      <c r="AD95" s="588" t="s">
        <v>36</v>
      </c>
      <c r="AE95" s="589" t="s">
        <v>142</v>
      </c>
      <c r="AF95" s="250" t="s">
        <v>143</v>
      </c>
      <c r="AG95" s="250">
        <v>46153</v>
      </c>
      <c r="AH95" s="250" t="s">
        <v>144</v>
      </c>
      <c r="AI95" s="590" t="s">
        <v>1316</v>
      </c>
      <c r="AJ95" s="554"/>
      <c r="AK95" s="367"/>
      <c r="AL95" s="61">
        <v>46127</v>
      </c>
      <c r="AM95" s="61">
        <v>46148</v>
      </c>
      <c r="AN95" s="593"/>
      <c r="AO95" s="592"/>
      <c r="AP95" s="46" t="s">
        <v>171</v>
      </c>
    </row>
    <row r="96" spans="1:42" x14ac:dyDescent="0.25">
      <c r="A96" s="582">
        <v>271</v>
      </c>
      <c r="B96" s="46">
        <v>5600000446</v>
      </c>
      <c r="C96" s="80" t="s">
        <v>285</v>
      </c>
      <c r="D96" s="487">
        <v>46101</v>
      </c>
      <c r="E96" s="583" t="s">
        <v>1</v>
      </c>
      <c r="F96" s="262">
        <v>0.1</v>
      </c>
      <c r="G96" s="81" t="s">
        <v>267</v>
      </c>
      <c r="H96" s="584" t="s">
        <v>139</v>
      </c>
      <c r="I96" s="218">
        <v>1307700</v>
      </c>
      <c r="J96" s="59">
        <v>0</v>
      </c>
      <c r="K96" s="621">
        <f t="shared" si="67"/>
        <v>1307700</v>
      </c>
      <c r="L96" s="585">
        <v>96</v>
      </c>
      <c r="M96" s="621">
        <f t="shared" si="41"/>
        <v>125539200</v>
      </c>
      <c r="N96" s="584" t="s">
        <v>140</v>
      </c>
      <c r="O96" s="584">
        <v>45</v>
      </c>
      <c r="P96" s="487" t="s">
        <v>17</v>
      </c>
      <c r="Q96" s="64" t="s">
        <v>286</v>
      </c>
      <c r="R96" s="487">
        <v>46133</v>
      </c>
      <c r="S96" s="489">
        <v>46135</v>
      </c>
      <c r="T96" s="489">
        <v>46122</v>
      </c>
      <c r="U96" s="16">
        <v>652950</v>
      </c>
      <c r="V96" s="620">
        <f t="shared" si="101"/>
        <v>654750</v>
      </c>
      <c r="W96" s="618">
        <f t="shared" si="111"/>
        <v>62683200</v>
      </c>
      <c r="X96" s="228"/>
      <c r="Y96" s="586">
        <v>46171</v>
      </c>
      <c r="Z96" s="586"/>
      <c r="AA96" s="587"/>
      <c r="AB96" s="61"/>
      <c r="AC96" s="616" t="str">
        <f t="shared" si="42"/>
        <v>May26</v>
      </c>
      <c r="AD96" s="588" t="s">
        <v>43</v>
      </c>
      <c r="AE96" s="589" t="s">
        <v>142</v>
      </c>
      <c r="AF96" s="250" t="s">
        <v>143</v>
      </c>
      <c r="AG96" s="250"/>
      <c r="AH96" s="250" t="s">
        <v>165</v>
      </c>
      <c r="AI96" s="590"/>
      <c r="AJ96" s="554">
        <v>4281470748</v>
      </c>
      <c r="AK96" s="367">
        <v>2151000</v>
      </c>
      <c r="AL96" s="61">
        <v>46142</v>
      </c>
      <c r="AM96" s="61">
        <v>46163</v>
      </c>
      <c r="AN96" s="593"/>
      <c r="AO96" s="592"/>
      <c r="AP96" s="46" t="s">
        <v>171</v>
      </c>
    </row>
    <row r="97" spans="1:42" x14ac:dyDescent="0.25">
      <c r="A97" s="582"/>
      <c r="B97" s="46">
        <v>5600000446</v>
      </c>
      <c r="C97" s="80" t="s">
        <v>285</v>
      </c>
      <c r="D97" s="487">
        <v>46101</v>
      </c>
      <c r="E97" s="583" t="s">
        <v>1</v>
      </c>
      <c r="F97" s="262">
        <v>0.1</v>
      </c>
      <c r="G97" s="81" t="s">
        <v>267</v>
      </c>
      <c r="H97" s="584" t="s">
        <v>139</v>
      </c>
      <c r="I97" s="218">
        <v>0</v>
      </c>
      <c r="J97" s="59">
        <v>0</v>
      </c>
      <c r="K97" s="621">
        <f t="shared" ref="K97" si="152">J97+I97</f>
        <v>0</v>
      </c>
      <c r="L97" s="585">
        <v>96</v>
      </c>
      <c r="M97" s="621">
        <f t="shared" ref="M97" si="153">K97*L97</f>
        <v>0</v>
      </c>
      <c r="N97" s="584" t="s">
        <v>140</v>
      </c>
      <c r="O97" s="584">
        <v>45</v>
      </c>
      <c r="P97" s="487" t="s">
        <v>17</v>
      </c>
      <c r="Q97" s="64">
        <v>81013533</v>
      </c>
      <c r="R97" s="487">
        <v>46144</v>
      </c>
      <c r="S97" s="489">
        <v>46149</v>
      </c>
      <c r="T97" s="489">
        <v>46133</v>
      </c>
      <c r="U97" s="16">
        <v>130770</v>
      </c>
      <c r="V97" s="620">
        <f t="shared" ref="V97" si="154">K97-U97</f>
        <v>-130770</v>
      </c>
      <c r="W97" s="618">
        <f t="shared" ref="W97" si="155">U97*L97</f>
        <v>12553920</v>
      </c>
      <c r="X97" s="228"/>
      <c r="Y97" s="586">
        <v>46178</v>
      </c>
      <c r="Z97" s="586"/>
      <c r="AA97" s="586"/>
      <c r="AB97" s="61"/>
      <c r="AC97" s="616" t="str">
        <f t="shared" ref="AC97" si="156">IF(Y97="","-",TEXT(Y97,"mmmmyy"))</f>
        <v>June26</v>
      </c>
      <c r="AD97" s="588" t="s">
        <v>43</v>
      </c>
      <c r="AE97" s="589" t="s">
        <v>164</v>
      </c>
      <c r="AF97" s="250" t="s">
        <v>143</v>
      </c>
      <c r="AG97" s="250"/>
      <c r="AH97" s="250" t="s">
        <v>165</v>
      </c>
      <c r="AI97" s="590"/>
      <c r="AJ97" s="554">
        <v>44674538206</v>
      </c>
      <c r="AK97" s="367">
        <v>10179000</v>
      </c>
      <c r="AL97" s="61">
        <v>46142</v>
      </c>
      <c r="AM97" s="61">
        <v>46163</v>
      </c>
      <c r="AN97" s="593"/>
      <c r="AO97" s="592"/>
      <c r="AP97" s="46" t="s">
        <v>171</v>
      </c>
    </row>
    <row r="98" spans="1:42" x14ac:dyDescent="0.25">
      <c r="A98" s="582"/>
      <c r="B98" s="46">
        <v>5600000446</v>
      </c>
      <c r="C98" s="80" t="s">
        <v>285</v>
      </c>
      <c r="D98" s="487">
        <v>46101</v>
      </c>
      <c r="E98" s="583" t="s">
        <v>1</v>
      </c>
      <c r="F98" s="262">
        <v>0.1</v>
      </c>
      <c r="G98" s="81" t="s">
        <v>267</v>
      </c>
      <c r="H98" s="584" t="s">
        <v>139</v>
      </c>
      <c r="I98" s="218">
        <v>0</v>
      </c>
      <c r="J98" s="59">
        <v>0</v>
      </c>
      <c r="K98" s="621">
        <f t="shared" ref="K98" si="157">J98+I98</f>
        <v>0</v>
      </c>
      <c r="L98" s="585">
        <v>96</v>
      </c>
      <c r="M98" s="621">
        <f t="shared" ref="M98" si="158">K98*L98</f>
        <v>0</v>
      </c>
      <c r="N98" s="584" t="s">
        <v>140</v>
      </c>
      <c r="O98" s="584">
        <v>45</v>
      </c>
      <c r="P98" s="487" t="s">
        <v>17</v>
      </c>
      <c r="Q98" s="64" t="s">
        <v>287</v>
      </c>
      <c r="R98" s="487">
        <v>46154</v>
      </c>
      <c r="S98" s="489">
        <v>46158</v>
      </c>
      <c r="T98" s="489">
        <v>46140</v>
      </c>
      <c r="U98" s="16">
        <v>523980</v>
      </c>
      <c r="V98" s="620">
        <f t="shared" ref="V98" si="159">K98-U98</f>
        <v>-523980</v>
      </c>
      <c r="W98" s="618">
        <f t="shared" ref="W98" si="160">U98*L98</f>
        <v>50302080</v>
      </c>
      <c r="X98" s="228"/>
      <c r="Y98" s="586">
        <v>46185</v>
      </c>
      <c r="Z98" s="616">
        <f>Y98+2</f>
        <v>46187</v>
      </c>
      <c r="AA98" s="617">
        <f>M96</f>
        <v>125539200</v>
      </c>
      <c r="AB98" s="61"/>
      <c r="AC98" s="616" t="str">
        <f t="shared" ref="AC98" si="161">IF(Y98="","-",TEXT(Y98,"mmmmyy"))</f>
        <v>June26</v>
      </c>
      <c r="AD98" s="588" t="s">
        <v>43</v>
      </c>
      <c r="AE98" s="589" t="s">
        <v>164</v>
      </c>
      <c r="AF98" s="250" t="s">
        <v>143</v>
      </c>
      <c r="AG98" s="250"/>
      <c r="AH98" s="250" t="s">
        <v>165</v>
      </c>
      <c r="AI98" s="590"/>
      <c r="AJ98" s="554"/>
      <c r="AK98" s="367"/>
      <c r="AL98" s="61">
        <v>46142</v>
      </c>
      <c r="AM98" s="61">
        <v>46163</v>
      </c>
      <c r="AN98" s="593"/>
      <c r="AO98" s="592"/>
      <c r="AP98" s="46" t="s">
        <v>171</v>
      </c>
    </row>
    <row r="99" spans="1:42" x14ac:dyDescent="0.25">
      <c r="A99" s="582">
        <v>272</v>
      </c>
      <c r="B99" s="46">
        <v>5600000446</v>
      </c>
      <c r="C99" s="80" t="s">
        <v>288</v>
      </c>
      <c r="D99" s="487">
        <v>46101</v>
      </c>
      <c r="E99" s="583" t="s">
        <v>1</v>
      </c>
      <c r="F99" s="262">
        <v>0.1</v>
      </c>
      <c r="G99" s="81" t="s">
        <v>267</v>
      </c>
      <c r="H99" s="584" t="s">
        <v>139</v>
      </c>
      <c r="I99" s="265">
        <v>1307700</v>
      </c>
      <c r="J99" s="59">
        <v>0</v>
      </c>
      <c r="K99" s="621">
        <f t="shared" si="67"/>
        <v>1307700</v>
      </c>
      <c r="L99" s="585">
        <v>96</v>
      </c>
      <c r="M99" s="621">
        <f t="shared" si="41"/>
        <v>125539200</v>
      </c>
      <c r="N99" s="584" t="s">
        <v>140</v>
      </c>
      <c r="O99" s="584">
        <v>45</v>
      </c>
      <c r="P99" s="487" t="s">
        <v>17</v>
      </c>
      <c r="Q99" s="6">
        <v>81012295</v>
      </c>
      <c r="R99" s="487">
        <v>46144</v>
      </c>
      <c r="S99" s="489">
        <v>46149</v>
      </c>
      <c r="T99" s="489">
        <v>46133</v>
      </c>
      <c r="U99" s="16">
        <v>262440</v>
      </c>
      <c r="V99" s="620">
        <f t="shared" si="101"/>
        <v>1045260</v>
      </c>
      <c r="W99" s="618">
        <f t="shared" si="111"/>
        <v>25194240</v>
      </c>
      <c r="X99" s="228"/>
      <c r="Y99" s="586">
        <v>46178</v>
      </c>
      <c r="Z99" s="586"/>
      <c r="AA99" s="587"/>
      <c r="AB99" s="61"/>
      <c r="AC99" s="616" t="str">
        <f t="shared" si="42"/>
        <v>June26</v>
      </c>
      <c r="AD99" s="588" t="s">
        <v>43</v>
      </c>
      <c r="AE99" s="589" t="s">
        <v>164</v>
      </c>
      <c r="AF99" s="250" t="s">
        <v>143</v>
      </c>
      <c r="AG99" s="250"/>
      <c r="AH99" s="250" t="s">
        <v>165</v>
      </c>
      <c r="AI99" s="590"/>
      <c r="AJ99" s="554">
        <v>43792161126</v>
      </c>
      <c r="AK99" s="367">
        <v>2293000</v>
      </c>
      <c r="AL99" s="61">
        <v>46142</v>
      </c>
      <c r="AM99" s="61">
        <v>46163</v>
      </c>
      <c r="AN99" s="593"/>
      <c r="AO99" s="592"/>
      <c r="AP99" s="46" t="s">
        <v>171</v>
      </c>
    </row>
    <row r="100" spans="1:42" x14ac:dyDescent="0.25">
      <c r="A100" s="582"/>
      <c r="B100" s="46">
        <v>5600000446</v>
      </c>
      <c r="C100" s="80" t="s">
        <v>288</v>
      </c>
      <c r="D100" s="487">
        <v>46101</v>
      </c>
      <c r="E100" s="583" t="s">
        <v>1</v>
      </c>
      <c r="F100" s="262">
        <v>0.1</v>
      </c>
      <c r="G100" s="81" t="s">
        <v>267</v>
      </c>
      <c r="H100" s="584" t="s">
        <v>139</v>
      </c>
      <c r="I100" s="265">
        <v>0</v>
      </c>
      <c r="J100" s="59">
        <v>0</v>
      </c>
      <c r="K100" s="621">
        <f t="shared" ref="K100" si="162">J100+I100</f>
        <v>0</v>
      </c>
      <c r="L100" s="585">
        <v>96</v>
      </c>
      <c r="M100" s="621">
        <f t="shared" ref="M100" si="163">K100*L100</f>
        <v>0</v>
      </c>
      <c r="N100" s="584" t="s">
        <v>140</v>
      </c>
      <c r="O100" s="584">
        <v>45</v>
      </c>
      <c r="P100" s="487" t="s">
        <v>17</v>
      </c>
      <c r="Q100" s="6" t="s">
        <v>289</v>
      </c>
      <c r="R100" s="487">
        <v>46155</v>
      </c>
      <c r="S100" s="489">
        <v>46158</v>
      </c>
      <c r="T100" s="489">
        <v>46140</v>
      </c>
      <c r="U100" s="16">
        <v>1045260</v>
      </c>
      <c r="V100" s="620">
        <f t="shared" ref="V100" si="164">K100-U100</f>
        <v>-1045260</v>
      </c>
      <c r="W100" s="618">
        <f t="shared" ref="W100" si="165">U100*L100</f>
        <v>100344960</v>
      </c>
      <c r="X100" s="228"/>
      <c r="Y100" s="586">
        <v>46185</v>
      </c>
      <c r="Z100" s="616">
        <f>Y100+2</f>
        <v>46187</v>
      </c>
      <c r="AA100" s="617">
        <f>M99</f>
        <v>125539200</v>
      </c>
      <c r="AB100" s="61"/>
      <c r="AC100" s="616" t="str">
        <f t="shared" ref="AC100" si="166">IF(Y100="","-",TEXT(Y100,"mmmmyy"))</f>
        <v>June26</v>
      </c>
      <c r="AD100" s="588" t="s">
        <v>43</v>
      </c>
      <c r="AE100" s="589" t="s">
        <v>164</v>
      </c>
      <c r="AF100" s="250" t="s">
        <v>143</v>
      </c>
      <c r="AG100" s="250"/>
      <c r="AH100" s="250" t="s">
        <v>165</v>
      </c>
      <c r="AI100" s="590"/>
      <c r="AJ100" s="554">
        <v>42815340031</v>
      </c>
      <c r="AK100" s="367">
        <v>67000</v>
      </c>
      <c r="AL100" s="61">
        <v>46142</v>
      </c>
      <c r="AM100" s="61">
        <v>46163</v>
      </c>
      <c r="AN100" s="593"/>
      <c r="AO100" s="592"/>
      <c r="AP100" s="46" t="s">
        <v>171</v>
      </c>
    </row>
    <row r="101" spans="1:42" x14ac:dyDescent="0.25">
      <c r="A101" s="582"/>
      <c r="B101" s="46">
        <v>5600000446</v>
      </c>
      <c r="C101" s="80" t="s">
        <v>288</v>
      </c>
      <c r="D101" s="487">
        <v>46101</v>
      </c>
      <c r="E101" s="583" t="s">
        <v>1</v>
      </c>
      <c r="F101" s="262">
        <v>0.1</v>
      </c>
      <c r="G101" s="81" t="s">
        <v>267</v>
      </c>
      <c r="H101" s="584" t="s">
        <v>139</v>
      </c>
      <c r="I101" s="265">
        <v>0</v>
      </c>
      <c r="J101" s="59">
        <v>0</v>
      </c>
      <c r="K101" s="621">
        <f t="shared" ref="K101" si="167">J101+I101</f>
        <v>0</v>
      </c>
      <c r="L101" s="585">
        <v>96</v>
      </c>
      <c r="M101" s="621">
        <f t="shared" ref="M101" si="168">K101*L101</f>
        <v>0</v>
      </c>
      <c r="N101" s="584" t="s">
        <v>140</v>
      </c>
      <c r="O101" s="584">
        <v>45</v>
      </c>
      <c r="P101" s="487" t="s">
        <v>146</v>
      </c>
      <c r="Q101" s="6"/>
      <c r="R101" s="487"/>
      <c r="S101" s="489"/>
      <c r="T101" s="489"/>
      <c r="U101" s="16">
        <v>0</v>
      </c>
      <c r="V101" s="620">
        <f t="shared" ref="V101" si="169">K101-U101</f>
        <v>0</v>
      </c>
      <c r="W101" s="618">
        <f t="shared" ref="W101" si="170">U101*L101</f>
        <v>0</v>
      </c>
      <c r="X101" s="228"/>
      <c r="Y101" s="586">
        <v>46185</v>
      </c>
      <c r="Z101" s="586"/>
      <c r="AA101" s="617">
        <f>M100</f>
        <v>0</v>
      </c>
      <c r="AB101" s="61"/>
      <c r="AC101" s="616" t="str">
        <f t="shared" ref="AC101" si="171">IF(Y101="","-",TEXT(Y101,"mmmmyy"))</f>
        <v>June26</v>
      </c>
      <c r="AD101" s="588" t="s">
        <v>45</v>
      </c>
      <c r="AE101" s="589" t="s">
        <v>75</v>
      </c>
      <c r="AF101" s="250" t="s">
        <v>75</v>
      </c>
      <c r="AG101" s="250"/>
      <c r="AH101" s="250" t="s">
        <v>165</v>
      </c>
      <c r="AI101" s="590"/>
      <c r="AJ101" s="554">
        <v>43649959856</v>
      </c>
      <c r="AK101" s="367">
        <v>9970000</v>
      </c>
      <c r="AL101" s="61">
        <v>46142</v>
      </c>
      <c r="AM101" s="61">
        <v>46163</v>
      </c>
      <c r="AN101" s="593"/>
      <c r="AO101" s="592"/>
      <c r="AP101" s="46" t="s">
        <v>171</v>
      </c>
    </row>
    <row r="102" spans="1:42" x14ac:dyDescent="0.25">
      <c r="A102" s="582">
        <v>273</v>
      </c>
      <c r="B102" s="46">
        <v>1400000527</v>
      </c>
      <c r="C102" s="80" t="s">
        <v>290</v>
      </c>
      <c r="D102" s="487">
        <v>46101</v>
      </c>
      <c r="E102" s="583" t="s">
        <v>1</v>
      </c>
      <c r="F102" s="262">
        <v>1</v>
      </c>
      <c r="G102" s="81" t="s">
        <v>291</v>
      </c>
      <c r="H102" s="584" t="s">
        <v>292</v>
      </c>
      <c r="I102" s="265">
        <v>43600</v>
      </c>
      <c r="J102" s="59">
        <v>0</v>
      </c>
      <c r="K102" s="621">
        <f t="shared" si="67"/>
        <v>43600</v>
      </c>
      <c r="L102" s="585">
        <v>107.31238500000001</v>
      </c>
      <c r="M102" s="621">
        <f t="shared" si="41"/>
        <v>4678819.9860000005</v>
      </c>
      <c r="N102" s="584" t="s">
        <v>162</v>
      </c>
      <c r="O102" s="584" t="s">
        <v>293</v>
      </c>
      <c r="P102" s="487" t="s">
        <v>17</v>
      </c>
      <c r="Q102" s="6">
        <v>1025026312</v>
      </c>
      <c r="R102" s="487">
        <v>46144</v>
      </c>
      <c r="S102" s="489">
        <v>46149</v>
      </c>
      <c r="T102" s="489">
        <v>46125</v>
      </c>
      <c r="U102" s="16">
        <v>43600</v>
      </c>
      <c r="V102" s="620">
        <f t="shared" si="101"/>
        <v>0</v>
      </c>
      <c r="W102" s="15">
        <v>0</v>
      </c>
      <c r="X102" s="228"/>
      <c r="Y102" s="586">
        <v>46149</v>
      </c>
      <c r="Z102" s="586"/>
      <c r="AA102" s="587"/>
      <c r="AB102" s="61"/>
      <c r="AC102" s="616" t="str">
        <f t="shared" si="42"/>
        <v>May26</v>
      </c>
      <c r="AD102" s="588" t="s">
        <v>36</v>
      </c>
      <c r="AE102" s="589" t="s">
        <v>142</v>
      </c>
      <c r="AF102" s="250" t="s">
        <v>143</v>
      </c>
      <c r="AG102" s="250">
        <v>46149</v>
      </c>
      <c r="AH102" s="250" t="s">
        <v>144</v>
      </c>
      <c r="AI102" s="590"/>
      <c r="AJ102" s="554">
        <v>45011160322</v>
      </c>
      <c r="AK102" s="367">
        <v>4578000</v>
      </c>
      <c r="AL102" s="61">
        <v>46127</v>
      </c>
      <c r="AM102" s="61">
        <v>46148</v>
      </c>
      <c r="AN102" s="593"/>
      <c r="AO102" s="592"/>
      <c r="AP102" s="46" t="s">
        <v>294</v>
      </c>
    </row>
    <row r="103" spans="1:42" x14ac:dyDescent="0.25">
      <c r="A103" s="582"/>
      <c r="B103" s="46">
        <v>1400000527</v>
      </c>
      <c r="C103" s="80" t="s">
        <v>290</v>
      </c>
      <c r="D103" s="487">
        <v>46101</v>
      </c>
      <c r="E103" s="583" t="s">
        <v>1</v>
      </c>
      <c r="F103" s="262">
        <v>1</v>
      </c>
      <c r="G103" s="81" t="s">
        <v>291</v>
      </c>
      <c r="H103" s="584" t="s">
        <v>292</v>
      </c>
      <c r="I103" s="265">
        <v>0</v>
      </c>
      <c r="J103" s="59">
        <v>0</v>
      </c>
      <c r="K103" s="621">
        <f t="shared" ref="K103" si="172">J103+I103</f>
        <v>0</v>
      </c>
      <c r="L103" s="585">
        <v>107.31238500000001</v>
      </c>
      <c r="M103" s="621">
        <f t="shared" ref="M103" si="173">K103*L103</f>
        <v>0</v>
      </c>
      <c r="N103" s="584" t="s">
        <v>162</v>
      </c>
      <c r="O103" s="584" t="s">
        <v>293</v>
      </c>
      <c r="P103" s="487" t="s">
        <v>146</v>
      </c>
      <c r="Q103" s="6"/>
      <c r="R103" s="487"/>
      <c r="S103" s="489"/>
      <c r="T103" s="489"/>
      <c r="U103" s="16"/>
      <c r="V103" s="620">
        <f t="shared" ref="V103" si="174">K103-U103</f>
        <v>0</v>
      </c>
      <c r="W103" s="15">
        <v>0</v>
      </c>
      <c r="X103" s="228"/>
      <c r="Y103" s="586"/>
      <c r="Z103" s="586"/>
      <c r="AA103" s="587"/>
      <c r="AB103" s="61"/>
      <c r="AC103" s="616" t="str">
        <f t="shared" ref="AC103" si="175">IF(Y103="","-",TEXT(Y103,"mmmmyy"))</f>
        <v>-</v>
      </c>
      <c r="AD103" s="588" t="s">
        <v>36</v>
      </c>
      <c r="AE103" s="589" t="s">
        <v>142</v>
      </c>
      <c r="AF103" s="250" t="s">
        <v>75</v>
      </c>
      <c r="AG103" s="250">
        <v>46149</v>
      </c>
      <c r="AH103" s="250" t="s">
        <v>144</v>
      </c>
      <c r="AI103" s="590"/>
      <c r="AJ103" s="554">
        <v>42815340031</v>
      </c>
      <c r="AK103" s="367">
        <v>150000</v>
      </c>
      <c r="AL103" s="61">
        <v>46127</v>
      </c>
      <c r="AM103" s="61">
        <v>46148</v>
      </c>
      <c r="AN103" s="593"/>
      <c r="AO103" s="592"/>
      <c r="AP103" s="46" t="s">
        <v>294</v>
      </c>
    </row>
    <row r="104" spans="1:42" x14ac:dyDescent="0.25">
      <c r="A104" s="582">
        <v>274</v>
      </c>
      <c r="B104" s="46">
        <v>1400000545</v>
      </c>
      <c r="C104" s="80" t="s">
        <v>295</v>
      </c>
      <c r="D104" s="487">
        <v>46101</v>
      </c>
      <c r="E104" s="583" t="s">
        <v>1</v>
      </c>
      <c r="F104" s="262">
        <v>1</v>
      </c>
      <c r="G104" s="81" t="s">
        <v>296</v>
      </c>
      <c r="H104" s="584" t="s">
        <v>292</v>
      </c>
      <c r="I104" s="218">
        <v>81600</v>
      </c>
      <c r="J104" s="59">
        <v>0</v>
      </c>
      <c r="K104" s="621">
        <f t="shared" si="67"/>
        <v>81600</v>
      </c>
      <c r="L104" s="585">
        <v>107.31238500000001</v>
      </c>
      <c r="M104" s="621">
        <f t="shared" si="41"/>
        <v>8756690.6160000004</v>
      </c>
      <c r="N104" s="584" t="s">
        <v>162</v>
      </c>
      <c r="O104" s="584" t="s">
        <v>293</v>
      </c>
      <c r="P104" s="487" t="s">
        <v>17</v>
      </c>
      <c r="Q104" s="64" t="s">
        <v>297</v>
      </c>
      <c r="R104" s="487">
        <v>46122</v>
      </c>
      <c r="S104" s="489">
        <v>46139</v>
      </c>
      <c r="T104" s="489"/>
      <c r="U104" s="16">
        <v>21600</v>
      </c>
      <c r="V104" s="620">
        <f t="shared" si="101"/>
        <v>60000</v>
      </c>
      <c r="W104" s="15">
        <v>0</v>
      </c>
      <c r="X104" s="228"/>
      <c r="Y104" s="586">
        <v>46132</v>
      </c>
      <c r="Z104" s="586"/>
      <c r="AA104" s="587"/>
      <c r="AB104" s="61"/>
      <c r="AC104" s="616" t="str">
        <f t="shared" si="42"/>
        <v>April26</v>
      </c>
      <c r="AD104" s="588" t="s">
        <v>43</v>
      </c>
      <c r="AE104" s="589" t="s">
        <v>142</v>
      </c>
      <c r="AF104" s="250" t="s">
        <v>143</v>
      </c>
      <c r="AG104" s="250"/>
      <c r="AH104" s="250" t="s">
        <v>165</v>
      </c>
      <c r="AI104" s="590"/>
      <c r="AJ104" s="554">
        <v>45011162091</v>
      </c>
      <c r="AK104" s="367">
        <v>8568000</v>
      </c>
      <c r="AL104" s="61">
        <v>46158</v>
      </c>
      <c r="AM104" s="61">
        <v>46179</v>
      </c>
      <c r="AN104" s="593"/>
      <c r="AO104" s="592"/>
      <c r="AP104" s="46" t="s">
        <v>298</v>
      </c>
    </row>
    <row r="105" spans="1:42" x14ac:dyDescent="0.25">
      <c r="A105" s="582"/>
      <c r="B105" s="46">
        <v>1400000545</v>
      </c>
      <c r="C105" s="80" t="s">
        <v>295</v>
      </c>
      <c r="D105" s="487">
        <v>46101</v>
      </c>
      <c r="E105" s="583" t="s">
        <v>1</v>
      </c>
      <c r="F105" s="262">
        <v>1</v>
      </c>
      <c r="G105" s="81" t="s">
        <v>296</v>
      </c>
      <c r="H105" s="584" t="s">
        <v>292</v>
      </c>
      <c r="I105" s="218">
        <v>0</v>
      </c>
      <c r="J105" s="59">
        <v>0</v>
      </c>
      <c r="K105" s="621">
        <f t="shared" ref="K105" si="176">J105+I105</f>
        <v>0</v>
      </c>
      <c r="L105" s="585">
        <v>107.31238500000001</v>
      </c>
      <c r="M105" s="621">
        <f t="shared" ref="M105" si="177">K105*L105</f>
        <v>0</v>
      </c>
      <c r="N105" s="584" t="s">
        <v>162</v>
      </c>
      <c r="O105" s="584" t="s">
        <v>293</v>
      </c>
      <c r="P105" s="487" t="s">
        <v>17</v>
      </c>
      <c r="Q105" s="64" t="s">
        <v>299</v>
      </c>
      <c r="R105" s="487">
        <v>46139</v>
      </c>
      <c r="S105" s="489">
        <v>46146</v>
      </c>
      <c r="T105" s="489">
        <v>46127</v>
      </c>
      <c r="U105" s="16">
        <v>30000</v>
      </c>
      <c r="V105" s="620">
        <f t="shared" ref="V105" si="178">K105-U105</f>
        <v>-30000</v>
      </c>
      <c r="W105" s="15">
        <v>0</v>
      </c>
      <c r="X105" s="228"/>
      <c r="Y105" s="586">
        <v>46147</v>
      </c>
      <c r="Z105" s="586"/>
      <c r="AA105" s="587"/>
      <c r="AB105" s="61"/>
      <c r="AC105" s="616" t="str">
        <f t="shared" ref="AC105" si="179">IF(Y105="","-",TEXT(Y105,"mmmmyy"))</f>
        <v>May26</v>
      </c>
      <c r="AD105" s="588" t="s">
        <v>43</v>
      </c>
      <c r="AE105" s="589" t="s">
        <v>142</v>
      </c>
      <c r="AF105" s="250" t="s">
        <v>143</v>
      </c>
      <c r="AG105" s="250"/>
      <c r="AH105" s="250" t="s">
        <v>165</v>
      </c>
      <c r="AI105" s="590"/>
      <c r="AJ105" s="554">
        <v>45011162091</v>
      </c>
      <c r="AK105" s="367"/>
      <c r="AL105" s="61">
        <v>46158</v>
      </c>
      <c r="AM105" s="61">
        <v>46179</v>
      </c>
      <c r="AN105" s="593"/>
      <c r="AO105" s="592"/>
      <c r="AP105" s="46" t="s">
        <v>298</v>
      </c>
    </row>
    <row r="106" spans="1:42" x14ac:dyDescent="0.25">
      <c r="A106" s="582"/>
      <c r="B106" s="46">
        <v>1400000545</v>
      </c>
      <c r="C106" s="80" t="s">
        <v>295</v>
      </c>
      <c r="D106" s="487">
        <v>46101</v>
      </c>
      <c r="E106" s="583" t="s">
        <v>1</v>
      </c>
      <c r="F106" s="262">
        <v>1</v>
      </c>
      <c r="G106" s="81" t="s">
        <v>296</v>
      </c>
      <c r="H106" s="584" t="s">
        <v>292</v>
      </c>
      <c r="I106" s="218">
        <v>0</v>
      </c>
      <c r="J106" s="59">
        <v>0</v>
      </c>
      <c r="K106" s="621">
        <f t="shared" ref="K106" si="180">J106+I106</f>
        <v>0</v>
      </c>
      <c r="L106" s="585">
        <v>111.9575</v>
      </c>
      <c r="M106" s="621">
        <f t="shared" ref="M106" si="181">K106*L106</f>
        <v>0</v>
      </c>
      <c r="N106" s="584" t="s">
        <v>162</v>
      </c>
      <c r="O106" s="584" t="s">
        <v>293</v>
      </c>
      <c r="P106" s="487" t="s">
        <v>17</v>
      </c>
      <c r="Q106" s="64" t="s">
        <v>1366</v>
      </c>
      <c r="R106" s="487">
        <v>46176</v>
      </c>
      <c r="S106" s="489"/>
      <c r="T106" s="489">
        <v>46150</v>
      </c>
      <c r="U106" s="16">
        <v>30000</v>
      </c>
      <c r="V106" s="620">
        <f t="shared" ref="V106" si="182">K106-U106</f>
        <v>-30000</v>
      </c>
      <c r="W106" s="15">
        <v>0</v>
      </c>
      <c r="X106" s="228"/>
      <c r="Y106" s="586">
        <v>46182</v>
      </c>
      <c r="Z106" s="586"/>
      <c r="AA106" s="587"/>
      <c r="AB106" s="61"/>
      <c r="AC106" s="616" t="str">
        <f t="shared" ref="AC106" si="183">IF(Y106="","-",TEXT(Y106,"mmmmyy"))</f>
        <v>June26</v>
      </c>
      <c r="AD106" s="588" t="s">
        <v>43</v>
      </c>
      <c r="AE106" s="589" t="s">
        <v>164</v>
      </c>
      <c r="AF106" s="250" t="s">
        <v>143</v>
      </c>
      <c r="AG106" s="250"/>
      <c r="AH106" s="250" t="s">
        <v>165</v>
      </c>
      <c r="AI106" s="590"/>
      <c r="AJ106" s="554">
        <v>45011162091</v>
      </c>
      <c r="AK106" s="367"/>
      <c r="AL106" s="61">
        <v>46158</v>
      </c>
      <c r="AM106" s="61">
        <v>46179</v>
      </c>
      <c r="AN106" s="593"/>
      <c r="AO106" s="592"/>
      <c r="AP106" s="46" t="s">
        <v>298</v>
      </c>
    </row>
    <row r="107" spans="1:42" x14ac:dyDescent="0.25">
      <c r="A107" s="582">
        <v>219</v>
      </c>
      <c r="B107" s="46">
        <v>5600000360</v>
      </c>
      <c r="C107" s="80" t="s">
        <v>300</v>
      </c>
      <c r="D107" s="487">
        <v>46042</v>
      </c>
      <c r="E107" s="583" t="s">
        <v>2</v>
      </c>
      <c r="F107" s="262">
        <v>0.1</v>
      </c>
      <c r="G107" s="81" t="s">
        <v>190</v>
      </c>
      <c r="H107" s="584" t="s">
        <v>139</v>
      </c>
      <c r="I107" s="78">
        <v>1052825</v>
      </c>
      <c r="J107" s="59">
        <v>0</v>
      </c>
      <c r="K107" s="621">
        <f t="shared" si="67"/>
        <v>1052825</v>
      </c>
      <c r="L107" s="585">
        <v>93.36</v>
      </c>
      <c r="M107" s="621">
        <f t="shared" si="41"/>
        <v>98291742</v>
      </c>
      <c r="N107" s="584" t="s">
        <v>140</v>
      </c>
      <c r="O107" s="584">
        <v>60</v>
      </c>
      <c r="P107" s="487" t="s">
        <v>17</v>
      </c>
      <c r="Q107" s="64" t="s">
        <v>301</v>
      </c>
      <c r="R107" s="487">
        <v>46085</v>
      </c>
      <c r="S107" s="489">
        <v>46093</v>
      </c>
      <c r="T107" s="489">
        <v>46066</v>
      </c>
      <c r="U107" s="16">
        <v>1052825</v>
      </c>
      <c r="V107" s="620">
        <f t="shared" si="101"/>
        <v>0</v>
      </c>
      <c r="W107" s="618">
        <f t="shared" ref="W107:W152" si="184">U107*L107</f>
        <v>98291742</v>
      </c>
      <c r="X107" s="228"/>
      <c r="Y107" s="586">
        <v>46127</v>
      </c>
      <c r="Z107" s="616">
        <f t="shared" si="102"/>
        <v>46129</v>
      </c>
      <c r="AA107" s="617">
        <f>M107</f>
        <v>98291742</v>
      </c>
      <c r="AB107" s="61"/>
      <c r="AC107" s="616" t="str">
        <f t="shared" si="42"/>
        <v>April26</v>
      </c>
      <c r="AD107" s="588" t="s">
        <v>36</v>
      </c>
      <c r="AE107" s="589" t="s">
        <v>142</v>
      </c>
      <c r="AF107" s="250" t="s">
        <v>143</v>
      </c>
      <c r="AG107" s="250">
        <v>46127</v>
      </c>
      <c r="AH107" s="250" t="s">
        <v>144</v>
      </c>
      <c r="AI107" s="590"/>
      <c r="AJ107" s="554"/>
      <c r="AK107" s="367"/>
      <c r="AL107" s="61">
        <v>46063</v>
      </c>
      <c r="AM107" s="61">
        <v>46089</v>
      </c>
      <c r="AN107" s="593">
        <v>7931785</v>
      </c>
      <c r="AO107" s="592">
        <v>46127</v>
      </c>
      <c r="AP107" s="46" t="s">
        <v>192</v>
      </c>
    </row>
    <row r="108" spans="1:42" x14ac:dyDescent="0.25">
      <c r="A108" s="582">
        <v>225</v>
      </c>
      <c r="B108" s="46">
        <v>5600000373</v>
      </c>
      <c r="C108" s="80" t="s">
        <v>302</v>
      </c>
      <c r="D108" s="487">
        <v>46045</v>
      </c>
      <c r="E108" s="583" t="s">
        <v>2</v>
      </c>
      <c r="F108" s="262">
        <v>0.1</v>
      </c>
      <c r="G108" s="81" t="s">
        <v>303</v>
      </c>
      <c r="H108" s="584" t="s">
        <v>139</v>
      </c>
      <c r="I108" s="78">
        <v>279835.2</v>
      </c>
      <c r="J108" s="59">
        <v>0</v>
      </c>
      <c r="K108" s="621">
        <f t="shared" si="67"/>
        <v>279835.2</v>
      </c>
      <c r="L108" s="585">
        <v>93.15</v>
      </c>
      <c r="M108" s="621">
        <f t="shared" ref="M108:M149" si="185">K108*L108</f>
        <v>26066648.880000003</v>
      </c>
      <c r="N108" s="584" t="s">
        <v>140</v>
      </c>
      <c r="O108" s="584">
        <v>60</v>
      </c>
      <c r="P108" s="487" t="s">
        <v>17</v>
      </c>
      <c r="Q108" s="64" t="s">
        <v>304</v>
      </c>
      <c r="R108" s="487">
        <v>46091</v>
      </c>
      <c r="S108" s="489">
        <v>46099</v>
      </c>
      <c r="T108" s="489"/>
      <c r="U108" s="16">
        <v>279835.2</v>
      </c>
      <c r="V108" s="620">
        <f t="shared" si="101"/>
        <v>0</v>
      </c>
      <c r="W108" s="618">
        <f t="shared" si="184"/>
        <v>26066648.880000003</v>
      </c>
      <c r="X108" s="228"/>
      <c r="Y108" s="586">
        <v>46135</v>
      </c>
      <c r="Z108" s="616">
        <f t="shared" si="102"/>
        <v>46137</v>
      </c>
      <c r="AA108" s="617">
        <f>M108</f>
        <v>26066648.880000003</v>
      </c>
      <c r="AB108" s="61"/>
      <c r="AC108" s="616" t="str">
        <f t="shared" ref="AC108:AC149" si="186">IF(Y108="","-",TEXT(Y108,"mmmmyy"))</f>
        <v>April26</v>
      </c>
      <c r="AD108" s="588" t="s">
        <v>36</v>
      </c>
      <c r="AE108" s="589" t="s">
        <v>142</v>
      </c>
      <c r="AF108" s="250" t="s">
        <v>143</v>
      </c>
      <c r="AG108" s="250">
        <v>46135</v>
      </c>
      <c r="AH108" s="250" t="s">
        <v>144</v>
      </c>
      <c r="AI108" s="590"/>
      <c r="AJ108" s="554"/>
      <c r="AK108" s="367"/>
      <c r="AL108" s="61">
        <v>46068</v>
      </c>
      <c r="AM108" s="61">
        <v>46089</v>
      </c>
      <c r="AN108" s="593">
        <v>8189187</v>
      </c>
      <c r="AO108" s="592">
        <v>46135</v>
      </c>
      <c r="AP108" s="46" t="s">
        <v>305</v>
      </c>
    </row>
    <row r="109" spans="1:42" x14ac:dyDescent="0.25">
      <c r="A109" s="582">
        <v>226</v>
      </c>
      <c r="B109" s="46">
        <v>5600000374</v>
      </c>
      <c r="C109" s="80" t="s">
        <v>306</v>
      </c>
      <c r="D109" s="487">
        <v>46045</v>
      </c>
      <c r="E109" s="583" t="s">
        <v>2</v>
      </c>
      <c r="F109" s="262">
        <v>0.1</v>
      </c>
      <c r="G109" s="81" t="s">
        <v>303</v>
      </c>
      <c r="H109" s="584" t="s">
        <v>139</v>
      </c>
      <c r="I109" s="78">
        <v>239795.20000000001</v>
      </c>
      <c r="J109" s="59">
        <v>0</v>
      </c>
      <c r="K109" s="621">
        <f t="shared" si="67"/>
        <v>239795.20000000001</v>
      </c>
      <c r="L109" s="585">
        <v>93.15</v>
      </c>
      <c r="M109" s="621">
        <f t="shared" si="185"/>
        <v>22336922.880000003</v>
      </c>
      <c r="N109" s="584" t="s">
        <v>140</v>
      </c>
      <c r="O109" s="584">
        <v>60</v>
      </c>
      <c r="P109" s="487" t="s">
        <v>17</v>
      </c>
      <c r="Q109" s="64" t="s">
        <v>307</v>
      </c>
      <c r="R109" s="487">
        <v>46091</v>
      </c>
      <c r="S109" s="489">
        <v>46105</v>
      </c>
      <c r="T109" s="489"/>
      <c r="U109" s="16">
        <v>239795.20000000001</v>
      </c>
      <c r="V109" s="620">
        <f t="shared" si="101"/>
        <v>0</v>
      </c>
      <c r="W109" s="618">
        <f t="shared" si="184"/>
        <v>22336922.880000003</v>
      </c>
      <c r="X109" s="228"/>
      <c r="Y109" s="586">
        <v>46135</v>
      </c>
      <c r="Z109" s="616">
        <f t="shared" si="102"/>
        <v>46137</v>
      </c>
      <c r="AA109" s="617">
        <f>M109</f>
        <v>22336922.880000003</v>
      </c>
      <c r="AB109" s="61"/>
      <c r="AC109" s="616" t="str">
        <f t="shared" si="186"/>
        <v>April26</v>
      </c>
      <c r="AD109" s="588" t="s">
        <v>36</v>
      </c>
      <c r="AE109" s="589" t="s">
        <v>142</v>
      </c>
      <c r="AF109" s="250" t="s">
        <v>143</v>
      </c>
      <c r="AG109" s="250">
        <v>46135</v>
      </c>
      <c r="AH109" s="250" t="s">
        <v>144</v>
      </c>
      <c r="AI109" s="590"/>
      <c r="AJ109" s="554"/>
      <c r="AK109" s="367"/>
      <c r="AL109" s="61">
        <v>46068</v>
      </c>
      <c r="AM109" s="61">
        <v>46089</v>
      </c>
      <c r="AN109" s="593">
        <v>8170407</v>
      </c>
      <c r="AO109" s="592">
        <v>46135</v>
      </c>
      <c r="AP109" s="46" t="s">
        <v>305</v>
      </c>
    </row>
    <row r="110" spans="1:42" x14ac:dyDescent="0.25">
      <c r="A110" s="582">
        <v>230</v>
      </c>
      <c r="B110" s="46">
        <v>5600000359</v>
      </c>
      <c r="C110" s="80" t="s">
        <v>308</v>
      </c>
      <c r="D110" s="487">
        <v>46055</v>
      </c>
      <c r="E110" s="583" t="s">
        <v>2</v>
      </c>
      <c r="F110" s="262">
        <v>0.1</v>
      </c>
      <c r="G110" s="81" t="s">
        <v>190</v>
      </c>
      <c r="H110" s="584" t="s">
        <v>139</v>
      </c>
      <c r="I110" s="78">
        <v>702650</v>
      </c>
      <c r="J110" s="59">
        <v>0</v>
      </c>
      <c r="K110" s="621">
        <f t="shared" si="67"/>
        <v>702650</v>
      </c>
      <c r="L110" s="585">
        <v>93.5</v>
      </c>
      <c r="M110" s="621">
        <f t="shared" si="185"/>
        <v>65697775</v>
      </c>
      <c r="N110" s="584" t="s">
        <v>140</v>
      </c>
      <c r="O110" s="584">
        <v>60</v>
      </c>
      <c r="P110" s="487" t="s">
        <v>17</v>
      </c>
      <c r="Q110" s="64" t="s">
        <v>309</v>
      </c>
      <c r="R110" s="487">
        <v>46091</v>
      </c>
      <c r="S110" s="489">
        <v>46099</v>
      </c>
      <c r="T110" s="489"/>
      <c r="U110" s="16">
        <v>702650</v>
      </c>
      <c r="V110" s="620">
        <f t="shared" si="101"/>
        <v>0</v>
      </c>
      <c r="W110" s="618">
        <f t="shared" si="184"/>
        <v>65697775</v>
      </c>
      <c r="X110" s="228"/>
      <c r="Y110" s="586">
        <v>46139</v>
      </c>
      <c r="Z110" s="616">
        <f t="shared" si="102"/>
        <v>46141</v>
      </c>
      <c r="AA110" s="617">
        <f>M110</f>
        <v>65697775</v>
      </c>
      <c r="AB110" s="61"/>
      <c r="AC110" s="616" t="str">
        <f t="shared" si="186"/>
        <v>April26</v>
      </c>
      <c r="AD110" s="588" t="s">
        <v>36</v>
      </c>
      <c r="AE110" s="589" t="s">
        <v>142</v>
      </c>
      <c r="AF110" s="250" t="s">
        <v>143</v>
      </c>
      <c r="AG110" s="250">
        <v>46139</v>
      </c>
      <c r="AH110" s="250" t="s">
        <v>144</v>
      </c>
      <c r="AI110" s="590"/>
      <c r="AJ110" s="554"/>
      <c r="AK110" s="367"/>
      <c r="AL110" s="61">
        <v>46063</v>
      </c>
      <c r="AM110" s="61">
        <v>46084</v>
      </c>
      <c r="AN110" s="593">
        <v>8264043</v>
      </c>
      <c r="AO110" s="592">
        <v>46139</v>
      </c>
      <c r="AP110" s="46" t="s">
        <v>192</v>
      </c>
    </row>
    <row r="111" spans="1:42" x14ac:dyDescent="0.25">
      <c r="A111" s="582">
        <v>231</v>
      </c>
      <c r="B111" s="46">
        <v>5600000383</v>
      </c>
      <c r="C111" s="80" t="s">
        <v>310</v>
      </c>
      <c r="D111" s="487">
        <v>46056</v>
      </c>
      <c r="E111" s="583" t="s">
        <v>2</v>
      </c>
      <c r="F111" s="262">
        <v>0.1</v>
      </c>
      <c r="G111" s="81" t="s">
        <v>156</v>
      </c>
      <c r="H111" s="584" t="s">
        <v>139</v>
      </c>
      <c r="I111" s="218">
        <v>930251.17</v>
      </c>
      <c r="J111" s="59">
        <v>0</v>
      </c>
      <c r="K111" s="621">
        <f t="shared" si="67"/>
        <v>930251.17</v>
      </c>
      <c r="L111" s="585">
        <v>93.5</v>
      </c>
      <c r="M111" s="621">
        <f t="shared" si="185"/>
        <v>86978484.395000011</v>
      </c>
      <c r="N111" s="584" t="s">
        <v>140</v>
      </c>
      <c r="O111" s="584">
        <v>60</v>
      </c>
      <c r="P111" s="487" t="s">
        <v>17</v>
      </c>
      <c r="Q111" s="64" t="s">
        <v>311</v>
      </c>
      <c r="R111" s="487">
        <v>46091</v>
      </c>
      <c r="S111" s="489">
        <v>46099</v>
      </c>
      <c r="T111" s="489"/>
      <c r="U111" s="16">
        <v>465125.59</v>
      </c>
      <c r="V111" s="620">
        <f t="shared" si="101"/>
        <v>465125.58</v>
      </c>
      <c r="W111" s="618">
        <f t="shared" si="184"/>
        <v>43489242.664999999</v>
      </c>
      <c r="X111" s="228"/>
      <c r="Y111" s="586">
        <v>46136</v>
      </c>
      <c r="Z111" s="586"/>
      <c r="AA111" s="587"/>
      <c r="AB111" s="61"/>
      <c r="AC111" s="616" t="str">
        <f t="shared" si="186"/>
        <v>April26</v>
      </c>
      <c r="AD111" s="588" t="s">
        <v>36</v>
      </c>
      <c r="AE111" s="589" t="s">
        <v>142</v>
      </c>
      <c r="AF111" s="250" t="s">
        <v>143</v>
      </c>
      <c r="AG111" s="250">
        <v>46150</v>
      </c>
      <c r="AH111" s="250" t="s">
        <v>144</v>
      </c>
      <c r="AI111" s="590" t="s">
        <v>1281</v>
      </c>
      <c r="AJ111" s="554"/>
      <c r="AK111" s="367"/>
      <c r="AL111" s="61">
        <v>46091</v>
      </c>
      <c r="AM111" s="61">
        <v>46112</v>
      </c>
      <c r="AN111" s="593">
        <v>7897020</v>
      </c>
      <c r="AO111" s="592">
        <v>46136</v>
      </c>
      <c r="AP111" s="46" t="s">
        <v>158</v>
      </c>
    </row>
    <row r="112" spans="1:42" x14ac:dyDescent="0.25">
      <c r="A112" s="582"/>
      <c r="B112" s="46">
        <v>5600000383</v>
      </c>
      <c r="C112" s="80" t="s">
        <v>310</v>
      </c>
      <c r="D112" s="487">
        <v>46056</v>
      </c>
      <c r="E112" s="583" t="s">
        <v>2</v>
      </c>
      <c r="F112" s="262">
        <v>0.1</v>
      </c>
      <c r="G112" s="81" t="s">
        <v>156</v>
      </c>
      <c r="H112" s="584" t="s">
        <v>139</v>
      </c>
      <c r="I112" s="218">
        <v>0</v>
      </c>
      <c r="J112" s="59">
        <v>0</v>
      </c>
      <c r="K112" s="621">
        <f t="shared" ref="K112:K149" si="187">J112+I112</f>
        <v>0</v>
      </c>
      <c r="L112" s="585">
        <v>93.5</v>
      </c>
      <c r="M112" s="621">
        <f t="shared" si="185"/>
        <v>0</v>
      </c>
      <c r="N112" s="584" t="s">
        <v>140</v>
      </c>
      <c r="O112" s="584">
        <v>60</v>
      </c>
      <c r="P112" s="487" t="s">
        <v>17</v>
      </c>
      <c r="Q112" s="64" t="s">
        <v>312</v>
      </c>
      <c r="R112" s="487">
        <v>46114</v>
      </c>
      <c r="S112" s="489">
        <v>46122</v>
      </c>
      <c r="T112" s="489">
        <v>46090</v>
      </c>
      <c r="U112" s="16">
        <v>465125.58</v>
      </c>
      <c r="V112" s="620">
        <f t="shared" si="101"/>
        <v>-465125.58</v>
      </c>
      <c r="W112" s="618">
        <f t="shared" si="184"/>
        <v>43489241.730000004</v>
      </c>
      <c r="X112" s="228"/>
      <c r="Y112" s="586">
        <v>46150</v>
      </c>
      <c r="Z112" s="616">
        <f>Y112+2</f>
        <v>46152</v>
      </c>
      <c r="AA112" s="617">
        <f>M111</f>
        <v>86978484.395000011</v>
      </c>
      <c r="AB112" s="61"/>
      <c r="AC112" s="616" t="str">
        <f t="shared" si="186"/>
        <v>May26</v>
      </c>
      <c r="AD112" s="588" t="s">
        <v>36</v>
      </c>
      <c r="AE112" s="589" t="s">
        <v>142</v>
      </c>
      <c r="AF112" s="250" t="s">
        <v>143</v>
      </c>
      <c r="AG112" s="250">
        <v>46150</v>
      </c>
      <c r="AH112" s="250" t="s">
        <v>144</v>
      </c>
      <c r="AI112" s="590"/>
      <c r="AJ112" s="554"/>
      <c r="AK112" s="367"/>
      <c r="AL112" s="61">
        <v>46091</v>
      </c>
      <c r="AM112" s="61">
        <v>46112</v>
      </c>
      <c r="AN112" s="593"/>
      <c r="AO112" s="592"/>
      <c r="AP112" s="46" t="s">
        <v>158</v>
      </c>
    </row>
    <row r="113" spans="1:42" x14ac:dyDescent="0.25">
      <c r="A113" s="582">
        <v>233</v>
      </c>
      <c r="B113" s="46">
        <v>5600000384</v>
      </c>
      <c r="C113" s="80" t="s">
        <v>313</v>
      </c>
      <c r="D113" s="487">
        <v>46056</v>
      </c>
      <c r="E113" s="583" t="s">
        <v>2</v>
      </c>
      <c r="F113" s="262">
        <v>0.1</v>
      </c>
      <c r="G113" s="81" t="s">
        <v>156</v>
      </c>
      <c r="H113" s="584" t="s">
        <v>139</v>
      </c>
      <c r="I113" s="218">
        <v>1085293.04</v>
      </c>
      <c r="J113" s="59">
        <v>0</v>
      </c>
      <c r="K113" s="621">
        <f t="shared" si="187"/>
        <v>1085293.04</v>
      </c>
      <c r="L113" s="585">
        <v>93.5</v>
      </c>
      <c r="M113" s="621">
        <f t="shared" si="185"/>
        <v>101474899.24000001</v>
      </c>
      <c r="N113" s="584" t="s">
        <v>140</v>
      </c>
      <c r="O113" s="584">
        <v>60</v>
      </c>
      <c r="P113" s="487" t="s">
        <v>17</v>
      </c>
      <c r="Q113" s="64" t="s">
        <v>314</v>
      </c>
      <c r="R113" s="487">
        <v>46114</v>
      </c>
      <c r="S113" s="489">
        <v>46122</v>
      </c>
      <c r="T113" s="489">
        <v>46097</v>
      </c>
      <c r="U113" s="16">
        <v>310083.71999999997</v>
      </c>
      <c r="V113" s="620">
        <f t="shared" si="101"/>
        <v>775209.32000000007</v>
      </c>
      <c r="W113" s="618">
        <f t="shared" si="184"/>
        <v>28992827.819999997</v>
      </c>
      <c r="X113" s="228"/>
      <c r="Y113" s="616">
        <f t="shared" ref="Y113:Y115" si="188">T113+O113</f>
        <v>46157</v>
      </c>
      <c r="Z113" s="616">
        <f>Y113+2</f>
        <v>46159</v>
      </c>
      <c r="AA113" s="617">
        <f>W113</f>
        <v>28992827.819999997</v>
      </c>
      <c r="AB113" s="61"/>
      <c r="AC113" s="616" t="str">
        <f t="shared" si="186"/>
        <v>May26</v>
      </c>
      <c r="AD113" s="588" t="s">
        <v>36</v>
      </c>
      <c r="AE113" s="589" t="s">
        <v>142</v>
      </c>
      <c r="AF113" s="250" t="s">
        <v>143</v>
      </c>
      <c r="AG113" s="250">
        <v>46157</v>
      </c>
      <c r="AH113" s="250" t="s">
        <v>144</v>
      </c>
      <c r="AI113" s="590" t="s">
        <v>1281</v>
      </c>
      <c r="AJ113" s="3" t="s">
        <v>315</v>
      </c>
      <c r="AK113" s="367">
        <v>108529.3</v>
      </c>
      <c r="AL113" s="596"/>
      <c r="AM113" s="61">
        <v>46118</v>
      </c>
      <c r="AN113" s="593"/>
      <c r="AO113" s="592"/>
      <c r="AP113" s="46" t="s">
        <v>158</v>
      </c>
    </row>
    <row r="114" spans="1:42" x14ac:dyDescent="0.25">
      <c r="A114" s="582"/>
      <c r="B114" s="46">
        <v>5600000384</v>
      </c>
      <c r="C114" s="80" t="s">
        <v>313</v>
      </c>
      <c r="D114" s="487">
        <v>46056</v>
      </c>
      <c r="E114" s="583" t="s">
        <v>2</v>
      </c>
      <c r="F114" s="262">
        <v>0.1</v>
      </c>
      <c r="G114" s="81" t="s">
        <v>156</v>
      </c>
      <c r="H114" s="584" t="s">
        <v>139</v>
      </c>
      <c r="I114" s="218">
        <v>0</v>
      </c>
      <c r="J114" s="59">
        <v>0</v>
      </c>
      <c r="K114" s="621">
        <f t="shared" si="187"/>
        <v>0</v>
      </c>
      <c r="L114" s="585">
        <v>93.5</v>
      </c>
      <c r="M114" s="621">
        <f t="shared" si="185"/>
        <v>0</v>
      </c>
      <c r="N114" s="584" t="s">
        <v>140</v>
      </c>
      <c r="O114" s="584">
        <v>60</v>
      </c>
      <c r="P114" s="487" t="s">
        <v>17</v>
      </c>
      <c r="Q114" s="64" t="s">
        <v>316</v>
      </c>
      <c r="R114" s="487">
        <v>46114</v>
      </c>
      <c r="S114" s="489">
        <v>46122</v>
      </c>
      <c r="T114" s="489">
        <v>46097</v>
      </c>
      <c r="U114" s="16">
        <v>155041.85999999999</v>
      </c>
      <c r="V114" s="620">
        <f t="shared" si="101"/>
        <v>-155041.85999999999</v>
      </c>
      <c r="W114" s="618">
        <f t="shared" si="184"/>
        <v>14496413.909999998</v>
      </c>
      <c r="X114" s="228"/>
      <c r="Y114" s="616">
        <f t="shared" si="188"/>
        <v>46157</v>
      </c>
      <c r="Z114" s="616">
        <f>Y114+2</f>
        <v>46159</v>
      </c>
      <c r="AA114" s="617">
        <f>W114</f>
        <v>14496413.909999998</v>
      </c>
      <c r="AB114" s="61"/>
      <c r="AC114" s="616" t="str">
        <f t="shared" si="186"/>
        <v>May26</v>
      </c>
      <c r="AD114" s="588" t="s">
        <v>36</v>
      </c>
      <c r="AE114" s="589" t="s">
        <v>142</v>
      </c>
      <c r="AF114" s="250" t="s">
        <v>143</v>
      </c>
      <c r="AG114" s="250">
        <v>46157</v>
      </c>
      <c r="AH114" s="250" t="s">
        <v>144</v>
      </c>
      <c r="AI114" s="590" t="s">
        <v>1281</v>
      </c>
      <c r="AJ114" s="3" t="s">
        <v>317</v>
      </c>
      <c r="AK114" s="367"/>
      <c r="AL114" s="61">
        <v>46097</v>
      </c>
      <c r="AM114" s="61">
        <v>46118</v>
      </c>
      <c r="AN114" s="593"/>
      <c r="AO114" s="592"/>
      <c r="AP114" s="46" t="s">
        <v>158</v>
      </c>
    </row>
    <row r="115" spans="1:42" x14ac:dyDescent="0.25">
      <c r="A115" s="582"/>
      <c r="B115" s="46">
        <v>5600000384</v>
      </c>
      <c r="C115" s="80" t="s">
        <v>313</v>
      </c>
      <c r="D115" s="487">
        <v>46056</v>
      </c>
      <c r="E115" s="583" t="s">
        <v>2</v>
      </c>
      <c r="F115" s="262">
        <v>0.1</v>
      </c>
      <c r="G115" s="81" t="s">
        <v>156</v>
      </c>
      <c r="H115" s="584" t="s">
        <v>139</v>
      </c>
      <c r="I115" s="218">
        <v>0</v>
      </c>
      <c r="J115" s="59">
        <v>0</v>
      </c>
      <c r="K115" s="621">
        <f t="shared" si="187"/>
        <v>0</v>
      </c>
      <c r="L115" s="585">
        <v>93.5</v>
      </c>
      <c r="M115" s="621">
        <f t="shared" si="185"/>
        <v>0</v>
      </c>
      <c r="N115" s="584" t="s">
        <v>140</v>
      </c>
      <c r="O115" s="584">
        <v>60</v>
      </c>
      <c r="P115" s="487" t="s">
        <v>17</v>
      </c>
      <c r="Q115" s="64" t="s">
        <v>318</v>
      </c>
      <c r="R115" s="487">
        <v>46114</v>
      </c>
      <c r="S115" s="489">
        <v>46122</v>
      </c>
      <c r="T115" s="489">
        <v>46097</v>
      </c>
      <c r="U115" s="16">
        <v>310083.71999999997</v>
      </c>
      <c r="V115" s="620">
        <f t="shared" si="101"/>
        <v>-310083.71999999997</v>
      </c>
      <c r="W115" s="618">
        <f t="shared" si="184"/>
        <v>28992827.819999997</v>
      </c>
      <c r="X115" s="228"/>
      <c r="Y115" s="616">
        <f t="shared" si="188"/>
        <v>46157</v>
      </c>
      <c r="Z115" s="616">
        <f>Y115+2</f>
        <v>46159</v>
      </c>
      <c r="AA115" s="617">
        <f>W115</f>
        <v>28992827.819999997</v>
      </c>
      <c r="AB115" s="61"/>
      <c r="AC115" s="616" t="str">
        <f t="shared" si="186"/>
        <v>May26</v>
      </c>
      <c r="AD115" s="588" t="s">
        <v>36</v>
      </c>
      <c r="AE115" s="589" t="s">
        <v>142</v>
      </c>
      <c r="AF115" s="250" t="s">
        <v>143</v>
      </c>
      <c r="AG115" s="250">
        <v>46157</v>
      </c>
      <c r="AH115" s="250" t="s">
        <v>144</v>
      </c>
      <c r="AI115" s="590" t="s">
        <v>1281</v>
      </c>
      <c r="AJ115" s="3"/>
      <c r="AK115" s="367"/>
      <c r="AL115" s="61">
        <v>46097</v>
      </c>
      <c r="AM115" s="61">
        <v>46118</v>
      </c>
      <c r="AN115" s="593"/>
      <c r="AO115" s="592"/>
      <c r="AP115" s="46" t="s">
        <v>158</v>
      </c>
    </row>
    <row r="116" spans="1:42" x14ac:dyDescent="0.25">
      <c r="A116" s="582"/>
      <c r="B116" s="46">
        <v>5600000384</v>
      </c>
      <c r="C116" s="80" t="s">
        <v>313</v>
      </c>
      <c r="D116" s="487">
        <v>46056</v>
      </c>
      <c r="E116" s="583" t="s">
        <v>2</v>
      </c>
      <c r="F116" s="262">
        <v>0.1</v>
      </c>
      <c r="G116" s="81" t="s">
        <v>156</v>
      </c>
      <c r="H116" s="584" t="s">
        <v>139</v>
      </c>
      <c r="I116" s="218">
        <v>0</v>
      </c>
      <c r="J116" s="59">
        <v>0</v>
      </c>
      <c r="K116" s="621">
        <f t="shared" si="187"/>
        <v>0</v>
      </c>
      <c r="L116" s="585">
        <v>96</v>
      </c>
      <c r="M116" s="621">
        <f t="shared" si="185"/>
        <v>0</v>
      </c>
      <c r="N116" s="584" t="s">
        <v>140</v>
      </c>
      <c r="O116" s="584">
        <v>60</v>
      </c>
      <c r="P116" s="487" t="s">
        <v>17</v>
      </c>
      <c r="Q116" s="64" t="s">
        <v>319</v>
      </c>
      <c r="R116" s="487">
        <v>46132</v>
      </c>
      <c r="S116" s="489">
        <v>46143</v>
      </c>
      <c r="T116" s="489">
        <v>46111</v>
      </c>
      <c r="U116" s="16">
        <v>217058.61</v>
      </c>
      <c r="V116" s="620">
        <f t="shared" si="101"/>
        <v>-217058.61</v>
      </c>
      <c r="W116" s="618">
        <f t="shared" si="184"/>
        <v>20837626.559999999</v>
      </c>
      <c r="X116" s="228"/>
      <c r="Y116" s="586">
        <v>46171</v>
      </c>
      <c r="Z116" s="616">
        <f>Y116+2</f>
        <v>46173</v>
      </c>
      <c r="AA116" s="587">
        <v>20294980.035</v>
      </c>
      <c r="AB116" s="61"/>
      <c r="AC116" s="616" t="str">
        <f t="shared" si="186"/>
        <v>May26</v>
      </c>
      <c r="AD116" s="588" t="s">
        <v>36</v>
      </c>
      <c r="AE116" s="589" t="s">
        <v>142</v>
      </c>
      <c r="AF116" s="250" t="s">
        <v>143</v>
      </c>
      <c r="AG116" s="250">
        <v>46171</v>
      </c>
      <c r="AH116" s="250" t="s">
        <v>144</v>
      </c>
      <c r="AI116" s="590" t="s">
        <v>1281</v>
      </c>
      <c r="AJ116" s="3"/>
      <c r="AK116" s="367"/>
      <c r="AL116" s="61">
        <v>46097</v>
      </c>
      <c r="AM116" s="61">
        <v>46118</v>
      </c>
      <c r="AN116" s="593"/>
      <c r="AO116" s="592"/>
      <c r="AP116" s="46" t="s">
        <v>158</v>
      </c>
    </row>
    <row r="117" spans="1:42" x14ac:dyDescent="0.25">
      <c r="A117" s="582"/>
      <c r="B117" s="46">
        <v>5600000384</v>
      </c>
      <c r="C117" s="80" t="s">
        <v>313</v>
      </c>
      <c r="D117" s="487">
        <v>46056</v>
      </c>
      <c r="E117" s="583" t="s">
        <v>2</v>
      </c>
      <c r="F117" s="262">
        <v>0.1</v>
      </c>
      <c r="G117" s="81" t="s">
        <v>156</v>
      </c>
      <c r="H117" s="584" t="s">
        <v>139</v>
      </c>
      <c r="I117" s="218">
        <v>0</v>
      </c>
      <c r="J117" s="59">
        <v>0</v>
      </c>
      <c r="K117" s="621">
        <f t="shared" ref="K117" si="189">J117+I117</f>
        <v>0</v>
      </c>
      <c r="L117" s="585">
        <v>96</v>
      </c>
      <c r="M117" s="621">
        <f t="shared" ref="M117" si="190">K117*L117</f>
        <v>0</v>
      </c>
      <c r="N117" s="584" t="s">
        <v>140</v>
      </c>
      <c r="O117" s="584">
        <v>60</v>
      </c>
      <c r="P117" s="487" t="s">
        <v>17</v>
      </c>
      <c r="Q117" s="64" t="s">
        <v>320</v>
      </c>
      <c r="R117" s="487">
        <v>46132</v>
      </c>
      <c r="S117" s="489">
        <v>46143</v>
      </c>
      <c r="T117" s="489">
        <v>46117</v>
      </c>
      <c r="U117" s="16">
        <v>93025.12</v>
      </c>
      <c r="V117" s="620">
        <f t="shared" ref="V117" si="191">K117-U117</f>
        <v>-93025.12</v>
      </c>
      <c r="W117" s="618">
        <f t="shared" ref="W117" si="192">U117*L117</f>
        <v>8930411.5199999996</v>
      </c>
      <c r="X117" s="228"/>
      <c r="Y117" s="586">
        <v>46177</v>
      </c>
      <c r="Z117" s="616">
        <f t="shared" ref="Z117" si="193">Y117+2</f>
        <v>46179</v>
      </c>
      <c r="AA117" s="587">
        <v>8697848.7199999988</v>
      </c>
      <c r="AB117" s="61"/>
      <c r="AC117" s="616" t="str">
        <f t="shared" ref="AC117" si="194">IF(Y117="","-",TEXT(Y117,"mmmmyy"))</f>
        <v>June26</v>
      </c>
      <c r="AD117" s="588" t="s">
        <v>36</v>
      </c>
      <c r="AE117" s="589" t="s">
        <v>142</v>
      </c>
      <c r="AF117" s="250" t="s">
        <v>143</v>
      </c>
      <c r="AG117" s="250">
        <v>46177</v>
      </c>
      <c r="AH117" s="250" t="s">
        <v>144</v>
      </c>
      <c r="AI117" s="590" t="s">
        <v>1281</v>
      </c>
      <c r="AJ117" s="3"/>
      <c r="AK117" s="367"/>
      <c r="AL117" s="61">
        <v>46097</v>
      </c>
      <c r="AM117" s="61">
        <v>46118</v>
      </c>
      <c r="AN117" s="593"/>
      <c r="AO117" s="592"/>
      <c r="AP117" s="46" t="s">
        <v>158</v>
      </c>
    </row>
    <row r="118" spans="1:42" x14ac:dyDescent="0.25">
      <c r="A118" s="582">
        <v>235</v>
      </c>
      <c r="B118" s="46">
        <v>5600000400</v>
      </c>
      <c r="C118" s="80" t="s">
        <v>321</v>
      </c>
      <c r="D118" s="487">
        <v>46059</v>
      </c>
      <c r="E118" s="583" t="s">
        <v>2</v>
      </c>
      <c r="F118" s="262">
        <v>0.1</v>
      </c>
      <c r="G118" s="81" t="s">
        <v>138</v>
      </c>
      <c r="H118" s="584" t="s">
        <v>139</v>
      </c>
      <c r="I118" s="218">
        <v>2242492.56</v>
      </c>
      <c r="J118" s="59">
        <v>0</v>
      </c>
      <c r="K118" s="621">
        <f t="shared" si="187"/>
        <v>2242492.56</v>
      </c>
      <c r="L118" s="585">
        <v>96</v>
      </c>
      <c r="M118" s="621">
        <f t="shared" si="185"/>
        <v>215279285.75999999</v>
      </c>
      <c r="N118" s="584" t="s">
        <v>140</v>
      </c>
      <c r="O118" s="584">
        <v>60</v>
      </c>
      <c r="P118" s="487" t="s">
        <v>17</v>
      </c>
      <c r="Q118" s="64" t="s">
        <v>322</v>
      </c>
      <c r="R118" s="487">
        <v>46132</v>
      </c>
      <c r="S118" s="489">
        <v>46140</v>
      </c>
      <c r="T118" s="489">
        <v>46114</v>
      </c>
      <c r="U118" s="16">
        <v>2080121.91</v>
      </c>
      <c r="V118" s="620">
        <f t="shared" si="101"/>
        <v>162370.65000000014</v>
      </c>
      <c r="W118" s="618">
        <f t="shared" si="184"/>
        <v>199691703.35999998</v>
      </c>
      <c r="X118" s="228"/>
      <c r="Y118" s="586">
        <v>46174</v>
      </c>
      <c r="Z118" s="616">
        <f>Y118+2</f>
        <v>46176</v>
      </c>
      <c r="AA118" s="617">
        <f>W118</f>
        <v>199691703.35999998</v>
      </c>
      <c r="AB118" s="61"/>
      <c r="AC118" s="616" t="str">
        <f t="shared" si="186"/>
        <v>June26</v>
      </c>
      <c r="AD118" s="588" t="s">
        <v>36</v>
      </c>
      <c r="AE118" s="589" t="s">
        <v>142</v>
      </c>
      <c r="AF118" s="250" t="s">
        <v>143</v>
      </c>
      <c r="AG118" s="250">
        <v>46174</v>
      </c>
      <c r="AH118" s="250" t="s">
        <v>144</v>
      </c>
      <c r="AI118" s="590" t="s">
        <v>1281</v>
      </c>
      <c r="AJ118" s="554"/>
      <c r="AK118" s="367"/>
      <c r="AL118" s="61">
        <v>46132</v>
      </c>
      <c r="AM118" s="61">
        <v>46153</v>
      </c>
      <c r="AN118" s="593"/>
      <c r="AO118" s="592"/>
      <c r="AP118" s="46" t="s">
        <v>145</v>
      </c>
    </row>
    <row r="119" spans="1:42" x14ac:dyDescent="0.25">
      <c r="A119" s="582">
        <v>243</v>
      </c>
      <c r="B119" s="46">
        <v>3100000365</v>
      </c>
      <c r="C119" s="80" t="s">
        <v>323</v>
      </c>
      <c r="D119" s="487">
        <v>46066</v>
      </c>
      <c r="E119" s="583" t="s">
        <v>2</v>
      </c>
      <c r="F119" s="262">
        <v>0.1</v>
      </c>
      <c r="G119" s="81" t="s">
        <v>324</v>
      </c>
      <c r="H119" s="584" t="s">
        <v>139</v>
      </c>
      <c r="I119" s="78">
        <v>88656</v>
      </c>
      <c r="J119" s="59">
        <v>0</v>
      </c>
      <c r="K119" s="621">
        <f t="shared" si="187"/>
        <v>88656</v>
      </c>
      <c r="L119" s="585">
        <v>94</v>
      </c>
      <c r="M119" s="621">
        <f t="shared" si="185"/>
        <v>8333664</v>
      </c>
      <c r="N119" s="584" t="s">
        <v>325</v>
      </c>
      <c r="O119" s="584" t="s">
        <v>293</v>
      </c>
      <c r="P119" s="487" t="s">
        <v>17</v>
      </c>
      <c r="Q119" s="64" t="s">
        <v>326</v>
      </c>
      <c r="R119" s="487">
        <v>46111</v>
      </c>
      <c r="S119" s="489">
        <v>46120</v>
      </c>
      <c r="T119" s="489">
        <v>46096</v>
      </c>
      <c r="U119" s="16">
        <v>88656</v>
      </c>
      <c r="V119" s="620">
        <f t="shared" si="101"/>
        <v>0</v>
      </c>
      <c r="W119" s="618">
        <f t="shared" si="184"/>
        <v>8333664</v>
      </c>
      <c r="X119" s="228"/>
      <c r="Y119" s="586">
        <v>46118</v>
      </c>
      <c r="Z119" s="616">
        <f t="shared" ref="Z119:Z149" si="195">Y119+2</f>
        <v>46120</v>
      </c>
      <c r="AA119" s="617">
        <f t="shared" ref="AA119:AA128" si="196">M119</f>
        <v>8333664</v>
      </c>
      <c r="AB119" s="61"/>
      <c r="AC119" s="616" t="str">
        <f t="shared" si="186"/>
        <v>April26</v>
      </c>
      <c r="AD119" s="588" t="s">
        <v>36</v>
      </c>
      <c r="AE119" s="589" t="s">
        <v>142</v>
      </c>
      <c r="AF119" s="250" t="s">
        <v>143</v>
      </c>
      <c r="AG119" s="250">
        <v>46118</v>
      </c>
      <c r="AH119" s="250" t="s">
        <v>144</v>
      </c>
      <c r="AI119" s="590"/>
      <c r="AJ119" s="554"/>
      <c r="AK119" s="367"/>
      <c r="AL119" s="61">
        <v>46142</v>
      </c>
      <c r="AM119" s="61">
        <v>46163</v>
      </c>
      <c r="AN119" s="593">
        <v>8483105</v>
      </c>
      <c r="AO119" s="592">
        <v>46156</v>
      </c>
      <c r="AP119" s="46" t="s">
        <v>327</v>
      </c>
    </row>
    <row r="120" spans="1:42" x14ac:dyDescent="0.25">
      <c r="A120" s="582"/>
      <c r="B120" s="46">
        <v>5600000400</v>
      </c>
      <c r="C120" s="80" t="s">
        <v>321</v>
      </c>
      <c r="D120" s="487">
        <v>46059</v>
      </c>
      <c r="E120" s="583" t="s">
        <v>2</v>
      </c>
      <c r="F120" s="262">
        <v>0.1</v>
      </c>
      <c r="G120" s="81" t="s">
        <v>138</v>
      </c>
      <c r="H120" s="584" t="s">
        <v>139</v>
      </c>
      <c r="I120" s="218">
        <v>0</v>
      </c>
      <c r="J120" s="59">
        <v>0</v>
      </c>
      <c r="K120" s="621">
        <f t="shared" ref="K120" si="197">J120+I120</f>
        <v>0</v>
      </c>
      <c r="L120" s="585">
        <v>96</v>
      </c>
      <c r="M120" s="621">
        <f t="shared" ref="M120" si="198">K120*L120</f>
        <v>0</v>
      </c>
      <c r="N120" s="584" t="s">
        <v>140</v>
      </c>
      <c r="O120" s="584">
        <v>60</v>
      </c>
      <c r="P120" s="487" t="s">
        <v>146</v>
      </c>
      <c r="R120" s="487"/>
      <c r="S120" s="489"/>
      <c r="T120" s="489">
        <v>46114</v>
      </c>
      <c r="U120" s="16">
        <v>162370.65</v>
      </c>
      <c r="V120" s="620">
        <f t="shared" ref="V120" si="199">K120-U120</f>
        <v>-162370.65</v>
      </c>
      <c r="W120" s="618">
        <f t="shared" ref="W120" si="200">U120*L120</f>
        <v>15587582.399999999</v>
      </c>
      <c r="X120" s="228"/>
      <c r="Y120" s="586">
        <v>46174</v>
      </c>
      <c r="Z120" s="616">
        <f>Y120+2</f>
        <v>46176</v>
      </c>
      <c r="AA120" s="617">
        <f t="shared" ref="AA120:AA124" si="201">W120</f>
        <v>15587582.399999999</v>
      </c>
      <c r="AB120" s="61"/>
      <c r="AC120" s="616" t="str">
        <f t="shared" ref="AC120" si="202">IF(Y120="","-",TEXT(Y120,"mmmmyy"))</f>
        <v>June26</v>
      </c>
      <c r="AD120" s="588" t="s">
        <v>34</v>
      </c>
      <c r="AE120" s="589" t="s">
        <v>142</v>
      </c>
      <c r="AF120" s="250" t="s">
        <v>75</v>
      </c>
      <c r="AG120" s="250">
        <v>46174</v>
      </c>
      <c r="AH120" s="250" t="s">
        <v>144</v>
      </c>
      <c r="AI120" s="590" t="s">
        <v>1346</v>
      </c>
      <c r="AJ120" s="554"/>
      <c r="AK120" s="367"/>
      <c r="AL120" s="61">
        <v>46132</v>
      </c>
      <c r="AM120" s="61">
        <v>46153</v>
      </c>
      <c r="AN120" s="593"/>
      <c r="AO120" s="592"/>
      <c r="AP120" s="46" t="s">
        <v>145</v>
      </c>
    </row>
    <row r="121" spans="1:42" x14ac:dyDescent="0.25">
      <c r="A121" s="582">
        <v>243</v>
      </c>
      <c r="B121" s="46">
        <v>5600000398</v>
      </c>
      <c r="C121" s="80" t="s">
        <v>328</v>
      </c>
      <c r="D121" s="487">
        <v>46074</v>
      </c>
      <c r="E121" s="583" t="s">
        <v>2</v>
      </c>
      <c r="F121" s="262">
        <v>0.1</v>
      </c>
      <c r="G121" s="81" t="s">
        <v>138</v>
      </c>
      <c r="H121" s="584" t="s">
        <v>139</v>
      </c>
      <c r="I121" s="218">
        <v>3799372.5</v>
      </c>
      <c r="J121" s="59">
        <v>0</v>
      </c>
      <c r="K121" s="621">
        <f t="shared" si="187"/>
        <v>3799372.5</v>
      </c>
      <c r="L121" s="585">
        <v>96</v>
      </c>
      <c r="M121" s="621">
        <f t="shared" si="185"/>
        <v>364739760</v>
      </c>
      <c r="N121" s="584" t="s">
        <v>140</v>
      </c>
      <c r="O121" s="584">
        <v>60</v>
      </c>
      <c r="P121" s="487" t="s">
        <v>17</v>
      </c>
      <c r="Q121" s="64" t="s">
        <v>329</v>
      </c>
      <c r="R121" s="487">
        <v>46132</v>
      </c>
      <c r="S121" s="489">
        <v>46143</v>
      </c>
      <c r="T121" s="489">
        <v>46111</v>
      </c>
      <c r="U121" s="16">
        <v>3730346.24</v>
      </c>
      <c r="V121" s="620">
        <f t="shared" ref="V121:V158" si="203">K121-U121</f>
        <v>69026.259999999776</v>
      </c>
      <c r="W121" s="618">
        <f t="shared" si="184"/>
        <v>358113239.04000002</v>
      </c>
      <c r="X121" s="228"/>
      <c r="Y121" s="586">
        <v>46171</v>
      </c>
      <c r="Z121" s="616">
        <f t="shared" si="195"/>
        <v>46173</v>
      </c>
      <c r="AA121" s="617">
        <f t="shared" si="201"/>
        <v>358113239.04000002</v>
      </c>
      <c r="AB121" s="61"/>
      <c r="AC121" s="616" t="str">
        <f t="shared" si="186"/>
        <v>May26</v>
      </c>
      <c r="AD121" s="588" t="s">
        <v>36</v>
      </c>
      <c r="AE121" s="589" t="s">
        <v>142</v>
      </c>
      <c r="AF121" s="250" t="s">
        <v>143</v>
      </c>
      <c r="AG121" s="250">
        <v>46171</v>
      </c>
      <c r="AH121" s="250" t="s">
        <v>144</v>
      </c>
      <c r="AI121" s="590" t="s">
        <v>1281</v>
      </c>
      <c r="AJ121" s="554"/>
      <c r="AK121" s="367"/>
      <c r="AL121" s="61">
        <v>46127</v>
      </c>
      <c r="AM121" s="61">
        <v>46152</v>
      </c>
      <c r="AN121" s="593"/>
      <c r="AO121" s="592"/>
      <c r="AP121" s="46" t="s">
        <v>145</v>
      </c>
    </row>
    <row r="122" spans="1:42" x14ac:dyDescent="0.25">
      <c r="A122" s="582"/>
      <c r="B122" s="46">
        <v>5600000398</v>
      </c>
      <c r="C122" s="80" t="s">
        <v>328</v>
      </c>
      <c r="D122" s="487">
        <v>46074</v>
      </c>
      <c r="E122" s="583" t="s">
        <v>2</v>
      </c>
      <c r="F122" s="262">
        <v>0.1</v>
      </c>
      <c r="G122" s="81" t="s">
        <v>138</v>
      </c>
      <c r="H122" s="584" t="s">
        <v>139</v>
      </c>
      <c r="I122" s="218">
        <v>0</v>
      </c>
      <c r="J122" s="59">
        <v>0</v>
      </c>
      <c r="K122" s="621">
        <f t="shared" ref="K122" si="204">J122+I122</f>
        <v>0</v>
      </c>
      <c r="L122" s="585">
        <v>96</v>
      </c>
      <c r="M122" s="621">
        <f t="shared" ref="M122" si="205">K122*L122</f>
        <v>0</v>
      </c>
      <c r="N122" s="584" t="s">
        <v>140</v>
      </c>
      <c r="O122" s="584">
        <v>60</v>
      </c>
      <c r="P122" s="487" t="s">
        <v>146</v>
      </c>
      <c r="R122" s="487"/>
      <c r="S122" s="489"/>
      <c r="T122" s="489"/>
      <c r="U122" s="16">
        <v>69026.259999999995</v>
      </c>
      <c r="V122" s="620">
        <f t="shared" ref="V122" si="206">K122-U122</f>
        <v>-69026.259999999995</v>
      </c>
      <c r="W122" s="618">
        <f t="shared" ref="W122" si="207">U122*L122</f>
        <v>6626520.959999999</v>
      </c>
      <c r="X122" s="228"/>
      <c r="Y122" s="586">
        <v>46171</v>
      </c>
      <c r="Z122" s="616">
        <f>Y122+2</f>
        <v>46173</v>
      </c>
      <c r="AA122" s="617">
        <f t="shared" si="201"/>
        <v>6626520.959999999</v>
      </c>
      <c r="AB122" s="61"/>
      <c r="AC122" s="616" t="str">
        <f t="shared" ref="AC122" si="208">IF(Y122="","-",TEXT(Y122,"mmmmyy"))</f>
        <v>May26</v>
      </c>
      <c r="AD122" s="588" t="s">
        <v>34</v>
      </c>
      <c r="AE122" s="589" t="s">
        <v>142</v>
      </c>
      <c r="AF122" s="250" t="s">
        <v>75</v>
      </c>
      <c r="AG122" s="250">
        <v>46171</v>
      </c>
      <c r="AH122" s="250" t="s">
        <v>144</v>
      </c>
      <c r="AI122" s="590"/>
      <c r="AJ122" s="554"/>
      <c r="AK122" s="367"/>
      <c r="AL122" s="61">
        <v>46127</v>
      </c>
      <c r="AM122" s="61">
        <v>46152</v>
      </c>
      <c r="AN122" s="593"/>
      <c r="AO122" s="592"/>
      <c r="AP122" s="46" t="s">
        <v>145</v>
      </c>
    </row>
    <row r="123" spans="1:42" x14ac:dyDescent="0.25">
      <c r="A123" s="582">
        <v>250</v>
      </c>
      <c r="B123" s="46">
        <v>5600000425</v>
      </c>
      <c r="C123" s="80" t="s">
        <v>330</v>
      </c>
      <c r="D123" s="487">
        <v>46085</v>
      </c>
      <c r="E123" s="583" t="s">
        <v>2</v>
      </c>
      <c r="F123" s="262">
        <v>0.1</v>
      </c>
      <c r="G123" s="81" t="s">
        <v>138</v>
      </c>
      <c r="H123" s="584" t="s">
        <v>139</v>
      </c>
      <c r="I123" s="218">
        <v>3740467.5</v>
      </c>
      <c r="J123" s="59">
        <v>0</v>
      </c>
      <c r="K123" s="621">
        <f t="shared" si="187"/>
        <v>3740467.5</v>
      </c>
      <c r="L123" s="585">
        <v>96</v>
      </c>
      <c r="M123" s="621">
        <f t="shared" si="185"/>
        <v>359084880</v>
      </c>
      <c r="N123" s="584" t="s">
        <v>140</v>
      </c>
      <c r="O123" s="584">
        <v>60</v>
      </c>
      <c r="P123" s="487" t="s">
        <v>17</v>
      </c>
      <c r="Q123" s="64" t="s">
        <v>1311</v>
      </c>
      <c r="R123" s="487">
        <v>46147</v>
      </c>
      <c r="S123" s="489">
        <v>46174</v>
      </c>
      <c r="T123" s="489">
        <v>46135</v>
      </c>
      <c r="U123" s="16">
        <v>3731866.43</v>
      </c>
      <c r="V123" s="620">
        <f t="shared" si="203"/>
        <v>8601.0699999998324</v>
      </c>
      <c r="W123" s="618">
        <f t="shared" si="184"/>
        <v>358259177.28000003</v>
      </c>
      <c r="X123" s="228"/>
      <c r="Y123" s="586">
        <v>46195</v>
      </c>
      <c r="Z123" s="616">
        <f>Y123+2</f>
        <v>46197</v>
      </c>
      <c r="AA123" s="617">
        <f t="shared" si="201"/>
        <v>358259177.28000003</v>
      </c>
      <c r="AB123" s="61"/>
      <c r="AC123" s="616" t="str">
        <f t="shared" si="186"/>
        <v>June26</v>
      </c>
      <c r="AD123" s="588" t="s">
        <v>43</v>
      </c>
      <c r="AE123" s="589" t="s">
        <v>164</v>
      </c>
      <c r="AF123" s="250" t="s">
        <v>143</v>
      </c>
      <c r="AG123" s="250"/>
      <c r="AH123" s="250" t="s">
        <v>165</v>
      </c>
      <c r="AI123" s="590"/>
      <c r="AJ123" s="554"/>
      <c r="AK123" s="367"/>
      <c r="AL123" s="61">
        <v>46151</v>
      </c>
      <c r="AM123" s="61">
        <v>46172</v>
      </c>
      <c r="AN123" s="593"/>
      <c r="AO123" s="592"/>
      <c r="AP123" s="46" t="s">
        <v>145</v>
      </c>
    </row>
    <row r="124" spans="1:42" x14ac:dyDescent="0.25">
      <c r="A124" s="582"/>
      <c r="B124" s="46">
        <v>5600000425</v>
      </c>
      <c r="C124" s="80" t="s">
        <v>330</v>
      </c>
      <c r="D124" s="487">
        <v>46085</v>
      </c>
      <c r="E124" s="583" t="s">
        <v>2</v>
      </c>
      <c r="F124" s="262">
        <v>0.1</v>
      </c>
      <c r="G124" s="81" t="s">
        <v>138</v>
      </c>
      <c r="H124" s="584" t="s">
        <v>139</v>
      </c>
      <c r="I124" s="218">
        <v>0</v>
      </c>
      <c r="J124" s="59">
        <v>0</v>
      </c>
      <c r="K124" s="621">
        <f t="shared" ref="K124" si="209">J124+I124</f>
        <v>0</v>
      </c>
      <c r="L124" s="585">
        <v>96</v>
      </c>
      <c r="M124" s="621">
        <f t="shared" ref="M124" si="210">K124*L124</f>
        <v>0</v>
      </c>
      <c r="N124" s="584" t="s">
        <v>140</v>
      </c>
      <c r="O124" s="584">
        <v>60</v>
      </c>
      <c r="P124" s="487" t="s">
        <v>146</v>
      </c>
      <c r="R124" s="487"/>
      <c r="S124" s="489"/>
      <c r="T124" s="489">
        <v>46135</v>
      </c>
      <c r="U124" s="16">
        <v>8601.07</v>
      </c>
      <c r="V124" s="620">
        <f t="shared" ref="V124" si="211">K124-U124</f>
        <v>-8601.07</v>
      </c>
      <c r="W124" s="618">
        <f t="shared" ref="W124" si="212">U124*L124</f>
        <v>825702.72</v>
      </c>
      <c r="X124" s="228"/>
      <c r="Y124" s="586">
        <v>46195</v>
      </c>
      <c r="Z124" s="616">
        <f>Y124+2</f>
        <v>46197</v>
      </c>
      <c r="AA124" s="617">
        <f t="shared" si="201"/>
        <v>825702.72</v>
      </c>
      <c r="AB124" s="61"/>
      <c r="AC124" s="616" t="str">
        <f t="shared" ref="AC124" si="213">IF(Y124="","-",TEXT(Y124,"mmmmyy"))</f>
        <v>June26</v>
      </c>
      <c r="AD124" s="588" t="s">
        <v>45</v>
      </c>
      <c r="AE124" s="589" t="s">
        <v>75</v>
      </c>
      <c r="AF124" s="250" t="s">
        <v>75</v>
      </c>
      <c r="AG124" s="250"/>
      <c r="AH124" s="250" t="s">
        <v>165</v>
      </c>
      <c r="AI124" s="590"/>
      <c r="AJ124" s="554"/>
      <c r="AK124" s="367"/>
      <c r="AL124" s="61">
        <v>46151</v>
      </c>
      <c r="AM124" s="61">
        <v>46172</v>
      </c>
      <c r="AN124" s="593"/>
      <c r="AO124" s="592"/>
      <c r="AP124" s="46" t="s">
        <v>145</v>
      </c>
    </row>
    <row r="125" spans="1:42" x14ac:dyDescent="0.25">
      <c r="A125" s="582">
        <v>251</v>
      </c>
      <c r="B125" s="46">
        <v>5600000387</v>
      </c>
      <c r="C125" s="80" t="s">
        <v>331</v>
      </c>
      <c r="D125" s="487">
        <v>46086</v>
      </c>
      <c r="E125" s="583" t="s">
        <v>3</v>
      </c>
      <c r="F125" s="262">
        <v>0.1</v>
      </c>
      <c r="G125" s="81" t="s">
        <v>223</v>
      </c>
      <c r="H125" s="584" t="s">
        <v>139</v>
      </c>
      <c r="I125" s="218">
        <v>784000</v>
      </c>
      <c r="J125" s="59">
        <v>0</v>
      </c>
      <c r="K125" s="621">
        <f t="shared" si="187"/>
        <v>784000</v>
      </c>
      <c r="L125" s="585">
        <v>93.5</v>
      </c>
      <c r="M125" s="621">
        <f t="shared" si="185"/>
        <v>73304000</v>
      </c>
      <c r="N125" s="584" t="s">
        <v>140</v>
      </c>
      <c r="O125" s="584">
        <v>60</v>
      </c>
      <c r="P125" s="487" t="s">
        <v>17</v>
      </c>
      <c r="Q125" s="64" t="s">
        <v>332</v>
      </c>
      <c r="R125" s="487">
        <v>46105</v>
      </c>
      <c r="S125" s="489">
        <v>46114</v>
      </c>
      <c r="T125" s="489">
        <v>46096</v>
      </c>
      <c r="U125" s="16">
        <v>784000</v>
      </c>
      <c r="V125" s="620">
        <f t="shared" si="203"/>
        <v>0</v>
      </c>
      <c r="W125" s="618">
        <f t="shared" si="184"/>
        <v>73304000</v>
      </c>
      <c r="X125" s="228"/>
      <c r="Y125" s="586">
        <v>46156</v>
      </c>
      <c r="Z125" s="616">
        <f t="shared" si="195"/>
        <v>46158</v>
      </c>
      <c r="AA125" s="617">
        <f t="shared" si="196"/>
        <v>73304000</v>
      </c>
      <c r="AB125" s="61"/>
      <c r="AC125" s="616" t="str">
        <f t="shared" si="186"/>
        <v>May26</v>
      </c>
      <c r="AD125" s="588" t="s">
        <v>36</v>
      </c>
      <c r="AE125" s="589" t="s">
        <v>142</v>
      </c>
      <c r="AF125" s="250" t="s">
        <v>143</v>
      </c>
      <c r="AG125" s="250">
        <v>46156</v>
      </c>
      <c r="AH125" s="250" t="s">
        <v>144</v>
      </c>
      <c r="AI125" s="590"/>
      <c r="AJ125" s="554"/>
      <c r="AK125" s="367"/>
      <c r="AL125" s="61">
        <v>46106</v>
      </c>
      <c r="AM125" s="61">
        <v>46127</v>
      </c>
      <c r="AN125" s="593"/>
      <c r="AO125" s="592"/>
      <c r="AP125" s="46" t="s">
        <v>225</v>
      </c>
    </row>
    <row r="126" spans="1:42" x14ac:dyDescent="0.25">
      <c r="A126" s="582">
        <v>252</v>
      </c>
      <c r="B126" s="46">
        <v>5600000416</v>
      </c>
      <c r="C126" s="80" t="s">
        <v>333</v>
      </c>
      <c r="D126" s="487">
        <v>46091</v>
      </c>
      <c r="E126" s="583" t="s">
        <v>3</v>
      </c>
      <c r="F126" s="262">
        <v>0.1</v>
      </c>
      <c r="G126" s="81" t="s">
        <v>334</v>
      </c>
      <c r="H126" s="584" t="s">
        <v>139</v>
      </c>
      <c r="I126" s="218">
        <v>266112</v>
      </c>
      <c r="J126" s="59">
        <v>0</v>
      </c>
      <c r="K126" s="621">
        <f t="shared" si="187"/>
        <v>266112</v>
      </c>
      <c r="L126" s="585">
        <v>93.5</v>
      </c>
      <c r="M126" s="621">
        <f t="shared" si="185"/>
        <v>24881472</v>
      </c>
      <c r="N126" s="584" t="s">
        <v>140</v>
      </c>
      <c r="O126" s="584">
        <v>60</v>
      </c>
      <c r="P126" s="487" t="s">
        <v>17</v>
      </c>
      <c r="Q126" s="64" t="s">
        <v>335</v>
      </c>
      <c r="R126" s="487">
        <v>46133</v>
      </c>
      <c r="S126" s="489">
        <v>46139</v>
      </c>
      <c r="T126" s="489">
        <v>46108</v>
      </c>
      <c r="U126" s="16">
        <v>266112</v>
      </c>
      <c r="V126" s="620">
        <f t="shared" si="203"/>
        <v>0</v>
      </c>
      <c r="W126" s="618">
        <f t="shared" si="184"/>
        <v>24881472</v>
      </c>
      <c r="X126" s="228"/>
      <c r="Y126" s="586">
        <v>46168</v>
      </c>
      <c r="Z126" s="616">
        <f t="shared" si="195"/>
        <v>46170</v>
      </c>
      <c r="AA126" s="617">
        <f t="shared" si="196"/>
        <v>24881472</v>
      </c>
      <c r="AB126" s="61"/>
      <c r="AC126" s="616" t="str">
        <f t="shared" si="186"/>
        <v>May26</v>
      </c>
      <c r="AD126" s="588" t="s">
        <v>36</v>
      </c>
      <c r="AE126" s="589" t="s">
        <v>142</v>
      </c>
      <c r="AF126" s="250" t="s">
        <v>143</v>
      </c>
      <c r="AG126" s="250">
        <v>46168</v>
      </c>
      <c r="AH126" s="250" t="s">
        <v>144</v>
      </c>
      <c r="AI126" s="590" t="s">
        <v>1281</v>
      </c>
      <c r="AJ126" s="554"/>
      <c r="AK126" s="367"/>
      <c r="AL126" s="61">
        <v>46122</v>
      </c>
      <c r="AM126" s="61">
        <v>46143</v>
      </c>
      <c r="AN126" s="593"/>
      <c r="AO126" s="592"/>
      <c r="AP126" s="46" t="s">
        <v>336</v>
      </c>
    </row>
    <row r="127" spans="1:42" x14ac:dyDescent="0.25">
      <c r="A127" s="582">
        <v>253</v>
      </c>
      <c r="B127" s="46">
        <v>5600000415</v>
      </c>
      <c r="C127" s="80" t="s">
        <v>337</v>
      </c>
      <c r="D127" s="487">
        <v>46091</v>
      </c>
      <c r="E127" s="583" t="s">
        <v>3</v>
      </c>
      <c r="F127" s="262">
        <v>0.1</v>
      </c>
      <c r="G127" s="81" t="s">
        <v>338</v>
      </c>
      <c r="H127" s="584" t="s">
        <v>139</v>
      </c>
      <c r="I127" s="218">
        <v>249984</v>
      </c>
      <c r="J127" s="59">
        <v>0</v>
      </c>
      <c r="K127" s="621">
        <f t="shared" si="187"/>
        <v>249984</v>
      </c>
      <c r="L127" s="585">
        <v>93.5</v>
      </c>
      <c r="M127" s="621">
        <f t="shared" si="185"/>
        <v>23373504</v>
      </c>
      <c r="N127" s="584" t="s">
        <v>140</v>
      </c>
      <c r="O127" s="584">
        <v>60</v>
      </c>
      <c r="P127" s="487" t="s">
        <v>17</v>
      </c>
      <c r="Q127" s="64" t="s">
        <v>339</v>
      </c>
      <c r="R127" s="487">
        <v>46125</v>
      </c>
      <c r="S127" s="489"/>
      <c r="T127" s="489">
        <v>46105</v>
      </c>
      <c r="U127" s="16">
        <v>249984</v>
      </c>
      <c r="V127" s="620">
        <f t="shared" si="203"/>
        <v>0</v>
      </c>
      <c r="W127" s="618">
        <f t="shared" si="184"/>
        <v>23373504</v>
      </c>
      <c r="X127" s="228"/>
      <c r="Y127" s="586">
        <v>46168</v>
      </c>
      <c r="Z127" s="616">
        <f t="shared" si="195"/>
        <v>46170</v>
      </c>
      <c r="AA127" s="617">
        <f t="shared" si="196"/>
        <v>23373504</v>
      </c>
      <c r="AB127" s="61"/>
      <c r="AC127" s="616" t="str">
        <f t="shared" si="186"/>
        <v>May26</v>
      </c>
      <c r="AD127" s="588" t="s">
        <v>36</v>
      </c>
      <c r="AE127" s="589" t="s">
        <v>142</v>
      </c>
      <c r="AF127" s="250" t="s">
        <v>143</v>
      </c>
      <c r="AG127" s="250">
        <v>46168</v>
      </c>
      <c r="AH127" s="250" t="s">
        <v>144</v>
      </c>
      <c r="AI127" s="590" t="s">
        <v>1281</v>
      </c>
      <c r="AJ127" s="554"/>
      <c r="AK127" s="367"/>
      <c r="AL127" s="61">
        <v>46122</v>
      </c>
      <c r="AM127" s="61">
        <v>46143</v>
      </c>
      <c r="AN127" s="593"/>
      <c r="AO127" s="592"/>
      <c r="AP127" s="46" t="s">
        <v>336</v>
      </c>
    </row>
    <row r="128" spans="1:42" x14ac:dyDescent="0.25">
      <c r="A128" s="582">
        <v>257</v>
      </c>
      <c r="B128" s="46">
        <v>5600000402</v>
      </c>
      <c r="C128" s="80" t="s">
        <v>340</v>
      </c>
      <c r="D128" s="487">
        <v>46094</v>
      </c>
      <c r="E128" s="583" t="s">
        <v>3</v>
      </c>
      <c r="F128" s="262">
        <v>0.1</v>
      </c>
      <c r="G128" s="81" t="s">
        <v>341</v>
      </c>
      <c r="H128" s="584" t="s">
        <v>139</v>
      </c>
      <c r="I128" s="218">
        <v>274176</v>
      </c>
      <c r="J128" s="59">
        <v>0</v>
      </c>
      <c r="K128" s="621">
        <f t="shared" si="187"/>
        <v>274176</v>
      </c>
      <c r="L128" s="585">
        <v>93.5</v>
      </c>
      <c r="M128" s="621">
        <f t="shared" si="185"/>
        <v>25635456</v>
      </c>
      <c r="N128" s="584" t="s">
        <v>140</v>
      </c>
      <c r="O128" s="584">
        <v>60</v>
      </c>
      <c r="P128" s="487" t="s">
        <v>17</v>
      </c>
      <c r="Q128" s="64" t="s">
        <v>342</v>
      </c>
      <c r="R128" s="487">
        <v>46125</v>
      </c>
      <c r="S128" s="489">
        <v>46134</v>
      </c>
      <c r="T128" s="489">
        <v>46107</v>
      </c>
      <c r="U128" s="16">
        <v>274176</v>
      </c>
      <c r="V128" s="620">
        <f t="shared" si="203"/>
        <v>0</v>
      </c>
      <c r="W128" s="618">
        <f t="shared" si="184"/>
        <v>25635456</v>
      </c>
      <c r="X128" s="228"/>
      <c r="Y128" s="586">
        <v>46168</v>
      </c>
      <c r="Z128" s="616">
        <f t="shared" si="195"/>
        <v>46170</v>
      </c>
      <c r="AA128" s="617">
        <f t="shared" si="196"/>
        <v>25635456</v>
      </c>
      <c r="AB128" s="61"/>
      <c r="AC128" s="616" t="str">
        <f t="shared" si="186"/>
        <v>May26</v>
      </c>
      <c r="AD128" s="588" t="s">
        <v>36</v>
      </c>
      <c r="AE128" s="589" t="s">
        <v>142</v>
      </c>
      <c r="AF128" s="250" t="s">
        <v>143</v>
      </c>
      <c r="AG128" s="250">
        <v>46168</v>
      </c>
      <c r="AH128" s="250" t="s">
        <v>144</v>
      </c>
      <c r="AI128" s="590" t="s">
        <v>1281</v>
      </c>
      <c r="AJ128" s="554"/>
      <c r="AK128" s="367"/>
      <c r="AL128" s="61">
        <v>46122</v>
      </c>
      <c r="AM128" s="61">
        <v>46143</v>
      </c>
      <c r="AN128" s="593"/>
      <c r="AO128" s="592"/>
      <c r="AP128" s="46" t="s">
        <v>336</v>
      </c>
    </row>
    <row r="129" spans="1:42" x14ac:dyDescent="0.25">
      <c r="A129" s="582">
        <v>262</v>
      </c>
      <c r="B129" s="46">
        <v>5600000438</v>
      </c>
      <c r="C129" s="80" t="s">
        <v>343</v>
      </c>
      <c r="D129" s="487">
        <v>46099</v>
      </c>
      <c r="E129" s="583" t="s">
        <v>3</v>
      </c>
      <c r="F129" s="262">
        <v>0.1</v>
      </c>
      <c r="G129" s="81" t="s">
        <v>344</v>
      </c>
      <c r="H129" s="584" t="s">
        <v>139</v>
      </c>
      <c r="I129" s="218">
        <v>500400</v>
      </c>
      <c r="J129" s="59">
        <v>0</v>
      </c>
      <c r="K129" s="621">
        <f t="shared" si="187"/>
        <v>500400</v>
      </c>
      <c r="L129" s="585">
        <v>96</v>
      </c>
      <c r="M129" s="621">
        <f t="shared" si="185"/>
        <v>48038400</v>
      </c>
      <c r="N129" s="584" t="s">
        <v>140</v>
      </c>
      <c r="O129" s="584">
        <v>60</v>
      </c>
      <c r="P129" s="487" t="s">
        <v>17</v>
      </c>
      <c r="Q129" s="64" t="s">
        <v>345</v>
      </c>
      <c r="R129" s="487">
        <v>46128</v>
      </c>
      <c r="S129" s="489">
        <v>46134</v>
      </c>
      <c r="T129" s="489">
        <v>46106</v>
      </c>
      <c r="U129" s="16">
        <v>500400</v>
      </c>
      <c r="V129" s="620">
        <f t="shared" si="203"/>
        <v>0</v>
      </c>
      <c r="W129" s="618">
        <f t="shared" si="184"/>
        <v>48038400</v>
      </c>
      <c r="X129" s="228"/>
      <c r="Y129" s="586">
        <v>46174</v>
      </c>
      <c r="Z129" s="616">
        <f>Y129+2</f>
        <v>46176</v>
      </c>
      <c r="AA129" s="617">
        <f>M129</f>
        <v>48038400</v>
      </c>
      <c r="AB129" s="61"/>
      <c r="AC129" s="616" t="str">
        <f t="shared" si="186"/>
        <v>June26</v>
      </c>
      <c r="AD129" s="588" t="s">
        <v>36</v>
      </c>
      <c r="AE129" s="589" t="s">
        <v>142</v>
      </c>
      <c r="AF129" s="250" t="s">
        <v>143</v>
      </c>
      <c r="AG129" s="250">
        <v>46174</v>
      </c>
      <c r="AH129" s="250" t="s">
        <v>144</v>
      </c>
      <c r="AI129" s="590" t="s">
        <v>1281</v>
      </c>
      <c r="AJ129" s="554"/>
      <c r="AK129" s="367"/>
      <c r="AL129" s="61">
        <v>46122</v>
      </c>
      <c r="AM129" s="61">
        <v>46143</v>
      </c>
      <c r="AN129" s="593"/>
      <c r="AO129" s="592"/>
      <c r="AP129" s="46" t="s">
        <v>192</v>
      </c>
    </row>
    <row r="130" spans="1:42" x14ac:dyDescent="0.25">
      <c r="A130" s="582">
        <v>263</v>
      </c>
      <c r="B130" s="46">
        <v>5600000412</v>
      </c>
      <c r="C130" s="80" t="s">
        <v>346</v>
      </c>
      <c r="D130" s="487">
        <v>46099</v>
      </c>
      <c r="E130" s="583" t="s">
        <v>3</v>
      </c>
      <c r="F130" s="262">
        <v>0.1</v>
      </c>
      <c r="G130" s="81" t="s">
        <v>267</v>
      </c>
      <c r="H130" s="584" t="s">
        <v>139</v>
      </c>
      <c r="I130" s="218">
        <v>1307700</v>
      </c>
      <c r="J130" s="59">
        <v>0</v>
      </c>
      <c r="K130" s="621">
        <f t="shared" si="187"/>
        <v>1307700</v>
      </c>
      <c r="L130" s="585">
        <v>96</v>
      </c>
      <c r="M130" s="621">
        <f t="shared" si="185"/>
        <v>125539200</v>
      </c>
      <c r="N130" s="584" t="s">
        <v>140</v>
      </c>
      <c r="O130" s="584">
        <v>45</v>
      </c>
      <c r="P130" s="487" t="s">
        <v>17</v>
      </c>
      <c r="Q130" s="64" t="s">
        <v>347</v>
      </c>
      <c r="R130" s="487">
        <v>46157</v>
      </c>
      <c r="S130" s="489">
        <v>46163</v>
      </c>
      <c r="T130" s="489">
        <v>46140</v>
      </c>
      <c r="U130" s="16">
        <v>1307700</v>
      </c>
      <c r="V130" s="620">
        <f t="shared" si="203"/>
        <v>0</v>
      </c>
      <c r="W130" s="618">
        <f t="shared" si="184"/>
        <v>125539200</v>
      </c>
      <c r="X130" s="228"/>
      <c r="Y130" s="586">
        <v>46185</v>
      </c>
      <c r="Z130" s="616">
        <f>Y130+2</f>
        <v>46187</v>
      </c>
      <c r="AA130" s="617">
        <f>M130</f>
        <v>125539200</v>
      </c>
      <c r="AB130" s="61"/>
      <c r="AC130" s="616" t="str">
        <f t="shared" si="186"/>
        <v>June26</v>
      </c>
      <c r="AD130" s="588" t="s">
        <v>43</v>
      </c>
      <c r="AE130" s="589" t="s">
        <v>164</v>
      </c>
      <c r="AF130" s="250" t="s">
        <v>143</v>
      </c>
      <c r="AG130" s="250"/>
      <c r="AH130" s="250" t="s">
        <v>165</v>
      </c>
      <c r="AI130" s="590"/>
      <c r="AJ130" s="554"/>
      <c r="AK130" s="367"/>
      <c r="AL130" s="61">
        <v>46157</v>
      </c>
      <c r="AM130" s="61">
        <v>46178</v>
      </c>
      <c r="AN130" s="593"/>
      <c r="AO130" s="592"/>
      <c r="AP130" s="46" t="s">
        <v>171</v>
      </c>
    </row>
    <row r="131" spans="1:42" x14ac:dyDescent="0.25">
      <c r="A131" s="582">
        <v>264</v>
      </c>
      <c r="B131" s="46">
        <v>5600000411</v>
      </c>
      <c r="C131" s="80" t="s">
        <v>348</v>
      </c>
      <c r="D131" s="487">
        <v>46099</v>
      </c>
      <c r="E131" s="583" t="s">
        <v>3</v>
      </c>
      <c r="F131" s="262">
        <v>0.1</v>
      </c>
      <c r="G131" s="81" t="s">
        <v>267</v>
      </c>
      <c r="H131" s="584" t="s">
        <v>139</v>
      </c>
      <c r="I131" s="218">
        <v>1354275</v>
      </c>
      <c r="J131" s="59">
        <v>0</v>
      </c>
      <c r="K131" s="621">
        <f t="shared" si="187"/>
        <v>1354275</v>
      </c>
      <c r="L131" s="585">
        <v>93.5</v>
      </c>
      <c r="M131" s="621">
        <f t="shared" si="185"/>
        <v>126624712.5</v>
      </c>
      <c r="N131" s="584" t="s">
        <v>140</v>
      </c>
      <c r="O131" s="584">
        <v>45</v>
      </c>
      <c r="P131" s="487" t="s">
        <v>17</v>
      </c>
      <c r="Q131" s="64" t="s">
        <v>349</v>
      </c>
      <c r="R131" s="487">
        <v>46118</v>
      </c>
      <c r="S131" s="489">
        <v>46125</v>
      </c>
      <c r="T131" s="489">
        <v>46100</v>
      </c>
      <c r="U131" s="16">
        <v>1354275</v>
      </c>
      <c r="V131" s="620">
        <f t="shared" si="203"/>
        <v>0</v>
      </c>
      <c r="W131" s="618">
        <f t="shared" si="184"/>
        <v>126624712.5</v>
      </c>
      <c r="X131" s="228"/>
      <c r="Y131" s="586">
        <v>46146</v>
      </c>
      <c r="Z131" s="616">
        <f>Y131+2</f>
        <v>46148</v>
      </c>
      <c r="AA131" s="617">
        <f>M131</f>
        <v>126624712.5</v>
      </c>
      <c r="AB131" s="61"/>
      <c r="AC131" s="616" t="str">
        <f t="shared" si="186"/>
        <v>May26</v>
      </c>
      <c r="AD131" s="588" t="s">
        <v>36</v>
      </c>
      <c r="AE131" s="589" t="s">
        <v>142</v>
      </c>
      <c r="AF131" s="250" t="s">
        <v>143</v>
      </c>
      <c r="AG131" s="250">
        <v>46146</v>
      </c>
      <c r="AH131" s="250" t="s">
        <v>144</v>
      </c>
      <c r="AI131" s="590"/>
      <c r="AJ131" s="554"/>
      <c r="AK131" s="367"/>
      <c r="AL131" s="61">
        <v>46127</v>
      </c>
      <c r="AM131" s="61">
        <v>46148</v>
      </c>
      <c r="AN131" s="593" t="s">
        <v>350</v>
      </c>
      <c r="AO131" s="592">
        <v>46146</v>
      </c>
      <c r="AP131" s="46" t="s">
        <v>171</v>
      </c>
    </row>
    <row r="132" spans="1:42" x14ac:dyDescent="0.25">
      <c r="A132" s="582">
        <v>265</v>
      </c>
      <c r="B132" s="46">
        <v>5600000439</v>
      </c>
      <c r="C132" s="80" t="s">
        <v>351</v>
      </c>
      <c r="D132" s="487">
        <v>46099</v>
      </c>
      <c r="E132" s="583" t="s">
        <v>3</v>
      </c>
      <c r="F132" s="262">
        <v>0.1</v>
      </c>
      <c r="G132" s="81" t="s">
        <v>352</v>
      </c>
      <c r="H132" s="584" t="s">
        <v>139</v>
      </c>
      <c r="I132" s="218">
        <v>479700</v>
      </c>
      <c r="J132" s="59">
        <v>0</v>
      </c>
      <c r="K132" s="621">
        <f t="shared" si="187"/>
        <v>479700</v>
      </c>
      <c r="L132" s="585">
        <v>96</v>
      </c>
      <c r="M132" s="621">
        <f t="shared" si="185"/>
        <v>46051200</v>
      </c>
      <c r="N132" s="584" t="s">
        <v>140</v>
      </c>
      <c r="O132" s="584">
        <v>60</v>
      </c>
      <c r="P132" s="487" t="s">
        <v>17</v>
      </c>
      <c r="Q132" s="64" t="s">
        <v>353</v>
      </c>
      <c r="R132" s="487">
        <v>46142</v>
      </c>
      <c r="S132" s="489">
        <v>46146</v>
      </c>
      <c r="T132" s="489">
        <v>46122</v>
      </c>
      <c r="U132" s="16">
        <v>479700</v>
      </c>
      <c r="V132" s="620">
        <f t="shared" si="203"/>
        <v>0</v>
      </c>
      <c r="W132" s="618">
        <f t="shared" si="184"/>
        <v>46051200</v>
      </c>
      <c r="X132" s="228"/>
      <c r="Y132" s="586">
        <v>46182</v>
      </c>
      <c r="Z132" s="616">
        <f t="shared" si="195"/>
        <v>46184</v>
      </c>
      <c r="AA132" s="617">
        <f>M132</f>
        <v>46051200</v>
      </c>
      <c r="AB132" s="61"/>
      <c r="AC132" s="616" t="str">
        <f t="shared" si="186"/>
        <v>June26</v>
      </c>
      <c r="AD132" s="588" t="s">
        <v>43</v>
      </c>
      <c r="AE132" s="589" t="s">
        <v>164</v>
      </c>
      <c r="AF132" s="250" t="s">
        <v>143</v>
      </c>
      <c r="AG132" s="250"/>
      <c r="AH132" s="250" t="s">
        <v>165</v>
      </c>
      <c r="AI132" s="590" t="s">
        <v>1363</v>
      </c>
      <c r="AJ132" s="554"/>
      <c r="AK132" s="367"/>
      <c r="AL132" s="61">
        <v>46122</v>
      </c>
      <c r="AM132" s="61">
        <v>46143</v>
      </c>
      <c r="AN132" s="593"/>
      <c r="AO132" s="592"/>
      <c r="AP132" s="46" t="s">
        <v>225</v>
      </c>
    </row>
    <row r="133" spans="1:42" x14ac:dyDescent="0.25">
      <c r="A133" s="582">
        <v>266</v>
      </c>
      <c r="B133" s="46">
        <v>5600000409</v>
      </c>
      <c r="C133" s="80" t="s">
        <v>354</v>
      </c>
      <c r="D133" s="487">
        <v>46099</v>
      </c>
      <c r="E133" s="583" t="s">
        <v>3</v>
      </c>
      <c r="F133" s="262">
        <v>0.1</v>
      </c>
      <c r="G133" s="81" t="s">
        <v>183</v>
      </c>
      <c r="H133" s="584" t="s">
        <v>139</v>
      </c>
      <c r="I133" s="218">
        <v>1324050</v>
      </c>
      <c r="J133" s="59">
        <v>0</v>
      </c>
      <c r="K133" s="621">
        <f>J133+I133</f>
        <v>1324050</v>
      </c>
      <c r="L133" s="585">
        <v>93.5</v>
      </c>
      <c r="M133" s="621">
        <f t="shared" si="185"/>
        <v>123798675</v>
      </c>
      <c r="N133" s="584" t="s">
        <v>140</v>
      </c>
      <c r="O133" s="584">
        <v>45</v>
      </c>
      <c r="P133" s="487" t="s">
        <v>17</v>
      </c>
      <c r="Q133" s="64" t="s">
        <v>355</v>
      </c>
      <c r="R133" s="487">
        <v>46134</v>
      </c>
      <c r="S133" s="489">
        <v>46139</v>
      </c>
      <c r="T133" s="489">
        <v>46112</v>
      </c>
      <c r="U133" s="16">
        <v>264810</v>
      </c>
      <c r="V133" s="620">
        <f t="shared" si="203"/>
        <v>1059240</v>
      </c>
      <c r="W133" s="618">
        <f t="shared" si="184"/>
        <v>24759735</v>
      </c>
      <c r="X133" s="228"/>
      <c r="Y133" s="616">
        <f t="shared" ref="Y133:Y134" si="214">T133+O133</f>
        <v>46157</v>
      </c>
      <c r="Z133" s="616">
        <f t="shared" ref="Z133:Z140" si="215">Y133+2</f>
        <v>46159</v>
      </c>
      <c r="AA133" s="617">
        <f t="shared" ref="AA133:AA148" si="216">W133</f>
        <v>24759735</v>
      </c>
      <c r="AB133" s="61"/>
      <c r="AC133" s="616" t="str">
        <f t="shared" si="186"/>
        <v>May26</v>
      </c>
      <c r="AD133" s="588" t="s">
        <v>36</v>
      </c>
      <c r="AE133" s="589" t="s">
        <v>142</v>
      </c>
      <c r="AF133" s="250" t="s">
        <v>143</v>
      </c>
      <c r="AG133" s="250">
        <v>46157</v>
      </c>
      <c r="AH133" s="250" t="s">
        <v>144</v>
      </c>
      <c r="AI133" s="590" t="s">
        <v>1281</v>
      </c>
      <c r="AJ133" s="554"/>
      <c r="AK133" s="367"/>
      <c r="AL133" s="61">
        <v>46127</v>
      </c>
      <c r="AM133" s="61">
        <v>46148</v>
      </c>
      <c r="AN133" s="593"/>
      <c r="AO133" s="592"/>
      <c r="AP133" s="46" t="s">
        <v>171</v>
      </c>
    </row>
    <row r="134" spans="1:42" x14ac:dyDescent="0.25">
      <c r="A134" s="582"/>
      <c r="B134" s="46">
        <v>5600000409</v>
      </c>
      <c r="C134" s="80" t="s">
        <v>354</v>
      </c>
      <c r="D134" s="487">
        <v>46099</v>
      </c>
      <c r="E134" s="583" t="s">
        <v>3</v>
      </c>
      <c r="F134" s="262">
        <v>0.1</v>
      </c>
      <c r="G134" s="81" t="s">
        <v>183</v>
      </c>
      <c r="H134" s="584" t="s">
        <v>139</v>
      </c>
      <c r="I134" s="218">
        <v>0</v>
      </c>
      <c r="J134" s="59">
        <v>0</v>
      </c>
      <c r="K134" s="621">
        <f t="shared" ref="K134" si="217">J134+I134</f>
        <v>0</v>
      </c>
      <c r="L134" s="585">
        <v>93.5</v>
      </c>
      <c r="M134" s="621">
        <f t="shared" ref="M134" si="218">K134*L134</f>
        <v>0</v>
      </c>
      <c r="N134" s="584" t="s">
        <v>140</v>
      </c>
      <c r="O134" s="584">
        <v>45</v>
      </c>
      <c r="P134" s="487" t="s">
        <v>17</v>
      </c>
      <c r="Q134" s="64" t="s">
        <v>356</v>
      </c>
      <c r="R134" s="487">
        <v>46134</v>
      </c>
      <c r="S134" s="489">
        <v>46139</v>
      </c>
      <c r="T134" s="489">
        <v>46112</v>
      </c>
      <c r="U134" s="16">
        <v>264810</v>
      </c>
      <c r="V134" s="620">
        <f t="shared" si="203"/>
        <v>-264810</v>
      </c>
      <c r="W134" s="618">
        <f t="shared" si="184"/>
        <v>24759735</v>
      </c>
      <c r="X134" s="228"/>
      <c r="Y134" s="616">
        <f t="shared" si="214"/>
        <v>46157</v>
      </c>
      <c r="Z134" s="616">
        <f t="shared" si="215"/>
        <v>46159</v>
      </c>
      <c r="AA134" s="617">
        <f t="shared" si="216"/>
        <v>24759735</v>
      </c>
      <c r="AB134" s="61"/>
      <c r="AC134" s="616" t="str">
        <f t="shared" ref="AC134" si="219">IF(Y134="","-",TEXT(Y134,"mmmmyy"))</f>
        <v>May26</v>
      </c>
      <c r="AD134" s="588" t="s">
        <v>36</v>
      </c>
      <c r="AE134" s="589" t="s">
        <v>142</v>
      </c>
      <c r="AF134" s="250" t="s">
        <v>143</v>
      </c>
      <c r="AG134" s="250">
        <v>46157</v>
      </c>
      <c r="AH134" s="250" t="s">
        <v>144</v>
      </c>
      <c r="AI134" s="590" t="s">
        <v>1281</v>
      </c>
      <c r="AJ134" s="554"/>
      <c r="AK134" s="367"/>
      <c r="AL134" s="61">
        <v>46127</v>
      </c>
      <c r="AM134" s="61">
        <v>46148</v>
      </c>
      <c r="AN134" s="593"/>
      <c r="AO134" s="592"/>
      <c r="AP134" s="46" t="s">
        <v>171</v>
      </c>
    </row>
    <row r="135" spans="1:42" x14ac:dyDescent="0.25">
      <c r="A135" s="582"/>
      <c r="B135" s="46">
        <v>5600000409</v>
      </c>
      <c r="C135" s="80" t="s">
        <v>354</v>
      </c>
      <c r="D135" s="487">
        <v>46099</v>
      </c>
      <c r="E135" s="583" t="s">
        <v>3</v>
      </c>
      <c r="F135" s="262">
        <v>0.1</v>
      </c>
      <c r="G135" s="81" t="s">
        <v>183</v>
      </c>
      <c r="H135" s="584" t="s">
        <v>139</v>
      </c>
      <c r="I135" s="218">
        <v>0</v>
      </c>
      <c r="J135" s="59">
        <v>0</v>
      </c>
      <c r="K135" s="621">
        <f t="shared" ref="K135" si="220">J135+I135</f>
        <v>0</v>
      </c>
      <c r="L135" s="585">
        <v>93.5</v>
      </c>
      <c r="M135" s="621">
        <f t="shared" ref="M135" si="221">K135*L135</f>
        <v>0</v>
      </c>
      <c r="N135" s="584" t="s">
        <v>140</v>
      </c>
      <c r="O135" s="584">
        <v>45</v>
      </c>
      <c r="P135" s="487" t="s">
        <v>17</v>
      </c>
      <c r="Q135" s="64" t="s">
        <v>357</v>
      </c>
      <c r="R135" s="487">
        <v>46134</v>
      </c>
      <c r="S135" s="489">
        <v>46139</v>
      </c>
      <c r="T135" s="489">
        <v>46118</v>
      </c>
      <c r="U135" s="16">
        <v>264810</v>
      </c>
      <c r="V135" s="620">
        <f t="shared" ref="V135" si="222">K135-U135</f>
        <v>-264810</v>
      </c>
      <c r="W135" s="618">
        <f t="shared" ref="W135" si="223">U135*L135</f>
        <v>24759735</v>
      </c>
      <c r="X135" s="228"/>
      <c r="Y135" s="616">
        <f t="shared" ref="Y135" si="224">T135+O135</f>
        <v>46163</v>
      </c>
      <c r="Z135" s="616">
        <f t="shared" si="215"/>
        <v>46165</v>
      </c>
      <c r="AA135" s="617">
        <f t="shared" si="216"/>
        <v>24759735</v>
      </c>
      <c r="AB135" s="61"/>
      <c r="AC135" s="616" t="str">
        <f t="shared" ref="AC135" si="225">IF(Y135="","-",TEXT(Y135,"mmmmyy"))</f>
        <v>May26</v>
      </c>
      <c r="AD135" s="588" t="s">
        <v>36</v>
      </c>
      <c r="AE135" s="589" t="s">
        <v>142</v>
      </c>
      <c r="AF135" s="250" t="s">
        <v>143</v>
      </c>
      <c r="AG135" s="250">
        <v>46163</v>
      </c>
      <c r="AH135" s="250" t="s">
        <v>144</v>
      </c>
      <c r="AI135" s="590" t="s">
        <v>1281</v>
      </c>
      <c r="AJ135" s="554"/>
      <c r="AK135" s="367"/>
      <c r="AL135" s="61">
        <v>46127</v>
      </c>
      <c r="AM135" s="61">
        <v>46148</v>
      </c>
      <c r="AN135" s="593"/>
      <c r="AO135" s="592"/>
      <c r="AP135" s="46" t="s">
        <v>171</v>
      </c>
    </row>
    <row r="136" spans="1:42" x14ac:dyDescent="0.25">
      <c r="A136" s="582"/>
      <c r="B136" s="46">
        <v>5600000409</v>
      </c>
      <c r="C136" s="80" t="s">
        <v>354</v>
      </c>
      <c r="D136" s="487">
        <v>46099</v>
      </c>
      <c r="E136" s="583" t="s">
        <v>3</v>
      </c>
      <c r="F136" s="262">
        <v>0.1</v>
      </c>
      <c r="G136" s="81" t="s">
        <v>183</v>
      </c>
      <c r="H136" s="584" t="s">
        <v>139</v>
      </c>
      <c r="I136" s="218">
        <v>0</v>
      </c>
      <c r="J136" s="59">
        <v>0</v>
      </c>
      <c r="K136" s="621">
        <f t="shared" ref="K136" si="226">J136+I136</f>
        <v>0</v>
      </c>
      <c r="L136" s="585">
        <v>93.5</v>
      </c>
      <c r="M136" s="621">
        <f t="shared" ref="M136" si="227">K136*L136</f>
        <v>0</v>
      </c>
      <c r="N136" s="584" t="s">
        <v>140</v>
      </c>
      <c r="O136" s="584">
        <v>45</v>
      </c>
      <c r="P136" s="487" t="s">
        <v>17</v>
      </c>
      <c r="Q136" s="64" t="s">
        <v>358</v>
      </c>
      <c r="R136" s="487">
        <v>46134</v>
      </c>
      <c r="S136" s="489">
        <v>46139</v>
      </c>
      <c r="T136" s="489">
        <v>46118</v>
      </c>
      <c r="U136" s="16">
        <v>264810</v>
      </c>
      <c r="V136" s="620">
        <f t="shared" ref="V136" si="228">K136-U136</f>
        <v>-264810</v>
      </c>
      <c r="W136" s="618">
        <f t="shared" ref="W136" si="229">U136*L136</f>
        <v>24759735</v>
      </c>
      <c r="X136" s="228"/>
      <c r="Y136" s="586">
        <v>46163</v>
      </c>
      <c r="Z136" s="616">
        <f t="shared" si="215"/>
        <v>46165</v>
      </c>
      <c r="AA136" s="617">
        <f t="shared" si="216"/>
        <v>24759735</v>
      </c>
      <c r="AB136" s="61"/>
      <c r="AC136" s="616" t="str">
        <f t="shared" ref="AC136" si="230">IF(Y136="","-",TEXT(Y136,"mmmmyy"))</f>
        <v>May26</v>
      </c>
      <c r="AD136" s="588" t="s">
        <v>36</v>
      </c>
      <c r="AE136" s="589" t="s">
        <v>142</v>
      </c>
      <c r="AF136" s="250" t="s">
        <v>143</v>
      </c>
      <c r="AG136" s="250">
        <v>46163</v>
      </c>
      <c r="AH136" s="250" t="s">
        <v>144</v>
      </c>
      <c r="AI136" s="590" t="s">
        <v>1281</v>
      </c>
      <c r="AJ136" s="554"/>
      <c r="AK136" s="367"/>
      <c r="AL136" s="61">
        <v>46127</v>
      </c>
      <c r="AM136" s="61">
        <v>46148</v>
      </c>
      <c r="AN136" s="593"/>
      <c r="AO136" s="592"/>
      <c r="AP136" s="46" t="s">
        <v>171</v>
      </c>
    </row>
    <row r="137" spans="1:42" x14ac:dyDescent="0.25">
      <c r="A137" s="582"/>
      <c r="B137" s="46">
        <v>5600000409</v>
      </c>
      <c r="C137" s="80" t="s">
        <v>354</v>
      </c>
      <c r="D137" s="487">
        <v>46099</v>
      </c>
      <c r="E137" s="583" t="s">
        <v>3</v>
      </c>
      <c r="F137" s="262">
        <v>0.1</v>
      </c>
      <c r="G137" s="81" t="s">
        <v>183</v>
      </c>
      <c r="H137" s="584" t="s">
        <v>139</v>
      </c>
      <c r="I137" s="218">
        <v>0</v>
      </c>
      <c r="J137" s="59">
        <v>0</v>
      </c>
      <c r="K137" s="621">
        <f t="shared" ref="K137" si="231">J137+I137</f>
        <v>0</v>
      </c>
      <c r="L137" s="585">
        <v>93.5</v>
      </c>
      <c r="M137" s="621">
        <f t="shared" ref="M137" si="232">K137*L137</f>
        <v>0</v>
      </c>
      <c r="N137" s="584" t="s">
        <v>140</v>
      </c>
      <c r="O137" s="584">
        <v>45</v>
      </c>
      <c r="P137" s="487" t="s">
        <v>17</v>
      </c>
      <c r="Q137" s="64" t="s">
        <v>359</v>
      </c>
      <c r="R137" s="487">
        <v>46134</v>
      </c>
      <c r="S137" s="489">
        <v>46139</v>
      </c>
      <c r="T137" s="489">
        <v>46112</v>
      </c>
      <c r="U137" s="16">
        <v>264810</v>
      </c>
      <c r="V137" s="620">
        <f t="shared" ref="V137" si="233">K137-U137</f>
        <v>-264810</v>
      </c>
      <c r="W137" s="618">
        <f t="shared" ref="W137" si="234">U137*L137</f>
        <v>24759735</v>
      </c>
      <c r="X137" s="228"/>
      <c r="Y137" s="586">
        <v>46157</v>
      </c>
      <c r="Z137" s="616">
        <f t="shared" si="215"/>
        <v>46159</v>
      </c>
      <c r="AA137" s="617">
        <f t="shared" si="216"/>
        <v>24759735</v>
      </c>
      <c r="AB137" s="61"/>
      <c r="AC137" s="616" t="str">
        <f t="shared" ref="AC137" si="235">IF(Y137="","-",TEXT(Y137,"mmmmyy"))</f>
        <v>May26</v>
      </c>
      <c r="AD137" s="588" t="s">
        <v>36</v>
      </c>
      <c r="AE137" s="589" t="s">
        <v>142</v>
      </c>
      <c r="AF137" s="250" t="s">
        <v>143</v>
      </c>
      <c r="AG137" s="250">
        <v>46157</v>
      </c>
      <c r="AH137" s="250" t="s">
        <v>144</v>
      </c>
      <c r="AI137" s="590" t="s">
        <v>1281</v>
      </c>
      <c r="AJ137" s="554"/>
      <c r="AK137" s="367"/>
      <c r="AL137" s="61">
        <v>46127</v>
      </c>
      <c r="AM137" s="61">
        <v>46148</v>
      </c>
      <c r="AN137" s="593"/>
      <c r="AO137" s="592"/>
      <c r="AP137" s="46" t="s">
        <v>171</v>
      </c>
    </row>
    <row r="138" spans="1:42" x14ac:dyDescent="0.25">
      <c r="A138" s="582">
        <v>267</v>
      </c>
      <c r="B138" s="46">
        <v>5600000407</v>
      </c>
      <c r="C138" s="80" t="s">
        <v>360</v>
      </c>
      <c r="D138" s="487">
        <v>46099</v>
      </c>
      <c r="E138" s="583" t="s">
        <v>3</v>
      </c>
      <c r="F138" s="262">
        <v>0.1</v>
      </c>
      <c r="G138" s="81" t="s">
        <v>156</v>
      </c>
      <c r="H138" s="584" t="s">
        <v>139</v>
      </c>
      <c r="I138" s="218">
        <v>894998.94</v>
      </c>
      <c r="J138" s="59">
        <v>0</v>
      </c>
      <c r="K138" s="621">
        <f t="shared" si="187"/>
        <v>894998.94</v>
      </c>
      <c r="L138" s="585">
        <v>96</v>
      </c>
      <c r="M138" s="621">
        <f t="shared" si="185"/>
        <v>85919898.239999995</v>
      </c>
      <c r="N138" s="584" t="s">
        <v>140</v>
      </c>
      <c r="O138" s="584">
        <v>60</v>
      </c>
      <c r="P138" s="487" t="s">
        <v>17</v>
      </c>
      <c r="Q138" s="64" t="s">
        <v>361</v>
      </c>
      <c r="R138" s="487">
        <v>46132</v>
      </c>
      <c r="S138" s="489">
        <v>46139</v>
      </c>
      <c r="T138" s="489">
        <v>46110</v>
      </c>
      <c r="U138" s="16">
        <v>477332.76</v>
      </c>
      <c r="V138" s="620">
        <f t="shared" si="203"/>
        <v>417666.17999999993</v>
      </c>
      <c r="W138" s="618">
        <f t="shared" si="184"/>
        <v>45823944.960000001</v>
      </c>
      <c r="X138" s="15"/>
      <c r="Y138" s="586">
        <v>46171</v>
      </c>
      <c r="Z138" s="616">
        <f t="shared" si="215"/>
        <v>46173</v>
      </c>
      <c r="AA138" s="617">
        <f t="shared" si="216"/>
        <v>45823944.960000001</v>
      </c>
      <c r="AB138" s="61"/>
      <c r="AC138" s="616" t="str">
        <f t="shared" si="186"/>
        <v>May26</v>
      </c>
      <c r="AD138" s="588" t="s">
        <v>36</v>
      </c>
      <c r="AE138" s="589" t="s">
        <v>142</v>
      </c>
      <c r="AF138" s="250" t="s">
        <v>143</v>
      </c>
      <c r="AG138" s="250">
        <v>46171</v>
      </c>
      <c r="AH138" s="250" t="s">
        <v>144</v>
      </c>
      <c r="AI138" s="590" t="s">
        <v>1281</v>
      </c>
      <c r="AJ138" s="554"/>
      <c r="AK138" s="367"/>
      <c r="AL138" s="61">
        <v>46127</v>
      </c>
      <c r="AM138" s="61">
        <v>46148</v>
      </c>
      <c r="AN138" s="593"/>
      <c r="AO138" s="592"/>
      <c r="AP138" s="46" t="s">
        <v>171</v>
      </c>
    </row>
    <row r="139" spans="1:42" x14ac:dyDescent="0.25">
      <c r="A139" s="582"/>
      <c r="B139" s="46">
        <v>5600000407</v>
      </c>
      <c r="C139" s="80" t="s">
        <v>360</v>
      </c>
      <c r="D139" s="487">
        <v>46099</v>
      </c>
      <c r="E139" s="583" t="s">
        <v>3</v>
      </c>
      <c r="F139" s="262">
        <v>0.1</v>
      </c>
      <c r="G139" s="81" t="s">
        <v>156</v>
      </c>
      <c r="H139" s="584" t="s">
        <v>139</v>
      </c>
      <c r="I139" s="218">
        <v>0</v>
      </c>
      <c r="J139" s="59">
        <v>0</v>
      </c>
      <c r="K139" s="621">
        <f t="shared" ref="K139" si="236">J139+I139</f>
        <v>0</v>
      </c>
      <c r="L139" s="585">
        <v>96</v>
      </c>
      <c r="M139" s="621">
        <f t="shared" ref="M139" si="237">K139*L139</f>
        <v>0</v>
      </c>
      <c r="N139" s="584" t="s">
        <v>140</v>
      </c>
      <c r="O139" s="584">
        <v>60</v>
      </c>
      <c r="P139" s="487" t="s">
        <v>17</v>
      </c>
      <c r="Q139" s="64" t="s">
        <v>362</v>
      </c>
      <c r="R139" s="487">
        <v>46135</v>
      </c>
      <c r="S139" s="489">
        <v>46143</v>
      </c>
      <c r="T139" s="489">
        <v>46117</v>
      </c>
      <c r="U139" s="16">
        <v>417666.17</v>
      </c>
      <c r="V139" s="620">
        <f t="shared" si="203"/>
        <v>-417666.17</v>
      </c>
      <c r="W139" s="618">
        <f t="shared" si="184"/>
        <v>40095952.32</v>
      </c>
      <c r="X139" s="228"/>
      <c r="Y139" s="586">
        <v>46177</v>
      </c>
      <c r="Z139" s="616">
        <f t="shared" si="215"/>
        <v>46179</v>
      </c>
      <c r="AA139" s="617">
        <f t="shared" si="216"/>
        <v>40095952.32</v>
      </c>
      <c r="AB139" s="61"/>
      <c r="AC139" s="616" t="str">
        <f t="shared" ref="AC139" si="238">IF(Y139="","-",TEXT(Y139,"mmmmyy"))</f>
        <v>June26</v>
      </c>
      <c r="AD139" s="588" t="s">
        <v>36</v>
      </c>
      <c r="AE139" s="589" t="s">
        <v>142</v>
      </c>
      <c r="AF139" s="250" t="s">
        <v>143</v>
      </c>
      <c r="AG139" s="250">
        <v>46177</v>
      </c>
      <c r="AH139" s="250" t="s">
        <v>144</v>
      </c>
      <c r="AI139" s="590" t="s">
        <v>1281</v>
      </c>
      <c r="AJ139" s="554"/>
      <c r="AK139" s="367"/>
      <c r="AL139" s="61">
        <v>46127</v>
      </c>
      <c r="AM139" s="61">
        <v>46148</v>
      </c>
      <c r="AN139" s="593"/>
      <c r="AO139" s="592"/>
      <c r="AP139" s="46" t="s">
        <v>171</v>
      </c>
    </row>
    <row r="140" spans="1:42" ht="15.75" x14ac:dyDescent="0.25">
      <c r="A140" s="582">
        <v>268</v>
      </c>
      <c r="B140" s="46">
        <v>5600000410</v>
      </c>
      <c r="C140" s="80" t="s">
        <v>363</v>
      </c>
      <c r="D140" s="487">
        <v>46099</v>
      </c>
      <c r="E140" s="583" t="s">
        <v>3</v>
      </c>
      <c r="F140" s="262">
        <v>0.1</v>
      </c>
      <c r="G140" s="81" t="s">
        <v>364</v>
      </c>
      <c r="H140" s="584" t="s">
        <v>139</v>
      </c>
      <c r="I140" s="218">
        <v>1283400</v>
      </c>
      <c r="J140" s="59">
        <v>0</v>
      </c>
      <c r="K140" s="621">
        <f t="shared" si="187"/>
        <v>1283400</v>
      </c>
      <c r="L140" s="585">
        <v>93.5</v>
      </c>
      <c r="M140" s="621">
        <f t="shared" si="185"/>
        <v>119997900</v>
      </c>
      <c r="N140" s="584" t="s">
        <v>140</v>
      </c>
      <c r="O140" s="584">
        <v>45</v>
      </c>
      <c r="P140" s="487" t="s">
        <v>17</v>
      </c>
      <c r="Q140" s="597" t="s">
        <v>365</v>
      </c>
      <c r="R140" s="487">
        <v>46136</v>
      </c>
      <c r="S140" s="489">
        <v>46143</v>
      </c>
      <c r="T140" s="489">
        <v>46111</v>
      </c>
      <c r="U140" s="16">
        <v>256680</v>
      </c>
      <c r="V140" s="620">
        <f t="shared" si="203"/>
        <v>1026720</v>
      </c>
      <c r="W140" s="618">
        <f t="shared" si="184"/>
        <v>23999580</v>
      </c>
      <c r="X140" s="228"/>
      <c r="Y140" s="586">
        <v>46156</v>
      </c>
      <c r="Z140" s="616">
        <f t="shared" si="215"/>
        <v>46158</v>
      </c>
      <c r="AA140" s="617">
        <f t="shared" si="216"/>
        <v>23999580</v>
      </c>
      <c r="AB140" s="61"/>
      <c r="AC140" s="616" t="str">
        <f t="shared" si="186"/>
        <v>May26</v>
      </c>
      <c r="AD140" s="588" t="s">
        <v>36</v>
      </c>
      <c r="AE140" s="589" t="s">
        <v>142</v>
      </c>
      <c r="AF140" s="250" t="s">
        <v>143</v>
      </c>
      <c r="AG140" s="250">
        <v>46156</v>
      </c>
      <c r="AH140" s="250" t="s">
        <v>144</v>
      </c>
      <c r="AI140" s="590" t="s">
        <v>1281</v>
      </c>
      <c r="AJ140" s="554"/>
      <c r="AK140" s="367"/>
      <c r="AL140" s="61">
        <v>46127</v>
      </c>
      <c r="AM140" s="61">
        <v>46148</v>
      </c>
      <c r="AN140" s="593"/>
      <c r="AO140" s="592"/>
      <c r="AP140" s="46" t="s">
        <v>171</v>
      </c>
    </row>
    <row r="141" spans="1:42" ht="15.75" x14ac:dyDescent="0.25">
      <c r="A141" s="582"/>
      <c r="B141" s="46">
        <v>5600000410</v>
      </c>
      <c r="C141" s="80" t="s">
        <v>363</v>
      </c>
      <c r="D141" s="487">
        <v>46099</v>
      </c>
      <c r="E141" s="583" t="s">
        <v>3</v>
      </c>
      <c r="F141" s="262">
        <v>0.1</v>
      </c>
      <c r="G141" s="81" t="s">
        <v>364</v>
      </c>
      <c r="H141" s="584" t="s">
        <v>139</v>
      </c>
      <c r="I141" s="218">
        <v>0</v>
      </c>
      <c r="J141" s="59">
        <v>0</v>
      </c>
      <c r="K141" s="621">
        <f t="shared" ref="K141" si="239">J141+I141</f>
        <v>0</v>
      </c>
      <c r="L141" s="585">
        <v>93.5</v>
      </c>
      <c r="M141" s="621">
        <f t="shared" ref="M141" si="240">K141*L141</f>
        <v>0</v>
      </c>
      <c r="N141" s="584" t="s">
        <v>140</v>
      </c>
      <c r="O141" s="584">
        <v>45</v>
      </c>
      <c r="P141" s="487" t="s">
        <v>17</v>
      </c>
      <c r="Q141" s="597" t="s">
        <v>366</v>
      </c>
      <c r="R141" s="487">
        <v>46136</v>
      </c>
      <c r="S141" s="489">
        <v>46143</v>
      </c>
      <c r="T141" s="489">
        <v>46111</v>
      </c>
      <c r="U141" s="16">
        <v>256680</v>
      </c>
      <c r="V141" s="620">
        <f t="shared" ref="V141" si="241">K141-U141</f>
        <v>-256680</v>
      </c>
      <c r="W141" s="618">
        <f t="shared" ref="W141" si="242">U141*L141</f>
        <v>23999580</v>
      </c>
      <c r="X141" s="228"/>
      <c r="Y141" s="586">
        <v>46156</v>
      </c>
      <c r="Z141" s="616">
        <f t="shared" ref="Z141:Z144" si="243">Y141+2</f>
        <v>46158</v>
      </c>
      <c r="AA141" s="617">
        <f t="shared" si="216"/>
        <v>23999580</v>
      </c>
      <c r="AB141" s="61"/>
      <c r="AC141" s="616" t="str">
        <f t="shared" ref="AC141" si="244">IF(Y141="","-",TEXT(Y141,"mmmmyy"))</f>
        <v>May26</v>
      </c>
      <c r="AD141" s="588" t="s">
        <v>36</v>
      </c>
      <c r="AE141" s="589" t="s">
        <v>142</v>
      </c>
      <c r="AF141" s="250" t="s">
        <v>143</v>
      </c>
      <c r="AG141" s="250">
        <v>46156</v>
      </c>
      <c r="AH141" s="250" t="s">
        <v>144</v>
      </c>
      <c r="AI141" s="590" t="s">
        <v>1281</v>
      </c>
      <c r="AJ141" s="554"/>
      <c r="AK141" s="367"/>
      <c r="AL141" s="61">
        <v>46127</v>
      </c>
      <c r="AM141" s="61">
        <v>46148</v>
      </c>
      <c r="AN141" s="593"/>
      <c r="AO141" s="592"/>
      <c r="AP141" s="46" t="s">
        <v>171</v>
      </c>
    </row>
    <row r="142" spans="1:42" ht="15.75" x14ac:dyDescent="0.25">
      <c r="A142" s="582"/>
      <c r="B142" s="46">
        <v>5600000410</v>
      </c>
      <c r="C142" s="80" t="s">
        <v>363</v>
      </c>
      <c r="D142" s="487">
        <v>46099</v>
      </c>
      <c r="E142" s="583" t="s">
        <v>3</v>
      </c>
      <c r="F142" s="262">
        <v>0.1</v>
      </c>
      <c r="G142" s="81" t="s">
        <v>364</v>
      </c>
      <c r="H142" s="584" t="s">
        <v>139</v>
      </c>
      <c r="I142" s="218">
        <v>0</v>
      </c>
      <c r="J142" s="59">
        <v>0</v>
      </c>
      <c r="K142" s="621">
        <f t="shared" ref="K142" si="245">J142+I142</f>
        <v>0</v>
      </c>
      <c r="L142" s="585">
        <v>93.5</v>
      </c>
      <c r="M142" s="621">
        <f t="shared" ref="M142" si="246">K142*L142</f>
        <v>0</v>
      </c>
      <c r="N142" s="584" t="s">
        <v>140</v>
      </c>
      <c r="O142" s="584">
        <v>45</v>
      </c>
      <c r="P142" s="487" t="s">
        <v>17</v>
      </c>
      <c r="Q142" s="597" t="s">
        <v>367</v>
      </c>
      <c r="R142" s="487">
        <v>46136</v>
      </c>
      <c r="S142" s="489">
        <v>46143</v>
      </c>
      <c r="T142" s="489">
        <v>46111</v>
      </c>
      <c r="U142" s="16">
        <v>256680</v>
      </c>
      <c r="V142" s="620">
        <f t="shared" ref="V142" si="247">K142-U142</f>
        <v>-256680</v>
      </c>
      <c r="W142" s="618">
        <f t="shared" ref="W142" si="248">U142*L142</f>
        <v>23999580</v>
      </c>
      <c r="X142" s="228"/>
      <c r="Y142" s="586">
        <v>46156</v>
      </c>
      <c r="Z142" s="616">
        <f t="shared" si="243"/>
        <v>46158</v>
      </c>
      <c r="AA142" s="617">
        <f t="shared" si="216"/>
        <v>23999580</v>
      </c>
      <c r="AB142" s="61"/>
      <c r="AC142" s="616" t="str">
        <f t="shared" ref="AC142" si="249">IF(Y142="","-",TEXT(Y142,"mmmmyy"))</f>
        <v>May26</v>
      </c>
      <c r="AD142" s="588" t="s">
        <v>36</v>
      </c>
      <c r="AE142" s="589" t="s">
        <v>142</v>
      </c>
      <c r="AF142" s="250" t="s">
        <v>143</v>
      </c>
      <c r="AG142" s="250">
        <v>46156</v>
      </c>
      <c r="AH142" s="250" t="s">
        <v>144</v>
      </c>
      <c r="AI142" s="590" t="s">
        <v>1281</v>
      </c>
      <c r="AJ142" s="554"/>
      <c r="AK142" s="367"/>
      <c r="AL142" s="61">
        <v>46127</v>
      </c>
      <c r="AM142" s="61">
        <v>46148</v>
      </c>
      <c r="AN142" s="593"/>
      <c r="AO142" s="592"/>
      <c r="AP142" s="46" t="s">
        <v>171</v>
      </c>
    </row>
    <row r="143" spans="1:42" ht="15.75" x14ac:dyDescent="0.25">
      <c r="A143" s="582"/>
      <c r="B143" s="46">
        <v>5600000410</v>
      </c>
      <c r="C143" s="80" t="s">
        <v>363</v>
      </c>
      <c r="D143" s="487">
        <v>46099</v>
      </c>
      <c r="E143" s="583" t="s">
        <v>3</v>
      </c>
      <c r="F143" s="262">
        <v>0.1</v>
      </c>
      <c r="G143" s="81" t="s">
        <v>364</v>
      </c>
      <c r="H143" s="584" t="s">
        <v>139</v>
      </c>
      <c r="I143" s="218">
        <v>0</v>
      </c>
      <c r="J143" s="59">
        <v>0</v>
      </c>
      <c r="K143" s="621">
        <f t="shared" ref="K143" si="250">J143+I143</f>
        <v>0</v>
      </c>
      <c r="L143" s="585">
        <v>93.5</v>
      </c>
      <c r="M143" s="621">
        <f t="shared" ref="M143" si="251">K143*L143</f>
        <v>0</v>
      </c>
      <c r="N143" s="584" t="s">
        <v>140</v>
      </c>
      <c r="O143" s="584">
        <v>45</v>
      </c>
      <c r="P143" s="487" t="s">
        <v>17</v>
      </c>
      <c r="Q143" s="597" t="s">
        <v>368</v>
      </c>
      <c r="R143" s="487">
        <v>46134</v>
      </c>
      <c r="S143" s="489">
        <v>46143</v>
      </c>
      <c r="T143" s="489">
        <v>46111</v>
      </c>
      <c r="U143" s="16">
        <v>256680</v>
      </c>
      <c r="V143" s="620">
        <f t="shared" ref="V143" si="252">K143-U143</f>
        <v>-256680</v>
      </c>
      <c r="W143" s="618">
        <f t="shared" ref="W143" si="253">U143*L143</f>
        <v>23999580</v>
      </c>
      <c r="X143" s="228"/>
      <c r="Y143" s="586">
        <v>46156</v>
      </c>
      <c r="Z143" s="616">
        <f t="shared" si="243"/>
        <v>46158</v>
      </c>
      <c r="AA143" s="617">
        <f t="shared" si="216"/>
        <v>23999580</v>
      </c>
      <c r="AB143" s="61"/>
      <c r="AC143" s="616" t="str">
        <f t="shared" ref="AC143" si="254">IF(Y143="","-",TEXT(Y143,"mmmmyy"))</f>
        <v>May26</v>
      </c>
      <c r="AD143" s="588" t="s">
        <v>36</v>
      </c>
      <c r="AE143" s="589" t="s">
        <v>142</v>
      </c>
      <c r="AF143" s="250" t="s">
        <v>143</v>
      </c>
      <c r="AG143" s="250">
        <v>46156</v>
      </c>
      <c r="AH143" s="250" t="s">
        <v>144</v>
      </c>
      <c r="AI143" s="590" t="s">
        <v>1281</v>
      </c>
      <c r="AJ143" s="554"/>
      <c r="AK143" s="367"/>
      <c r="AL143" s="61">
        <v>46127</v>
      </c>
      <c r="AM143" s="61">
        <v>46148</v>
      </c>
      <c r="AN143" s="593"/>
      <c r="AO143" s="592"/>
      <c r="AP143" s="46" t="s">
        <v>171</v>
      </c>
    </row>
    <row r="144" spans="1:42" ht="15.75" x14ac:dyDescent="0.25">
      <c r="A144" s="582"/>
      <c r="B144" s="46">
        <v>5600000410</v>
      </c>
      <c r="C144" s="80" t="s">
        <v>363</v>
      </c>
      <c r="D144" s="487">
        <v>46099</v>
      </c>
      <c r="E144" s="583" t="s">
        <v>3</v>
      </c>
      <c r="F144" s="262">
        <v>0.1</v>
      </c>
      <c r="G144" s="81" t="s">
        <v>364</v>
      </c>
      <c r="H144" s="584" t="s">
        <v>139</v>
      </c>
      <c r="I144" s="218">
        <v>0</v>
      </c>
      <c r="J144" s="59">
        <v>0</v>
      </c>
      <c r="K144" s="621">
        <f t="shared" ref="K144" si="255">J144+I144</f>
        <v>0</v>
      </c>
      <c r="L144" s="585">
        <v>93.5</v>
      </c>
      <c r="M144" s="621">
        <f t="shared" ref="M144" si="256">K144*L144</f>
        <v>0</v>
      </c>
      <c r="N144" s="584" t="s">
        <v>140</v>
      </c>
      <c r="O144" s="584">
        <v>45</v>
      </c>
      <c r="P144" s="487" t="s">
        <v>17</v>
      </c>
      <c r="Q144" s="597" t="s">
        <v>369</v>
      </c>
      <c r="R144" s="487">
        <v>46135</v>
      </c>
      <c r="S144" s="489">
        <v>46143</v>
      </c>
      <c r="T144" s="489">
        <v>46111</v>
      </c>
      <c r="U144" s="16">
        <v>256680</v>
      </c>
      <c r="V144" s="620">
        <f t="shared" ref="V144" si="257">K144-U144</f>
        <v>-256680</v>
      </c>
      <c r="W144" s="618">
        <f t="shared" ref="W144" si="258">U144*L144</f>
        <v>23999580</v>
      </c>
      <c r="X144" s="228"/>
      <c r="Y144" s="586">
        <v>46156</v>
      </c>
      <c r="Z144" s="616">
        <f t="shared" si="243"/>
        <v>46158</v>
      </c>
      <c r="AA144" s="617">
        <f t="shared" si="216"/>
        <v>23999580</v>
      </c>
      <c r="AB144" s="61"/>
      <c r="AC144" s="616" t="str">
        <f t="shared" ref="AC144" si="259">IF(Y144="","-",TEXT(Y144,"mmmmyy"))</f>
        <v>May26</v>
      </c>
      <c r="AD144" s="588" t="s">
        <v>36</v>
      </c>
      <c r="AE144" s="589" t="s">
        <v>142</v>
      </c>
      <c r="AF144" s="250" t="s">
        <v>143</v>
      </c>
      <c r="AG144" s="250">
        <v>46156</v>
      </c>
      <c r="AH144" s="250" t="s">
        <v>144</v>
      </c>
      <c r="AI144" s="590" t="s">
        <v>1281</v>
      </c>
      <c r="AJ144" s="554"/>
      <c r="AK144" s="367"/>
      <c r="AL144" s="61">
        <v>46127</v>
      </c>
      <c r="AM144" s="61">
        <v>46148</v>
      </c>
      <c r="AN144" s="593"/>
      <c r="AO144" s="592"/>
      <c r="AP144" s="46" t="s">
        <v>171</v>
      </c>
    </row>
    <row r="145" spans="1:42" x14ac:dyDescent="0.25">
      <c r="A145" s="582">
        <v>269</v>
      </c>
      <c r="B145" s="46">
        <v>5600000440</v>
      </c>
      <c r="C145" s="80" t="s">
        <v>370</v>
      </c>
      <c r="D145" s="487">
        <v>46099</v>
      </c>
      <c r="E145" s="583" t="s">
        <v>3</v>
      </c>
      <c r="F145" s="262">
        <v>0.1</v>
      </c>
      <c r="G145" s="81" t="s">
        <v>371</v>
      </c>
      <c r="H145" s="584" t="s">
        <v>139</v>
      </c>
      <c r="I145" s="218">
        <v>1825200</v>
      </c>
      <c r="J145" s="59">
        <v>0</v>
      </c>
      <c r="K145" s="621">
        <f t="shared" si="187"/>
        <v>1825200</v>
      </c>
      <c r="L145" s="585">
        <v>93.5</v>
      </c>
      <c r="M145" s="621">
        <f t="shared" si="185"/>
        <v>170656200</v>
      </c>
      <c r="N145" s="584" t="s">
        <v>140</v>
      </c>
      <c r="O145" s="584">
        <v>45</v>
      </c>
      <c r="P145" s="487" t="s">
        <v>17</v>
      </c>
      <c r="Q145" s="64" t="s">
        <v>372</v>
      </c>
      <c r="R145" s="487">
        <v>46133</v>
      </c>
      <c r="S145" s="489">
        <v>46139</v>
      </c>
      <c r="T145" s="489">
        <v>46113</v>
      </c>
      <c r="U145" s="16">
        <v>456300</v>
      </c>
      <c r="V145" s="620">
        <f t="shared" si="203"/>
        <v>1368900</v>
      </c>
      <c r="W145" s="618">
        <f t="shared" si="184"/>
        <v>42664050</v>
      </c>
      <c r="X145" s="228"/>
      <c r="Y145" s="586">
        <v>46160</v>
      </c>
      <c r="Z145" s="616">
        <f>Y145+2</f>
        <v>46162</v>
      </c>
      <c r="AA145" s="617">
        <f t="shared" si="216"/>
        <v>42664050</v>
      </c>
      <c r="AB145" s="61"/>
      <c r="AC145" s="616" t="str">
        <f t="shared" si="186"/>
        <v>May26</v>
      </c>
      <c r="AD145" s="588" t="s">
        <v>36</v>
      </c>
      <c r="AE145" s="589" t="s">
        <v>142</v>
      </c>
      <c r="AF145" s="250" t="s">
        <v>143</v>
      </c>
      <c r="AG145" s="250">
        <v>46160</v>
      </c>
      <c r="AH145" s="250" t="s">
        <v>144</v>
      </c>
      <c r="AI145" s="590" t="s">
        <v>1281</v>
      </c>
      <c r="AJ145" s="554"/>
      <c r="AK145" s="367"/>
      <c r="AL145" s="61">
        <v>46127</v>
      </c>
      <c r="AM145" s="61">
        <v>46148</v>
      </c>
      <c r="AN145" s="593"/>
      <c r="AO145" s="592"/>
      <c r="AP145" s="46" t="s">
        <v>225</v>
      </c>
    </row>
    <row r="146" spans="1:42" x14ac:dyDescent="0.25">
      <c r="A146" s="582"/>
      <c r="B146" s="46">
        <v>5600000440</v>
      </c>
      <c r="C146" s="80" t="s">
        <v>370</v>
      </c>
      <c r="D146" s="487">
        <v>46099</v>
      </c>
      <c r="E146" s="583" t="s">
        <v>3</v>
      </c>
      <c r="F146" s="262">
        <v>0.1</v>
      </c>
      <c r="G146" s="81" t="s">
        <v>371</v>
      </c>
      <c r="H146" s="584" t="s">
        <v>139</v>
      </c>
      <c r="I146" s="218">
        <v>0</v>
      </c>
      <c r="J146" s="59">
        <v>0</v>
      </c>
      <c r="K146" s="621">
        <f t="shared" ref="K146:K147" si="260">J146+I146</f>
        <v>0</v>
      </c>
      <c r="L146" s="585">
        <v>93.5</v>
      </c>
      <c r="M146" s="621">
        <f t="shared" ref="M146:M147" si="261">K146*L146</f>
        <v>0</v>
      </c>
      <c r="N146" s="584" t="s">
        <v>140</v>
      </c>
      <c r="O146" s="584">
        <v>45</v>
      </c>
      <c r="P146" s="487" t="s">
        <v>17</v>
      </c>
      <c r="Q146" s="64" t="s">
        <v>373</v>
      </c>
      <c r="R146" s="487">
        <v>46128</v>
      </c>
      <c r="S146" s="489">
        <v>46134</v>
      </c>
      <c r="T146" s="489">
        <v>46108</v>
      </c>
      <c r="U146" s="16">
        <v>456300</v>
      </c>
      <c r="V146" s="620">
        <f t="shared" si="203"/>
        <v>-456300</v>
      </c>
      <c r="W146" s="618">
        <f t="shared" si="184"/>
        <v>42664050</v>
      </c>
      <c r="X146" s="228"/>
      <c r="Y146" s="586">
        <v>46153</v>
      </c>
      <c r="Z146" s="616">
        <f>Y146+2</f>
        <v>46155</v>
      </c>
      <c r="AA146" s="617">
        <f t="shared" si="216"/>
        <v>42664050</v>
      </c>
      <c r="AB146" s="61"/>
      <c r="AC146" s="616" t="str">
        <f t="shared" ref="AC146:AC147" si="262">IF(Y146="","-",TEXT(Y146,"mmmmyy"))</f>
        <v>May26</v>
      </c>
      <c r="AD146" s="588" t="s">
        <v>36</v>
      </c>
      <c r="AE146" s="589" t="s">
        <v>142</v>
      </c>
      <c r="AF146" s="250" t="s">
        <v>143</v>
      </c>
      <c r="AG146" s="250">
        <v>46153</v>
      </c>
      <c r="AH146" s="250" t="s">
        <v>144</v>
      </c>
      <c r="AI146" s="590" t="s">
        <v>1281</v>
      </c>
      <c r="AJ146" s="554"/>
      <c r="AK146" s="367"/>
      <c r="AL146" s="61">
        <v>46127</v>
      </c>
      <c r="AM146" s="61">
        <v>46148</v>
      </c>
      <c r="AN146" s="593">
        <v>8617467</v>
      </c>
      <c r="AO146" s="592">
        <v>46153</v>
      </c>
      <c r="AP146" s="46" t="s">
        <v>225</v>
      </c>
    </row>
    <row r="147" spans="1:42" x14ac:dyDescent="0.25">
      <c r="A147" s="582"/>
      <c r="B147" s="46">
        <v>5600000440</v>
      </c>
      <c r="C147" s="80" t="s">
        <v>370</v>
      </c>
      <c r="D147" s="487">
        <v>46099</v>
      </c>
      <c r="E147" s="583" t="s">
        <v>3</v>
      </c>
      <c r="F147" s="262">
        <v>0.1</v>
      </c>
      <c r="G147" s="81" t="s">
        <v>371</v>
      </c>
      <c r="H147" s="584" t="s">
        <v>139</v>
      </c>
      <c r="I147" s="218">
        <v>0</v>
      </c>
      <c r="J147" s="59">
        <v>0</v>
      </c>
      <c r="K147" s="621">
        <f t="shared" si="260"/>
        <v>0</v>
      </c>
      <c r="L147" s="585">
        <v>93.5</v>
      </c>
      <c r="M147" s="621">
        <f t="shared" si="261"/>
        <v>0</v>
      </c>
      <c r="N147" s="584" t="s">
        <v>140</v>
      </c>
      <c r="O147" s="584">
        <v>45</v>
      </c>
      <c r="P147" s="487" t="s">
        <v>17</v>
      </c>
      <c r="Q147" s="64" t="s">
        <v>374</v>
      </c>
      <c r="R147" s="487">
        <v>46128</v>
      </c>
      <c r="S147" s="489">
        <v>46134</v>
      </c>
      <c r="T147" s="489">
        <v>46106</v>
      </c>
      <c r="U147" s="16">
        <v>456300</v>
      </c>
      <c r="V147" s="620">
        <f t="shared" si="203"/>
        <v>-456300</v>
      </c>
      <c r="W147" s="618">
        <f t="shared" si="184"/>
        <v>42664050</v>
      </c>
      <c r="X147" s="228"/>
      <c r="Y147" s="586">
        <v>46153</v>
      </c>
      <c r="Z147" s="616">
        <f>Y147+2</f>
        <v>46155</v>
      </c>
      <c r="AA147" s="617">
        <f t="shared" si="216"/>
        <v>42664050</v>
      </c>
      <c r="AB147" s="61"/>
      <c r="AC147" s="616" t="str">
        <f t="shared" si="262"/>
        <v>May26</v>
      </c>
      <c r="AD147" s="588" t="s">
        <v>36</v>
      </c>
      <c r="AE147" s="589" t="s">
        <v>142</v>
      </c>
      <c r="AF147" s="250" t="s">
        <v>143</v>
      </c>
      <c r="AG147" s="250">
        <v>46153</v>
      </c>
      <c r="AH147" s="250" t="s">
        <v>144</v>
      </c>
      <c r="AI147" s="590" t="s">
        <v>1281</v>
      </c>
      <c r="AJ147" s="554"/>
      <c r="AK147" s="367"/>
      <c r="AL147" s="61">
        <v>46127</v>
      </c>
      <c r="AM147" s="61">
        <v>46148</v>
      </c>
      <c r="AN147" s="593">
        <v>8652283</v>
      </c>
      <c r="AO147" s="592">
        <v>46153</v>
      </c>
      <c r="AP147" s="46" t="s">
        <v>225</v>
      </c>
    </row>
    <row r="148" spans="1:42" x14ac:dyDescent="0.25">
      <c r="A148" s="582"/>
      <c r="B148" s="46">
        <v>5600000440</v>
      </c>
      <c r="C148" s="80" t="s">
        <v>370</v>
      </c>
      <c r="D148" s="487">
        <v>46099</v>
      </c>
      <c r="E148" s="583" t="s">
        <v>3</v>
      </c>
      <c r="F148" s="262">
        <v>0.1</v>
      </c>
      <c r="G148" s="81" t="s">
        <v>371</v>
      </c>
      <c r="H148" s="584" t="s">
        <v>139</v>
      </c>
      <c r="I148" s="218">
        <v>0</v>
      </c>
      <c r="J148" s="59">
        <v>0</v>
      </c>
      <c r="K148" s="621">
        <f t="shared" ref="K148" si="263">J148+I148</f>
        <v>0</v>
      </c>
      <c r="L148" s="585">
        <v>93.5</v>
      </c>
      <c r="M148" s="621">
        <f t="shared" ref="M148" si="264">K148*L148</f>
        <v>0</v>
      </c>
      <c r="N148" s="584" t="s">
        <v>140</v>
      </c>
      <c r="O148" s="584">
        <v>45</v>
      </c>
      <c r="P148" s="487" t="s">
        <v>17</v>
      </c>
      <c r="Q148" s="64" t="s">
        <v>375</v>
      </c>
      <c r="R148" s="487">
        <v>46133</v>
      </c>
      <c r="S148" s="489">
        <v>46139</v>
      </c>
      <c r="T148" s="489">
        <v>46115</v>
      </c>
      <c r="U148" s="16">
        <v>456300</v>
      </c>
      <c r="V148" s="620">
        <f t="shared" si="203"/>
        <v>-456300</v>
      </c>
      <c r="W148" s="618">
        <f t="shared" si="184"/>
        <v>42664050</v>
      </c>
      <c r="X148" s="228"/>
      <c r="Y148" s="586">
        <v>46160</v>
      </c>
      <c r="Z148" s="616">
        <f t="shared" ref="Z148" si="265">Y148+2</f>
        <v>46162</v>
      </c>
      <c r="AA148" s="617">
        <f t="shared" si="216"/>
        <v>42664050</v>
      </c>
      <c r="AB148" s="61"/>
      <c r="AC148" s="616" t="str">
        <f t="shared" ref="AC148" si="266">IF(Y148="","-",TEXT(Y148,"mmmmyy"))</f>
        <v>May26</v>
      </c>
      <c r="AD148" s="588" t="s">
        <v>36</v>
      </c>
      <c r="AE148" s="589" t="s">
        <v>142</v>
      </c>
      <c r="AF148" s="250" t="s">
        <v>143</v>
      </c>
      <c r="AG148" s="250">
        <v>46160</v>
      </c>
      <c r="AH148" s="250" t="s">
        <v>144</v>
      </c>
      <c r="AI148" s="590" t="s">
        <v>1281</v>
      </c>
      <c r="AJ148" s="554"/>
      <c r="AK148" s="367"/>
      <c r="AL148" s="61">
        <v>46127</v>
      </c>
      <c r="AM148" s="61">
        <v>46148</v>
      </c>
      <c r="AN148" s="593"/>
      <c r="AO148" s="592"/>
      <c r="AP148" s="46" t="s">
        <v>225</v>
      </c>
    </row>
    <row r="149" spans="1:42" x14ac:dyDescent="0.25">
      <c r="A149" s="582">
        <v>275</v>
      </c>
      <c r="B149" s="46">
        <v>5600000406</v>
      </c>
      <c r="C149" s="80" t="s">
        <v>376</v>
      </c>
      <c r="D149" s="487">
        <v>46101</v>
      </c>
      <c r="E149" s="583" t="s">
        <v>3</v>
      </c>
      <c r="F149" s="262">
        <v>0.1</v>
      </c>
      <c r="G149" s="81" t="s">
        <v>190</v>
      </c>
      <c r="H149" s="584" t="s">
        <v>139</v>
      </c>
      <c r="I149" s="218">
        <v>1207470</v>
      </c>
      <c r="J149" s="59">
        <v>0</v>
      </c>
      <c r="K149" s="621">
        <f t="shared" si="187"/>
        <v>1207470</v>
      </c>
      <c r="L149" s="585">
        <v>96</v>
      </c>
      <c r="M149" s="621">
        <f t="shared" si="185"/>
        <v>115917120</v>
      </c>
      <c r="N149" s="584" t="s">
        <v>140</v>
      </c>
      <c r="O149" s="584">
        <v>60</v>
      </c>
      <c r="P149" s="487" t="s">
        <v>17</v>
      </c>
      <c r="Q149" s="64" t="s">
        <v>377</v>
      </c>
      <c r="R149" s="487">
        <v>46125</v>
      </c>
      <c r="S149" s="489">
        <v>46134</v>
      </c>
      <c r="T149" s="489">
        <v>46113</v>
      </c>
      <c r="U149" s="16">
        <v>1207470</v>
      </c>
      <c r="V149" s="620">
        <f t="shared" si="203"/>
        <v>0</v>
      </c>
      <c r="W149" s="618">
        <f t="shared" si="184"/>
        <v>115917120</v>
      </c>
      <c r="X149" s="228"/>
      <c r="Y149" s="586">
        <v>46174</v>
      </c>
      <c r="Z149" s="616">
        <f t="shared" si="195"/>
        <v>46176</v>
      </c>
      <c r="AA149" s="617">
        <f>M149</f>
        <v>115917120</v>
      </c>
      <c r="AB149" s="61"/>
      <c r="AC149" s="616" t="str">
        <f t="shared" si="186"/>
        <v>June26</v>
      </c>
      <c r="AD149" s="588" t="s">
        <v>36</v>
      </c>
      <c r="AE149" s="589" t="s">
        <v>142</v>
      </c>
      <c r="AF149" s="250" t="s">
        <v>143</v>
      </c>
      <c r="AG149" s="250">
        <v>46174</v>
      </c>
      <c r="AH149" s="250" t="s">
        <v>144</v>
      </c>
      <c r="AI149" s="590" t="s">
        <v>1281</v>
      </c>
      <c r="AJ149" s="554"/>
      <c r="AK149" s="367"/>
      <c r="AL149" s="61">
        <v>46122</v>
      </c>
      <c r="AM149" s="61">
        <v>46143</v>
      </c>
      <c r="AN149" s="593"/>
      <c r="AO149" s="592"/>
      <c r="AP149" s="46" t="s">
        <v>192</v>
      </c>
    </row>
    <row r="150" spans="1:42" x14ac:dyDescent="0.25">
      <c r="A150" s="582">
        <v>276</v>
      </c>
      <c r="B150" s="46">
        <v>5600000419</v>
      </c>
      <c r="C150" s="80" t="s">
        <v>378</v>
      </c>
      <c r="D150" s="487">
        <v>46105</v>
      </c>
      <c r="E150" s="583" t="s">
        <v>3</v>
      </c>
      <c r="F150" s="262">
        <v>0.1</v>
      </c>
      <c r="G150" s="81" t="s">
        <v>303</v>
      </c>
      <c r="H150" s="584" t="s">
        <v>139</v>
      </c>
      <c r="I150" s="218">
        <v>282158.40000000002</v>
      </c>
      <c r="J150" s="59">
        <v>0</v>
      </c>
      <c r="K150" s="621">
        <f t="shared" ref="K150" si="267">J150+I150</f>
        <v>282158.40000000002</v>
      </c>
      <c r="L150" s="585">
        <v>96</v>
      </c>
      <c r="M150" s="621">
        <f t="shared" ref="M150" si="268">K150*L150</f>
        <v>27087206.400000002</v>
      </c>
      <c r="N150" s="584" t="s">
        <v>140</v>
      </c>
      <c r="O150" s="584">
        <v>60</v>
      </c>
      <c r="P150" s="487" t="s">
        <v>17</v>
      </c>
      <c r="Q150" s="64" t="s">
        <v>379</v>
      </c>
      <c r="R150" s="487">
        <v>46132</v>
      </c>
      <c r="S150" s="489">
        <v>46139</v>
      </c>
      <c r="T150" s="489">
        <v>46110</v>
      </c>
      <c r="U150" s="16">
        <v>282158.40000000002</v>
      </c>
      <c r="V150" s="620">
        <f t="shared" si="203"/>
        <v>0</v>
      </c>
      <c r="W150" s="618">
        <f t="shared" si="184"/>
        <v>27087206.400000002</v>
      </c>
      <c r="X150" s="228"/>
      <c r="Y150" s="586">
        <v>46171</v>
      </c>
      <c r="Z150" s="616">
        <f t="shared" ref="Z150" si="269">Y150+2</f>
        <v>46173</v>
      </c>
      <c r="AA150" s="617">
        <f>M150</f>
        <v>27087206.400000002</v>
      </c>
      <c r="AB150" s="61"/>
      <c r="AC150" s="616" t="str">
        <f t="shared" ref="AC150" si="270">IF(Y150="","-",TEXT(Y150,"mmmmyy"))</f>
        <v>May26</v>
      </c>
      <c r="AD150" s="588" t="s">
        <v>36</v>
      </c>
      <c r="AE150" s="589" t="s">
        <v>142</v>
      </c>
      <c r="AF150" s="250" t="s">
        <v>143</v>
      </c>
      <c r="AG150" s="250">
        <v>46171</v>
      </c>
      <c r="AH150" s="250" t="s">
        <v>144</v>
      </c>
      <c r="AI150" s="590" t="s">
        <v>1281</v>
      </c>
      <c r="AJ150" s="554"/>
      <c r="AK150" s="367"/>
      <c r="AL150" s="61">
        <v>46132</v>
      </c>
      <c r="AM150" s="61">
        <v>46153</v>
      </c>
      <c r="AN150" s="593"/>
      <c r="AO150" s="592"/>
      <c r="AP150" s="46" t="s">
        <v>305</v>
      </c>
    </row>
    <row r="151" spans="1:42" x14ac:dyDescent="0.25">
      <c r="A151" s="582">
        <v>277</v>
      </c>
      <c r="B151" s="46">
        <v>5600000418</v>
      </c>
      <c r="C151" s="80" t="s">
        <v>380</v>
      </c>
      <c r="D151" s="487">
        <v>46105</v>
      </c>
      <c r="E151" s="583" t="s">
        <v>3</v>
      </c>
      <c r="F151" s="262">
        <v>0.1</v>
      </c>
      <c r="G151" s="81" t="s">
        <v>303</v>
      </c>
      <c r="H151" s="584" t="s">
        <v>139</v>
      </c>
      <c r="I151" s="218">
        <v>278716.79999999999</v>
      </c>
      <c r="J151" s="59">
        <v>0</v>
      </c>
      <c r="K151" s="621">
        <f t="shared" ref="K151:K153" si="271">J151+I151</f>
        <v>278716.79999999999</v>
      </c>
      <c r="L151" s="585">
        <v>96</v>
      </c>
      <c r="M151" s="621">
        <f t="shared" ref="M151:M153" si="272">K151*L151</f>
        <v>26756812.799999997</v>
      </c>
      <c r="N151" s="584" t="s">
        <v>140</v>
      </c>
      <c r="O151" s="584">
        <v>60</v>
      </c>
      <c r="P151" s="487" t="s">
        <v>17</v>
      </c>
      <c r="Q151" s="64" t="s">
        <v>381</v>
      </c>
      <c r="R151" s="487">
        <v>46136</v>
      </c>
      <c r="S151" s="489">
        <v>46146</v>
      </c>
      <c r="T151" s="489">
        <v>46122</v>
      </c>
      <c r="U151" s="16">
        <v>278716.79999999999</v>
      </c>
      <c r="V151" s="620">
        <f t="shared" si="203"/>
        <v>0</v>
      </c>
      <c r="W151" s="618">
        <f t="shared" si="184"/>
        <v>26756812.799999997</v>
      </c>
      <c r="X151" s="228"/>
      <c r="Y151" s="586">
        <v>46182</v>
      </c>
      <c r="Z151" s="616">
        <f t="shared" ref="Z151:Z152" si="273">Y151+2</f>
        <v>46184</v>
      </c>
      <c r="AA151" s="617">
        <f>M151</f>
        <v>26756812.799999997</v>
      </c>
      <c r="AB151" s="61"/>
      <c r="AC151" s="616" t="str">
        <f t="shared" ref="AC151:AC153" si="274">IF(Y151="","-",TEXT(Y151,"mmmmyy"))</f>
        <v>June26</v>
      </c>
      <c r="AD151" s="588" t="s">
        <v>43</v>
      </c>
      <c r="AE151" s="589" t="s">
        <v>164</v>
      </c>
      <c r="AF151" s="250" t="s">
        <v>143</v>
      </c>
      <c r="AG151" s="250"/>
      <c r="AH151" s="250" t="s">
        <v>165</v>
      </c>
      <c r="AI151" s="590" t="s">
        <v>1363</v>
      </c>
      <c r="AJ151" s="554"/>
      <c r="AK151" s="367"/>
      <c r="AL151" s="61">
        <v>46132</v>
      </c>
      <c r="AM151" s="61">
        <v>46153</v>
      </c>
      <c r="AN151" s="593"/>
      <c r="AO151" s="592"/>
      <c r="AP151" s="46" t="s">
        <v>305</v>
      </c>
    </row>
    <row r="152" spans="1:42" x14ac:dyDescent="0.25">
      <c r="A152" s="582">
        <v>278</v>
      </c>
      <c r="B152" s="46">
        <v>5600000390</v>
      </c>
      <c r="C152" s="80" t="s">
        <v>382</v>
      </c>
      <c r="D152" s="487">
        <v>46105</v>
      </c>
      <c r="E152" s="583" t="s">
        <v>1</v>
      </c>
      <c r="F152" s="262">
        <v>0.1</v>
      </c>
      <c r="G152" s="81" t="s">
        <v>245</v>
      </c>
      <c r="H152" s="584" t="s">
        <v>139</v>
      </c>
      <c r="I152" s="218">
        <v>1344021.44</v>
      </c>
      <c r="J152" s="59">
        <v>0</v>
      </c>
      <c r="K152" s="621">
        <f t="shared" si="271"/>
        <v>1344021.44</v>
      </c>
      <c r="L152" s="585">
        <v>95.12</v>
      </c>
      <c r="M152" s="621">
        <f t="shared" si="272"/>
        <v>127843319.37280001</v>
      </c>
      <c r="N152" s="584" t="s">
        <v>140</v>
      </c>
      <c r="O152" s="584">
        <v>55</v>
      </c>
      <c r="P152" s="487" t="s">
        <v>17</v>
      </c>
      <c r="Q152" s="64" t="s">
        <v>383</v>
      </c>
      <c r="R152" s="487">
        <v>46114</v>
      </c>
      <c r="S152" s="489">
        <v>46118</v>
      </c>
      <c r="T152" s="489">
        <v>46079</v>
      </c>
      <c r="U152" s="16">
        <v>1344021.44</v>
      </c>
      <c r="V152" s="620">
        <f t="shared" si="203"/>
        <v>0</v>
      </c>
      <c r="W152" s="618">
        <f t="shared" si="184"/>
        <v>127843319.37280001</v>
      </c>
      <c r="X152" s="228"/>
      <c r="Y152" s="586">
        <v>46134</v>
      </c>
      <c r="Z152" s="616">
        <f t="shared" si="273"/>
        <v>46136</v>
      </c>
      <c r="AA152" s="617">
        <f>M152</f>
        <v>127843319.37280001</v>
      </c>
      <c r="AB152" s="61"/>
      <c r="AC152" s="616" t="str">
        <f t="shared" si="274"/>
        <v>April26</v>
      </c>
      <c r="AD152" s="588" t="s">
        <v>36</v>
      </c>
      <c r="AE152" s="589" t="s">
        <v>142</v>
      </c>
      <c r="AF152" s="250" t="s">
        <v>143</v>
      </c>
      <c r="AG152" s="250">
        <v>46134</v>
      </c>
      <c r="AH152" s="250" t="s">
        <v>144</v>
      </c>
      <c r="AI152" s="590"/>
      <c r="AJ152" s="554"/>
      <c r="AK152" s="367"/>
      <c r="AL152" s="61">
        <v>46108</v>
      </c>
      <c r="AM152" s="61">
        <v>46129</v>
      </c>
      <c r="AN152" s="593">
        <v>8112424</v>
      </c>
      <c r="AO152" s="592">
        <v>46134</v>
      </c>
      <c r="AP152" s="46" t="s">
        <v>145</v>
      </c>
    </row>
    <row r="153" spans="1:42" x14ac:dyDescent="0.25">
      <c r="A153" s="582">
        <v>279</v>
      </c>
      <c r="B153" s="46">
        <v>1400000537</v>
      </c>
      <c r="C153" s="80" t="s">
        <v>384</v>
      </c>
      <c r="D153" s="487">
        <v>46106</v>
      </c>
      <c r="E153" s="583" t="s">
        <v>1</v>
      </c>
      <c r="F153" s="262">
        <v>1</v>
      </c>
      <c r="G153" s="81" t="s">
        <v>385</v>
      </c>
      <c r="H153" s="584" t="s">
        <v>139</v>
      </c>
      <c r="I153" s="265">
        <v>320000</v>
      </c>
      <c r="J153" s="59">
        <v>0</v>
      </c>
      <c r="K153" s="621">
        <f t="shared" si="271"/>
        <v>320000</v>
      </c>
      <c r="L153" s="585">
        <v>93.03</v>
      </c>
      <c r="M153" s="621">
        <f t="shared" si="272"/>
        <v>29769600</v>
      </c>
      <c r="N153" s="584" t="s">
        <v>162</v>
      </c>
      <c r="O153" s="584" t="s">
        <v>293</v>
      </c>
      <c r="P153" s="487" t="s">
        <v>17</v>
      </c>
      <c r="Q153" s="6" t="s">
        <v>386</v>
      </c>
      <c r="R153" s="487">
        <v>46139</v>
      </c>
      <c r="S153" s="489">
        <v>46146</v>
      </c>
      <c r="T153" s="489">
        <v>46128</v>
      </c>
      <c r="U153" s="16">
        <v>320000</v>
      </c>
      <c r="V153" s="620">
        <f t="shared" si="203"/>
        <v>0</v>
      </c>
      <c r="W153" s="15">
        <v>0</v>
      </c>
      <c r="X153" s="228"/>
      <c r="Y153" s="586">
        <v>46147</v>
      </c>
      <c r="Z153" s="586"/>
      <c r="AA153" s="587"/>
      <c r="AB153" s="61"/>
      <c r="AC153" s="616" t="str">
        <f t="shared" si="274"/>
        <v>May26</v>
      </c>
      <c r="AD153" s="588" t="s">
        <v>36</v>
      </c>
      <c r="AE153" s="589" t="s">
        <v>142</v>
      </c>
      <c r="AF153" s="250" t="s">
        <v>143</v>
      </c>
      <c r="AG153" s="250">
        <v>46147</v>
      </c>
      <c r="AH153" s="250" t="s">
        <v>144</v>
      </c>
      <c r="AI153" s="590"/>
      <c r="AJ153" s="554">
        <v>45011161451</v>
      </c>
      <c r="AK153" s="367">
        <v>29600000</v>
      </c>
      <c r="AL153" s="61">
        <v>46127</v>
      </c>
      <c r="AM153" s="61">
        <v>46148</v>
      </c>
      <c r="AN153" s="593"/>
      <c r="AO153" s="592"/>
      <c r="AP153" s="46" t="s">
        <v>387</v>
      </c>
    </row>
    <row r="154" spans="1:42" x14ac:dyDescent="0.25">
      <c r="A154" s="582"/>
      <c r="B154" s="46">
        <v>1400000537</v>
      </c>
      <c r="C154" s="80" t="s">
        <v>384</v>
      </c>
      <c r="D154" s="487">
        <v>46106</v>
      </c>
      <c r="E154" s="583" t="s">
        <v>1</v>
      </c>
      <c r="F154" s="262">
        <v>1</v>
      </c>
      <c r="G154" s="81" t="s">
        <v>385</v>
      </c>
      <c r="H154" s="584" t="s">
        <v>139</v>
      </c>
      <c r="I154" s="265">
        <v>0</v>
      </c>
      <c r="J154" s="59">
        <v>0</v>
      </c>
      <c r="K154" s="621">
        <f t="shared" ref="K154" si="275">J154+I154</f>
        <v>0</v>
      </c>
      <c r="L154" s="585">
        <v>93.03</v>
      </c>
      <c r="M154" s="621">
        <f t="shared" ref="M154" si="276">K154*L154</f>
        <v>0</v>
      </c>
      <c r="N154" s="584" t="s">
        <v>162</v>
      </c>
      <c r="O154" s="584" t="s">
        <v>293</v>
      </c>
      <c r="P154" s="487" t="s">
        <v>146</v>
      </c>
      <c r="Q154" s="6"/>
      <c r="R154" s="487"/>
      <c r="S154" s="489"/>
      <c r="T154" s="489"/>
      <c r="U154" s="16">
        <v>0</v>
      </c>
      <c r="V154" s="620">
        <f t="shared" ref="V154" si="277">K154-U154</f>
        <v>0</v>
      </c>
      <c r="W154" s="15">
        <v>0</v>
      </c>
      <c r="X154" s="228"/>
      <c r="Y154" s="586"/>
      <c r="Z154" s="586"/>
      <c r="AA154" s="587"/>
      <c r="AB154" s="61"/>
      <c r="AC154" s="616" t="str">
        <f t="shared" ref="AC154" si="278">IF(Y154="","-",TEXT(Y154,"mmmmyy"))</f>
        <v>-</v>
      </c>
      <c r="AD154" s="588" t="s">
        <v>36</v>
      </c>
      <c r="AE154" s="589" t="s">
        <v>142</v>
      </c>
      <c r="AF154" s="250" t="s">
        <v>75</v>
      </c>
      <c r="AG154" s="250">
        <v>46147</v>
      </c>
      <c r="AH154" s="250" t="s">
        <v>144</v>
      </c>
      <c r="AI154" s="590"/>
      <c r="AJ154" s="554">
        <v>42371819184</v>
      </c>
      <c r="AK154" s="367">
        <v>300000</v>
      </c>
      <c r="AL154" s="61">
        <v>46127</v>
      </c>
      <c r="AM154" s="61">
        <v>46148</v>
      </c>
      <c r="AN154" s="593"/>
      <c r="AO154" s="592"/>
      <c r="AP154" s="46" t="s">
        <v>387</v>
      </c>
    </row>
    <row r="155" spans="1:42" x14ac:dyDescent="0.25">
      <c r="A155" s="582">
        <v>280</v>
      </c>
      <c r="B155" s="46">
        <v>5600000391</v>
      </c>
      <c r="C155" s="80" t="s">
        <v>388</v>
      </c>
      <c r="D155" s="487">
        <v>46106</v>
      </c>
      <c r="E155" s="583" t="s">
        <v>1</v>
      </c>
      <c r="F155" s="262">
        <v>0.1</v>
      </c>
      <c r="G155" s="81" t="s">
        <v>245</v>
      </c>
      <c r="H155" s="584" t="s">
        <v>139</v>
      </c>
      <c r="I155" s="218">
        <v>2013393.93</v>
      </c>
      <c r="J155" s="59">
        <v>0</v>
      </c>
      <c r="K155" s="621">
        <f t="shared" ref="K155:K156" si="279">J155+I155</f>
        <v>2013393.93</v>
      </c>
      <c r="L155" s="585">
        <v>95.12</v>
      </c>
      <c r="M155" s="621">
        <f t="shared" ref="M155:M156" si="280">K155*L155</f>
        <v>191514030.6216</v>
      </c>
      <c r="N155" s="584" t="s">
        <v>140</v>
      </c>
      <c r="O155" s="584">
        <v>55</v>
      </c>
      <c r="P155" s="487" t="s">
        <v>17</v>
      </c>
      <c r="Q155" s="64" t="s">
        <v>389</v>
      </c>
      <c r="R155" s="487">
        <v>46114</v>
      </c>
      <c r="S155" s="489">
        <v>46118</v>
      </c>
      <c r="T155" s="489">
        <v>46091</v>
      </c>
      <c r="U155" s="16">
        <v>2013393.93</v>
      </c>
      <c r="V155" s="620">
        <f t="shared" si="203"/>
        <v>0</v>
      </c>
      <c r="W155" s="618">
        <f>U155*L155</f>
        <v>191514030.6216</v>
      </c>
      <c r="X155" s="228"/>
      <c r="Y155" s="586">
        <v>46146</v>
      </c>
      <c r="Z155" s="616">
        <f t="shared" ref="Z155" si="281">Y155+2</f>
        <v>46148</v>
      </c>
      <c r="AA155" s="617">
        <f>M155</f>
        <v>191514030.6216</v>
      </c>
      <c r="AB155" s="61"/>
      <c r="AC155" s="616" t="str">
        <f t="shared" ref="AC155:AC156" si="282">IF(Y155="","-",TEXT(Y155,"mmmmyy"))</f>
        <v>May26</v>
      </c>
      <c r="AD155" s="588" t="s">
        <v>36</v>
      </c>
      <c r="AE155" s="589" t="s">
        <v>142</v>
      </c>
      <c r="AF155" s="250" t="s">
        <v>143</v>
      </c>
      <c r="AG155" s="250">
        <v>46146</v>
      </c>
      <c r="AH155" s="250" t="s">
        <v>144</v>
      </c>
      <c r="AI155" s="590"/>
      <c r="AJ155" s="554"/>
      <c r="AK155" s="367"/>
      <c r="AL155" s="61">
        <v>46108</v>
      </c>
      <c r="AM155" s="61">
        <v>46129</v>
      </c>
      <c r="AN155" s="593">
        <v>8453497</v>
      </c>
      <c r="AO155" s="592">
        <v>46146</v>
      </c>
      <c r="AP155" s="46" t="s">
        <v>145</v>
      </c>
    </row>
    <row r="156" spans="1:42" x14ac:dyDescent="0.25">
      <c r="A156" s="582">
        <v>281</v>
      </c>
      <c r="B156" s="46">
        <v>1400000413</v>
      </c>
      <c r="C156" s="80" t="s">
        <v>390</v>
      </c>
      <c r="D156" s="487">
        <v>46106</v>
      </c>
      <c r="E156" s="583" t="s">
        <v>1</v>
      </c>
      <c r="F156" s="262">
        <v>1</v>
      </c>
      <c r="G156" s="81" t="s">
        <v>391</v>
      </c>
      <c r="H156" s="584" t="s">
        <v>292</v>
      </c>
      <c r="I156" s="265">
        <v>22500</v>
      </c>
      <c r="J156" s="59">
        <v>0</v>
      </c>
      <c r="K156" s="621">
        <f t="shared" si="279"/>
        <v>22500</v>
      </c>
      <c r="L156" s="585">
        <v>107.31238500000001</v>
      </c>
      <c r="M156" s="621">
        <f t="shared" si="280"/>
        <v>2414528.6625000001</v>
      </c>
      <c r="N156" s="584" t="s">
        <v>162</v>
      </c>
      <c r="O156" s="584" t="s">
        <v>293</v>
      </c>
      <c r="P156" s="487" t="s">
        <v>17</v>
      </c>
      <c r="Q156" s="6" t="s">
        <v>392</v>
      </c>
      <c r="R156" s="487">
        <v>46144</v>
      </c>
      <c r="S156" s="489">
        <v>46149</v>
      </c>
      <c r="T156" s="489">
        <v>46127</v>
      </c>
      <c r="U156" s="16">
        <v>22500</v>
      </c>
      <c r="V156" s="620">
        <f t="shared" si="203"/>
        <v>0</v>
      </c>
      <c r="W156" s="15">
        <v>0</v>
      </c>
      <c r="X156" s="228"/>
      <c r="Y156" s="586">
        <v>46149</v>
      </c>
      <c r="Z156" s="586"/>
      <c r="AA156" s="587"/>
      <c r="AB156" s="61"/>
      <c r="AC156" s="616" t="str">
        <f t="shared" si="282"/>
        <v>May26</v>
      </c>
      <c r="AD156" s="588" t="s">
        <v>36</v>
      </c>
      <c r="AE156" s="589" t="s">
        <v>142</v>
      </c>
      <c r="AF156" s="250" t="s">
        <v>143</v>
      </c>
      <c r="AG156" s="250">
        <v>46149</v>
      </c>
      <c r="AH156" s="250" t="s">
        <v>144</v>
      </c>
      <c r="AI156" s="590"/>
      <c r="AJ156" s="554">
        <v>45011108066</v>
      </c>
      <c r="AK156" s="367">
        <v>2363000</v>
      </c>
      <c r="AL156" s="61">
        <v>46127</v>
      </c>
      <c r="AM156" s="61">
        <v>46148</v>
      </c>
      <c r="AN156" s="593"/>
      <c r="AO156" s="592"/>
      <c r="AP156" s="46" t="s">
        <v>393</v>
      </c>
    </row>
    <row r="157" spans="1:42" x14ac:dyDescent="0.25">
      <c r="A157" s="582"/>
      <c r="B157" s="46">
        <v>1400000413</v>
      </c>
      <c r="C157" s="80" t="s">
        <v>390</v>
      </c>
      <c r="D157" s="487">
        <v>46106</v>
      </c>
      <c r="E157" s="583" t="s">
        <v>1</v>
      </c>
      <c r="F157" s="262">
        <v>1</v>
      </c>
      <c r="G157" s="81" t="s">
        <v>391</v>
      </c>
      <c r="H157" s="584" t="s">
        <v>292</v>
      </c>
      <c r="I157" s="265">
        <v>0</v>
      </c>
      <c r="J157" s="59">
        <v>0</v>
      </c>
      <c r="K157" s="621">
        <f t="shared" ref="K157" si="283">J157+I157</f>
        <v>0</v>
      </c>
      <c r="L157" s="585">
        <v>107.31238500000001</v>
      </c>
      <c r="M157" s="621">
        <f t="shared" ref="M157" si="284">K157*L157</f>
        <v>0</v>
      </c>
      <c r="N157" s="584" t="s">
        <v>162</v>
      </c>
      <c r="O157" s="584" t="s">
        <v>293</v>
      </c>
      <c r="P157" s="487" t="s">
        <v>146</v>
      </c>
      <c r="Q157" s="6"/>
      <c r="R157" s="487"/>
      <c r="S157" s="489"/>
      <c r="T157" s="489"/>
      <c r="U157" s="16"/>
      <c r="V157" s="620">
        <f t="shared" ref="V157" si="285">K157-U157</f>
        <v>0</v>
      </c>
      <c r="W157" s="15">
        <v>0</v>
      </c>
      <c r="X157" s="228"/>
      <c r="Y157" s="586"/>
      <c r="Z157" s="586"/>
      <c r="AA157" s="587"/>
      <c r="AB157" s="61"/>
      <c r="AC157" s="616" t="str">
        <f t="shared" ref="AC157" si="286">IF(Y157="","-",TEXT(Y157,"mmmmyy"))</f>
        <v>-</v>
      </c>
      <c r="AD157" s="588" t="s">
        <v>36</v>
      </c>
      <c r="AE157" s="589" t="s">
        <v>142</v>
      </c>
      <c r="AF157" s="250" t="s">
        <v>75</v>
      </c>
      <c r="AG157" s="250">
        <v>46149</v>
      </c>
      <c r="AH157" s="250" t="s">
        <v>144</v>
      </c>
      <c r="AI157" s="590"/>
      <c r="AJ157" s="554">
        <v>42814707478</v>
      </c>
      <c r="AK157" s="367">
        <v>133000</v>
      </c>
      <c r="AL157" s="61">
        <v>46127</v>
      </c>
      <c r="AM157" s="61">
        <v>46148</v>
      </c>
      <c r="AN157" s="593"/>
      <c r="AO157" s="592"/>
      <c r="AP157" s="46" t="s">
        <v>393</v>
      </c>
    </row>
    <row r="158" spans="1:42" x14ac:dyDescent="0.25">
      <c r="A158" s="582">
        <v>281</v>
      </c>
      <c r="B158" s="46">
        <v>1400000577</v>
      </c>
      <c r="C158" s="80" t="s">
        <v>394</v>
      </c>
      <c r="D158" s="487">
        <v>46106</v>
      </c>
      <c r="E158" s="583" t="s">
        <v>1</v>
      </c>
      <c r="F158" s="262">
        <v>1</v>
      </c>
      <c r="G158" s="81" t="s">
        <v>395</v>
      </c>
      <c r="H158" s="584" t="s">
        <v>139</v>
      </c>
      <c r="I158" s="265">
        <v>85674</v>
      </c>
      <c r="J158" s="59">
        <v>0</v>
      </c>
      <c r="K158" s="621">
        <f t="shared" ref="K158:K161" si="287">J158+I158</f>
        <v>85674</v>
      </c>
      <c r="L158" s="585">
        <v>94.532499999999999</v>
      </c>
      <c r="M158" s="621">
        <f t="shared" ref="M158:M161" si="288">K158*L158</f>
        <v>8098977.4050000003</v>
      </c>
      <c r="N158" s="584" t="s">
        <v>162</v>
      </c>
      <c r="O158" s="584" t="s">
        <v>293</v>
      </c>
      <c r="P158" s="487" t="s">
        <v>16</v>
      </c>
      <c r="Q158" s="6"/>
      <c r="R158" s="487"/>
      <c r="S158" s="489"/>
      <c r="T158" s="489">
        <v>46127</v>
      </c>
      <c r="U158" s="16">
        <v>85674</v>
      </c>
      <c r="V158" s="620">
        <f t="shared" si="203"/>
        <v>0</v>
      </c>
      <c r="W158" s="15">
        <v>0</v>
      </c>
      <c r="X158" s="228"/>
      <c r="Y158" s="586">
        <v>46183</v>
      </c>
      <c r="Z158" s="586"/>
      <c r="AA158" s="587"/>
      <c r="AB158" s="61"/>
      <c r="AC158" s="616" t="str">
        <f t="shared" ref="AC158:AC161" si="289">IF(Y158="","-",TEXT(Y158,"mmmmyy"))</f>
        <v>June26</v>
      </c>
      <c r="AD158" s="588" t="s">
        <v>45</v>
      </c>
      <c r="AE158" s="589" t="s">
        <v>164</v>
      </c>
      <c r="AF158" s="250" t="s">
        <v>211</v>
      </c>
      <c r="AG158" s="250"/>
      <c r="AH158" s="250" t="s">
        <v>165</v>
      </c>
      <c r="AI158" s="590"/>
      <c r="AJ158" s="554">
        <v>45011318971</v>
      </c>
      <c r="AK158" s="367">
        <v>7968000</v>
      </c>
      <c r="AL158" s="61">
        <v>46176</v>
      </c>
      <c r="AM158" s="61">
        <v>46197</v>
      </c>
      <c r="AN158" s="593"/>
      <c r="AO158" s="592"/>
      <c r="AP158" s="46" t="s">
        <v>396</v>
      </c>
    </row>
    <row r="159" spans="1:42" x14ac:dyDescent="0.25">
      <c r="A159" s="582"/>
      <c r="B159" s="46">
        <v>1400000577</v>
      </c>
      <c r="C159" s="80" t="s">
        <v>394</v>
      </c>
      <c r="D159" s="487">
        <v>46106</v>
      </c>
      <c r="E159" s="583" t="s">
        <v>1</v>
      </c>
      <c r="F159" s="262">
        <v>1</v>
      </c>
      <c r="G159" s="81" t="s">
        <v>395</v>
      </c>
      <c r="H159" s="584" t="s">
        <v>139</v>
      </c>
      <c r="I159" s="265">
        <v>0</v>
      </c>
      <c r="J159" s="59">
        <v>0</v>
      </c>
      <c r="K159" s="621">
        <f t="shared" ref="K159" si="290">J159+I159</f>
        <v>0</v>
      </c>
      <c r="L159" s="585">
        <v>94.532499999999999</v>
      </c>
      <c r="M159" s="621">
        <f t="shared" ref="M159" si="291">K159*L159</f>
        <v>0</v>
      </c>
      <c r="N159" s="584" t="s">
        <v>162</v>
      </c>
      <c r="O159" s="584" t="s">
        <v>293</v>
      </c>
      <c r="P159" s="487" t="s">
        <v>16</v>
      </c>
      <c r="Q159" s="6"/>
      <c r="R159" s="487"/>
      <c r="S159" s="489"/>
      <c r="T159" s="489"/>
      <c r="U159" s="16"/>
      <c r="V159" s="620">
        <f t="shared" ref="V159" si="292">K159-U159</f>
        <v>0</v>
      </c>
      <c r="W159" s="15">
        <v>0</v>
      </c>
      <c r="X159" s="228"/>
      <c r="Y159" s="586"/>
      <c r="Z159" s="586"/>
      <c r="AA159" s="587"/>
      <c r="AB159" s="61"/>
      <c r="AC159" s="616" t="str">
        <f t="shared" ref="AC159" si="293">IF(Y159="","-",TEXT(Y159,"mmmmyy"))</f>
        <v>-</v>
      </c>
      <c r="AD159" s="588" t="s">
        <v>45</v>
      </c>
      <c r="AE159" s="589" t="s">
        <v>164</v>
      </c>
      <c r="AF159" s="250" t="s">
        <v>211</v>
      </c>
      <c r="AG159" s="250"/>
      <c r="AH159" s="250" t="s">
        <v>165</v>
      </c>
      <c r="AI159" s="590"/>
      <c r="AJ159" s="554">
        <v>42814707478</v>
      </c>
      <c r="AK159" s="367">
        <v>160000</v>
      </c>
      <c r="AL159" s="61">
        <v>46176</v>
      </c>
      <c r="AM159" s="61">
        <v>46197</v>
      </c>
      <c r="AN159" s="593"/>
      <c r="AO159" s="592"/>
      <c r="AP159" s="46" t="s">
        <v>396</v>
      </c>
    </row>
    <row r="160" spans="1:42" x14ac:dyDescent="0.25">
      <c r="A160" s="582">
        <v>282</v>
      </c>
      <c r="B160" s="46">
        <v>5600000395</v>
      </c>
      <c r="C160" s="80" t="s">
        <v>397</v>
      </c>
      <c r="D160" s="487">
        <v>46111</v>
      </c>
      <c r="E160" s="583" t="s">
        <v>1</v>
      </c>
      <c r="F160" s="262">
        <v>0.1</v>
      </c>
      <c r="G160" s="81" t="s">
        <v>245</v>
      </c>
      <c r="H160" s="584" t="s">
        <v>139</v>
      </c>
      <c r="I160" s="218">
        <v>1285464.25</v>
      </c>
      <c r="J160" s="59">
        <v>0</v>
      </c>
      <c r="K160" s="621">
        <f t="shared" si="287"/>
        <v>1285464.25</v>
      </c>
      <c r="L160" s="585">
        <v>94.920500000000004</v>
      </c>
      <c r="M160" s="621">
        <f t="shared" si="288"/>
        <v>122016909.342125</v>
      </c>
      <c r="N160" s="584" t="s">
        <v>140</v>
      </c>
      <c r="O160" s="584">
        <v>55</v>
      </c>
      <c r="P160" s="487" t="s">
        <v>17</v>
      </c>
      <c r="Q160" s="64" t="s">
        <v>398</v>
      </c>
      <c r="R160" s="487">
        <v>46127</v>
      </c>
      <c r="S160" s="489">
        <v>46128</v>
      </c>
      <c r="T160" s="489">
        <v>46099</v>
      </c>
      <c r="U160" s="16">
        <v>1285464.25</v>
      </c>
      <c r="V160" s="620">
        <f t="shared" ref="V160:V166" si="294">K160-U160</f>
        <v>0</v>
      </c>
      <c r="W160" s="618">
        <f t="shared" ref="W160:W166" si="295">U160*L160</f>
        <v>122016909.342125</v>
      </c>
      <c r="X160" s="228"/>
      <c r="Y160" s="586">
        <v>46154</v>
      </c>
      <c r="Z160" s="616">
        <f t="shared" ref="Z160:Z161" si="296">Y160+2</f>
        <v>46156</v>
      </c>
      <c r="AA160" s="617">
        <f t="shared" ref="AA160:AA165" si="297">M160</f>
        <v>122016909.342125</v>
      </c>
      <c r="AB160" s="61"/>
      <c r="AC160" s="616" t="str">
        <f t="shared" si="289"/>
        <v>May26</v>
      </c>
      <c r="AD160" s="588" t="s">
        <v>36</v>
      </c>
      <c r="AE160" s="589" t="s">
        <v>142</v>
      </c>
      <c r="AF160" s="250" t="s">
        <v>143</v>
      </c>
      <c r="AG160" s="250">
        <v>46154</v>
      </c>
      <c r="AH160" s="250" t="s">
        <v>144</v>
      </c>
      <c r="AI160" s="590" t="s">
        <v>1316</v>
      </c>
      <c r="AJ160" s="554"/>
      <c r="AK160" s="367"/>
      <c r="AL160" s="61">
        <v>46112</v>
      </c>
      <c r="AM160" s="61">
        <v>46133</v>
      </c>
      <c r="AN160" s="593"/>
      <c r="AO160" s="592"/>
      <c r="AP160" s="46" t="s">
        <v>145</v>
      </c>
    </row>
    <row r="161" spans="1:42" x14ac:dyDescent="0.25">
      <c r="A161" s="582">
        <v>283</v>
      </c>
      <c r="B161" s="46">
        <v>5600000395</v>
      </c>
      <c r="C161" s="80" t="s">
        <v>399</v>
      </c>
      <c r="D161" s="487">
        <v>46108</v>
      </c>
      <c r="E161" s="583" t="s">
        <v>1</v>
      </c>
      <c r="F161" s="262">
        <v>0.1</v>
      </c>
      <c r="G161" s="81" t="s">
        <v>245</v>
      </c>
      <c r="H161" s="584" t="s">
        <v>139</v>
      </c>
      <c r="I161" s="218">
        <v>1933513.2</v>
      </c>
      <c r="J161" s="59">
        <v>0</v>
      </c>
      <c r="K161" s="621">
        <f t="shared" si="287"/>
        <v>1933513.2</v>
      </c>
      <c r="L161" s="585">
        <v>94.920500000000004</v>
      </c>
      <c r="M161" s="621">
        <f t="shared" si="288"/>
        <v>183530039.7006</v>
      </c>
      <c r="N161" s="584" t="s">
        <v>140</v>
      </c>
      <c r="O161" s="584">
        <v>55</v>
      </c>
      <c r="P161" s="487" t="s">
        <v>17</v>
      </c>
      <c r="Q161" s="64" t="s">
        <v>400</v>
      </c>
      <c r="R161" s="487">
        <v>46127</v>
      </c>
      <c r="S161" s="489">
        <v>46128</v>
      </c>
      <c r="T161" s="489">
        <v>46101</v>
      </c>
      <c r="U161" s="16">
        <v>1933513.2</v>
      </c>
      <c r="V161" s="620">
        <f t="shared" si="294"/>
        <v>0</v>
      </c>
      <c r="W161" s="618">
        <f t="shared" si="295"/>
        <v>183530039.7006</v>
      </c>
      <c r="X161" s="228"/>
      <c r="Y161" s="586">
        <v>46156</v>
      </c>
      <c r="Z161" s="616">
        <f t="shared" si="296"/>
        <v>46158</v>
      </c>
      <c r="AA161" s="617">
        <f t="shared" si="297"/>
        <v>183530039.7006</v>
      </c>
      <c r="AB161" s="61"/>
      <c r="AC161" s="616" t="str">
        <f t="shared" si="289"/>
        <v>May26</v>
      </c>
      <c r="AD161" s="588" t="s">
        <v>36</v>
      </c>
      <c r="AE161" s="589" t="s">
        <v>142</v>
      </c>
      <c r="AF161" s="250" t="s">
        <v>143</v>
      </c>
      <c r="AG161" s="250">
        <v>46156</v>
      </c>
      <c r="AH161" s="250" t="s">
        <v>144</v>
      </c>
      <c r="AI161" s="590" t="s">
        <v>1316</v>
      </c>
      <c r="AJ161" s="554"/>
      <c r="AK161" s="367"/>
      <c r="AL161" s="61">
        <v>46112</v>
      </c>
      <c r="AM161" s="61">
        <v>46133</v>
      </c>
      <c r="AN161" s="593"/>
      <c r="AO161" s="592"/>
      <c r="AP161" s="46" t="s">
        <v>145</v>
      </c>
    </row>
    <row r="162" spans="1:42" x14ac:dyDescent="0.25">
      <c r="A162" s="582">
        <v>284</v>
      </c>
      <c r="B162" s="46">
        <v>5600000405</v>
      </c>
      <c r="C162" s="80" t="s">
        <v>401</v>
      </c>
      <c r="D162" s="487">
        <v>46108</v>
      </c>
      <c r="E162" s="583" t="s">
        <v>3</v>
      </c>
      <c r="F162" s="262">
        <v>0.1</v>
      </c>
      <c r="G162" s="81" t="s">
        <v>190</v>
      </c>
      <c r="H162" s="584" t="s">
        <v>139</v>
      </c>
      <c r="I162" s="218">
        <v>1210950</v>
      </c>
      <c r="J162" s="59">
        <v>0</v>
      </c>
      <c r="K162" s="621">
        <f t="shared" ref="K162:K165" si="298">J162+I162</f>
        <v>1210950</v>
      </c>
      <c r="L162" s="585">
        <v>96</v>
      </c>
      <c r="M162" s="621">
        <f t="shared" ref="M162:M165" si="299">K162*L162</f>
        <v>116251200</v>
      </c>
      <c r="N162" s="584" t="s">
        <v>140</v>
      </c>
      <c r="O162" s="584">
        <v>60</v>
      </c>
      <c r="P162" s="487" t="s">
        <v>17</v>
      </c>
      <c r="Q162" s="64" t="s">
        <v>402</v>
      </c>
      <c r="R162" s="487">
        <v>46136</v>
      </c>
      <c r="S162" s="489">
        <v>46143</v>
      </c>
      <c r="T162" s="489">
        <v>46126</v>
      </c>
      <c r="U162" s="16">
        <v>1210950</v>
      </c>
      <c r="V162" s="620">
        <f t="shared" si="294"/>
        <v>0</v>
      </c>
      <c r="W162" s="618">
        <f t="shared" si="295"/>
        <v>116251200</v>
      </c>
      <c r="X162" s="228"/>
      <c r="Y162" s="586">
        <v>46188</v>
      </c>
      <c r="Z162" s="616">
        <f t="shared" ref="Z162:Z165" si="300">Y162+2</f>
        <v>46190</v>
      </c>
      <c r="AA162" s="617">
        <f t="shared" si="297"/>
        <v>116251200</v>
      </c>
      <c r="AB162" s="61"/>
      <c r="AC162" s="616" t="str">
        <f t="shared" ref="AC162:AC165" si="301">IF(Y162="","-",TEXT(Y162,"mmmmyy"))</f>
        <v>June26</v>
      </c>
      <c r="AD162" s="588" t="s">
        <v>43</v>
      </c>
      <c r="AE162" s="589" t="s">
        <v>164</v>
      </c>
      <c r="AF162" s="250" t="s">
        <v>143</v>
      </c>
      <c r="AG162" s="250"/>
      <c r="AH162" s="250" t="s">
        <v>165</v>
      </c>
      <c r="AI162" s="590"/>
      <c r="AJ162" s="554"/>
      <c r="AK162" s="367"/>
      <c r="AL162" s="61">
        <v>46132</v>
      </c>
      <c r="AM162" s="61">
        <v>46153</v>
      </c>
      <c r="AN162" s="593"/>
      <c r="AO162" s="592"/>
      <c r="AP162" s="46" t="s">
        <v>192</v>
      </c>
    </row>
    <row r="163" spans="1:42" x14ac:dyDescent="0.25">
      <c r="A163" s="582">
        <v>285</v>
      </c>
      <c r="B163" s="46">
        <v>5600000405</v>
      </c>
      <c r="C163" s="80" t="s">
        <v>403</v>
      </c>
      <c r="D163" s="487">
        <v>46108</v>
      </c>
      <c r="E163" s="583" t="s">
        <v>3</v>
      </c>
      <c r="F163" s="262">
        <v>0.1</v>
      </c>
      <c r="G163" s="81" t="s">
        <v>190</v>
      </c>
      <c r="H163" s="584" t="s">
        <v>139</v>
      </c>
      <c r="I163" s="218">
        <v>1210950</v>
      </c>
      <c r="J163" s="59">
        <v>0</v>
      </c>
      <c r="K163" s="621">
        <f t="shared" si="298"/>
        <v>1210950</v>
      </c>
      <c r="L163" s="585">
        <v>96</v>
      </c>
      <c r="M163" s="621">
        <f t="shared" si="299"/>
        <v>116251200</v>
      </c>
      <c r="N163" s="584" t="s">
        <v>140</v>
      </c>
      <c r="O163" s="584">
        <v>60</v>
      </c>
      <c r="P163" s="487" t="s">
        <v>17</v>
      </c>
      <c r="Q163" s="64" t="s">
        <v>404</v>
      </c>
      <c r="R163" s="487">
        <v>46136</v>
      </c>
      <c r="S163" s="489">
        <v>46146</v>
      </c>
      <c r="T163" s="489">
        <v>46126</v>
      </c>
      <c r="U163" s="16">
        <v>1210950</v>
      </c>
      <c r="V163" s="620">
        <f t="shared" si="294"/>
        <v>0</v>
      </c>
      <c r="W163" s="618">
        <f t="shared" si="295"/>
        <v>116251200</v>
      </c>
      <c r="X163" s="228"/>
      <c r="Y163" s="586">
        <v>46188</v>
      </c>
      <c r="Z163" s="616">
        <f t="shared" si="300"/>
        <v>46190</v>
      </c>
      <c r="AA163" s="617">
        <f t="shared" si="297"/>
        <v>116251200</v>
      </c>
      <c r="AB163" s="61"/>
      <c r="AC163" s="616" t="str">
        <f t="shared" si="301"/>
        <v>June26</v>
      </c>
      <c r="AD163" s="588" t="s">
        <v>43</v>
      </c>
      <c r="AE163" s="589" t="s">
        <v>164</v>
      </c>
      <c r="AF163" s="250" t="s">
        <v>143</v>
      </c>
      <c r="AG163" s="250"/>
      <c r="AH163" s="250" t="s">
        <v>165</v>
      </c>
      <c r="AI163" s="590"/>
      <c r="AJ163" s="554"/>
      <c r="AK163" s="367"/>
      <c r="AL163" s="61">
        <v>46132</v>
      </c>
      <c r="AM163" s="61">
        <v>46153</v>
      </c>
      <c r="AN163" s="593"/>
      <c r="AO163" s="592"/>
      <c r="AP163" s="46" t="s">
        <v>192</v>
      </c>
    </row>
    <row r="164" spans="1:42" x14ac:dyDescent="0.25">
      <c r="A164" s="582">
        <v>286</v>
      </c>
      <c r="B164" s="46">
        <v>5600000392</v>
      </c>
      <c r="C164" s="80" t="s">
        <v>405</v>
      </c>
      <c r="D164" s="487">
        <v>46111</v>
      </c>
      <c r="E164" s="583" t="s">
        <v>1</v>
      </c>
      <c r="F164" s="262">
        <v>0.1</v>
      </c>
      <c r="G164" s="81" t="s">
        <v>245</v>
      </c>
      <c r="H164" s="584" t="s">
        <v>139</v>
      </c>
      <c r="I164" s="218">
        <v>671924.77</v>
      </c>
      <c r="J164" s="59">
        <v>0</v>
      </c>
      <c r="K164" s="621">
        <f t="shared" si="298"/>
        <v>671924.77</v>
      </c>
      <c r="L164" s="585">
        <v>94.920500000000004</v>
      </c>
      <c r="M164" s="621">
        <f t="shared" si="299"/>
        <v>63779435.130785003</v>
      </c>
      <c r="N164" s="584" t="s">
        <v>140</v>
      </c>
      <c r="O164" s="584">
        <v>55</v>
      </c>
      <c r="P164" s="487" t="s">
        <v>17</v>
      </c>
      <c r="Q164" s="64" t="s">
        <v>406</v>
      </c>
      <c r="R164" s="487">
        <v>46127</v>
      </c>
      <c r="S164" s="489">
        <v>46128</v>
      </c>
      <c r="T164" s="489">
        <v>46099</v>
      </c>
      <c r="U164" s="16">
        <v>671924.77</v>
      </c>
      <c r="V164" s="620">
        <f t="shared" si="294"/>
        <v>0</v>
      </c>
      <c r="W164" s="618">
        <f t="shared" si="295"/>
        <v>63779435.130785003</v>
      </c>
      <c r="X164" s="228"/>
      <c r="Y164" s="586">
        <v>46154</v>
      </c>
      <c r="Z164" s="616">
        <f t="shared" si="300"/>
        <v>46156</v>
      </c>
      <c r="AA164" s="617">
        <f t="shared" si="297"/>
        <v>63779435.130785003</v>
      </c>
      <c r="AB164" s="61"/>
      <c r="AC164" s="616" t="str">
        <f t="shared" si="301"/>
        <v>May26</v>
      </c>
      <c r="AD164" s="588" t="s">
        <v>36</v>
      </c>
      <c r="AE164" s="589" t="s">
        <v>142</v>
      </c>
      <c r="AF164" s="250" t="s">
        <v>143</v>
      </c>
      <c r="AG164" s="250">
        <v>46154</v>
      </c>
      <c r="AH164" s="250" t="s">
        <v>144</v>
      </c>
      <c r="AI164" s="590" t="s">
        <v>1316</v>
      </c>
      <c r="AJ164" s="554"/>
      <c r="AK164" s="367"/>
      <c r="AL164" s="61">
        <v>46112</v>
      </c>
      <c r="AM164" s="61">
        <v>46133</v>
      </c>
      <c r="AN164" s="593"/>
      <c r="AO164" s="592"/>
      <c r="AP164" s="46" t="s">
        <v>145</v>
      </c>
    </row>
    <row r="165" spans="1:42" x14ac:dyDescent="0.25">
      <c r="A165" s="582">
        <v>287</v>
      </c>
      <c r="B165" s="46">
        <v>5600000392</v>
      </c>
      <c r="C165" s="80" t="s">
        <v>407</v>
      </c>
      <c r="D165" s="487">
        <v>46111</v>
      </c>
      <c r="E165" s="583" t="s">
        <v>1</v>
      </c>
      <c r="F165" s="262">
        <v>0.1</v>
      </c>
      <c r="G165" s="81" t="s">
        <v>245</v>
      </c>
      <c r="H165" s="584" t="s">
        <v>139</v>
      </c>
      <c r="I165" s="218">
        <v>670124.13</v>
      </c>
      <c r="J165" s="59">
        <v>0</v>
      </c>
      <c r="K165" s="621">
        <f t="shared" si="298"/>
        <v>670124.13</v>
      </c>
      <c r="L165" s="585">
        <v>94.920500000000004</v>
      </c>
      <c r="M165" s="621">
        <f t="shared" si="299"/>
        <v>63608517.481665</v>
      </c>
      <c r="N165" s="584" t="s">
        <v>140</v>
      </c>
      <c r="O165" s="584">
        <v>55</v>
      </c>
      <c r="P165" s="487" t="s">
        <v>17</v>
      </c>
      <c r="Q165" s="64" t="s">
        <v>408</v>
      </c>
      <c r="R165" s="487">
        <v>46130</v>
      </c>
      <c r="S165" s="489">
        <v>46134</v>
      </c>
      <c r="T165" s="489">
        <v>46099</v>
      </c>
      <c r="U165" s="16">
        <v>670124.13</v>
      </c>
      <c r="V165" s="620">
        <f t="shared" si="294"/>
        <v>0</v>
      </c>
      <c r="W165" s="618">
        <f t="shared" si="295"/>
        <v>63608517.481665</v>
      </c>
      <c r="X165" s="228"/>
      <c r="Y165" s="586">
        <v>46154</v>
      </c>
      <c r="Z165" s="616">
        <f t="shared" si="300"/>
        <v>46156</v>
      </c>
      <c r="AA165" s="617">
        <f t="shared" si="297"/>
        <v>63608517.481665</v>
      </c>
      <c r="AB165" s="61"/>
      <c r="AC165" s="616" t="str">
        <f t="shared" si="301"/>
        <v>May26</v>
      </c>
      <c r="AD165" s="588" t="s">
        <v>36</v>
      </c>
      <c r="AE165" s="589" t="s">
        <v>142</v>
      </c>
      <c r="AF165" s="250" t="s">
        <v>143</v>
      </c>
      <c r="AG165" s="250">
        <v>46154</v>
      </c>
      <c r="AH165" s="250" t="s">
        <v>144</v>
      </c>
      <c r="AI165" s="590" t="s">
        <v>1316</v>
      </c>
      <c r="AJ165" s="554"/>
      <c r="AK165" s="367"/>
      <c r="AL165" s="61">
        <v>46112</v>
      </c>
      <c r="AM165" s="61">
        <v>46133</v>
      </c>
      <c r="AN165" s="593"/>
      <c r="AO165" s="592"/>
      <c r="AP165" s="46" t="s">
        <v>145</v>
      </c>
    </row>
    <row r="166" spans="1:42" x14ac:dyDescent="0.25">
      <c r="A166" s="582">
        <v>288</v>
      </c>
      <c r="B166" s="46">
        <v>5600000452</v>
      </c>
      <c r="C166" s="80" t="s">
        <v>409</v>
      </c>
      <c r="D166" s="487">
        <v>46114</v>
      </c>
      <c r="E166" s="583" t="s">
        <v>3</v>
      </c>
      <c r="F166" s="262">
        <v>0.1</v>
      </c>
      <c r="G166" s="81" t="s">
        <v>371</v>
      </c>
      <c r="H166" s="584" t="s">
        <v>139</v>
      </c>
      <c r="I166" s="218">
        <v>926100</v>
      </c>
      <c r="J166" s="59">
        <v>0</v>
      </c>
      <c r="K166" s="621">
        <f t="shared" ref="K166" si="302">J166+I166</f>
        <v>926100</v>
      </c>
      <c r="L166" s="585">
        <v>96</v>
      </c>
      <c r="M166" s="621">
        <f t="shared" ref="M166" si="303">K166*L166</f>
        <v>88905600</v>
      </c>
      <c r="N166" s="584" t="s">
        <v>140</v>
      </c>
      <c r="O166" s="584">
        <v>45</v>
      </c>
      <c r="P166" s="487" t="s">
        <v>17</v>
      </c>
      <c r="Q166" s="64" t="s">
        <v>410</v>
      </c>
      <c r="R166" s="487">
        <v>46136</v>
      </c>
      <c r="S166" s="489">
        <v>46146</v>
      </c>
      <c r="T166" s="489">
        <v>46126</v>
      </c>
      <c r="U166" s="16">
        <v>463050</v>
      </c>
      <c r="V166" s="620">
        <f t="shared" si="294"/>
        <v>463050</v>
      </c>
      <c r="W166" s="618">
        <f t="shared" si="295"/>
        <v>44452800</v>
      </c>
      <c r="X166" s="228"/>
      <c r="Y166" s="586">
        <v>46171</v>
      </c>
      <c r="Z166" s="616">
        <f>Y166+2</f>
        <v>46173</v>
      </c>
      <c r="AA166" s="617">
        <f t="shared" ref="AA166:AA171" si="304">W166</f>
        <v>44452800</v>
      </c>
      <c r="AB166" s="61"/>
      <c r="AC166" s="616" t="str">
        <f t="shared" ref="AC166" si="305">IF(Y166="","-",TEXT(Y166,"mmmmyy"))</f>
        <v>May26</v>
      </c>
      <c r="AD166" s="588" t="s">
        <v>36</v>
      </c>
      <c r="AE166" s="589" t="s">
        <v>142</v>
      </c>
      <c r="AF166" s="250" t="s">
        <v>143</v>
      </c>
      <c r="AG166" s="250">
        <v>46171</v>
      </c>
      <c r="AH166" s="250" t="s">
        <v>144</v>
      </c>
      <c r="AI166" s="590" t="s">
        <v>1281</v>
      </c>
      <c r="AJ166" s="554"/>
      <c r="AK166" s="367"/>
      <c r="AL166" s="61">
        <v>46148</v>
      </c>
      <c r="AM166" s="61">
        <v>46169</v>
      </c>
      <c r="AN166" s="593"/>
      <c r="AO166" s="592"/>
      <c r="AP166" s="46" t="s">
        <v>225</v>
      </c>
    </row>
    <row r="167" spans="1:42" x14ac:dyDescent="0.25">
      <c r="A167" s="582"/>
      <c r="B167" s="46">
        <v>5600000452</v>
      </c>
      <c r="C167" s="80" t="s">
        <v>409</v>
      </c>
      <c r="D167" s="487">
        <v>46114</v>
      </c>
      <c r="E167" s="583" t="s">
        <v>3</v>
      </c>
      <c r="F167" s="262">
        <v>0.1</v>
      </c>
      <c r="G167" s="81" t="s">
        <v>371</v>
      </c>
      <c r="H167" s="584" t="s">
        <v>139</v>
      </c>
      <c r="I167" s="218">
        <v>0</v>
      </c>
      <c r="J167" s="59">
        <v>0</v>
      </c>
      <c r="K167" s="621">
        <f t="shared" ref="K167" si="306">J167+I167</f>
        <v>0</v>
      </c>
      <c r="L167" s="585">
        <v>96</v>
      </c>
      <c r="M167" s="621">
        <f t="shared" ref="M167" si="307">K167*L167</f>
        <v>0</v>
      </c>
      <c r="N167" s="584" t="s">
        <v>140</v>
      </c>
      <c r="O167" s="584">
        <v>45</v>
      </c>
      <c r="P167" s="487" t="s">
        <v>17</v>
      </c>
      <c r="Q167" s="64" t="s">
        <v>411</v>
      </c>
      <c r="R167" s="487">
        <v>46157</v>
      </c>
      <c r="S167" s="489">
        <v>46163</v>
      </c>
      <c r="T167" s="489">
        <v>46140</v>
      </c>
      <c r="U167" s="16">
        <v>463050</v>
      </c>
      <c r="V167" s="620">
        <f t="shared" ref="V167" si="308">K167-U167</f>
        <v>-463050</v>
      </c>
      <c r="W167" s="618">
        <f t="shared" ref="W167" si="309">U167*L167</f>
        <v>44452800</v>
      </c>
      <c r="X167" s="228"/>
      <c r="Y167" s="586">
        <v>46185</v>
      </c>
      <c r="Z167" s="616">
        <f t="shared" ref="Z167" si="310">Y167+2</f>
        <v>46187</v>
      </c>
      <c r="AA167" s="617">
        <f t="shared" si="304"/>
        <v>44452800</v>
      </c>
      <c r="AB167" s="61"/>
      <c r="AC167" s="616" t="str">
        <f t="shared" ref="AC167" si="311">IF(Y167="","-",TEXT(Y167,"mmmmyy"))</f>
        <v>June26</v>
      </c>
      <c r="AD167" s="588" t="s">
        <v>43</v>
      </c>
      <c r="AE167" s="589" t="s">
        <v>164</v>
      </c>
      <c r="AF167" s="250" t="s">
        <v>143</v>
      </c>
      <c r="AG167" s="250"/>
      <c r="AH167" s="250" t="s">
        <v>165</v>
      </c>
      <c r="AI167" s="590"/>
      <c r="AJ167" s="554"/>
      <c r="AK167" s="367"/>
      <c r="AL167" s="61">
        <v>46148</v>
      </c>
      <c r="AM167" s="61">
        <v>46169</v>
      </c>
      <c r="AN167" s="593"/>
      <c r="AO167" s="592"/>
      <c r="AP167" s="46" t="s">
        <v>225</v>
      </c>
    </row>
    <row r="168" spans="1:42" ht="16.5" customHeight="1" x14ac:dyDescent="0.25">
      <c r="A168" s="582">
        <v>289</v>
      </c>
      <c r="B168" s="46">
        <v>5600000447</v>
      </c>
      <c r="C168" s="80" t="s">
        <v>412</v>
      </c>
      <c r="D168" s="487">
        <v>46114</v>
      </c>
      <c r="E168" s="583" t="s">
        <v>3</v>
      </c>
      <c r="F168" s="262">
        <v>0.1</v>
      </c>
      <c r="G168" s="81" t="s">
        <v>156</v>
      </c>
      <c r="H168" s="584" t="s">
        <v>139</v>
      </c>
      <c r="I168" s="218">
        <v>1021695.77</v>
      </c>
      <c r="J168" s="59">
        <v>0</v>
      </c>
      <c r="K168" s="621">
        <f>J168+I168</f>
        <v>1021695.77</v>
      </c>
      <c r="L168" s="585">
        <v>96</v>
      </c>
      <c r="M168" s="621">
        <f>K168*L168</f>
        <v>98082793.920000002</v>
      </c>
      <c r="N168" s="584" t="s">
        <v>140</v>
      </c>
      <c r="O168" s="584">
        <v>60</v>
      </c>
      <c r="P168" s="487" t="s">
        <v>17</v>
      </c>
      <c r="Q168" s="64" t="s">
        <v>413</v>
      </c>
      <c r="R168" s="487">
        <v>46157</v>
      </c>
      <c r="S168" s="489">
        <v>46163</v>
      </c>
      <c r="T168" s="489">
        <v>46138</v>
      </c>
      <c r="U168" s="16">
        <v>272452.2</v>
      </c>
      <c r="V168" s="620">
        <f>K168-U168</f>
        <v>749243.57000000007</v>
      </c>
      <c r="W168" s="618">
        <f>U168*L168</f>
        <v>26155411.200000003</v>
      </c>
      <c r="X168" s="228"/>
      <c r="Y168" s="586">
        <v>46198</v>
      </c>
      <c r="Z168" s="616">
        <f>Y168+2</f>
        <v>46200</v>
      </c>
      <c r="AA168" s="617">
        <f t="shared" si="304"/>
        <v>26155411.200000003</v>
      </c>
      <c r="AB168" s="61"/>
      <c r="AC168" s="616" t="str">
        <f>IF(Y168="","-",TEXT(Y168,"mmmmyy"))</f>
        <v>June26</v>
      </c>
      <c r="AD168" s="588" t="s">
        <v>43</v>
      </c>
      <c r="AE168" s="589" t="s">
        <v>164</v>
      </c>
      <c r="AF168" s="250" t="s">
        <v>143</v>
      </c>
      <c r="AG168" s="250"/>
      <c r="AH168" s="250" t="s">
        <v>165</v>
      </c>
      <c r="AI168" s="590" t="s">
        <v>1363</v>
      </c>
      <c r="AJ168" s="554"/>
      <c r="AK168" s="367"/>
      <c r="AL168" s="61">
        <v>46162</v>
      </c>
      <c r="AM168" s="61">
        <v>46183</v>
      </c>
      <c r="AN168" s="593"/>
      <c r="AO168" s="592"/>
      <c r="AP168" s="46" t="s">
        <v>414</v>
      </c>
    </row>
    <row r="169" spans="1:42" ht="16.5" customHeight="1" x14ac:dyDescent="0.25">
      <c r="A169" s="582"/>
      <c r="B169" s="46">
        <v>5600000447</v>
      </c>
      <c r="C169" s="80" t="s">
        <v>412</v>
      </c>
      <c r="D169" s="487">
        <v>46114</v>
      </c>
      <c r="E169" s="583" t="s">
        <v>3</v>
      </c>
      <c r="F169" s="262">
        <v>0.1</v>
      </c>
      <c r="G169" s="81" t="s">
        <v>156</v>
      </c>
      <c r="H169" s="584" t="s">
        <v>139</v>
      </c>
      <c r="I169" s="218">
        <v>0</v>
      </c>
      <c r="J169" s="59">
        <v>0</v>
      </c>
      <c r="K169" s="621">
        <f t="shared" ref="K169" si="312">J169+I169</f>
        <v>0</v>
      </c>
      <c r="L169" s="585">
        <v>96</v>
      </c>
      <c r="M169" s="621">
        <f t="shared" ref="M169" si="313">K169*L169</f>
        <v>0</v>
      </c>
      <c r="N169" s="584" t="s">
        <v>140</v>
      </c>
      <c r="O169" s="584">
        <v>60</v>
      </c>
      <c r="P169" s="487" t="s">
        <v>17</v>
      </c>
      <c r="Q169" s="64" t="s">
        <v>415</v>
      </c>
      <c r="R169" s="487">
        <v>46157</v>
      </c>
      <c r="S169" s="489">
        <v>46163</v>
      </c>
      <c r="T169" s="489">
        <v>46138</v>
      </c>
      <c r="U169" s="16">
        <v>272452.2</v>
      </c>
      <c r="V169" s="620">
        <f t="shared" ref="V169" si="314">K169-U169</f>
        <v>-272452.2</v>
      </c>
      <c r="W169" s="618">
        <f t="shared" ref="W169" si="315">U169*L169</f>
        <v>26155411.200000003</v>
      </c>
      <c r="X169" s="228"/>
      <c r="Y169" s="586">
        <v>46198</v>
      </c>
      <c r="Z169" s="616">
        <f>Y169+2</f>
        <v>46200</v>
      </c>
      <c r="AA169" s="617">
        <f t="shared" si="304"/>
        <v>26155411.200000003</v>
      </c>
      <c r="AB169" s="61"/>
      <c r="AC169" s="616" t="str">
        <f t="shared" ref="AC169" si="316">IF(Y169="","-",TEXT(Y169,"mmmmyy"))</f>
        <v>June26</v>
      </c>
      <c r="AD169" s="588" t="s">
        <v>43</v>
      </c>
      <c r="AE169" s="589" t="s">
        <v>164</v>
      </c>
      <c r="AF169" s="250" t="s">
        <v>143</v>
      </c>
      <c r="AG169" s="250"/>
      <c r="AH169" s="250" t="s">
        <v>165</v>
      </c>
      <c r="AI169" s="590" t="s">
        <v>1363</v>
      </c>
      <c r="AJ169" s="554"/>
      <c r="AK169" s="367"/>
      <c r="AL169" s="61">
        <v>46162</v>
      </c>
      <c r="AM169" s="61">
        <v>46183</v>
      </c>
      <c r="AN169" s="593"/>
      <c r="AO169" s="592"/>
      <c r="AP169" s="46" t="s">
        <v>414</v>
      </c>
    </row>
    <row r="170" spans="1:42" ht="16.5" customHeight="1" x14ac:dyDescent="0.25">
      <c r="A170" s="582"/>
      <c r="B170" s="46">
        <v>5600000447</v>
      </c>
      <c r="C170" s="80" t="s">
        <v>412</v>
      </c>
      <c r="D170" s="487">
        <v>46114</v>
      </c>
      <c r="E170" s="583" t="s">
        <v>3</v>
      </c>
      <c r="F170" s="262">
        <v>0.1</v>
      </c>
      <c r="G170" s="81" t="s">
        <v>156</v>
      </c>
      <c r="H170" s="584" t="s">
        <v>139</v>
      </c>
      <c r="I170" s="218">
        <v>0</v>
      </c>
      <c r="J170" s="59">
        <v>0</v>
      </c>
      <c r="K170" s="621">
        <f t="shared" ref="K170" si="317">J170+I170</f>
        <v>0</v>
      </c>
      <c r="L170" s="585">
        <v>96</v>
      </c>
      <c r="M170" s="621">
        <f t="shared" ref="M170" si="318">K170*L170</f>
        <v>0</v>
      </c>
      <c r="N170" s="584" t="s">
        <v>140</v>
      </c>
      <c r="O170" s="584">
        <v>60</v>
      </c>
      <c r="P170" s="487" t="s">
        <v>17</v>
      </c>
      <c r="Q170" s="64" t="s">
        <v>1296</v>
      </c>
      <c r="R170" s="487">
        <v>46163</v>
      </c>
      <c r="S170" s="489">
        <v>46169</v>
      </c>
      <c r="T170" s="489">
        <v>46145</v>
      </c>
      <c r="U170" s="16">
        <v>272452.2</v>
      </c>
      <c r="V170" s="620">
        <f t="shared" ref="V170" si="319">K170-U170</f>
        <v>-272452.2</v>
      </c>
      <c r="W170" s="618">
        <f t="shared" ref="W170" si="320">U170*L170</f>
        <v>26155411.200000003</v>
      </c>
      <c r="X170" s="228"/>
      <c r="Y170" s="586">
        <v>46205</v>
      </c>
      <c r="Z170" s="616">
        <f t="shared" ref="Z170" si="321">Y170+2</f>
        <v>46207</v>
      </c>
      <c r="AA170" s="617">
        <f t="shared" si="304"/>
        <v>26155411.200000003</v>
      </c>
      <c r="AB170" s="61"/>
      <c r="AC170" s="616" t="str">
        <f t="shared" ref="AC170" si="322">IF(Y170="","-",TEXT(Y170,"mmmmyy"))</f>
        <v>July26</v>
      </c>
      <c r="AD170" s="588" t="s">
        <v>43</v>
      </c>
      <c r="AE170" s="589" t="s">
        <v>164</v>
      </c>
      <c r="AF170" s="250" t="s">
        <v>143</v>
      </c>
      <c r="AG170" s="250"/>
      <c r="AH170" s="250" t="s">
        <v>165</v>
      </c>
      <c r="AI170" s="590"/>
      <c r="AJ170" s="554"/>
      <c r="AK170" s="367"/>
      <c r="AL170" s="61">
        <v>46162</v>
      </c>
      <c r="AM170" s="61">
        <v>46183</v>
      </c>
      <c r="AN170" s="593"/>
      <c r="AO170" s="592"/>
      <c r="AP170" s="46" t="s">
        <v>414</v>
      </c>
    </row>
    <row r="171" spans="1:42" ht="16.5" customHeight="1" x14ac:dyDescent="0.25">
      <c r="A171" s="582"/>
      <c r="B171" s="46">
        <v>5600000447</v>
      </c>
      <c r="C171" s="80" t="s">
        <v>412</v>
      </c>
      <c r="D171" s="487">
        <v>46114</v>
      </c>
      <c r="E171" s="583" t="s">
        <v>3</v>
      </c>
      <c r="F171" s="262">
        <v>0.1</v>
      </c>
      <c r="G171" s="81" t="s">
        <v>156</v>
      </c>
      <c r="H171" s="584" t="s">
        <v>139</v>
      </c>
      <c r="I171" s="218">
        <v>0</v>
      </c>
      <c r="J171" s="59">
        <v>0</v>
      </c>
      <c r="K171" s="621">
        <f t="shared" ref="K171" si="323">J171+I171</f>
        <v>0</v>
      </c>
      <c r="L171" s="585">
        <v>96</v>
      </c>
      <c r="M171" s="621">
        <f t="shared" ref="M171" si="324">K171*L171</f>
        <v>0</v>
      </c>
      <c r="N171" s="584" t="s">
        <v>140</v>
      </c>
      <c r="O171" s="584">
        <v>60</v>
      </c>
      <c r="P171" s="487" t="s">
        <v>17</v>
      </c>
      <c r="Q171" s="64" t="s">
        <v>1297</v>
      </c>
      <c r="R171" s="487">
        <v>46163</v>
      </c>
      <c r="S171" s="489">
        <v>46169</v>
      </c>
      <c r="T171" s="489">
        <v>46145</v>
      </c>
      <c r="U171" s="16">
        <v>204339.15</v>
      </c>
      <c r="V171" s="620">
        <f t="shared" ref="V171" si="325">K171-U171</f>
        <v>-204339.15</v>
      </c>
      <c r="W171" s="618">
        <f t="shared" ref="W171" si="326">U171*L171</f>
        <v>19616558.399999999</v>
      </c>
      <c r="X171" s="228"/>
      <c r="Y171" s="586">
        <v>46205</v>
      </c>
      <c r="Z171" s="616">
        <f t="shared" ref="Z171" si="327">Y171+2</f>
        <v>46207</v>
      </c>
      <c r="AA171" s="617">
        <f t="shared" si="304"/>
        <v>19616558.399999999</v>
      </c>
      <c r="AB171" s="61"/>
      <c r="AC171" s="616" t="str">
        <f t="shared" ref="AC171" si="328">IF(Y171="","-",TEXT(Y171,"mmmmyy"))</f>
        <v>July26</v>
      </c>
      <c r="AD171" s="588" t="s">
        <v>43</v>
      </c>
      <c r="AE171" s="589" t="s">
        <v>164</v>
      </c>
      <c r="AF171" s="250" t="s">
        <v>143</v>
      </c>
      <c r="AG171" s="250"/>
      <c r="AH171" s="250" t="s">
        <v>165</v>
      </c>
      <c r="AI171" s="590"/>
      <c r="AJ171" s="554"/>
      <c r="AK171" s="367"/>
      <c r="AL171" s="61">
        <v>46162</v>
      </c>
      <c r="AM171" s="61">
        <v>46183</v>
      </c>
      <c r="AN171" s="593"/>
      <c r="AO171" s="592"/>
      <c r="AP171" s="46" t="s">
        <v>414</v>
      </c>
    </row>
    <row r="172" spans="1:42" x14ac:dyDescent="0.25">
      <c r="A172" s="582">
        <v>290</v>
      </c>
      <c r="B172" s="46">
        <v>5600000452</v>
      </c>
      <c r="C172" s="80" t="s">
        <v>416</v>
      </c>
      <c r="D172" s="487">
        <v>46116</v>
      </c>
      <c r="E172" s="583" t="s">
        <v>1</v>
      </c>
      <c r="F172" s="262">
        <v>0.1</v>
      </c>
      <c r="G172" s="81" t="s">
        <v>371</v>
      </c>
      <c r="H172" s="584" t="s">
        <v>139</v>
      </c>
      <c r="I172" s="218">
        <v>926100</v>
      </c>
      <c r="J172" s="59">
        <v>0</v>
      </c>
      <c r="K172" s="621">
        <f t="shared" ref="K172" si="329">J172+I172</f>
        <v>926100</v>
      </c>
      <c r="L172" s="585">
        <v>96</v>
      </c>
      <c r="M172" s="621">
        <f t="shared" ref="M172" si="330">K172*L172</f>
        <v>88905600</v>
      </c>
      <c r="N172" s="584" t="s">
        <v>140</v>
      </c>
      <c r="O172" s="584">
        <v>45</v>
      </c>
      <c r="P172" s="487" t="s">
        <v>17</v>
      </c>
      <c r="Q172" s="64" t="s">
        <v>417</v>
      </c>
      <c r="R172" s="487">
        <v>46144</v>
      </c>
      <c r="S172" s="489">
        <v>46149</v>
      </c>
      <c r="T172" s="489">
        <v>46129</v>
      </c>
      <c r="U172" s="16">
        <v>463050</v>
      </c>
      <c r="V172" s="620">
        <f t="shared" ref="V172" si="331">K172-U172</f>
        <v>463050</v>
      </c>
      <c r="W172" s="618">
        <f t="shared" ref="W172" si="332">U172*L172</f>
        <v>44452800</v>
      </c>
      <c r="X172" s="228"/>
      <c r="Y172" s="586">
        <v>46174</v>
      </c>
      <c r="Z172" s="586"/>
      <c r="AA172" s="587"/>
      <c r="AB172" s="61"/>
      <c r="AC172" s="616" t="str">
        <f t="shared" ref="AC172" si="333">IF(Y172="","-",TEXT(Y172,"mmmmyy"))</f>
        <v>June26</v>
      </c>
      <c r="AD172" s="588" t="s">
        <v>36</v>
      </c>
      <c r="AE172" s="589" t="s">
        <v>142</v>
      </c>
      <c r="AF172" s="250" t="s">
        <v>143</v>
      </c>
      <c r="AG172" s="250">
        <v>46174</v>
      </c>
      <c r="AH172" s="250" t="s">
        <v>144</v>
      </c>
      <c r="AI172" s="590" t="s">
        <v>1316</v>
      </c>
      <c r="AJ172" s="554">
        <v>42456259384</v>
      </c>
      <c r="AK172" s="367">
        <v>6326000</v>
      </c>
      <c r="AL172" s="61">
        <v>46142</v>
      </c>
      <c r="AM172" s="61">
        <v>46163</v>
      </c>
      <c r="AN172" s="593"/>
      <c r="AO172" s="592"/>
      <c r="AP172" s="46" t="s">
        <v>225</v>
      </c>
    </row>
    <row r="173" spans="1:42" x14ac:dyDescent="0.25">
      <c r="A173" s="582"/>
      <c r="B173" s="46">
        <v>5600000452</v>
      </c>
      <c r="C173" s="80" t="s">
        <v>416</v>
      </c>
      <c r="D173" s="487">
        <v>46116</v>
      </c>
      <c r="E173" s="583" t="s">
        <v>1</v>
      </c>
      <c r="F173" s="262">
        <v>0.1</v>
      </c>
      <c r="G173" s="81" t="s">
        <v>371</v>
      </c>
      <c r="H173" s="584" t="s">
        <v>139</v>
      </c>
      <c r="I173" s="218">
        <v>0</v>
      </c>
      <c r="J173" s="59">
        <v>0</v>
      </c>
      <c r="K173" s="621">
        <f t="shared" ref="K173" si="334">J173+I173</f>
        <v>0</v>
      </c>
      <c r="L173" s="585">
        <v>96</v>
      </c>
      <c r="M173" s="621">
        <f t="shared" ref="M173" si="335">K173*L173</f>
        <v>0</v>
      </c>
      <c r="N173" s="584" t="s">
        <v>140</v>
      </c>
      <c r="O173" s="584">
        <v>45</v>
      </c>
      <c r="P173" s="487" t="s">
        <v>17</v>
      </c>
      <c r="Q173" s="64" t="s">
        <v>418</v>
      </c>
      <c r="R173" s="487">
        <v>46144</v>
      </c>
      <c r="S173" s="489">
        <v>46149</v>
      </c>
      <c r="T173" s="489">
        <v>46129</v>
      </c>
      <c r="U173" s="16">
        <v>463050</v>
      </c>
      <c r="V173" s="620">
        <f t="shared" ref="V173" si="336">K173-U173</f>
        <v>-463050</v>
      </c>
      <c r="W173" s="618">
        <f t="shared" ref="W173" si="337">U173*L173</f>
        <v>44452800</v>
      </c>
      <c r="X173" s="228"/>
      <c r="Y173" s="616">
        <f t="shared" ref="Y173" si="338">T173+O173</f>
        <v>46174</v>
      </c>
      <c r="Z173" s="616">
        <f>Y173+2</f>
        <v>46176</v>
      </c>
      <c r="AA173" s="617">
        <f>M172</f>
        <v>88905600</v>
      </c>
      <c r="AB173" s="61"/>
      <c r="AC173" s="616" t="str">
        <f t="shared" ref="AC173" si="339">IF(Y173="","-",TEXT(Y173,"mmmmyy"))</f>
        <v>June26</v>
      </c>
      <c r="AD173" s="588" t="s">
        <v>36</v>
      </c>
      <c r="AE173" s="589" t="s">
        <v>142</v>
      </c>
      <c r="AF173" s="250" t="s">
        <v>143</v>
      </c>
      <c r="AG173" s="250">
        <v>46174</v>
      </c>
      <c r="AH173" s="250" t="s">
        <v>144</v>
      </c>
      <c r="AI173" s="590" t="s">
        <v>1316</v>
      </c>
      <c r="AJ173" s="554">
        <v>42561333063</v>
      </c>
      <c r="AK173" s="367">
        <v>642000</v>
      </c>
      <c r="AL173" s="61">
        <v>46142</v>
      </c>
      <c r="AM173" s="61">
        <v>46163</v>
      </c>
      <c r="AN173" s="593"/>
      <c r="AO173" s="592"/>
      <c r="AP173" s="46" t="s">
        <v>225</v>
      </c>
    </row>
    <row r="174" spans="1:42" x14ac:dyDescent="0.25">
      <c r="A174" s="582"/>
      <c r="B174" s="46">
        <v>5600000452</v>
      </c>
      <c r="C174" s="80" t="s">
        <v>416</v>
      </c>
      <c r="D174" s="487">
        <v>46116</v>
      </c>
      <c r="E174" s="583" t="s">
        <v>1</v>
      </c>
      <c r="F174" s="262">
        <v>0.1</v>
      </c>
      <c r="G174" s="81" t="s">
        <v>371</v>
      </c>
      <c r="H174" s="584" t="s">
        <v>139</v>
      </c>
      <c r="I174" s="218">
        <v>0</v>
      </c>
      <c r="J174" s="59">
        <v>0</v>
      </c>
      <c r="K174" s="621">
        <f t="shared" ref="K174" si="340">J174+I174</f>
        <v>0</v>
      </c>
      <c r="L174" s="585">
        <v>96</v>
      </c>
      <c r="M174" s="621">
        <f t="shared" ref="M174" si="341">K174*L174</f>
        <v>0</v>
      </c>
      <c r="N174" s="584" t="s">
        <v>140</v>
      </c>
      <c r="O174" s="584">
        <v>45</v>
      </c>
      <c r="P174" s="487" t="s">
        <v>146</v>
      </c>
      <c r="R174" s="487"/>
      <c r="S174" s="489"/>
      <c r="T174" s="489"/>
      <c r="U174" s="16">
        <v>0</v>
      </c>
      <c r="V174" s="620">
        <f t="shared" ref="V174" si="342">K174-U174</f>
        <v>0</v>
      </c>
      <c r="W174" s="618">
        <f t="shared" ref="W174" si="343">U174*L174</f>
        <v>0</v>
      </c>
      <c r="X174" s="228"/>
      <c r="Y174" s="586">
        <v>46174</v>
      </c>
      <c r="Z174" s="586"/>
      <c r="AA174" s="587"/>
      <c r="AB174" s="61"/>
      <c r="AC174" s="616" t="str">
        <f t="shared" ref="AC174" si="344">IF(Y174="","-",TEXT(Y174,"mmmmyy"))</f>
        <v>June26</v>
      </c>
      <c r="AD174" s="588" t="s">
        <v>34</v>
      </c>
      <c r="AE174" s="589" t="s">
        <v>142</v>
      </c>
      <c r="AF174" s="250" t="s">
        <v>75</v>
      </c>
      <c r="AG174" s="250">
        <v>46174</v>
      </c>
      <c r="AH174" s="250" t="s">
        <v>144</v>
      </c>
      <c r="AI174" s="590" t="s">
        <v>1346</v>
      </c>
      <c r="AJ174" s="554">
        <v>44325393960</v>
      </c>
      <c r="AK174" s="367">
        <v>1722000</v>
      </c>
      <c r="AL174" s="61">
        <v>46142</v>
      </c>
      <c r="AM174" s="61">
        <v>46163</v>
      </c>
      <c r="AN174" s="593"/>
      <c r="AO174" s="592"/>
      <c r="AP174" s="46" t="s">
        <v>225</v>
      </c>
    </row>
    <row r="175" spans="1:42" x14ac:dyDescent="0.25">
      <c r="A175" s="582">
        <v>291</v>
      </c>
      <c r="B175" s="46">
        <v>5600000448</v>
      </c>
      <c r="C175" s="80" t="s">
        <v>419</v>
      </c>
      <c r="D175" s="487">
        <v>46118</v>
      </c>
      <c r="E175" s="583" t="s">
        <v>1</v>
      </c>
      <c r="F175" s="262">
        <v>0.1</v>
      </c>
      <c r="G175" s="81" t="s">
        <v>352</v>
      </c>
      <c r="H175" s="584" t="s">
        <v>139</v>
      </c>
      <c r="I175" s="218">
        <v>978000</v>
      </c>
      <c r="J175" s="59">
        <v>0</v>
      </c>
      <c r="K175" s="621">
        <f t="shared" ref="K175" si="345">J175+I175</f>
        <v>978000</v>
      </c>
      <c r="L175" s="585">
        <v>96</v>
      </c>
      <c r="M175" s="621">
        <f t="shared" ref="M175" si="346">K175*L175</f>
        <v>93888000</v>
      </c>
      <c r="N175" s="584" t="s">
        <v>140</v>
      </c>
      <c r="O175" s="584">
        <v>60</v>
      </c>
      <c r="P175" s="487" t="s">
        <v>17</v>
      </c>
      <c r="Q175" s="64" t="s">
        <v>420</v>
      </c>
      <c r="R175" s="487">
        <v>46139</v>
      </c>
      <c r="S175" s="489">
        <v>46146</v>
      </c>
      <c r="T175" s="489">
        <v>46126</v>
      </c>
      <c r="U175" s="16">
        <v>489000</v>
      </c>
      <c r="V175" s="620">
        <f t="shared" ref="V175" si="347">K175-U175</f>
        <v>489000</v>
      </c>
      <c r="W175" s="618">
        <f t="shared" ref="W175" si="348">U175*L175</f>
        <v>46944000</v>
      </c>
      <c r="X175" s="228"/>
      <c r="Y175" s="586">
        <v>46188</v>
      </c>
      <c r="Z175" s="586"/>
      <c r="AA175" s="587"/>
      <c r="AB175" s="61"/>
      <c r="AC175" s="616" t="str">
        <f t="shared" ref="AC175" si="349">IF(Y175="","-",TEXT(Y175,"mmmmyy"))</f>
        <v>June26</v>
      </c>
      <c r="AD175" s="588" t="s">
        <v>43</v>
      </c>
      <c r="AE175" s="589" t="s">
        <v>164</v>
      </c>
      <c r="AF175" s="250" t="s">
        <v>143</v>
      </c>
      <c r="AG175" s="250"/>
      <c r="AH175" s="250" t="s">
        <v>165</v>
      </c>
      <c r="AI175" s="590"/>
      <c r="AJ175" s="554">
        <v>43607525170</v>
      </c>
      <c r="AK175" s="367">
        <v>4053000</v>
      </c>
      <c r="AL175" s="61">
        <v>46142</v>
      </c>
      <c r="AM175" s="61">
        <v>46163</v>
      </c>
      <c r="AN175" s="593"/>
      <c r="AO175" s="592"/>
      <c r="AP175" s="46" t="s">
        <v>225</v>
      </c>
    </row>
    <row r="176" spans="1:42" x14ac:dyDescent="0.25">
      <c r="A176" s="582"/>
      <c r="B176" s="46">
        <v>5600000448</v>
      </c>
      <c r="C176" s="80" t="s">
        <v>419</v>
      </c>
      <c r="D176" s="487">
        <v>46118</v>
      </c>
      <c r="E176" s="583" t="s">
        <v>1</v>
      </c>
      <c r="F176" s="262">
        <v>0.1</v>
      </c>
      <c r="G176" s="81" t="s">
        <v>352</v>
      </c>
      <c r="H176" s="584" t="s">
        <v>139</v>
      </c>
      <c r="I176" s="218">
        <v>0</v>
      </c>
      <c r="J176" s="59">
        <v>0</v>
      </c>
      <c r="K176" s="621">
        <f t="shared" ref="K176" si="350">J176+I176</f>
        <v>0</v>
      </c>
      <c r="L176" s="585">
        <v>96</v>
      </c>
      <c r="M176" s="621">
        <f t="shared" ref="M176" si="351">K176*L176</f>
        <v>0</v>
      </c>
      <c r="N176" s="584" t="s">
        <v>140</v>
      </c>
      <c r="O176" s="584">
        <v>60</v>
      </c>
      <c r="P176" s="487" t="s">
        <v>17</v>
      </c>
      <c r="Q176" s="64" t="s">
        <v>421</v>
      </c>
      <c r="R176" s="487">
        <v>46149</v>
      </c>
      <c r="S176" s="489">
        <v>46154</v>
      </c>
      <c r="T176" s="489">
        <v>46133</v>
      </c>
      <c r="U176" s="16">
        <v>489000</v>
      </c>
      <c r="V176" s="620">
        <f t="shared" ref="V176" si="352">K176-U176</f>
        <v>-489000</v>
      </c>
      <c r="W176" s="618">
        <f t="shared" ref="W176" si="353">U176*L176</f>
        <v>46944000</v>
      </c>
      <c r="X176" s="228"/>
      <c r="Y176" s="586">
        <v>46195</v>
      </c>
      <c r="Z176" s="616">
        <f t="shared" ref="Z176" si="354">Y176+2</f>
        <v>46197</v>
      </c>
      <c r="AA176" s="617">
        <f>M175</f>
        <v>93888000</v>
      </c>
      <c r="AB176" s="61"/>
      <c r="AC176" s="616" t="str">
        <f t="shared" ref="AC176" si="355">IF(Y176="","-",TEXT(Y176,"mmmmyy"))</f>
        <v>June26</v>
      </c>
      <c r="AD176" s="588" t="s">
        <v>43</v>
      </c>
      <c r="AE176" s="589" t="s">
        <v>164</v>
      </c>
      <c r="AF176" s="250" t="s">
        <v>143</v>
      </c>
      <c r="AG176" s="250"/>
      <c r="AH176" s="250" t="s">
        <v>165</v>
      </c>
      <c r="AI176" s="590"/>
      <c r="AJ176" s="554">
        <v>43650012802</v>
      </c>
      <c r="AK176" s="367">
        <v>3094000</v>
      </c>
      <c r="AL176" s="61">
        <v>46142</v>
      </c>
      <c r="AM176" s="61">
        <v>46163</v>
      </c>
      <c r="AN176" s="593"/>
      <c r="AO176" s="592"/>
      <c r="AP176" s="46" t="s">
        <v>225</v>
      </c>
    </row>
    <row r="177" spans="1:42" x14ac:dyDescent="0.25">
      <c r="A177" s="582">
        <v>292</v>
      </c>
      <c r="B177" s="46">
        <v>5600000396</v>
      </c>
      <c r="C177" s="80" t="s">
        <v>422</v>
      </c>
      <c r="D177" s="487">
        <v>46118</v>
      </c>
      <c r="E177" s="583" t="s">
        <v>1</v>
      </c>
      <c r="F177" s="262">
        <v>0.1</v>
      </c>
      <c r="G177" s="81" t="s">
        <v>245</v>
      </c>
      <c r="H177" s="584" t="s">
        <v>139</v>
      </c>
      <c r="I177" s="218">
        <v>1944168.13</v>
      </c>
      <c r="J177" s="59">
        <v>0</v>
      </c>
      <c r="K177" s="621">
        <f t="shared" ref="K177" si="356">J177+I177</f>
        <v>1944168.13</v>
      </c>
      <c r="L177" s="585">
        <v>94.920500000000004</v>
      </c>
      <c r="M177" s="621">
        <f t="shared" ref="M177" si="357">K177*L177</f>
        <v>184541410.98366499</v>
      </c>
      <c r="N177" s="584" t="s">
        <v>140</v>
      </c>
      <c r="O177" s="584">
        <v>55</v>
      </c>
      <c r="P177" s="487" t="s">
        <v>17</v>
      </c>
      <c r="Q177" s="64" t="s">
        <v>423</v>
      </c>
      <c r="R177" s="487">
        <v>46132</v>
      </c>
      <c r="S177" s="489">
        <v>46134</v>
      </c>
      <c r="T177" s="489">
        <v>46112</v>
      </c>
      <c r="U177" s="16">
        <v>1944168.13</v>
      </c>
      <c r="V177" s="620">
        <f t="shared" ref="V177" si="358">K177-U177</f>
        <v>0</v>
      </c>
      <c r="W177" s="618">
        <f t="shared" ref="W177" si="359">U177*L177</f>
        <v>184541410.98366499</v>
      </c>
      <c r="X177" s="228"/>
      <c r="Y177" s="586">
        <v>46168</v>
      </c>
      <c r="Z177" s="616">
        <f t="shared" ref="Z177" si="360">Y177+2</f>
        <v>46170</v>
      </c>
      <c r="AA177" s="617">
        <f t="shared" ref="AA177" si="361">M177</f>
        <v>184541410.98366499</v>
      </c>
      <c r="AB177" s="61"/>
      <c r="AC177" s="616" t="str">
        <f t="shared" ref="AC177" si="362">IF(Y177="","-",TEXT(Y177,"mmmmyy"))</f>
        <v>May26</v>
      </c>
      <c r="AD177" s="588" t="s">
        <v>36</v>
      </c>
      <c r="AE177" s="589" t="s">
        <v>142</v>
      </c>
      <c r="AF177" s="250" t="s">
        <v>143</v>
      </c>
      <c r="AG177" s="250">
        <v>46168</v>
      </c>
      <c r="AH177" s="250" t="s">
        <v>144</v>
      </c>
      <c r="AI177" s="590"/>
      <c r="AJ177" s="554">
        <v>43649959856</v>
      </c>
      <c r="AK177" s="367">
        <v>27620000</v>
      </c>
      <c r="AL177" s="61">
        <v>46122</v>
      </c>
      <c r="AM177" s="61">
        <v>46143</v>
      </c>
      <c r="AN177" s="593"/>
      <c r="AO177" s="592"/>
      <c r="AP177" s="46" t="s">
        <v>145</v>
      </c>
    </row>
    <row r="178" spans="1:42" x14ac:dyDescent="0.25">
      <c r="A178" s="582"/>
      <c r="B178" s="46">
        <v>5600000396</v>
      </c>
      <c r="C178" s="80" t="s">
        <v>422</v>
      </c>
      <c r="D178" s="487">
        <v>46118</v>
      </c>
      <c r="E178" s="583" t="s">
        <v>1</v>
      </c>
      <c r="F178" s="262">
        <v>0.1</v>
      </c>
      <c r="G178" s="81" t="s">
        <v>245</v>
      </c>
      <c r="H178" s="584" t="s">
        <v>139</v>
      </c>
      <c r="I178" s="218">
        <v>0</v>
      </c>
      <c r="J178" s="59">
        <v>0</v>
      </c>
      <c r="K178" s="621">
        <f t="shared" ref="K178" si="363">J178+I178</f>
        <v>0</v>
      </c>
      <c r="L178" s="585">
        <v>94.920500000000004</v>
      </c>
      <c r="M178" s="621">
        <f t="shared" ref="M178" si="364">K178*L178</f>
        <v>0</v>
      </c>
      <c r="N178" s="584" t="s">
        <v>140</v>
      </c>
      <c r="O178" s="584">
        <v>55</v>
      </c>
      <c r="P178" s="487" t="s">
        <v>146</v>
      </c>
      <c r="R178" s="487"/>
      <c r="S178" s="489"/>
      <c r="T178" s="489"/>
      <c r="U178" s="16">
        <v>0</v>
      </c>
      <c r="V178" s="620">
        <f t="shared" ref="V178" si="365">K178-U178</f>
        <v>0</v>
      </c>
      <c r="W178" s="618">
        <f t="shared" ref="W178" si="366">U178*L178</f>
        <v>0</v>
      </c>
      <c r="X178" s="228"/>
      <c r="Y178" s="586">
        <v>46168</v>
      </c>
      <c r="Z178" s="586"/>
      <c r="AA178" s="587"/>
      <c r="AB178" s="61"/>
      <c r="AC178" s="616" t="str">
        <f t="shared" ref="AC178" si="367">IF(Y178="","-",TEXT(Y178,"mmmmyy"))</f>
        <v>May26</v>
      </c>
      <c r="AD178" s="588" t="s">
        <v>36</v>
      </c>
      <c r="AE178" s="589" t="s">
        <v>142</v>
      </c>
      <c r="AF178" s="250" t="s">
        <v>75</v>
      </c>
      <c r="AG178" s="250">
        <v>46168</v>
      </c>
      <c r="AH178" s="250" t="s">
        <v>144</v>
      </c>
      <c r="AI178" s="590"/>
      <c r="AJ178" s="554">
        <v>43707298765</v>
      </c>
      <c r="AK178" s="367">
        <v>15479000</v>
      </c>
      <c r="AL178" s="61">
        <v>46122</v>
      </c>
      <c r="AM178" s="61">
        <v>46143</v>
      </c>
      <c r="AN178" s="593"/>
      <c r="AO178" s="592"/>
      <c r="AP178" s="46" t="s">
        <v>145</v>
      </c>
    </row>
    <row r="179" spans="1:42" x14ac:dyDescent="0.25">
      <c r="A179" s="582">
        <v>293</v>
      </c>
      <c r="B179" s="46">
        <v>5600000396</v>
      </c>
      <c r="C179" s="80" t="s">
        <v>424</v>
      </c>
      <c r="D179" s="487">
        <v>46119</v>
      </c>
      <c r="E179" s="583" t="s">
        <v>1</v>
      </c>
      <c r="F179" s="262">
        <v>0.1</v>
      </c>
      <c r="G179" s="81" t="s">
        <v>245</v>
      </c>
      <c r="H179" s="584" t="s">
        <v>139</v>
      </c>
      <c r="I179" s="218">
        <v>1291989.45</v>
      </c>
      <c r="J179" s="59">
        <v>0</v>
      </c>
      <c r="K179" s="621">
        <f t="shared" ref="K179" si="368">J179+I179</f>
        <v>1291989.45</v>
      </c>
      <c r="L179" s="585">
        <v>94.920500000000004</v>
      </c>
      <c r="M179" s="621">
        <f t="shared" ref="M179" si="369">K179*L179</f>
        <v>122636284.588725</v>
      </c>
      <c r="N179" s="584" t="s">
        <v>140</v>
      </c>
      <c r="O179" s="584">
        <v>55</v>
      </c>
      <c r="P179" s="487" t="s">
        <v>17</v>
      </c>
      <c r="Q179" s="64" t="s">
        <v>425</v>
      </c>
      <c r="R179" s="487">
        <v>46132</v>
      </c>
      <c r="S179" s="489">
        <v>46134</v>
      </c>
      <c r="T179" s="489">
        <v>46109</v>
      </c>
      <c r="U179" s="16">
        <v>1291989.45</v>
      </c>
      <c r="V179" s="620">
        <f t="shared" ref="V179" si="370">K179-U179</f>
        <v>0</v>
      </c>
      <c r="W179" s="618">
        <f t="shared" ref="W179" si="371">U179*L179</f>
        <v>122636284.588725</v>
      </c>
      <c r="X179" s="228"/>
      <c r="Y179" s="586">
        <v>46164</v>
      </c>
      <c r="Z179" s="616">
        <f t="shared" ref="Z179" si="372">Y179+2</f>
        <v>46166</v>
      </c>
      <c r="AA179" s="617">
        <f t="shared" ref="AA179" si="373">M179</f>
        <v>122636284.588725</v>
      </c>
      <c r="AB179" s="61"/>
      <c r="AC179" s="616" t="str">
        <f t="shared" ref="AC179" si="374">IF(Y179="","-",TEXT(Y179,"mmmmyy"))</f>
        <v>May26</v>
      </c>
      <c r="AD179" s="588" t="s">
        <v>36</v>
      </c>
      <c r="AE179" s="589" t="s">
        <v>142</v>
      </c>
      <c r="AF179" s="250" t="s">
        <v>143</v>
      </c>
      <c r="AG179" s="250">
        <v>46164</v>
      </c>
      <c r="AH179" s="250" t="s">
        <v>144</v>
      </c>
      <c r="AI179" s="590" t="s">
        <v>1316</v>
      </c>
      <c r="AJ179" s="554"/>
      <c r="AK179" s="367"/>
      <c r="AL179" s="61">
        <v>46122</v>
      </c>
      <c r="AM179" s="61">
        <v>46143</v>
      </c>
      <c r="AN179" s="593"/>
      <c r="AO179" s="592"/>
      <c r="AP179" s="46" t="s">
        <v>145</v>
      </c>
    </row>
    <row r="180" spans="1:42" x14ac:dyDescent="0.25">
      <c r="A180" s="582">
        <v>294</v>
      </c>
      <c r="B180" s="46">
        <v>5600000447</v>
      </c>
      <c r="C180" s="80" t="s">
        <v>426</v>
      </c>
      <c r="D180" s="487">
        <v>46119</v>
      </c>
      <c r="E180" s="583" t="s">
        <v>1</v>
      </c>
      <c r="F180" s="262">
        <v>0.1</v>
      </c>
      <c r="G180" s="81" t="s">
        <v>156</v>
      </c>
      <c r="H180" s="584" t="s">
        <v>139</v>
      </c>
      <c r="I180" s="218">
        <v>1021695.77</v>
      </c>
      <c r="J180" s="59">
        <v>0</v>
      </c>
      <c r="K180" s="621">
        <f t="shared" ref="K180" si="375">J180+I180</f>
        <v>1021695.77</v>
      </c>
      <c r="L180" s="585">
        <v>96</v>
      </c>
      <c r="M180" s="621">
        <f t="shared" ref="M180" si="376">K180*L180</f>
        <v>98082793.920000002</v>
      </c>
      <c r="N180" s="584" t="s">
        <v>140</v>
      </c>
      <c r="O180" s="584">
        <v>60</v>
      </c>
      <c r="P180" s="487" t="s">
        <v>17</v>
      </c>
      <c r="Q180" s="64" t="s">
        <v>1299</v>
      </c>
      <c r="R180" s="487">
        <v>46199</v>
      </c>
      <c r="S180" s="489">
        <v>46175</v>
      </c>
      <c r="T180" s="489">
        <v>46147</v>
      </c>
      <c r="U180" s="16">
        <v>272452.2</v>
      </c>
      <c r="V180" s="620">
        <f t="shared" ref="V180" si="377">K180-U180</f>
        <v>749243.57000000007</v>
      </c>
      <c r="W180" s="618">
        <f t="shared" ref="W180" si="378">U180*L180</f>
        <v>26155411.200000003</v>
      </c>
      <c r="X180" s="618">
        <f>V180*L180</f>
        <v>71927382.719999999</v>
      </c>
      <c r="Y180" s="586">
        <v>46209</v>
      </c>
      <c r="Z180" s="586"/>
      <c r="AA180" s="587"/>
      <c r="AB180" s="61"/>
      <c r="AC180" s="616" t="str">
        <f t="shared" ref="AC180" si="379">IF(Y180="","-",TEXT(Y180,"mmmmyy"))</f>
        <v>July26</v>
      </c>
      <c r="AD180" s="588" t="s">
        <v>43</v>
      </c>
      <c r="AE180" s="589" t="s">
        <v>164</v>
      </c>
      <c r="AF180" s="250" t="s">
        <v>143</v>
      </c>
      <c r="AG180" s="250"/>
      <c r="AH180" s="250" t="s">
        <v>165</v>
      </c>
      <c r="AI180" s="590"/>
      <c r="AJ180" s="554">
        <v>44028685576</v>
      </c>
      <c r="AK180" s="367">
        <v>6607000</v>
      </c>
      <c r="AL180" s="61">
        <v>46172</v>
      </c>
      <c r="AM180" s="61">
        <v>46193</v>
      </c>
      <c r="AN180" s="593"/>
      <c r="AO180" s="592"/>
      <c r="AP180" s="46" t="s">
        <v>414</v>
      </c>
    </row>
    <row r="181" spans="1:42" x14ac:dyDescent="0.25">
      <c r="A181" s="582"/>
      <c r="B181" s="46">
        <v>5600000447</v>
      </c>
      <c r="C181" s="80" t="s">
        <v>426</v>
      </c>
      <c r="D181" s="487">
        <v>46119</v>
      </c>
      <c r="E181" s="583" t="s">
        <v>1</v>
      </c>
      <c r="F181" s="262">
        <v>0.1</v>
      </c>
      <c r="G181" s="81" t="s">
        <v>156</v>
      </c>
      <c r="H181" s="584" t="s">
        <v>139</v>
      </c>
      <c r="I181" s="218">
        <v>0</v>
      </c>
      <c r="J181" s="59">
        <v>0</v>
      </c>
      <c r="K181" s="621">
        <f t="shared" ref="K181" si="380">J181+I181</f>
        <v>0</v>
      </c>
      <c r="L181" s="585">
        <v>96</v>
      </c>
      <c r="M181" s="621">
        <f t="shared" ref="M181" si="381">K181*L181</f>
        <v>0</v>
      </c>
      <c r="N181" s="584" t="s">
        <v>140</v>
      </c>
      <c r="O181" s="584">
        <v>60</v>
      </c>
      <c r="P181" s="487" t="s">
        <v>17</v>
      </c>
      <c r="Q181" s="64" t="s">
        <v>1300</v>
      </c>
      <c r="R181" s="487">
        <v>46168</v>
      </c>
      <c r="S181" s="489">
        <v>46175</v>
      </c>
      <c r="T181" s="489">
        <v>46151</v>
      </c>
      <c r="U181" s="16">
        <v>272452.2</v>
      </c>
      <c r="V181" s="620">
        <f t="shared" ref="V181" si="382">K181-U181</f>
        <v>-272452.2</v>
      </c>
      <c r="W181" s="618">
        <f t="shared" ref="W181" si="383">U181*L181</f>
        <v>26155411.200000003</v>
      </c>
      <c r="X181" s="618">
        <f>V181*L181</f>
        <v>-26155411.200000003</v>
      </c>
      <c r="Y181" s="586">
        <v>46211</v>
      </c>
      <c r="Z181" s="586"/>
      <c r="AA181" s="617">
        <f t="shared" ref="AA181" si="384">M181</f>
        <v>0</v>
      </c>
      <c r="AB181" s="61"/>
      <c r="AC181" s="616" t="str">
        <f t="shared" ref="AC181" si="385">IF(Y181="","-",TEXT(Y181,"mmmmyy"))</f>
        <v>July26</v>
      </c>
      <c r="AD181" s="588" t="s">
        <v>43</v>
      </c>
      <c r="AE181" s="589" t="s">
        <v>164</v>
      </c>
      <c r="AF181" s="250" t="s">
        <v>143</v>
      </c>
      <c r="AG181" s="250"/>
      <c r="AH181" s="250" t="s">
        <v>165</v>
      </c>
      <c r="AI181" s="590"/>
      <c r="AJ181" s="554">
        <v>44485511084</v>
      </c>
      <c r="AK181" s="367">
        <v>2979000</v>
      </c>
      <c r="AL181" s="61">
        <v>46172</v>
      </c>
      <c r="AM181" s="61">
        <v>46193</v>
      </c>
      <c r="AN181" s="593"/>
      <c r="AO181" s="592"/>
      <c r="AP181" s="46" t="s">
        <v>414</v>
      </c>
    </row>
    <row r="182" spans="1:42" x14ac:dyDescent="0.25">
      <c r="A182" s="582"/>
      <c r="B182" s="46">
        <v>5600000447</v>
      </c>
      <c r="C182" s="80" t="s">
        <v>426</v>
      </c>
      <c r="D182" s="487">
        <v>46119</v>
      </c>
      <c r="E182" s="583" t="s">
        <v>1</v>
      </c>
      <c r="F182" s="262">
        <v>0.1</v>
      </c>
      <c r="G182" s="81" t="s">
        <v>156</v>
      </c>
      <c r="H182" s="584" t="s">
        <v>139</v>
      </c>
      <c r="I182" s="370">
        <v>0</v>
      </c>
      <c r="J182" s="59">
        <v>0</v>
      </c>
      <c r="K182" s="621">
        <f>J182+I182</f>
        <v>0</v>
      </c>
      <c r="L182" s="585">
        <v>96</v>
      </c>
      <c r="M182" s="621">
        <f>K182*L182</f>
        <v>0</v>
      </c>
      <c r="N182" s="584" t="s">
        <v>140</v>
      </c>
      <c r="O182" s="584">
        <v>60</v>
      </c>
      <c r="P182" s="487" t="s">
        <v>17</v>
      </c>
      <c r="Q182" s="64" t="s">
        <v>1301</v>
      </c>
      <c r="R182" s="487">
        <v>46168</v>
      </c>
      <c r="S182" s="489">
        <v>46175</v>
      </c>
      <c r="T182" s="489">
        <v>46151</v>
      </c>
      <c r="U182" s="16">
        <v>272452.2</v>
      </c>
      <c r="V182" s="620">
        <f>K182-U182</f>
        <v>-272452.2</v>
      </c>
      <c r="W182" s="618">
        <f>U182*L182</f>
        <v>26155411.200000003</v>
      </c>
      <c r="X182" s="618">
        <f>V182*L182</f>
        <v>-26155411.200000003</v>
      </c>
      <c r="Y182" s="586">
        <v>46211</v>
      </c>
      <c r="Z182" s="586"/>
      <c r="AA182" s="617">
        <f>M182</f>
        <v>0</v>
      </c>
      <c r="AB182" s="61"/>
      <c r="AC182" s="616" t="str">
        <f>IF(Y182="","-",TEXT(Y182,"mmmmyy"))</f>
        <v>July26</v>
      </c>
      <c r="AD182" s="588" t="s">
        <v>43</v>
      </c>
      <c r="AE182" s="589" t="s">
        <v>164</v>
      </c>
      <c r="AF182" s="250" t="s">
        <v>143</v>
      </c>
      <c r="AG182" s="250"/>
      <c r="AH182" s="250" t="s">
        <v>165</v>
      </c>
      <c r="AI182" s="590"/>
      <c r="AJ182" s="554">
        <v>44485511084</v>
      </c>
      <c r="AK182" s="367">
        <v>2979000</v>
      </c>
      <c r="AL182" s="61">
        <v>46172</v>
      </c>
      <c r="AM182" s="61">
        <v>46193</v>
      </c>
      <c r="AN182" s="593"/>
      <c r="AO182" s="592"/>
      <c r="AP182" s="46" t="s">
        <v>414</v>
      </c>
    </row>
    <row r="183" spans="1:42" x14ac:dyDescent="0.25">
      <c r="A183" s="582"/>
      <c r="B183" s="46">
        <v>5600000447</v>
      </c>
      <c r="C183" s="80" t="s">
        <v>426</v>
      </c>
      <c r="D183" s="487">
        <v>46119</v>
      </c>
      <c r="E183" s="583" t="s">
        <v>1</v>
      </c>
      <c r="F183" s="262">
        <v>0.1</v>
      </c>
      <c r="G183" s="81" t="s">
        <v>156</v>
      </c>
      <c r="H183" s="584" t="s">
        <v>139</v>
      </c>
      <c r="I183" s="370">
        <v>0</v>
      </c>
      <c r="J183" s="59">
        <v>0</v>
      </c>
      <c r="K183" s="621">
        <f>J183+I183</f>
        <v>0</v>
      </c>
      <c r="L183" s="585">
        <v>96</v>
      </c>
      <c r="M183" s="621">
        <f>K183*L183</f>
        <v>0</v>
      </c>
      <c r="N183" s="584" t="s">
        <v>140</v>
      </c>
      <c r="O183" s="584">
        <v>60</v>
      </c>
      <c r="P183" s="487" t="s">
        <v>17</v>
      </c>
      <c r="Q183" s="64" t="s">
        <v>1302</v>
      </c>
      <c r="R183" s="487">
        <v>46172</v>
      </c>
      <c r="S183" s="489"/>
      <c r="T183" s="489">
        <v>46151</v>
      </c>
      <c r="U183" s="16">
        <v>204339.15</v>
      </c>
      <c r="V183" s="620">
        <f>K183-U183</f>
        <v>-204339.15</v>
      </c>
      <c r="W183" s="618">
        <f>U183*L183</f>
        <v>19616558.399999999</v>
      </c>
      <c r="X183" s="618">
        <f>V183*L183</f>
        <v>-19616558.399999999</v>
      </c>
      <c r="Y183" s="586">
        <v>46211</v>
      </c>
      <c r="Z183" s="616">
        <f>Y183+2</f>
        <v>46213</v>
      </c>
      <c r="AA183" s="617">
        <f>M180</f>
        <v>98082793.920000002</v>
      </c>
      <c r="AB183" s="61"/>
      <c r="AC183" s="616" t="str">
        <f>IF(Y183="","-",TEXT(Y183,"mmmmyy"))</f>
        <v>July26</v>
      </c>
      <c r="AD183" s="588" t="s">
        <v>43</v>
      </c>
      <c r="AE183" s="589" t="s">
        <v>164</v>
      </c>
      <c r="AF183" s="250" t="s">
        <v>143</v>
      </c>
      <c r="AG183" s="250"/>
      <c r="AH183" s="250" t="s">
        <v>165</v>
      </c>
      <c r="AI183" s="590"/>
      <c r="AJ183" s="554">
        <v>44485511084</v>
      </c>
      <c r="AK183" s="367">
        <v>2979000</v>
      </c>
      <c r="AL183" s="61">
        <v>46172</v>
      </c>
      <c r="AM183" s="61">
        <v>46193</v>
      </c>
      <c r="AN183" s="593"/>
      <c r="AO183" s="592"/>
      <c r="AP183" s="46" t="s">
        <v>414</v>
      </c>
    </row>
    <row r="184" spans="1:42" x14ac:dyDescent="0.25">
      <c r="A184" s="582">
        <v>295</v>
      </c>
      <c r="B184" s="46">
        <v>5600000455</v>
      </c>
      <c r="C184" s="80" t="s">
        <v>427</v>
      </c>
      <c r="D184" s="487">
        <v>46119</v>
      </c>
      <c r="E184" s="583" t="s">
        <v>1</v>
      </c>
      <c r="F184" s="262">
        <v>0.1</v>
      </c>
      <c r="G184" s="81" t="s">
        <v>200</v>
      </c>
      <c r="H184" s="584" t="s">
        <v>139</v>
      </c>
      <c r="I184" s="218">
        <v>801024</v>
      </c>
      <c r="J184" s="59">
        <v>0</v>
      </c>
      <c r="K184" s="621">
        <f t="shared" ref="K184:K186" si="386">J184+I184</f>
        <v>801024</v>
      </c>
      <c r="L184" s="585">
        <v>96</v>
      </c>
      <c r="M184" s="621">
        <f t="shared" ref="M184:M186" si="387">K184*L184</f>
        <v>76898304</v>
      </c>
      <c r="N184" s="584" t="s">
        <v>140</v>
      </c>
      <c r="O184" s="584">
        <v>60</v>
      </c>
      <c r="P184" s="487" t="s">
        <v>17</v>
      </c>
      <c r="Q184" s="64" t="s">
        <v>428</v>
      </c>
      <c r="R184" s="487">
        <v>46144</v>
      </c>
      <c r="S184" s="489">
        <v>46149</v>
      </c>
      <c r="T184" s="489">
        <v>46129</v>
      </c>
      <c r="U184" s="16">
        <v>801024</v>
      </c>
      <c r="V184" s="620">
        <f t="shared" ref="V184:V186" si="388">K184-U184</f>
        <v>0</v>
      </c>
      <c r="W184" s="618">
        <f t="shared" ref="W184:W186" si="389">U184*L184</f>
        <v>76898304</v>
      </c>
      <c r="X184" s="228"/>
      <c r="Y184" s="586">
        <v>46189</v>
      </c>
      <c r="Z184" s="616">
        <f t="shared" ref="Z184:Z185" si="390">Y184+2</f>
        <v>46191</v>
      </c>
      <c r="AA184" s="617">
        <f t="shared" ref="AA184:AA185" si="391">M184</f>
        <v>76898304</v>
      </c>
      <c r="AB184" s="61"/>
      <c r="AC184" s="616" t="str">
        <f t="shared" ref="AC184:AC186" si="392">IF(Y184="","-",TEXT(Y184,"mmmmyy"))</f>
        <v>June26</v>
      </c>
      <c r="AD184" s="588" t="s">
        <v>43</v>
      </c>
      <c r="AE184" s="589" t="s">
        <v>164</v>
      </c>
      <c r="AF184" s="250" t="s">
        <v>143</v>
      </c>
      <c r="AG184" s="250"/>
      <c r="AH184" s="250" t="s">
        <v>165</v>
      </c>
      <c r="AI184" s="590"/>
      <c r="AJ184" s="554">
        <v>44028685576</v>
      </c>
      <c r="AK184" s="367">
        <v>7516000</v>
      </c>
      <c r="AL184" s="61">
        <v>46142</v>
      </c>
      <c r="AM184" s="61">
        <v>46163</v>
      </c>
      <c r="AN184" s="593"/>
      <c r="AO184" s="592"/>
      <c r="AP184" s="46" t="s">
        <v>429</v>
      </c>
    </row>
    <row r="185" spans="1:42" x14ac:dyDescent="0.25">
      <c r="A185" s="582">
        <v>296</v>
      </c>
      <c r="B185" s="46">
        <v>5600000395</v>
      </c>
      <c r="C185" s="80" t="s">
        <v>430</v>
      </c>
      <c r="D185" s="487">
        <v>46120</v>
      </c>
      <c r="E185" s="583" t="s">
        <v>1</v>
      </c>
      <c r="F185" s="262">
        <v>0.1</v>
      </c>
      <c r="G185" s="81" t="s">
        <v>245</v>
      </c>
      <c r="H185" s="584" t="s">
        <v>139</v>
      </c>
      <c r="I185" s="218">
        <v>1290476.82</v>
      </c>
      <c r="J185" s="59">
        <v>0</v>
      </c>
      <c r="K185" s="621">
        <f t="shared" si="386"/>
        <v>1290476.82</v>
      </c>
      <c r="L185" s="585">
        <v>94.920500000000004</v>
      </c>
      <c r="M185" s="621">
        <f t="shared" si="387"/>
        <v>122492704.99281001</v>
      </c>
      <c r="N185" s="584" t="s">
        <v>140</v>
      </c>
      <c r="O185" s="584">
        <v>55</v>
      </c>
      <c r="P185" s="487" t="s">
        <v>17</v>
      </c>
      <c r="Q185" s="64" t="s">
        <v>431</v>
      </c>
      <c r="R185" s="487">
        <v>46133</v>
      </c>
      <c r="S185" s="489">
        <v>46135</v>
      </c>
      <c r="T185" s="489">
        <v>46107</v>
      </c>
      <c r="U185" s="16">
        <v>1290476.82</v>
      </c>
      <c r="V185" s="620">
        <f t="shared" si="388"/>
        <v>0</v>
      </c>
      <c r="W185" s="618">
        <f t="shared" si="389"/>
        <v>122492704.99281001</v>
      </c>
      <c r="X185" s="228"/>
      <c r="Y185" s="586">
        <v>46162</v>
      </c>
      <c r="Z185" s="616">
        <f t="shared" si="390"/>
        <v>46164</v>
      </c>
      <c r="AA185" s="617">
        <f t="shared" si="391"/>
        <v>122492704.99281001</v>
      </c>
      <c r="AB185" s="61"/>
      <c r="AC185" s="616" t="str">
        <f t="shared" si="392"/>
        <v>May26</v>
      </c>
      <c r="AD185" s="588" t="s">
        <v>36</v>
      </c>
      <c r="AE185" s="589" t="s">
        <v>142</v>
      </c>
      <c r="AF185" s="250" t="s">
        <v>143</v>
      </c>
      <c r="AG185" s="250">
        <v>46162</v>
      </c>
      <c r="AH185" s="250" t="s">
        <v>144</v>
      </c>
      <c r="AI185" s="590" t="s">
        <v>1316</v>
      </c>
      <c r="AJ185" s="554"/>
      <c r="AK185" s="367"/>
      <c r="AL185" s="61">
        <v>46120</v>
      </c>
      <c r="AM185" s="61">
        <v>46149</v>
      </c>
      <c r="AN185" s="593"/>
      <c r="AO185" s="592"/>
      <c r="AP185" s="46" t="s">
        <v>145</v>
      </c>
    </row>
    <row r="186" spans="1:42" x14ac:dyDescent="0.25">
      <c r="A186" s="582">
        <v>297</v>
      </c>
      <c r="B186" s="46">
        <v>5600000462</v>
      </c>
      <c r="C186" s="80" t="s">
        <v>432</v>
      </c>
      <c r="D186" s="487">
        <v>46127</v>
      </c>
      <c r="E186" s="583" t="s">
        <v>1</v>
      </c>
      <c r="F186" s="262">
        <v>0.1</v>
      </c>
      <c r="G186" s="81" t="s">
        <v>364</v>
      </c>
      <c r="H186" s="584" t="s">
        <v>139</v>
      </c>
      <c r="I186" s="218">
        <v>1099800</v>
      </c>
      <c r="J186" s="59">
        <v>0</v>
      </c>
      <c r="K186" s="621">
        <f t="shared" si="386"/>
        <v>1099800</v>
      </c>
      <c r="L186" s="585">
        <v>96</v>
      </c>
      <c r="M186" s="621">
        <f t="shared" si="387"/>
        <v>105580800</v>
      </c>
      <c r="N186" s="584" t="s">
        <v>140</v>
      </c>
      <c r="O186" s="584">
        <v>45</v>
      </c>
      <c r="P186" s="487" t="s">
        <v>17</v>
      </c>
      <c r="Q186" s="64" t="s">
        <v>433</v>
      </c>
      <c r="R186" s="487">
        <v>46153</v>
      </c>
      <c r="S186" s="489">
        <v>46158</v>
      </c>
      <c r="T186" s="489">
        <v>46133</v>
      </c>
      <c r="U186" s="16">
        <v>274950</v>
      </c>
      <c r="V186" s="620">
        <f t="shared" si="388"/>
        <v>824850</v>
      </c>
      <c r="W186" s="618">
        <f t="shared" si="389"/>
        <v>26395200</v>
      </c>
      <c r="X186" s="228"/>
      <c r="Y186" s="586">
        <v>46178</v>
      </c>
      <c r="Z186" s="586"/>
      <c r="AA186" s="587"/>
      <c r="AB186" s="61"/>
      <c r="AC186" s="616" t="str">
        <f t="shared" si="392"/>
        <v>June26</v>
      </c>
      <c r="AD186" s="588" t="s">
        <v>43</v>
      </c>
      <c r="AE186" s="589" t="s">
        <v>164</v>
      </c>
      <c r="AF186" s="250" t="s">
        <v>143</v>
      </c>
      <c r="AG186" s="250"/>
      <c r="AH186" s="250" t="s">
        <v>165</v>
      </c>
      <c r="AI186" s="590"/>
      <c r="AJ186" s="554">
        <v>44803304283</v>
      </c>
      <c r="AK186" s="367">
        <v>10370000</v>
      </c>
      <c r="AL186" s="61">
        <v>46152</v>
      </c>
      <c r="AM186" s="61">
        <v>46173</v>
      </c>
      <c r="AN186" s="593"/>
      <c r="AO186" s="592"/>
      <c r="AP186" s="46" t="s">
        <v>171</v>
      </c>
    </row>
    <row r="187" spans="1:42" x14ac:dyDescent="0.25">
      <c r="A187" s="582"/>
      <c r="B187" s="46">
        <v>5600000462</v>
      </c>
      <c r="C187" s="80" t="s">
        <v>432</v>
      </c>
      <c r="D187" s="487">
        <v>46127</v>
      </c>
      <c r="E187" s="583" t="s">
        <v>1</v>
      </c>
      <c r="F187" s="262">
        <v>0.1</v>
      </c>
      <c r="G187" s="81" t="s">
        <v>364</v>
      </c>
      <c r="H187" s="584" t="s">
        <v>139</v>
      </c>
      <c r="I187" s="218">
        <v>0</v>
      </c>
      <c r="J187" s="59">
        <v>0</v>
      </c>
      <c r="K187" s="621">
        <f t="shared" ref="K187" si="393">J187+I187</f>
        <v>0</v>
      </c>
      <c r="L187" s="585">
        <v>96</v>
      </c>
      <c r="M187" s="621">
        <f t="shared" ref="M187" si="394">K187*L187</f>
        <v>0</v>
      </c>
      <c r="N187" s="584" t="s">
        <v>140</v>
      </c>
      <c r="O187" s="584">
        <v>45</v>
      </c>
      <c r="P187" s="487" t="s">
        <v>17</v>
      </c>
      <c r="Q187" s="64" t="s">
        <v>434</v>
      </c>
      <c r="R187" s="487">
        <v>46154</v>
      </c>
      <c r="S187" s="489">
        <v>46158</v>
      </c>
      <c r="T187" s="489">
        <v>46133</v>
      </c>
      <c r="U187" s="16">
        <v>412425</v>
      </c>
      <c r="V187" s="620">
        <f t="shared" ref="V187" si="395">K187-U187</f>
        <v>-412425</v>
      </c>
      <c r="W187" s="618">
        <f t="shared" ref="W187" si="396">U187*L187</f>
        <v>39592800</v>
      </c>
      <c r="X187" s="228"/>
      <c r="Y187" s="586">
        <v>46178</v>
      </c>
      <c r="Z187" s="586"/>
      <c r="AA187" s="587"/>
      <c r="AB187" s="61"/>
      <c r="AC187" s="616" t="str">
        <f t="shared" ref="AC187" si="397">IF(Y187="","-",TEXT(Y187,"mmmmyy"))</f>
        <v>June26</v>
      </c>
      <c r="AD187" s="588" t="s">
        <v>43</v>
      </c>
      <c r="AE187" s="589" t="s">
        <v>164</v>
      </c>
      <c r="AF187" s="250" t="s">
        <v>143</v>
      </c>
      <c r="AG187" s="250"/>
      <c r="AH187" s="250" t="s">
        <v>165</v>
      </c>
      <c r="AI187" s="590"/>
      <c r="AJ187" s="554"/>
      <c r="AK187" s="367"/>
      <c r="AL187" s="61">
        <v>46152</v>
      </c>
      <c r="AM187" s="61">
        <v>46173</v>
      </c>
      <c r="AN187" s="593"/>
      <c r="AO187" s="592"/>
      <c r="AP187" s="46" t="s">
        <v>171</v>
      </c>
    </row>
    <row r="188" spans="1:42" x14ac:dyDescent="0.25">
      <c r="A188" s="582"/>
      <c r="B188" s="46">
        <v>5600000462</v>
      </c>
      <c r="C188" s="80" t="s">
        <v>432</v>
      </c>
      <c r="D188" s="487">
        <v>46127</v>
      </c>
      <c r="E188" s="583" t="s">
        <v>1</v>
      </c>
      <c r="F188" s="262">
        <v>0.1</v>
      </c>
      <c r="G188" s="81" t="s">
        <v>364</v>
      </c>
      <c r="H188" s="584" t="s">
        <v>139</v>
      </c>
      <c r="I188" s="218">
        <v>0</v>
      </c>
      <c r="J188" s="59">
        <v>0</v>
      </c>
      <c r="K188" s="621">
        <f t="shared" ref="K188" si="398">J188+I188</f>
        <v>0</v>
      </c>
      <c r="L188" s="585">
        <v>96</v>
      </c>
      <c r="M188" s="621">
        <f t="shared" ref="M188" si="399">K188*L188</f>
        <v>0</v>
      </c>
      <c r="N188" s="584" t="s">
        <v>140</v>
      </c>
      <c r="O188" s="584">
        <v>45</v>
      </c>
      <c r="P188" s="487" t="s">
        <v>17</v>
      </c>
      <c r="Q188" s="64" t="s">
        <v>1279</v>
      </c>
      <c r="R188" s="487">
        <v>46160</v>
      </c>
      <c r="S188" s="489">
        <v>46163</v>
      </c>
      <c r="T188" s="489">
        <v>46148</v>
      </c>
      <c r="U188" s="16">
        <v>274950</v>
      </c>
      <c r="V188" s="620">
        <f t="shared" ref="V188" si="400">K188-U188</f>
        <v>-274950</v>
      </c>
      <c r="W188" s="618">
        <f t="shared" ref="W188" si="401">U188*L188</f>
        <v>26395200</v>
      </c>
      <c r="X188" s="228"/>
      <c r="Y188" s="586">
        <v>46195</v>
      </c>
      <c r="Z188" s="586"/>
      <c r="AA188" s="587"/>
      <c r="AB188" s="61"/>
      <c r="AC188" s="616" t="str">
        <f t="shared" ref="AC188" si="402">IF(Y188="","-",TEXT(Y188,"mmmmyy"))</f>
        <v>June26</v>
      </c>
      <c r="AD188" s="588" t="s">
        <v>43</v>
      </c>
      <c r="AE188" s="589" t="s">
        <v>164</v>
      </c>
      <c r="AF188" s="250" t="s">
        <v>143</v>
      </c>
      <c r="AG188" s="250"/>
      <c r="AH188" s="250" t="s">
        <v>165</v>
      </c>
      <c r="AI188" s="590"/>
      <c r="AJ188" s="554"/>
      <c r="AK188" s="367"/>
      <c r="AL188" s="61">
        <v>46152</v>
      </c>
      <c r="AM188" s="61">
        <v>46173</v>
      </c>
      <c r="AN188" s="593"/>
      <c r="AO188" s="592"/>
      <c r="AP188" s="46" t="s">
        <v>171</v>
      </c>
    </row>
    <row r="189" spans="1:42" ht="15.75" x14ac:dyDescent="0.25">
      <c r="A189" s="582"/>
      <c r="B189" s="46">
        <v>5600000462</v>
      </c>
      <c r="C189" s="80" t="s">
        <v>432</v>
      </c>
      <c r="D189" s="487">
        <v>46127</v>
      </c>
      <c r="E189" s="583" t="s">
        <v>1</v>
      </c>
      <c r="F189" s="262">
        <v>0.1</v>
      </c>
      <c r="G189" s="81" t="s">
        <v>364</v>
      </c>
      <c r="H189" s="584" t="s">
        <v>139</v>
      </c>
      <c r="I189" s="218">
        <v>0</v>
      </c>
      <c r="J189" s="59">
        <v>0</v>
      </c>
      <c r="K189" s="621">
        <f t="shared" ref="K189" si="403">J189+I189</f>
        <v>0</v>
      </c>
      <c r="L189" s="585">
        <v>96</v>
      </c>
      <c r="M189" s="621">
        <f t="shared" ref="M189" si="404">K189*L189</f>
        <v>0</v>
      </c>
      <c r="N189" s="584" t="s">
        <v>140</v>
      </c>
      <c r="O189" s="584">
        <v>45</v>
      </c>
      <c r="P189" s="487" t="s">
        <v>17</v>
      </c>
      <c r="Q189" s="598" t="s">
        <v>1289</v>
      </c>
      <c r="R189" s="487">
        <v>46168</v>
      </c>
      <c r="S189" s="489">
        <v>46175</v>
      </c>
      <c r="T189" s="489">
        <v>46154</v>
      </c>
      <c r="U189" s="16">
        <v>137475</v>
      </c>
      <c r="V189" s="620">
        <f t="shared" ref="V189" si="405">K189-U189</f>
        <v>-137475</v>
      </c>
      <c r="W189" s="618">
        <f t="shared" ref="W189" si="406">U189*L189</f>
        <v>13197600</v>
      </c>
      <c r="X189" s="228"/>
      <c r="Y189" s="586">
        <v>46202</v>
      </c>
      <c r="Z189" s="616">
        <f>Y189+2</f>
        <v>46204</v>
      </c>
      <c r="AA189" s="617">
        <f>M186</f>
        <v>105580800</v>
      </c>
      <c r="AB189" s="61"/>
      <c r="AC189" s="616" t="str">
        <f t="shared" ref="AC189" si="407">IF(Y189="","-",TEXT(Y189,"mmmmyy"))</f>
        <v>June26</v>
      </c>
      <c r="AD189" s="588" t="s">
        <v>43</v>
      </c>
      <c r="AE189" s="589" t="s">
        <v>164</v>
      </c>
      <c r="AF189" s="250" t="s">
        <v>143</v>
      </c>
      <c r="AG189" s="250"/>
      <c r="AH189" s="250" t="s">
        <v>165</v>
      </c>
      <c r="AI189" s="590"/>
      <c r="AJ189" s="554"/>
      <c r="AK189" s="367"/>
      <c r="AL189" s="61">
        <v>46152</v>
      </c>
      <c r="AM189" s="61">
        <v>46173</v>
      </c>
      <c r="AN189" s="593"/>
      <c r="AO189" s="592"/>
      <c r="AP189" s="46" t="s">
        <v>171</v>
      </c>
    </row>
    <row r="190" spans="1:42" x14ac:dyDescent="0.25">
      <c r="A190" s="582">
        <v>298</v>
      </c>
      <c r="B190" s="46">
        <v>5600000448</v>
      </c>
      <c r="C190" s="80" t="s">
        <v>435</v>
      </c>
      <c r="D190" s="487">
        <v>46129</v>
      </c>
      <c r="E190" s="583" t="s">
        <v>1</v>
      </c>
      <c r="F190" s="262">
        <v>0.1</v>
      </c>
      <c r="G190" s="81" t="s">
        <v>352</v>
      </c>
      <c r="H190" s="584" t="s">
        <v>139</v>
      </c>
      <c r="I190" s="218">
        <v>978000</v>
      </c>
      <c r="J190" s="59">
        <v>0</v>
      </c>
      <c r="K190" s="621">
        <f t="shared" ref="K190" si="408">J190+I190</f>
        <v>978000</v>
      </c>
      <c r="L190" s="585">
        <v>96</v>
      </c>
      <c r="M190" s="621">
        <f t="shared" ref="M190" si="409">K190*L190</f>
        <v>93888000</v>
      </c>
      <c r="N190" s="584" t="s">
        <v>140</v>
      </c>
      <c r="O190" s="584">
        <v>60</v>
      </c>
      <c r="P190" s="487" t="s">
        <v>17</v>
      </c>
      <c r="Q190" s="64" t="s">
        <v>436</v>
      </c>
      <c r="R190" s="487">
        <v>46154</v>
      </c>
      <c r="S190" s="489">
        <v>46158</v>
      </c>
      <c r="T190" s="489">
        <v>46146</v>
      </c>
      <c r="U190" s="16">
        <v>489000</v>
      </c>
      <c r="V190" s="620">
        <f t="shared" ref="V190" si="410">K190-U190</f>
        <v>489000</v>
      </c>
      <c r="W190" s="618">
        <f t="shared" ref="W190" si="411">U190*L190</f>
        <v>46944000</v>
      </c>
      <c r="X190" s="228"/>
      <c r="Y190" s="586">
        <v>46206</v>
      </c>
      <c r="Z190" s="586"/>
      <c r="AA190" s="587"/>
      <c r="AB190" s="61"/>
      <c r="AC190" s="616" t="str">
        <f t="shared" ref="AC190" si="412">IF(Y190="","-",TEXT(Y190,"mmmmyy"))</f>
        <v>July26</v>
      </c>
      <c r="AD190" s="588" t="s">
        <v>43</v>
      </c>
      <c r="AE190" s="589" t="s">
        <v>164</v>
      </c>
      <c r="AF190" s="250" t="s">
        <v>143</v>
      </c>
      <c r="AG190" s="250"/>
      <c r="AH190" s="250" t="s">
        <v>165</v>
      </c>
      <c r="AI190" s="590"/>
      <c r="AJ190" s="554">
        <v>42896923356</v>
      </c>
      <c r="AK190" s="367">
        <v>9220000</v>
      </c>
      <c r="AL190" s="61">
        <v>46152</v>
      </c>
      <c r="AM190" s="61">
        <v>46173</v>
      </c>
      <c r="AN190" s="593"/>
      <c r="AO190" s="592"/>
      <c r="AP190" s="46" t="s">
        <v>225</v>
      </c>
    </row>
    <row r="191" spans="1:42" x14ac:dyDescent="0.25">
      <c r="A191" s="582"/>
      <c r="B191" s="46">
        <v>5600000448</v>
      </c>
      <c r="C191" s="80" t="s">
        <v>435</v>
      </c>
      <c r="D191" s="487">
        <v>46129</v>
      </c>
      <c r="E191" s="583" t="s">
        <v>1</v>
      </c>
      <c r="F191" s="262">
        <v>0.1</v>
      </c>
      <c r="G191" s="81" t="s">
        <v>352</v>
      </c>
      <c r="H191" s="584" t="s">
        <v>139</v>
      </c>
      <c r="I191" s="218">
        <v>0</v>
      </c>
      <c r="J191" s="59">
        <v>0</v>
      </c>
      <c r="K191" s="621">
        <f t="shared" ref="K191" si="413">J191+I191</f>
        <v>0</v>
      </c>
      <c r="L191" s="585">
        <v>96</v>
      </c>
      <c r="M191" s="621">
        <f t="shared" ref="M191" si="414">K191*L191</f>
        <v>0</v>
      </c>
      <c r="N191" s="584" t="s">
        <v>140</v>
      </c>
      <c r="O191" s="584">
        <v>60</v>
      </c>
      <c r="P191" s="487" t="s">
        <v>17</v>
      </c>
      <c r="Q191" s="64" t="s">
        <v>1280</v>
      </c>
      <c r="R191" s="487">
        <v>46160</v>
      </c>
      <c r="S191" s="489">
        <v>46163</v>
      </c>
      <c r="T191" s="489">
        <v>46150</v>
      </c>
      <c r="U191" s="16">
        <v>489000</v>
      </c>
      <c r="V191" s="620">
        <f t="shared" ref="V191" si="415">K191-U191</f>
        <v>-489000</v>
      </c>
      <c r="W191" s="618">
        <f t="shared" ref="W191" si="416">U191*L191</f>
        <v>46944000</v>
      </c>
      <c r="X191" s="228"/>
      <c r="Y191" s="616">
        <f t="shared" ref="Y191" si="417">T191+O191</f>
        <v>46210</v>
      </c>
      <c r="Z191" s="616">
        <f t="shared" ref="Z191" si="418">Y191+2</f>
        <v>46212</v>
      </c>
      <c r="AA191" s="617">
        <f>M190</f>
        <v>93888000</v>
      </c>
      <c r="AB191" s="61"/>
      <c r="AC191" s="616" t="str">
        <f t="shared" ref="AC191" si="419">IF(Y191="","-",TEXT(Y191,"mmmmyy"))</f>
        <v>July26</v>
      </c>
      <c r="AD191" s="588" t="s">
        <v>43</v>
      </c>
      <c r="AE191" s="589" t="s">
        <v>164</v>
      </c>
      <c r="AF191" s="250" t="s">
        <v>143</v>
      </c>
      <c r="AG191" s="250"/>
      <c r="AH191" s="250" t="s">
        <v>165</v>
      </c>
      <c r="AI191" s="590"/>
      <c r="AJ191" s="554"/>
      <c r="AK191" s="367"/>
      <c r="AL191" s="61">
        <v>46152</v>
      </c>
      <c r="AM191" s="61">
        <v>46173</v>
      </c>
      <c r="AN191" s="593"/>
      <c r="AO191" s="592"/>
      <c r="AP191" s="46" t="s">
        <v>225</v>
      </c>
    </row>
    <row r="192" spans="1:42" x14ac:dyDescent="0.25">
      <c r="A192" s="582">
        <v>299</v>
      </c>
      <c r="B192" s="46">
        <v>5600000452</v>
      </c>
      <c r="C192" s="80" t="s">
        <v>437</v>
      </c>
      <c r="D192" s="487">
        <v>46130</v>
      </c>
      <c r="E192" s="583" t="s">
        <v>1</v>
      </c>
      <c r="F192" s="262">
        <v>0.1</v>
      </c>
      <c r="G192" s="81" t="s">
        <v>371</v>
      </c>
      <c r="H192" s="584" t="s">
        <v>139</v>
      </c>
      <c r="I192" s="218">
        <v>926100</v>
      </c>
      <c r="J192" s="59">
        <v>0</v>
      </c>
      <c r="K192" s="621">
        <f t="shared" ref="K192:K194" si="420">J192+I192</f>
        <v>926100</v>
      </c>
      <c r="L192" s="585">
        <v>96</v>
      </c>
      <c r="M192" s="621">
        <f t="shared" ref="M192:M194" si="421">K192*L192</f>
        <v>88905600</v>
      </c>
      <c r="N192" s="584" t="s">
        <v>140</v>
      </c>
      <c r="O192" s="584">
        <v>45</v>
      </c>
      <c r="P192" s="487" t="s">
        <v>17</v>
      </c>
      <c r="Q192" s="64" t="s">
        <v>438</v>
      </c>
      <c r="R192" s="487">
        <v>46154</v>
      </c>
      <c r="S192" s="489">
        <v>46158</v>
      </c>
      <c r="T192" s="489">
        <v>46140</v>
      </c>
      <c r="U192" s="16">
        <v>463050</v>
      </c>
      <c r="V192" s="620">
        <f t="shared" ref="V192:V194" si="422">K192-U192</f>
        <v>463050</v>
      </c>
      <c r="W192" s="618">
        <f t="shared" ref="W192:W194" si="423">U192*L192</f>
        <v>44452800</v>
      </c>
      <c r="X192" s="228"/>
      <c r="Y192" s="586">
        <v>46185</v>
      </c>
      <c r="Z192" s="586"/>
      <c r="AA192" s="587"/>
      <c r="AB192" s="61"/>
      <c r="AC192" s="616" t="str">
        <f t="shared" ref="AC192:AC194" si="424">IF(Y192="","-",TEXT(Y192,"mmmmyy"))</f>
        <v>June26</v>
      </c>
      <c r="AD192" s="588" t="s">
        <v>43</v>
      </c>
      <c r="AE192" s="589" t="s">
        <v>164</v>
      </c>
      <c r="AF192" s="250" t="s">
        <v>143</v>
      </c>
      <c r="AG192" s="250"/>
      <c r="AH192" s="250" t="s">
        <v>165</v>
      </c>
      <c r="AI192" s="590"/>
      <c r="AJ192" s="554">
        <v>43607525170</v>
      </c>
      <c r="AK192" s="367">
        <v>4076000</v>
      </c>
      <c r="AL192" s="61">
        <v>46157</v>
      </c>
      <c r="AM192" s="61">
        <v>46178</v>
      </c>
      <c r="AN192" s="593"/>
      <c r="AO192" s="592"/>
      <c r="AP192" s="46" t="s">
        <v>225</v>
      </c>
    </row>
    <row r="193" spans="1:42" x14ac:dyDescent="0.25">
      <c r="A193" s="582"/>
      <c r="B193" s="46">
        <v>5600000452</v>
      </c>
      <c r="C193" s="80" t="s">
        <v>437</v>
      </c>
      <c r="D193" s="487">
        <v>46130</v>
      </c>
      <c r="E193" s="583" t="s">
        <v>1</v>
      </c>
      <c r="F193" s="262">
        <v>0.1</v>
      </c>
      <c r="G193" s="81" t="s">
        <v>371</v>
      </c>
      <c r="H193" s="584" t="s">
        <v>139</v>
      </c>
      <c r="I193" s="218">
        <v>0</v>
      </c>
      <c r="J193" s="59">
        <v>0</v>
      </c>
      <c r="K193" s="621">
        <f t="shared" ref="K193" si="425">J193+I193</f>
        <v>0</v>
      </c>
      <c r="L193" s="585">
        <v>96</v>
      </c>
      <c r="M193" s="621">
        <f t="shared" ref="M193" si="426">K193*L193</f>
        <v>0</v>
      </c>
      <c r="N193" s="584" t="s">
        <v>140</v>
      </c>
      <c r="O193" s="584">
        <v>45</v>
      </c>
      <c r="P193" s="487" t="s">
        <v>17</v>
      </c>
      <c r="Q193" s="64" t="s">
        <v>1303</v>
      </c>
      <c r="R193" s="487">
        <v>46168</v>
      </c>
      <c r="S193" s="489">
        <v>46175</v>
      </c>
      <c r="T193" s="489">
        <v>46150</v>
      </c>
      <c r="U193" s="16">
        <v>463050</v>
      </c>
      <c r="V193" s="620">
        <f t="shared" ref="V193" si="427">K193-U193</f>
        <v>-463050</v>
      </c>
      <c r="W193" s="618">
        <f t="shared" ref="W193" si="428">U193*L193</f>
        <v>44452800</v>
      </c>
      <c r="X193" s="228"/>
      <c r="Y193" s="586">
        <v>46195</v>
      </c>
      <c r="Z193" s="616">
        <f t="shared" ref="Z193" si="429">Y193+2</f>
        <v>46197</v>
      </c>
      <c r="AA193" s="617">
        <f>M192</f>
        <v>88905600</v>
      </c>
      <c r="AB193" s="61"/>
      <c r="AC193" s="616" t="str">
        <f t="shared" ref="AC193" si="430">IF(Y193="","-",TEXT(Y193,"mmmmyy"))</f>
        <v>June26</v>
      </c>
      <c r="AD193" s="588" t="s">
        <v>43</v>
      </c>
      <c r="AE193" s="589" t="s">
        <v>164</v>
      </c>
      <c r="AF193" s="250" t="s">
        <v>143</v>
      </c>
      <c r="AG193" s="250"/>
      <c r="AH193" s="250" t="s">
        <v>165</v>
      </c>
      <c r="AI193" s="590"/>
      <c r="AJ193" s="554">
        <v>44803304283</v>
      </c>
      <c r="AK193" s="367">
        <v>4585000</v>
      </c>
      <c r="AL193" s="61">
        <v>46157</v>
      </c>
      <c r="AM193" s="61">
        <v>46178</v>
      </c>
      <c r="AN193" s="593"/>
      <c r="AO193" s="592"/>
      <c r="AP193" s="46" t="s">
        <v>225</v>
      </c>
    </row>
    <row r="194" spans="1:42" x14ac:dyDescent="0.25">
      <c r="A194" s="582">
        <v>300</v>
      </c>
      <c r="B194" s="46">
        <v>5600000433</v>
      </c>
      <c r="C194" s="80" t="s">
        <v>439</v>
      </c>
      <c r="D194" s="487">
        <v>46130</v>
      </c>
      <c r="E194" s="583" t="s">
        <v>1</v>
      </c>
      <c r="F194" s="262">
        <v>0.1</v>
      </c>
      <c r="G194" s="81" t="s">
        <v>245</v>
      </c>
      <c r="H194" s="584" t="s">
        <v>139</v>
      </c>
      <c r="I194" s="218">
        <v>1357075.35</v>
      </c>
      <c r="J194" s="59">
        <v>0</v>
      </c>
      <c r="K194" s="621">
        <f t="shared" si="420"/>
        <v>1357075.35</v>
      </c>
      <c r="L194" s="585">
        <v>96</v>
      </c>
      <c r="M194" s="621">
        <f t="shared" si="421"/>
        <v>130279233.60000001</v>
      </c>
      <c r="N194" s="584" t="s">
        <v>140</v>
      </c>
      <c r="O194" s="584">
        <v>55</v>
      </c>
      <c r="P194" s="487" t="s">
        <v>17</v>
      </c>
      <c r="Q194" s="64" t="s">
        <v>440</v>
      </c>
      <c r="R194" s="487">
        <v>46140</v>
      </c>
      <c r="S194" s="489">
        <v>46143</v>
      </c>
      <c r="T194" s="489">
        <v>46121</v>
      </c>
      <c r="U194" s="16">
        <v>1357075.35</v>
      </c>
      <c r="V194" s="620">
        <f t="shared" si="422"/>
        <v>0</v>
      </c>
      <c r="W194" s="618">
        <f t="shared" si="423"/>
        <v>130279233.60000001</v>
      </c>
      <c r="X194" s="228"/>
      <c r="Y194" s="586">
        <v>46176</v>
      </c>
      <c r="Z194" s="616">
        <f t="shared" ref="Z194" si="431">Y194+2</f>
        <v>46178</v>
      </c>
      <c r="AA194" s="617">
        <f t="shared" ref="AA194" si="432">M194</f>
        <v>130279233.60000001</v>
      </c>
      <c r="AB194" s="61"/>
      <c r="AC194" s="616" t="str">
        <f t="shared" si="424"/>
        <v>June26</v>
      </c>
      <c r="AD194" s="588" t="s">
        <v>36</v>
      </c>
      <c r="AE194" s="589" t="s">
        <v>142</v>
      </c>
      <c r="AF194" s="250" t="s">
        <v>143</v>
      </c>
      <c r="AG194" s="250">
        <v>46176</v>
      </c>
      <c r="AH194" s="250" t="s">
        <v>144</v>
      </c>
      <c r="AI194" s="590" t="s">
        <v>1316</v>
      </c>
      <c r="AJ194" s="554">
        <v>44485511084</v>
      </c>
      <c r="AK194" s="367">
        <v>3217000</v>
      </c>
      <c r="AL194" s="61">
        <v>46136</v>
      </c>
      <c r="AM194" s="61">
        <v>46157</v>
      </c>
      <c r="AN194" s="593"/>
      <c r="AO194" s="592"/>
      <c r="AP194" s="46" t="s">
        <v>145</v>
      </c>
    </row>
    <row r="195" spans="1:42" x14ac:dyDescent="0.25">
      <c r="A195" s="582"/>
      <c r="B195" s="46">
        <v>5600000433</v>
      </c>
      <c r="C195" s="80" t="s">
        <v>439</v>
      </c>
      <c r="D195" s="487">
        <v>46130</v>
      </c>
      <c r="E195" s="583" t="s">
        <v>1</v>
      </c>
      <c r="F195" s="262">
        <v>0.1</v>
      </c>
      <c r="G195" s="81" t="s">
        <v>245</v>
      </c>
      <c r="H195" s="584" t="s">
        <v>139</v>
      </c>
      <c r="I195" s="218">
        <v>0</v>
      </c>
      <c r="J195" s="59">
        <v>0</v>
      </c>
      <c r="K195" s="621">
        <f t="shared" ref="K195" si="433">J195+I195</f>
        <v>0</v>
      </c>
      <c r="L195" s="585">
        <v>96</v>
      </c>
      <c r="M195" s="621">
        <f t="shared" ref="M195" si="434">K195*L195</f>
        <v>0</v>
      </c>
      <c r="N195" s="584" t="s">
        <v>140</v>
      </c>
      <c r="O195" s="584">
        <v>55</v>
      </c>
      <c r="P195" s="487" t="s">
        <v>146</v>
      </c>
      <c r="R195" s="487"/>
      <c r="S195" s="489"/>
      <c r="T195" s="489"/>
      <c r="U195" s="16">
        <v>0</v>
      </c>
      <c r="V195" s="620">
        <f t="shared" ref="V195" si="435">K195-U195</f>
        <v>0</v>
      </c>
      <c r="W195" s="618">
        <f t="shared" ref="W195" si="436">U195*L195</f>
        <v>0</v>
      </c>
      <c r="X195" s="228"/>
      <c r="Y195" s="586">
        <v>46176</v>
      </c>
      <c r="Z195" s="586"/>
      <c r="AA195" s="587"/>
      <c r="AB195" s="61"/>
      <c r="AC195" s="616" t="str">
        <f t="shared" ref="AC195" si="437">IF(Y195="","-",TEXT(Y195,"mmmmyy"))</f>
        <v>June26</v>
      </c>
      <c r="AD195" s="588" t="s">
        <v>36</v>
      </c>
      <c r="AE195" s="589" t="s">
        <v>142</v>
      </c>
      <c r="AF195" s="250" t="s">
        <v>143</v>
      </c>
      <c r="AG195" s="250">
        <v>46176</v>
      </c>
      <c r="AH195" s="250" t="s">
        <v>144</v>
      </c>
      <c r="AI195" s="590"/>
      <c r="AJ195" s="554">
        <v>44803304283</v>
      </c>
      <c r="AK195" s="367">
        <v>9475000</v>
      </c>
      <c r="AL195" s="61">
        <v>46136</v>
      </c>
      <c r="AM195" s="61">
        <v>46157</v>
      </c>
      <c r="AN195" s="593"/>
      <c r="AO195" s="592"/>
      <c r="AP195" s="46" t="s">
        <v>145</v>
      </c>
    </row>
    <row r="196" spans="1:42" x14ac:dyDescent="0.25">
      <c r="A196" s="582">
        <v>301</v>
      </c>
      <c r="B196" s="46">
        <v>5600000456</v>
      </c>
      <c r="C196" s="80" t="s">
        <v>441</v>
      </c>
      <c r="D196" s="487">
        <v>46130</v>
      </c>
      <c r="E196" s="583" t="s">
        <v>1</v>
      </c>
      <c r="F196" s="262">
        <v>0.1</v>
      </c>
      <c r="G196" s="81" t="s">
        <v>200</v>
      </c>
      <c r="H196" s="584" t="s">
        <v>139</v>
      </c>
      <c r="I196" s="218">
        <v>600768</v>
      </c>
      <c r="J196" s="59">
        <v>0</v>
      </c>
      <c r="K196" s="621">
        <f t="shared" ref="K196" si="438">J196+I196</f>
        <v>600768</v>
      </c>
      <c r="L196" s="585">
        <v>96</v>
      </c>
      <c r="M196" s="621">
        <f t="shared" ref="M196" si="439">K196*L196</f>
        <v>57673728</v>
      </c>
      <c r="N196" s="584" t="s">
        <v>140</v>
      </c>
      <c r="O196" s="584">
        <v>60</v>
      </c>
      <c r="P196" s="487" t="s">
        <v>16</v>
      </c>
      <c r="R196" s="487"/>
      <c r="S196" s="489"/>
      <c r="T196" s="489">
        <v>46157</v>
      </c>
      <c r="U196" s="16">
        <v>600768</v>
      </c>
      <c r="V196" s="620">
        <f t="shared" ref="V196" si="440">K196-U196</f>
        <v>0</v>
      </c>
      <c r="W196" s="618">
        <f t="shared" ref="W196" si="441">U196*L196</f>
        <v>57673728</v>
      </c>
      <c r="X196" s="228"/>
      <c r="Y196" s="616">
        <f t="shared" ref="Y196" si="442">T196+O196</f>
        <v>46217</v>
      </c>
      <c r="Z196" s="616">
        <f t="shared" ref="Z196" si="443">Y196+2</f>
        <v>46219</v>
      </c>
      <c r="AA196" s="617">
        <f t="shared" ref="AA196" si="444">M196</f>
        <v>57673728</v>
      </c>
      <c r="AB196" s="61"/>
      <c r="AC196" s="616" t="str">
        <f t="shared" ref="AC196" si="445">IF(Y196="","-",TEXT(Y196,"mmmmyy"))</f>
        <v>July26</v>
      </c>
      <c r="AD196" s="588" t="s">
        <v>45</v>
      </c>
      <c r="AE196" s="589" t="s">
        <v>164</v>
      </c>
      <c r="AF196" s="250" t="s">
        <v>211</v>
      </c>
      <c r="AG196" s="250"/>
      <c r="AH196" s="250" t="s">
        <v>165</v>
      </c>
      <c r="AI196" s="590"/>
      <c r="AJ196" s="554">
        <v>42814707478</v>
      </c>
      <c r="AK196" s="367">
        <v>4164000</v>
      </c>
      <c r="AL196" s="61">
        <v>46183</v>
      </c>
      <c r="AM196" s="61">
        <v>46204</v>
      </c>
      <c r="AN196" s="593"/>
      <c r="AO196" s="592"/>
      <c r="AP196" s="46" t="s">
        <v>429</v>
      </c>
    </row>
    <row r="197" spans="1:42" x14ac:dyDescent="0.25">
      <c r="A197" s="582"/>
      <c r="B197" s="46">
        <v>5600000456</v>
      </c>
      <c r="C197" s="80" t="s">
        <v>441</v>
      </c>
      <c r="D197" s="487">
        <v>46130</v>
      </c>
      <c r="E197" s="583" t="s">
        <v>1</v>
      </c>
      <c r="F197" s="262">
        <v>0.1</v>
      </c>
      <c r="G197" s="81" t="s">
        <v>200</v>
      </c>
      <c r="H197" s="584" t="s">
        <v>139</v>
      </c>
      <c r="I197" s="218">
        <v>0</v>
      </c>
      <c r="J197" s="59">
        <v>0</v>
      </c>
      <c r="K197" s="621">
        <f t="shared" ref="K197" si="446">J197+I197</f>
        <v>0</v>
      </c>
      <c r="L197" s="585">
        <v>96</v>
      </c>
      <c r="M197" s="621">
        <f t="shared" ref="M197" si="447">K197*L197</f>
        <v>0</v>
      </c>
      <c r="N197" s="584" t="s">
        <v>140</v>
      </c>
      <c r="O197" s="584">
        <v>60</v>
      </c>
      <c r="P197" s="487" t="s">
        <v>146</v>
      </c>
      <c r="R197" s="487"/>
      <c r="S197" s="489"/>
      <c r="T197" s="489"/>
      <c r="U197" s="16">
        <v>0</v>
      </c>
      <c r="V197" s="620">
        <f t="shared" ref="V197" si="448">K197-U197</f>
        <v>0</v>
      </c>
      <c r="W197" s="618">
        <f t="shared" ref="W197" si="449">U197*L197</f>
        <v>0</v>
      </c>
      <c r="X197" s="228"/>
      <c r="Y197" s="586">
        <v>46217</v>
      </c>
      <c r="Z197" s="586"/>
      <c r="AA197" s="587"/>
      <c r="AB197" s="61"/>
      <c r="AC197" s="616" t="str">
        <f t="shared" ref="AC197" si="450">IF(Y197="","-",TEXT(Y197,"mmmmyy"))</f>
        <v>July26</v>
      </c>
      <c r="AD197" s="588" t="s">
        <v>45</v>
      </c>
      <c r="AE197" s="589" t="s">
        <v>164</v>
      </c>
      <c r="AF197" s="250" t="s">
        <v>75</v>
      </c>
      <c r="AG197" s="250"/>
      <c r="AH197" s="250" t="s">
        <v>165</v>
      </c>
      <c r="AI197" s="590"/>
      <c r="AJ197" s="554">
        <v>42840339454</v>
      </c>
      <c r="AK197" s="367">
        <v>1456000</v>
      </c>
      <c r="AL197" s="61">
        <v>46183</v>
      </c>
      <c r="AM197" s="61">
        <v>46204</v>
      </c>
      <c r="AN197" s="593"/>
      <c r="AO197" s="592"/>
      <c r="AP197" s="46" t="s">
        <v>429</v>
      </c>
    </row>
    <row r="198" spans="1:42" x14ac:dyDescent="0.25">
      <c r="A198" s="582">
        <v>302</v>
      </c>
      <c r="B198" s="46">
        <v>5600000396</v>
      </c>
      <c r="C198" s="80" t="s">
        <v>442</v>
      </c>
      <c r="D198" s="487">
        <v>46132</v>
      </c>
      <c r="E198" s="583" t="s">
        <v>2</v>
      </c>
      <c r="F198" s="262">
        <v>0.1</v>
      </c>
      <c r="G198" s="81" t="s">
        <v>245</v>
      </c>
      <c r="H198" s="584" t="s">
        <v>139</v>
      </c>
      <c r="I198" s="218">
        <v>1291989.45</v>
      </c>
      <c r="J198" s="59">
        <v>0</v>
      </c>
      <c r="K198" s="621">
        <f t="shared" ref="K198" si="451">J198+I198</f>
        <v>1291989.45</v>
      </c>
      <c r="L198" s="585">
        <v>95.12</v>
      </c>
      <c r="M198" s="621">
        <f t="shared" ref="M198" si="452">K198*L198</f>
        <v>122894036.484</v>
      </c>
      <c r="N198" s="584" t="s">
        <v>140</v>
      </c>
      <c r="O198" s="584">
        <v>55</v>
      </c>
      <c r="P198" s="487" t="s">
        <v>17</v>
      </c>
      <c r="Q198" s="64" t="s">
        <v>443</v>
      </c>
      <c r="R198" s="487">
        <v>46140</v>
      </c>
      <c r="S198" s="489">
        <v>46144</v>
      </c>
      <c r="T198" s="489">
        <v>46109</v>
      </c>
      <c r="U198" s="16">
        <v>1291989.45</v>
      </c>
      <c r="V198" s="620">
        <f t="shared" ref="V198" si="453">K198-U198</f>
        <v>0</v>
      </c>
      <c r="W198" s="618">
        <f t="shared" ref="W198" si="454">U198*L198</f>
        <v>122894036.484</v>
      </c>
      <c r="X198" s="228"/>
      <c r="Y198" s="586">
        <v>46164</v>
      </c>
      <c r="Z198" s="616">
        <f t="shared" ref="Z198" si="455">Y198+2</f>
        <v>46166</v>
      </c>
      <c r="AA198" s="617">
        <f t="shared" ref="AA198" si="456">M198</f>
        <v>122894036.484</v>
      </c>
      <c r="AB198" s="61"/>
      <c r="AC198" s="616" t="str">
        <f t="shared" ref="AC198" si="457">IF(Y198="","-",TEXT(Y198,"mmmmyy"))</f>
        <v>May26</v>
      </c>
      <c r="AD198" s="588" t="s">
        <v>36</v>
      </c>
      <c r="AE198" s="589" t="s">
        <v>142</v>
      </c>
      <c r="AF198" s="250" t="s">
        <v>143</v>
      </c>
      <c r="AG198" s="250">
        <v>46164</v>
      </c>
      <c r="AH198" s="250" t="s">
        <v>144</v>
      </c>
      <c r="AI198" s="590" t="s">
        <v>1281</v>
      </c>
      <c r="AJ198" s="554"/>
      <c r="AK198" s="367"/>
      <c r="AL198" s="61">
        <v>46122</v>
      </c>
      <c r="AM198" s="61">
        <v>46143</v>
      </c>
      <c r="AN198" s="593"/>
      <c r="AO198" s="592"/>
      <c r="AP198" s="46" t="s">
        <v>145</v>
      </c>
    </row>
    <row r="199" spans="1:42" x14ac:dyDescent="0.25">
      <c r="A199" s="582">
        <v>304</v>
      </c>
      <c r="B199" s="46">
        <v>5600000468</v>
      </c>
      <c r="C199" s="80" t="s">
        <v>444</v>
      </c>
      <c r="D199" s="487">
        <v>46133</v>
      </c>
      <c r="E199" s="583" t="s">
        <v>2</v>
      </c>
      <c r="F199" s="262">
        <v>0.1</v>
      </c>
      <c r="G199" s="81" t="s">
        <v>445</v>
      </c>
      <c r="H199" s="584" t="s">
        <v>139</v>
      </c>
      <c r="I199" s="218">
        <v>511948.79999999999</v>
      </c>
      <c r="J199" s="59">
        <v>0</v>
      </c>
      <c r="K199" s="621">
        <f t="shared" ref="K199" si="458">J199+I199</f>
        <v>511948.79999999999</v>
      </c>
      <c r="L199" s="585">
        <v>96</v>
      </c>
      <c r="M199" s="621">
        <f t="shared" ref="M199" si="459">K199*L199</f>
        <v>49147084.799999997</v>
      </c>
      <c r="N199" s="584" t="s">
        <v>140</v>
      </c>
      <c r="O199" s="584">
        <v>60</v>
      </c>
      <c r="P199" s="487" t="s">
        <v>18</v>
      </c>
      <c r="Q199" s="64" t="s">
        <v>1319</v>
      </c>
      <c r="R199" s="487"/>
      <c r="S199" s="489"/>
      <c r="T199" s="489">
        <v>46162</v>
      </c>
      <c r="U199" s="16">
        <v>511948.79999999999</v>
      </c>
      <c r="V199" s="620">
        <f t="shared" ref="V199" si="460">K199-U199</f>
        <v>0</v>
      </c>
      <c r="W199" s="618">
        <f t="shared" ref="W199" si="461">U199*L199</f>
        <v>49147084.799999997</v>
      </c>
      <c r="X199" s="228"/>
      <c r="Y199" s="616">
        <f t="shared" ref="Y199" si="462">T199+O199</f>
        <v>46222</v>
      </c>
      <c r="Z199" s="616">
        <f t="shared" ref="Z199" si="463">Y199+2</f>
        <v>46224</v>
      </c>
      <c r="AA199" s="617">
        <f t="shared" ref="AA199" si="464">M199</f>
        <v>49147084.799999997</v>
      </c>
      <c r="AB199" s="61"/>
      <c r="AC199" s="616" t="str">
        <f t="shared" ref="AC199" si="465">IF(Y199="","-",TEXT(Y199,"mmmmyy"))</f>
        <v>July26</v>
      </c>
      <c r="AD199" s="588" t="s">
        <v>43</v>
      </c>
      <c r="AE199" s="589" t="s">
        <v>164</v>
      </c>
      <c r="AF199" s="250" t="s">
        <v>143</v>
      </c>
      <c r="AG199" s="250"/>
      <c r="AH199" s="250" t="s">
        <v>165</v>
      </c>
      <c r="AI199" s="590"/>
      <c r="AJ199" s="554"/>
      <c r="AK199" s="367"/>
      <c r="AL199" s="61">
        <v>46157</v>
      </c>
      <c r="AM199" s="61">
        <v>46178</v>
      </c>
      <c r="AN199" s="593"/>
      <c r="AO199" s="592"/>
      <c r="AP199" s="46" t="s">
        <v>336</v>
      </c>
    </row>
    <row r="200" spans="1:42" x14ac:dyDescent="0.25">
      <c r="A200" s="582">
        <v>305</v>
      </c>
      <c r="B200" s="46">
        <v>5600000472</v>
      </c>
      <c r="C200" s="80" t="s">
        <v>446</v>
      </c>
      <c r="D200" s="487">
        <v>46139</v>
      </c>
      <c r="E200" s="583" t="s">
        <v>2</v>
      </c>
      <c r="F200" s="262">
        <v>0.1</v>
      </c>
      <c r="G200" s="81" t="s">
        <v>447</v>
      </c>
      <c r="H200" s="584" t="s">
        <v>139</v>
      </c>
      <c r="I200" s="218">
        <v>56576</v>
      </c>
      <c r="J200" s="59">
        <v>0</v>
      </c>
      <c r="K200" s="621">
        <f t="shared" ref="K200:K202" si="466">J200+I200</f>
        <v>56576</v>
      </c>
      <c r="L200" s="585">
        <v>96</v>
      </c>
      <c r="M200" s="621">
        <f t="shared" ref="M200:M202" si="467">K200*L200</f>
        <v>5431296</v>
      </c>
      <c r="N200" s="584" t="s">
        <v>140</v>
      </c>
      <c r="O200" s="584">
        <v>60</v>
      </c>
      <c r="P200" s="487" t="s">
        <v>17</v>
      </c>
      <c r="Q200" s="64" t="s">
        <v>1318</v>
      </c>
      <c r="R200" s="487">
        <v>46175</v>
      </c>
      <c r="S200" s="489"/>
      <c r="T200" s="489">
        <v>46154</v>
      </c>
      <c r="U200" s="16">
        <v>56576</v>
      </c>
      <c r="V200" s="620">
        <f t="shared" ref="V200:V202" si="468">K200-U200</f>
        <v>0</v>
      </c>
      <c r="W200" s="618">
        <f t="shared" ref="W200:W202" si="469">U200*L200</f>
        <v>5431296</v>
      </c>
      <c r="X200" s="228"/>
      <c r="Y200" s="586">
        <v>46216</v>
      </c>
      <c r="Z200" s="616">
        <f t="shared" ref="Z200:Z202" si="470">Y200+2</f>
        <v>46218</v>
      </c>
      <c r="AA200" s="617">
        <f t="shared" ref="AA200:AA202" si="471">M200</f>
        <v>5431296</v>
      </c>
      <c r="AB200" s="61"/>
      <c r="AC200" s="616" t="str">
        <f t="shared" ref="AC200:AC202" si="472">IF(Y200="","-",TEXT(Y200,"mmmmyy"))</f>
        <v>July26</v>
      </c>
      <c r="AD200" s="588" t="s">
        <v>43</v>
      </c>
      <c r="AE200" s="589" t="s">
        <v>164</v>
      </c>
      <c r="AF200" s="250" t="s">
        <v>143</v>
      </c>
      <c r="AG200" s="250"/>
      <c r="AH200" s="250" t="s">
        <v>165</v>
      </c>
      <c r="AI200" s="590"/>
      <c r="AJ200" s="554"/>
      <c r="AK200" s="367"/>
      <c r="AL200" s="61">
        <v>46162</v>
      </c>
      <c r="AM200" s="61">
        <v>46183</v>
      </c>
      <c r="AN200" s="593"/>
      <c r="AO200" s="592"/>
      <c r="AP200" s="46" t="s">
        <v>336</v>
      </c>
    </row>
    <row r="201" spans="1:42" x14ac:dyDescent="0.25">
      <c r="A201" s="582">
        <v>306</v>
      </c>
      <c r="B201" s="46">
        <v>5600000449</v>
      </c>
      <c r="C201" s="80" t="s">
        <v>448</v>
      </c>
      <c r="D201" s="487">
        <v>46141</v>
      </c>
      <c r="E201" s="583" t="s">
        <v>1</v>
      </c>
      <c r="F201" s="262">
        <v>0.1</v>
      </c>
      <c r="G201" s="81" t="s">
        <v>223</v>
      </c>
      <c r="H201" s="584" t="s">
        <v>139</v>
      </c>
      <c r="I201" s="218">
        <v>1107400</v>
      </c>
      <c r="J201" s="59">
        <v>0</v>
      </c>
      <c r="K201" s="621">
        <f t="shared" si="466"/>
        <v>1107400</v>
      </c>
      <c r="L201" s="585">
        <v>96</v>
      </c>
      <c r="M201" s="621">
        <f t="shared" si="467"/>
        <v>106310400</v>
      </c>
      <c r="N201" s="584" t="s">
        <v>140</v>
      </c>
      <c r="O201" s="584">
        <v>60</v>
      </c>
      <c r="P201" s="487" t="s">
        <v>16</v>
      </c>
      <c r="R201" s="487"/>
      <c r="S201" s="489"/>
      <c r="T201" s="489">
        <v>46173</v>
      </c>
      <c r="U201" s="16">
        <v>1107400</v>
      </c>
      <c r="V201" s="620">
        <f t="shared" si="468"/>
        <v>0</v>
      </c>
      <c r="W201" s="618">
        <f t="shared" si="469"/>
        <v>106310400</v>
      </c>
      <c r="X201" s="228"/>
      <c r="Y201" s="616">
        <f t="shared" ref="Y201" si="473">T201+O201</f>
        <v>46233</v>
      </c>
      <c r="Z201" s="616">
        <f t="shared" si="470"/>
        <v>46235</v>
      </c>
      <c r="AA201" s="617">
        <f t="shared" si="471"/>
        <v>106310400</v>
      </c>
      <c r="AB201" s="61"/>
      <c r="AC201" s="616" t="str">
        <f t="shared" si="472"/>
        <v>July26</v>
      </c>
      <c r="AD201" s="588" t="s">
        <v>45</v>
      </c>
      <c r="AE201" s="589" t="s">
        <v>164</v>
      </c>
      <c r="AF201" s="250" t="s">
        <v>211</v>
      </c>
      <c r="AG201" s="250"/>
      <c r="AH201" s="250" t="s">
        <v>165</v>
      </c>
      <c r="AI201" s="590"/>
      <c r="AJ201" s="554">
        <v>44730457174</v>
      </c>
      <c r="AK201" s="367">
        <v>10570000</v>
      </c>
      <c r="AL201" s="61">
        <v>46173</v>
      </c>
      <c r="AM201" s="61">
        <v>46194</v>
      </c>
      <c r="AN201" s="593"/>
      <c r="AO201" s="592"/>
      <c r="AP201" s="46" t="s">
        <v>225</v>
      </c>
    </row>
    <row r="202" spans="1:42" x14ac:dyDescent="0.25">
      <c r="A202" s="582">
        <v>307</v>
      </c>
      <c r="B202" s="46">
        <v>5600000432</v>
      </c>
      <c r="C202" s="80" t="s">
        <v>449</v>
      </c>
      <c r="D202" s="487">
        <v>46141</v>
      </c>
      <c r="E202" s="583" t="s">
        <v>1</v>
      </c>
      <c r="F202" s="262">
        <v>0.1</v>
      </c>
      <c r="G202" s="81" t="s">
        <v>245</v>
      </c>
      <c r="H202" s="584" t="s">
        <v>139</v>
      </c>
      <c r="I202" s="218">
        <v>2520343.42</v>
      </c>
      <c r="J202" s="59">
        <v>0</v>
      </c>
      <c r="K202" s="621">
        <f t="shared" si="466"/>
        <v>2520343.42</v>
      </c>
      <c r="L202" s="585">
        <v>96</v>
      </c>
      <c r="M202" s="621">
        <f t="shared" si="467"/>
        <v>241952968.31999999</v>
      </c>
      <c r="N202" s="584" t="s">
        <v>140</v>
      </c>
      <c r="O202" s="584">
        <v>55</v>
      </c>
      <c r="P202" s="487" t="s">
        <v>17</v>
      </c>
      <c r="Q202" s="64" t="s">
        <v>450</v>
      </c>
      <c r="R202" s="487">
        <v>46153</v>
      </c>
      <c r="S202" s="489">
        <v>46155</v>
      </c>
      <c r="T202" s="489">
        <v>46129</v>
      </c>
      <c r="U202" s="16">
        <v>2520342.9300000002</v>
      </c>
      <c r="V202" s="620">
        <f t="shared" si="468"/>
        <v>0.48999999975785613</v>
      </c>
      <c r="W202" s="618">
        <f t="shared" si="469"/>
        <v>241952921.28000003</v>
      </c>
      <c r="X202" s="228"/>
      <c r="Y202" s="586">
        <v>46184</v>
      </c>
      <c r="Z202" s="616">
        <f t="shared" si="470"/>
        <v>46186</v>
      </c>
      <c r="AA202" s="617">
        <f t="shared" si="471"/>
        <v>241952968.31999999</v>
      </c>
      <c r="AB202" s="61"/>
      <c r="AC202" s="616" t="str">
        <f t="shared" si="472"/>
        <v>June26</v>
      </c>
      <c r="AD202" s="588" t="s">
        <v>43</v>
      </c>
      <c r="AE202" s="589" t="s">
        <v>164</v>
      </c>
      <c r="AF202" s="250" t="s">
        <v>143</v>
      </c>
      <c r="AG202" s="250"/>
      <c r="AH202" s="250" t="s">
        <v>165</v>
      </c>
      <c r="AI202" s="590"/>
      <c r="AJ202" s="554">
        <v>44730457174</v>
      </c>
      <c r="AK202" s="367">
        <v>24040000</v>
      </c>
      <c r="AL202" s="61">
        <v>46147</v>
      </c>
      <c r="AM202" s="61">
        <v>46168</v>
      </c>
      <c r="AN202" s="593"/>
      <c r="AO202" s="592"/>
      <c r="AP202" s="46" t="s">
        <v>145</v>
      </c>
    </row>
    <row r="203" spans="1:42" x14ac:dyDescent="0.25">
      <c r="A203" s="582"/>
      <c r="B203" s="46">
        <v>5600000432</v>
      </c>
      <c r="C203" s="80" t="s">
        <v>449</v>
      </c>
      <c r="D203" s="487">
        <v>46141</v>
      </c>
      <c r="E203" s="583" t="s">
        <v>1</v>
      </c>
      <c r="F203" s="262">
        <v>0.1</v>
      </c>
      <c r="G203" s="81" t="s">
        <v>245</v>
      </c>
      <c r="H203" s="584" t="s">
        <v>139</v>
      </c>
      <c r="I203" s="218">
        <v>0</v>
      </c>
      <c r="J203" s="59">
        <v>0</v>
      </c>
      <c r="K203" s="621">
        <f t="shared" ref="K203" si="474">J203+I203</f>
        <v>0</v>
      </c>
      <c r="L203" s="585">
        <v>96</v>
      </c>
      <c r="M203" s="621">
        <f t="shared" ref="M203" si="475">K203*L203</f>
        <v>0</v>
      </c>
      <c r="N203" s="584" t="s">
        <v>140</v>
      </c>
      <c r="O203" s="584">
        <v>55</v>
      </c>
      <c r="P203" s="487" t="s">
        <v>146</v>
      </c>
      <c r="R203" s="487"/>
      <c r="S203" s="489"/>
      <c r="T203" s="489"/>
      <c r="U203" s="16">
        <v>0.49</v>
      </c>
      <c r="V203" s="620">
        <f t="shared" ref="V203" si="476">K203-U203</f>
        <v>-0.49</v>
      </c>
      <c r="W203" s="618">
        <f t="shared" ref="W203" si="477">U203*L203</f>
        <v>47.04</v>
      </c>
      <c r="X203" s="228"/>
      <c r="Y203" s="586">
        <v>46184</v>
      </c>
      <c r="Z203" s="586"/>
      <c r="AA203" s="617">
        <f t="shared" ref="AA203" si="478">M203</f>
        <v>0</v>
      </c>
      <c r="AB203" s="61"/>
      <c r="AC203" s="616" t="str">
        <f t="shared" ref="AC203" si="479">IF(Y203="","-",TEXT(Y203,"mmmmyy"))</f>
        <v>June26</v>
      </c>
      <c r="AD203" s="588" t="s">
        <v>45</v>
      </c>
      <c r="AE203" s="589" t="s">
        <v>75</v>
      </c>
      <c r="AF203" s="250" t="s">
        <v>75</v>
      </c>
      <c r="AG203" s="250"/>
      <c r="AH203" s="250" t="s">
        <v>165</v>
      </c>
      <c r="AI203" s="590"/>
      <c r="AJ203" s="554"/>
      <c r="AK203" s="367"/>
      <c r="AL203" s="61">
        <v>46147</v>
      </c>
      <c r="AM203" s="61">
        <v>46168</v>
      </c>
      <c r="AN203" s="593"/>
      <c r="AO203" s="592"/>
      <c r="AP203" s="46" t="s">
        <v>145</v>
      </c>
    </row>
    <row r="204" spans="1:42" x14ac:dyDescent="0.25">
      <c r="A204" s="582">
        <v>308</v>
      </c>
      <c r="B204" s="46">
        <v>5600000433</v>
      </c>
      <c r="C204" s="80" t="s">
        <v>451</v>
      </c>
      <c r="D204" s="487">
        <v>46143</v>
      </c>
      <c r="E204" s="583" t="s">
        <v>1</v>
      </c>
      <c r="F204" s="262">
        <v>0.1</v>
      </c>
      <c r="G204" s="81" t="s">
        <v>245</v>
      </c>
      <c r="H204" s="584" t="s">
        <v>139</v>
      </c>
      <c r="I204" s="218">
        <v>1358963.51</v>
      </c>
      <c r="J204" s="59">
        <v>0</v>
      </c>
      <c r="K204" s="621">
        <f t="shared" ref="K204" si="480">J204+I204</f>
        <v>1358963.51</v>
      </c>
      <c r="L204" s="585">
        <v>96</v>
      </c>
      <c r="M204" s="621">
        <f t="shared" ref="M204" si="481">K204*L204</f>
        <v>130460496.96000001</v>
      </c>
      <c r="N204" s="584" t="s">
        <v>140</v>
      </c>
      <c r="O204" s="584">
        <v>55</v>
      </c>
      <c r="P204" s="487" t="s">
        <v>17</v>
      </c>
      <c r="Q204" s="64" t="s">
        <v>452</v>
      </c>
      <c r="R204" s="487">
        <v>46157</v>
      </c>
      <c r="S204" s="489">
        <v>46158</v>
      </c>
      <c r="T204" s="489">
        <v>46135</v>
      </c>
      <c r="U204" s="16">
        <v>1355332.44</v>
      </c>
      <c r="V204" s="620">
        <f t="shared" ref="V204" si="482">K204-U204</f>
        <v>3631.0700000000652</v>
      </c>
      <c r="W204" s="618">
        <f t="shared" ref="W204" si="483">U204*L204</f>
        <v>130111914.23999999</v>
      </c>
      <c r="X204" s="228"/>
      <c r="Y204" s="586">
        <v>46190</v>
      </c>
      <c r="Z204" s="616">
        <f t="shared" ref="Z204" si="484">Y204+2</f>
        <v>46192</v>
      </c>
      <c r="AA204" s="617">
        <f t="shared" ref="AA204" si="485">M204</f>
        <v>130460496.96000001</v>
      </c>
      <c r="AB204" s="61"/>
      <c r="AC204" s="616" t="str">
        <f t="shared" ref="AC204" si="486">IF(Y204="","-",TEXT(Y204,"mmmmyy"))</f>
        <v>June26</v>
      </c>
      <c r="AD204" s="588" t="s">
        <v>43</v>
      </c>
      <c r="AE204" s="589" t="s">
        <v>164</v>
      </c>
      <c r="AF204" s="250" t="s">
        <v>143</v>
      </c>
      <c r="AG204" s="250"/>
      <c r="AH204" s="250" t="s">
        <v>165</v>
      </c>
      <c r="AI204" s="590"/>
      <c r="AJ204" s="554">
        <v>43183823893</v>
      </c>
      <c r="AK204" s="367">
        <v>13065000</v>
      </c>
      <c r="AL204" s="61">
        <v>46147</v>
      </c>
      <c r="AM204" s="61">
        <v>46168</v>
      </c>
      <c r="AN204" s="593"/>
      <c r="AO204" s="592"/>
      <c r="AP204" s="46" t="s">
        <v>145</v>
      </c>
    </row>
    <row r="205" spans="1:42" x14ac:dyDescent="0.25">
      <c r="A205" s="582"/>
      <c r="B205" s="46">
        <v>5600000433</v>
      </c>
      <c r="C205" s="80" t="s">
        <v>451</v>
      </c>
      <c r="D205" s="487">
        <v>46143</v>
      </c>
      <c r="E205" s="583" t="s">
        <v>1</v>
      </c>
      <c r="F205" s="262">
        <v>0.1</v>
      </c>
      <c r="G205" s="81" t="s">
        <v>245</v>
      </c>
      <c r="H205" s="584" t="s">
        <v>139</v>
      </c>
      <c r="I205" s="218">
        <v>0</v>
      </c>
      <c r="J205" s="59">
        <v>0</v>
      </c>
      <c r="K205" s="621">
        <f t="shared" ref="K205" si="487">J205+I205</f>
        <v>0</v>
      </c>
      <c r="L205" s="585">
        <v>96</v>
      </c>
      <c r="M205" s="621">
        <f t="shared" ref="M205" si="488">K205*L205</f>
        <v>0</v>
      </c>
      <c r="N205" s="584" t="s">
        <v>140</v>
      </c>
      <c r="O205" s="584">
        <v>55</v>
      </c>
      <c r="P205" s="487" t="s">
        <v>146</v>
      </c>
      <c r="R205" s="487"/>
      <c r="S205" s="489"/>
      <c r="T205" s="489"/>
      <c r="U205" s="16">
        <v>3631.07</v>
      </c>
      <c r="V205" s="620">
        <f t="shared" ref="V205" si="489">K205-U205</f>
        <v>-3631.07</v>
      </c>
      <c r="W205" s="618">
        <f t="shared" ref="W205" si="490">U205*L205</f>
        <v>348582.72000000003</v>
      </c>
      <c r="X205" s="228"/>
      <c r="Y205" s="586">
        <v>46190</v>
      </c>
      <c r="Z205" s="586"/>
      <c r="AA205" s="587"/>
      <c r="AB205" s="61"/>
      <c r="AC205" s="616" t="str">
        <f t="shared" ref="AC205" si="491">IF(Y205="","-",TEXT(Y205,"mmmmyy"))</f>
        <v>June26</v>
      </c>
      <c r="AD205" s="588" t="s">
        <v>45</v>
      </c>
      <c r="AE205" s="589" t="s">
        <v>75</v>
      </c>
      <c r="AF205" s="250" t="s">
        <v>75</v>
      </c>
      <c r="AG205" s="250"/>
      <c r="AH205" s="250" t="s">
        <v>165</v>
      </c>
      <c r="AI205" s="590"/>
      <c r="AJ205" s="554"/>
      <c r="AK205" s="367"/>
      <c r="AL205" s="61">
        <v>46147</v>
      </c>
      <c r="AM205" s="61">
        <v>46168</v>
      </c>
      <c r="AN205" s="593"/>
      <c r="AO205" s="592"/>
      <c r="AP205" s="46" t="s">
        <v>145</v>
      </c>
    </row>
    <row r="206" spans="1:42" x14ac:dyDescent="0.25">
      <c r="A206" s="582">
        <v>309</v>
      </c>
      <c r="B206" s="46">
        <v>5600000434</v>
      </c>
      <c r="C206" s="80" t="s">
        <v>453</v>
      </c>
      <c r="D206" s="487">
        <v>46143</v>
      </c>
      <c r="E206" s="583" t="s">
        <v>1</v>
      </c>
      <c r="F206" s="262">
        <v>0.1</v>
      </c>
      <c r="G206" s="81" t="s">
        <v>245</v>
      </c>
      <c r="H206" s="584" t="s">
        <v>139</v>
      </c>
      <c r="I206" s="218">
        <v>2716038.86</v>
      </c>
      <c r="J206" s="59">
        <v>0</v>
      </c>
      <c r="K206" s="621">
        <f t="shared" ref="K206" si="492">J206+I206</f>
        <v>2716038.86</v>
      </c>
      <c r="L206" s="585">
        <v>96</v>
      </c>
      <c r="M206" s="621">
        <f t="shared" ref="M206" si="493">K206*L206</f>
        <v>260739730.56</v>
      </c>
      <c r="N206" s="584" t="s">
        <v>140</v>
      </c>
      <c r="O206" s="584">
        <v>55</v>
      </c>
      <c r="P206" s="487" t="s">
        <v>17</v>
      </c>
      <c r="Q206" s="64" t="s">
        <v>454</v>
      </c>
      <c r="R206" s="487">
        <v>46153</v>
      </c>
      <c r="S206" s="489">
        <v>46155</v>
      </c>
      <c r="T206" s="489">
        <v>46127</v>
      </c>
      <c r="U206" s="16">
        <v>2026462.73</v>
      </c>
      <c r="V206" s="620">
        <f t="shared" ref="V206" si="494">K206-U206</f>
        <v>689576.12999999989</v>
      </c>
      <c r="W206" s="618">
        <f t="shared" ref="W206" si="495">U206*L206</f>
        <v>194540422.07999998</v>
      </c>
      <c r="X206" s="228"/>
      <c r="Y206" s="586">
        <v>46182</v>
      </c>
      <c r="Z206" s="586"/>
      <c r="AA206" s="587"/>
      <c r="AB206" s="61"/>
      <c r="AC206" s="616" t="str">
        <f t="shared" ref="AC206" si="496">IF(Y206="","-",TEXT(Y206,"mmmmyy"))</f>
        <v>June26</v>
      </c>
      <c r="AD206" s="588" t="s">
        <v>43</v>
      </c>
      <c r="AE206" s="589" t="s">
        <v>164</v>
      </c>
      <c r="AF206" s="250" t="s">
        <v>143</v>
      </c>
      <c r="AG206" s="250"/>
      <c r="AH206" s="250" t="s">
        <v>165</v>
      </c>
      <c r="AI206" s="590"/>
      <c r="AJ206" s="554">
        <v>42461936258</v>
      </c>
      <c r="AK206" s="367">
        <v>1268000</v>
      </c>
      <c r="AL206" s="61">
        <v>46147</v>
      </c>
      <c r="AM206" s="61">
        <v>46168</v>
      </c>
      <c r="AN206" s="593"/>
      <c r="AO206" s="592"/>
      <c r="AP206" s="46" t="s">
        <v>145</v>
      </c>
    </row>
    <row r="207" spans="1:42" x14ac:dyDescent="0.25">
      <c r="A207" s="582"/>
      <c r="B207" s="46">
        <v>5600000434</v>
      </c>
      <c r="C207" s="80" t="s">
        <v>453</v>
      </c>
      <c r="D207" s="487">
        <v>46143</v>
      </c>
      <c r="E207" s="583" t="s">
        <v>1</v>
      </c>
      <c r="F207" s="262">
        <v>0.1</v>
      </c>
      <c r="G207" s="81" t="s">
        <v>245</v>
      </c>
      <c r="H207" s="584" t="s">
        <v>139</v>
      </c>
      <c r="I207" s="218">
        <v>0</v>
      </c>
      <c r="J207" s="59">
        <v>0</v>
      </c>
      <c r="K207" s="621">
        <f t="shared" ref="K207" si="497">J207+I207</f>
        <v>0</v>
      </c>
      <c r="L207" s="585">
        <v>96</v>
      </c>
      <c r="M207" s="621">
        <f t="shared" ref="M207" si="498">K207*L207</f>
        <v>0</v>
      </c>
      <c r="N207" s="584" t="s">
        <v>140</v>
      </c>
      <c r="O207" s="584">
        <v>55</v>
      </c>
      <c r="P207" s="487" t="s">
        <v>17</v>
      </c>
      <c r="Q207" s="64" t="s">
        <v>455</v>
      </c>
      <c r="R207" s="487">
        <v>46157</v>
      </c>
      <c r="S207" s="489">
        <v>46158</v>
      </c>
      <c r="T207" s="489">
        <v>46133</v>
      </c>
      <c r="U207" s="16">
        <v>677484.99</v>
      </c>
      <c r="V207" s="620">
        <f t="shared" ref="V207" si="499">K207-U207</f>
        <v>-677484.99</v>
      </c>
      <c r="W207" s="618">
        <f t="shared" ref="W207" si="500">U207*L207</f>
        <v>65038559.039999999</v>
      </c>
      <c r="X207" s="228"/>
      <c r="Y207" s="586">
        <v>46188</v>
      </c>
      <c r="Z207" s="616">
        <f t="shared" ref="Z207" si="501">Y207+2</f>
        <v>46190</v>
      </c>
      <c r="AA207" s="617">
        <f>M206</f>
        <v>260739730.56</v>
      </c>
      <c r="AB207" s="61"/>
      <c r="AC207" s="616" t="str">
        <f t="shared" ref="AC207" si="502">IF(Y207="","-",TEXT(Y207,"mmmmyy"))</f>
        <v>June26</v>
      </c>
      <c r="AD207" s="588" t="s">
        <v>43</v>
      </c>
      <c r="AE207" s="589" t="s">
        <v>164</v>
      </c>
      <c r="AF207" s="250" t="s">
        <v>143</v>
      </c>
      <c r="AG207" s="250"/>
      <c r="AH207" s="250" t="s">
        <v>165</v>
      </c>
      <c r="AI207" s="590"/>
      <c r="AJ207" s="554">
        <v>44028685576</v>
      </c>
      <c r="AK207" s="367">
        <v>2652000</v>
      </c>
      <c r="AL207" s="61">
        <v>46147</v>
      </c>
      <c r="AM207" s="61">
        <v>46168</v>
      </c>
      <c r="AN207" s="593"/>
      <c r="AO207" s="592"/>
      <c r="AP207" s="46" t="s">
        <v>145</v>
      </c>
    </row>
    <row r="208" spans="1:42" x14ac:dyDescent="0.25">
      <c r="A208" s="582"/>
      <c r="B208" s="46">
        <v>5600000434</v>
      </c>
      <c r="C208" s="80" t="s">
        <v>453</v>
      </c>
      <c r="D208" s="487">
        <v>46143</v>
      </c>
      <c r="E208" s="583" t="s">
        <v>1</v>
      </c>
      <c r="F208" s="262">
        <v>0.1</v>
      </c>
      <c r="G208" s="81" t="s">
        <v>245</v>
      </c>
      <c r="H208" s="584" t="s">
        <v>139</v>
      </c>
      <c r="I208" s="218">
        <v>0</v>
      </c>
      <c r="J208" s="59">
        <v>0</v>
      </c>
      <c r="K208" s="621">
        <f t="shared" ref="K208" si="503">J208+I208</f>
        <v>0</v>
      </c>
      <c r="L208" s="585">
        <v>96</v>
      </c>
      <c r="M208" s="621">
        <f t="shared" ref="M208" si="504">K208*L208</f>
        <v>0</v>
      </c>
      <c r="N208" s="584" t="s">
        <v>140</v>
      </c>
      <c r="O208" s="584">
        <v>55</v>
      </c>
      <c r="P208" s="487" t="s">
        <v>146</v>
      </c>
      <c r="R208" s="487"/>
      <c r="S208" s="489"/>
      <c r="T208" s="489"/>
      <c r="U208" s="16">
        <v>12091.14</v>
      </c>
      <c r="V208" s="620">
        <f t="shared" ref="V208" si="505">K208-U208</f>
        <v>-12091.14</v>
      </c>
      <c r="W208" s="618">
        <f t="shared" ref="W208" si="506">U208*L208</f>
        <v>1160749.44</v>
      </c>
      <c r="X208" s="228"/>
      <c r="Y208" s="586">
        <v>46188</v>
      </c>
      <c r="Z208" s="586"/>
      <c r="AA208" s="587"/>
      <c r="AB208" s="61"/>
      <c r="AC208" s="616" t="str">
        <f t="shared" ref="AC208" si="507">IF(Y208="","-",TEXT(Y208,"mmmmyy"))</f>
        <v>June26</v>
      </c>
      <c r="AD208" s="588" t="s">
        <v>45</v>
      </c>
      <c r="AE208" s="589" t="s">
        <v>75</v>
      </c>
      <c r="AF208" s="250" t="s">
        <v>75</v>
      </c>
      <c r="AG208" s="250"/>
      <c r="AH208" s="250" t="s">
        <v>165</v>
      </c>
      <c r="AI208" s="590"/>
      <c r="AJ208" s="554">
        <v>44857149620</v>
      </c>
      <c r="AK208" s="367">
        <v>22190000</v>
      </c>
      <c r="AL208" s="61">
        <v>46147</v>
      </c>
      <c r="AM208" s="61">
        <v>46168</v>
      </c>
      <c r="AN208" s="593"/>
      <c r="AO208" s="592"/>
      <c r="AP208" s="46" t="s">
        <v>145</v>
      </c>
    </row>
    <row r="209" spans="1:42" x14ac:dyDescent="0.25">
      <c r="A209" s="582">
        <v>310</v>
      </c>
      <c r="B209" s="46">
        <v>5600000431</v>
      </c>
      <c r="C209" s="80" t="s">
        <v>456</v>
      </c>
      <c r="D209" s="487">
        <v>46144</v>
      </c>
      <c r="E209" s="583" t="s">
        <v>1</v>
      </c>
      <c r="F209" s="262">
        <v>0.1</v>
      </c>
      <c r="G209" s="81" t="s">
        <v>245</v>
      </c>
      <c r="H209" s="584" t="s">
        <v>139</v>
      </c>
      <c r="I209" s="218">
        <v>3123679.2</v>
      </c>
      <c r="J209" s="59">
        <v>0</v>
      </c>
      <c r="K209" s="621">
        <f t="shared" ref="K209" si="508">J209+I209</f>
        <v>3123679.2</v>
      </c>
      <c r="L209" s="585">
        <v>96</v>
      </c>
      <c r="M209" s="621">
        <f t="shared" ref="M209" si="509">K209*L209</f>
        <v>299873203.20000005</v>
      </c>
      <c r="N209" s="584" t="s">
        <v>140</v>
      </c>
      <c r="O209" s="584">
        <v>55</v>
      </c>
      <c r="P209" s="487" t="s">
        <v>17</v>
      </c>
      <c r="Q209" s="64" t="s">
        <v>457</v>
      </c>
      <c r="R209" s="487">
        <v>46150</v>
      </c>
      <c r="S209" s="489">
        <v>46154</v>
      </c>
      <c r="T209" s="489">
        <v>46126</v>
      </c>
      <c r="U209" s="16">
        <v>1247949.3600000001</v>
      </c>
      <c r="V209" s="620">
        <f t="shared" ref="V209" si="510">K209-U209</f>
        <v>1875729.84</v>
      </c>
      <c r="W209" s="618">
        <f t="shared" ref="W209" si="511">U209*L209</f>
        <v>119803138.56</v>
      </c>
      <c r="X209" s="228"/>
      <c r="Y209" s="586">
        <v>46181</v>
      </c>
      <c r="Z209" s="586"/>
      <c r="AA209" s="587"/>
      <c r="AB209" s="61"/>
      <c r="AC209" s="616" t="str">
        <f t="shared" ref="AC209" si="512">IF(Y209="","-",TEXT(Y209,"mmmmyy"))</f>
        <v>June26</v>
      </c>
      <c r="AD209" s="588" t="s">
        <v>43</v>
      </c>
      <c r="AE209" s="589" t="s">
        <v>164</v>
      </c>
      <c r="AF209" s="250" t="s">
        <v>143</v>
      </c>
      <c r="AG209" s="250"/>
      <c r="AH209" s="250" t="s">
        <v>165</v>
      </c>
      <c r="AI209" s="590" t="s">
        <v>1376</v>
      </c>
      <c r="AJ209" s="554">
        <v>44707855866</v>
      </c>
      <c r="AK209" s="367">
        <v>20000000</v>
      </c>
      <c r="AL209" s="61">
        <v>46147</v>
      </c>
      <c r="AM209" s="61">
        <v>46168</v>
      </c>
      <c r="AN209" s="593"/>
      <c r="AO209" s="592"/>
      <c r="AP209" s="46" t="s">
        <v>145</v>
      </c>
    </row>
    <row r="210" spans="1:42" x14ac:dyDescent="0.25">
      <c r="A210" s="582"/>
      <c r="B210" s="46">
        <v>5600000431</v>
      </c>
      <c r="C210" s="80" t="s">
        <v>456</v>
      </c>
      <c r="D210" s="487">
        <v>46144</v>
      </c>
      <c r="E210" s="583" t="s">
        <v>1</v>
      </c>
      <c r="F210" s="262">
        <v>0.1</v>
      </c>
      <c r="G210" s="81" t="s">
        <v>245</v>
      </c>
      <c r="H210" s="584" t="s">
        <v>139</v>
      </c>
      <c r="I210" s="218">
        <v>0</v>
      </c>
      <c r="J210" s="59">
        <v>0</v>
      </c>
      <c r="K210" s="621">
        <f t="shared" ref="K210:K212" si="513">J210+I210</f>
        <v>0</v>
      </c>
      <c r="L210" s="585">
        <v>96</v>
      </c>
      <c r="M210" s="621">
        <f t="shared" ref="M210:M212" si="514">K210*L210</f>
        <v>0</v>
      </c>
      <c r="N210" s="584" t="s">
        <v>140</v>
      </c>
      <c r="O210" s="584">
        <v>55</v>
      </c>
      <c r="P210" s="487" t="s">
        <v>17</v>
      </c>
      <c r="Q210" s="64" t="s">
        <v>458</v>
      </c>
      <c r="R210" s="487">
        <v>46150</v>
      </c>
      <c r="S210" s="489">
        <v>46154</v>
      </c>
      <c r="T210" s="489">
        <v>46127</v>
      </c>
      <c r="U210" s="16">
        <v>1875079.27</v>
      </c>
      <c r="V210" s="620">
        <f t="shared" ref="V210:V212" si="515">K210-U210</f>
        <v>-1875079.27</v>
      </c>
      <c r="W210" s="618">
        <f t="shared" ref="W210:W212" si="516">U210*L210</f>
        <v>180007609.92000002</v>
      </c>
      <c r="X210" s="228"/>
      <c r="Y210" s="586">
        <v>46185</v>
      </c>
      <c r="Z210" s="616">
        <f t="shared" ref="Z210:Z212" si="517">Y210+2</f>
        <v>46187</v>
      </c>
      <c r="AA210" s="617">
        <f>M209</f>
        <v>299873203.20000005</v>
      </c>
      <c r="AB210" s="61"/>
      <c r="AC210" s="616" t="str">
        <f t="shared" ref="AC210:AC212" si="518">IF(Y210="","-",TEXT(Y210,"mmmmyy"))</f>
        <v>June26</v>
      </c>
      <c r="AD210" s="588" t="s">
        <v>43</v>
      </c>
      <c r="AE210" s="589" t="s">
        <v>164</v>
      </c>
      <c r="AF210" s="250" t="s">
        <v>143</v>
      </c>
      <c r="AG210" s="250"/>
      <c r="AH210" s="250" t="s">
        <v>165</v>
      </c>
      <c r="AI210" s="590"/>
      <c r="AJ210" s="554">
        <v>42461936258</v>
      </c>
      <c r="AK210" s="367">
        <v>25000</v>
      </c>
      <c r="AL210" s="61">
        <v>46147</v>
      </c>
      <c r="AM210" s="61">
        <v>46168</v>
      </c>
      <c r="AN210" s="593"/>
      <c r="AO210" s="592"/>
      <c r="AP210" s="46" t="s">
        <v>145</v>
      </c>
    </row>
    <row r="211" spans="1:42" x14ac:dyDescent="0.25">
      <c r="A211" s="582"/>
      <c r="B211" s="46">
        <v>5600000431</v>
      </c>
      <c r="C211" s="80" t="s">
        <v>456</v>
      </c>
      <c r="D211" s="487">
        <v>46144</v>
      </c>
      <c r="E211" s="583" t="s">
        <v>1</v>
      </c>
      <c r="F211" s="262">
        <v>0.1</v>
      </c>
      <c r="G211" s="81" t="s">
        <v>245</v>
      </c>
      <c r="H211" s="584" t="s">
        <v>139</v>
      </c>
      <c r="I211" s="218">
        <v>0</v>
      </c>
      <c r="J211" s="59">
        <v>0</v>
      </c>
      <c r="K211" s="621">
        <f t="shared" ref="K211" si="519">J211+I211</f>
        <v>0</v>
      </c>
      <c r="L211" s="585">
        <v>96</v>
      </c>
      <c r="M211" s="621">
        <f t="shared" ref="M211" si="520">K211*L211</f>
        <v>0</v>
      </c>
      <c r="N211" s="584" t="s">
        <v>140</v>
      </c>
      <c r="O211" s="584">
        <v>55</v>
      </c>
      <c r="P211" s="487" t="s">
        <v>146</v>
      </c>
      <c r="R211" s="487"/>
      <c r="S211" s="489"/>
      <c r="T211" s="489"/>
      <c r="U211" s="16">
        <v>650.57000000000005</v>
      </c>
      <c r="V211" s="620">
        <f t="shared" ref="V211" si="521">K211-U211</f>
        <v>-650.57000000000005</v>
      </c>
      <c r="W211" s="618">
        <f t="shared" ref="W211" si="522">U211*L211</f>
        <v>62454.720000000001</v>
      </c>
      <c r="X211" s="228"/>
      <c r="Y211" s="586">
        <v>46185</v>
      </c>
      <c r="Z211" s="586"/>
      <c r="AA211" s="617">
        <f>M210</f>
        <v>0</v>
      </c>
      <c r="AB211" s="61"/>
      <c r="AC211" s="616" t="str">
        <f t="shared" ref="AC211" si="523">IF(Y211="","-",TEXT(Y211,"mmmmyy"))</f>
        <v>June26</v>
      </c>
      <c r="AD211" s="588" t="s">
        <v>45</v>
      </c>
      <c r="AE211" s="589" t="s">
        <v>75</v>
      </c>
      <c r="AF211" s="250" t="s">
        <v>75</v>
      </c>
      <c r="AG211" s="250"/>
      <c r="AH211" s="250" t="s">
        <v>165</v>
      </c>
      <c r="AI211" s="590"/>
      <c r="AJ211" s="554">
        <v>44321009525</v>
      </c>
      <c r="AK211" s="367">
        <v>10000000</v>
      </c>
      <c r="AL211" s="61">
        <v>46147</v>
      </c>
      <c r="AM211" s="61">
        <v>46168</v>
      </c>
      <c r="AN211" s="593"/>
      <c r="AO211" s="592"/>
      <c r="AP211" s="46" t="s">
        <v>145</v>
      </c>
    </row>
    <row r="212" spans="1:42" x14ac:dyDescent="0.25">
      <c r="A212" s="582">
        <v>311</v>
      </c>
      <c r="B212" s="46">
        <v>5600000476</v>
      </c>
      <c r="C212" s="80" t="s">
        <v>459</v>
      </c>
      <c r="D212" s="487">
        <v>46153</v>
      </c>
      <c r="E212" s="583" t="s">
        <v>1</v>
      </c>
      <c r="F212" s="262">
        <v>0.1</v>
      </c>
      <c r="G212" s="81" t="s">
        <v>460</v>
      </c>
      <c r="H212" s="584" t="s">
        <v>139</v>
      </c>
      <c r="I212" s="218">
        <v>66084</v>
      </c>
      <c r="J212" s="59">
        <v>0</v>
      </c>
      <c r="K212" s="621">
        <f t="shared" si="513"/>
        <v>66084</v>
      </c>
      <c r="L212" s="585">
        <v>96</v>
      </c>
      <c r="M212" s="621">
        <f t="shared" si="514"/>
        <v>6344064</v>
      </c>
      <c r="N212" s="584" t="s">
        <v>140</v>
      </c>
      <c r="O212" s="584">
        <v>30</v>
      </c>
      <c r="P212" s="487" t="s">
        <v>17</v>
      </c>
      <c r="Q212" s="64" t="s">
        <v>1304</v>
      </c>
      <c r="R212" s="487">
        <v>46177</v>
      </c>
      <c r="S212" s="489"/>
      <c r="T212" s="489">
        <v>46166</v>
      </c>
      <c r="U212" s="16">
        <v>66084</v>
      </c>
      <c r="V212" s="620">
        <f t="shared" si="515"/>
        <v>0</v>
      </c>
      <c r="W212" s="618">
        <f t="shared" si="516"/>
        <v>6344064</v>
      </c>
      <c r="X212" s="228"/>
      <c r="Y212" s="586">
        <v>46196</v>
      </c>
      <c r="Z212" s="616">
        <f t="shared" si="517"/>
        <v>46198</v>
      </c>
      <c r="AA212" s="617">
        <f t="shared" ref="AA212" si="524">M212</f>
        <v>6344064</v>
      </c>
      <c r="AB212" s="61"/>
      <c r="AC212" s="616" t="str">
        <f t="shared" si="518"/>
        <v>June26</v>
      </c>
      <c r="AD212" s="588" t="s">
        <v>43</v>
      </c>
      <c r="AE212" s="589" t="s">
        <v>164</v>
      </c>
      <c r="AF212" s="250" t="s">
        <v>143</v>
      </c>
      <c r="AG212" s="250"/>
      <c r="AH212" s="250" t="s">
        <v>165</v>
      </c>
      <c r="AI212" s="590"/>
      <c r="AJ212" s="554">
        <v>43607525170</v>
      </c>
      <c r="AK212" s="367">
        <v>640000</v>
      </c>
      <c r="AL212" s="61">
        <v>46183</v>
      </c>
      <c r="AM212" s="61">
        <v>46204</v>
      </c>
      <c r="AN212" s="593"/>
      <c r="AO212" s="592"/>
      <c r="AP212" s="46" t="s">
        <v>461</v>
      </c>
    </row>
    <row r="213" spans="1:42" x14ac:dyDescent="0.25">
      <c r="A213" s="582">
        <v>312</v>
      </c>
      <c r="B213" s="46">
        <v>5600000477</v>
      </c>
      <c r="C213" s="80" t="s">
        <v>462</v>
      </c>
      <c r="D213" s="487">
        <v>46157</v>
      </c>
      <c r="E213" s="583" t="s">
        <v>1</v>
      </c>
      <c r="F213" s="262">
        <v>0.1</v>
      </c>
      <c r="G213" s="81" t="s">
        <v>463</v>
      </c>
      <c r="H213" s="584" t="s">
        <v>139</v>
      </c>
      <c r="I213" s="218">
        <v>559435</v>
      </c>
      <c r="J213" s="59">
        <v>0</v>
      </c>
      <c r="K213" s="621">
        <f t="shared" ref="K213" si="525">J213+I213</f>
        <v>559435</v>
      </c>
      <c r="L213" s="585">
        <v>96</v>
      </c>
      <c r="M213" s="621">
        <f t="shared" ref="M213" si="526">K213*L213</f>
        <v>53705760</v>
      </c>
      <c r="N213" s="584" t="s">
        <v>140</v>
      </c>
      <c r="O213" s="584">
        <v>30</v>
      </c>
      <c r="P213" s="487" t="s">
        <v>16</v>
      </c>
      <c r="R213" s="487"/>
      <c r="S213" s="489"/>
      <c r="T213" s="489">
        <v>46188</v>
      </c>
      <c r="U213" s="16">
        <v>559435</v>
      </c>
      <c r="V213" s="620">
        <f t="shared" ref="V213" si="527">K213-U213</f>
        <v>0</v>
      </c>
      <c r="W213" s="618">
        <f t="shared" ref="W213" si="528">U213*L213</f>
        <v>53705760</v>
      </c>
      <c r="X213" s="228"/>
      <c r="Y213" s="616">
        <f t="shared" ref="Y213" si="529">T213+O213</f>
        <v>46218</v>
      </c>
      <c r="Z213" s="616">
        <f t="shared" ref="Z213" si="530">Y213+2</f>
        <v>46220</v>
      </c>
      <c r="AA213" s="617">
        <f t="shared" ref="AA213" si="531">M213</f>
        <v>53705760</v>
      </c>
      <c r="AB213" s="61"/>
      <c r="AC213" s="616" t="str">
        <f t="shared" ref="AC213" si="532">IF(Y213="","-",TEXT(Y213,"mmmmyy"))</f>
        <v>July26</v>
      </c>
      <c r="AD213" s="588" t="s">
        <v>45</v>
      </c>
      <c r="AE213" s="589" t="s">
        <v>164</v>
      </c>
      <c r="AF213" s="250" t="s">
        <v>211</v>
      </c>
      <c r="AG213" s="250"/>
      <c r="AH213" s="250" t="s">
        <v>165</v>
      </c>
      <c r="AI213" s="590"/>
      <c r="AJ213" s="554">
        <v>44803304283</v>
      </c>
      <c r="AK213" s="367">
        <v>5380000</v>
      </c>
      <c r="AL213" s="61">
        <v>46188</v>
      </c>
      <c r="AM213" s="61">
        <v>46209</v>
      </c>
      <c r="AN213" s="593"/>
      <c r="AO213" s="592"/>
      <c r="AP213" s="46" t="s">
        <v>464</v>
      </c>
    </row>
    <row r="214" spans="1:42" x14ac:dyDescent="0.25">
      <c r="A214" s="582">
        <v>313</v>
      </c>
      <c r="B214" s="46">
        <v>5600000467</v>
      </c>
      <c r="C214" s="80" t="s">
        <v>465</v>
      </c>
      <c r="D214" s="487">
        <v>46157</v>
      </c>
      <c r="E214" s="583" t="s">
        <v>2</v>
      </c>
      <c r="F214" s="262">
        <v>0.1</v>
      </c>
      <c r="G214" s="81" t="s">
        <v>466</v>
      </c>
      <c r="H214" s="584" t="s">
        <v>139</v>
      </c>
      <c r="I214" s="218">
        <v>235200</v>
      </c>
      <c r="J214" s="59">
        <v>0</v>
      </c>
      <c r="K214" s="621">
        <f t="shared" ref="K214" si="533">J214+I214</f>
        <v>235200</v>
      </c>
      <c r="L214" s="585">
        <v>96</v>
      </c>
      <c r="M214" s="621">
        <f t="shared" ref="M214" si="534">K214*L214</f>
        <v>22579200</v>
      </c>
      <c r="N214" s="584" t="s">
        <v>140</v>
      </c>
      <c r="O214" s="584">
        <v>60</v>
      </c>
      <c r="P214" s="487" t="s">
        <v>16</v>
      </c>
      <c r="R214" s="487"/>
      <c r="S214" s="489"/>
      <c r="T214" s="489">
        <v>46188</v>
      </c>
      <c r="U214" s="16">
        <v>235200</v>
      </c>
      <c r="V214" s="620">
        <f t="shared" ref="V214" si="535">K214-U214</f>
        <v>0</v>
      </c>
      <c r="W214" s="618">
        <f t="shared" ref="W214" si="536">U214*L214</f>
        <v>22579200</v>
      </c>
      <c r="X214" s="228"/>
      <c r="Y214" s="616">
        <f t="shared" ref="Y214" si="537">T214+O214</f>
        <v>46248</v>
      </c>
      <c r="Z214" s="616">
        <f t="shared" ref="Z214" si="538">Y214+2</f>
        <v>46250</v>
      </c>
      <c r="AA214" s="617">
        <f t="shared" ref="AA214" si="539">M214</f>
        <v>22579200</v>
      </c>
      <c r="AB214" s="61"/>
      <c r="AC214" s="616" t="str">
        <f t="shared" ref="AC214" si="540">IF(Y214="","-",TEXT(Y214,"mmmmyy"))</f>
        <v>August26</v>
      </c>
      <c r="AD214" s="588" t="s">
        <v>45</v>
      </c>
      <c r="AE214" s="589" t="s">
        <v>164</v>
      </c>
      <c r="AF214" s="250" t="s">
        <v>211</v>
      </c>
      <c r="AG214" s="250"/>
      <c r="AH214" s="250" t="s">
        <v>165</v>
      </c>
      <c r="AI214" s="590"/>
      <c r="AJ214" s="554"/>
      <c r="AK214"/>
      <c r="AL214" s="61">
        <v>46188</v>
      </c>
      <c r="AM214" s="61">
        <v>46209</v>
      </c>
      <c r="AN214" s="593"/>
      <c r="AO214" s="592"/>
      <c r="AP214" s="46" t="s">
        <v>467</v>
      </c>
    </row>
    <row r="215" spans="1:42" x14ac:dyDescent="0.25">
      <c r="A215" s="582">
        <v>314</v>
      </c>
      <c r="B215" s="46">
        <v>1400000931</v>
      </c>
      <c r="C215" s="80" t="s">
        <v>468</v>
      </c>
      <c r="D215" s="487">
        <v>46157</v>
      </c>
      <c r="E215" s="583" t="s">
        <v>2</v>
      </c>
      <c r="F215" s="262">
        <v>0.1</v>
      </c>
      <c r="G215" s="81" t="s">
        <v>469</v>
      </c>
      <c r="H215" s="584" t="s">
        <v>139</v>
      </c>
      <c r="I215" s="218">
        <v>66880</v>
      </c>
      <c r="J215" s="59">
        <v>0</v>
      </c>
      <c r="K215" s="621">
        <f t="shared" ref="K215" si="541">J215+I215</f>
        <v>66880</v>
      </c>
      <c r="L215" s="585">
        <v>96</v>
      </c>
      <c r="M215" s="621">
        <f t="shared" ref="M215" si="542">K215*L215</f>
        <v>6420480</v>
      </c>
      <c r="N215" s="584" t="s">
        <v>325</v>
      </c>
      <c r="O215" s="584">
        <v>60</v>
      </c>
      <c r="P215" s="487" t="s">
        <v>16</v>
      </c>
      <c r="R215" s="487"/>
      <c r="S215" s="489"/>
      <c r="T215" s="489">
        <v>46193</v>
      </c>
      <c r="U215" s="16">
        <v>66880</v>
      </c>
      <c r="V215" s="620">
        <f t="shared" ref="V215" si="543">K215-U215</f>
        <v>0</v>
      </c>
      <c r="W215" s="618">
        <f t="shared" ref="W215" si="544">U215*L215</f>
        <v>6420480</v>
      </c>
      <c r="X215" s="228"/>
      <c r="Y215" s="616">
        <f t="shared" ref="Y215" si="545">T215+O215</f>
        <v>46253</v>
      </c>
      <c r="Z215" s="616">
        <f t="shared" ref="Z215" si="546">Y215+2</f>
        <v>46255</v>
      </c>
      <c r="AA215" s="617">
        <f t="shared" ref="AA215" si="547">M215</f>
        <v>6420480</v>
      </c>
      <c r="AB215" s="61"/>
      <c r="AC215" s="616" t="str">
        <f t="shared" ref="AC215" si="548">IF(Y215="","-",TEXT(Y215,"mmmmyy"))</f>
        <v>August26</v>
      </c>
      <c r="AD215" s="588" t="s">
        <v>45</v>
      </c>
      <c r="AE215" s="589" t="s">
        <v>164</v>
      </c>
      <c r="AF215" s="250" t="s">
        <v>211</v>
      </c>
      <c r="AG215" s="250"/>
      <c r="AH215" s="250" t="s">
        <v>165</v>
      </c>
      <c r="AI215" s="590"/>
      <c r="AJ215" s="554"/>
      <c r="AK215"/>
      <c r="AL215" s="61">
        <v>46193</v>
      </c>
      <c r="AM215" s="61">
        <v>46214</v>
      </c>
      <c r="AN215" s="593"/>
      <c r="AO215" s="592"/>
      <c r="AP215" s="46" t="s">
        <v>470</v>
      </c>
    </row>
    <row r="216" spans="1:42" x14ac:dyDescent="0.25">
      <c r="A216" s="582">
        <v>315</v>
      </c>
      <c r="B216" s="46">
        <v>5600000478</v>
      </c>
      <c r="C216" s="80" t="s">
        <v>1338</v>
      </c>
      <c r="D216" s="487">
        <v>46172</v>
      </c>
      <c r="E216" s="583" t="s">
        <v>1</v>
      </c>
      <c r="F216" s="262">
        <v>0.1</v>
      </c>
      <c r="G216" s="81" t="s">
        <v>1339</v>
      </c>
      <c r="H216" s="584" t="s">
        <v>139</v>
      </c>
      <c r="I216" s="218">
        <v>559718.25</v>
      </c>
      <c r="J216" s="59">
        <v>0</v>
      </c>
      <c r="K216" s="621">
        <f t="shared" ref="K216" si="549">J216+I216</f>
        <v>559718.25</v>
      </c>
      <c r="L216" s="585">
        <v>96</v>
      </c>
      <c r="M216" s="621">
        <f t="shared" ref="M216" si="550">K216*L216</f>
        <v>53732952</v>
      </c>
      <c r="N216" s="584" t="s">
        <v>325</v>
      </c>
      <c r="O216" s="584">
        <v>30</v>
      </c>
      <c r="P216" s="487" t="s">
        <v>16</v>
      </c>
      <c r="R216" s="487"/>
      <c r="S216" s="489"/>
      <c r="T216" s="489">
        <v>46203</v>
      </c>
      <c r="U216" s="16">
        <v>559718.25</v>
      </c>
      <c r="V216" s="620">
        <f t="shared" ref="V216" si="551">K216-U216</f>
        <v>0</v>
      </c>
      <c r="W216" s="618">
        <f t="shared" ref="W216" si="552">U216*L216</f>
        <v>53732952</v>
      </c>
      <c r="X216" s="228"/>
      <c r="Y216" s="616">
        <f t="shared" ref="Y216" si="553">T216+O216</f>
        <v>46233</v>
      </c>
      <c r="Z216" s="616">
        <f t="shared" ref="Z216" si="554">Y216+2</f>
        <v>46235</v>
      </c>
      <c r="AA216" s="617">
        <f t="shared" ref="AA216" si="555">M216</f>
        <v>53732952</v>
      </c>
      <c r="AB216" s="61"/>
      <c r="AC216" s="616" t="str">
        <f t="shared" ref="AC216" si="556">IF(Y216="","-",TEXT(Y216,"mmmmyy"))</f>
        <v>July26</v>
      </c>
      <c r="AD216" s="588" t="s">
        <v>45</v>
      </c>
      <c r="AE216" s="589" t="s">
        <v>164</v>
      </c>
      <c r="AF216" s="250" t="s">
        <v>211</v>
      </c>
      <c r="AG216" s="250"/>
      <c r="AH216" s="250" t="s">
        <v>165</v>
      </c>
      <c r="AI216" s="590"/>
      <c r="AJ216" s="554">
        <v>43707298765</v>
      </c>
      <c r="AK216">
        <v>5370000</v>
      </c>
      <c r="AL216" s="61">
        <v>46203</v>
      </c>
      <c r="AM216" s="61">
        <v>46224</v>
      </c>
      <c r="AN216" s="593"/>
      <c r="AO216" s="592"/>
      <c r="AP216" s="46" t="s">
        <v>464</v>
      </c>
    </row>
    <row r="217" spans="1:42" x14ac:dyDescent="0.25">
      <c r="A217" s="582">
        <v>316</v>
      </c>
      <c r="B217" s="46">
        <v>5600000469</v>
      </c>
      <c r="C217" s="80" t="s">
        <v>1359</v>
      </c>
      <c r="D217" s="487">
        <v>46172</v>
      </c>
      <c r="E217" s="583" t="s">
        <v>1</v>
      </c>
      <c r="F217" s="262">
        <v>0.1</v>
      </c>
      <c r="G217" s="81" t="s">
        <v>245</v>
      </c>
      <c r="H217" s="584" t="s">
        <v>139</v>
      </c>
      <c r="I217" s="599">
        <v>6907048.4299999997</v>
      </c>
      <c r="J217" s="59">
        <v>0</v>
      </c>
      <c r="K217" s="621">
        <f>J217+I217</f>
        <v>6907048.4299999997</v>
      </c>
      <c r="L217" s="585">
        <v>96</v>
      </c>
      <c r="M217" s="621">
        <f>K217*L217</f>
        <v>663076649.27999997</v>
      </c>
      <c r="N217" s="584" t="s">
        <v>140</v>
      </c>
      <c r="O217" s="584">
        <v>55</v>
      </c>
      <c r="P217" s="487" t="s">
        <v>16</v>
      </c>
      <c r="R217" s="487"/>
      <c r="S217" s="489"/>
      <c r="T217" s="489">
        <v>46174</v>
      </c>
      <c r="U217" s="16">
        <v>6907048.4299999997</v>
      </c>
      <c r="V217" s="620">
        <f>K217-U217</f>
        <v>0</v>
      </c>
      <c r="W217" s="618">
        <f>U217*L217</f>
        <v>663076649.27999997</v>
      </c>
      <c r="X217" s="228"/>
      <c r="Y217" s="616">
        <f>T217+O217</f>
        <v>46229</v>
      </c>
      <c r="Z217" s="616">
        <f>Y217+2</f>
        <v>46231</v>
      </c>
      <c r="AA217" s="617">
        <f>M217</f>
        <v>663076649.27999997</v>
      </c>
      <c r="AB217" s="61"/>
      <c r="AC217" s="616" t="str">
        <f>IF(Y217="","-",TEXT(Y217,"mmmmyy"))</f>
        <v>July26</v>
      </c>
      <c r="AD217" s="588" t="s">
        <v>45</v>
      </c>
      <c r="AE217" s="589" t="s">
        <v>164</v>
      </c>
      <c r="AF217" s="250" t="s">
        <v>211</v>
      </c>
      <c r="AG217" s="250"/>
      <c r="AH217" s="250" t="s">
        <v>165</v>
      </c>
      <c r="AI217" s="590"/>
      <c r="AJ217" s="554">
        <v>43607525170</v>
      </c>
      <c r="AK217">
        <v>35150000</v>
      </c>
      <c r="AL217" s="61">
        <v>46174</v>
      </c>
      <c r="AM217" s="61">
        <v>46195</v>
      </c>
      <c r="AN217" s="593"/>
      <c r="AO217" s="592"/>
      <c r="AP217" s="46" t="s">
        <v>145</v>
      </c>
    </row>
    <row r="218" spans="1:42" x14ac:dyDescent="0.25">
      <c r="A218" s="582"/>
      <c r="B218" s="46">
        <v>5600000469</v>
      </c>
      <c r="C218" s="80" t="s">
        <v>1359</v>
      </c>
      <c r="D218" s="487">
        <v>46172</v>
      </c>
      <c r="E218" s="583" t="s">
        <v>1</v>
      </c>
      <c r="F218" s="262">
        <v>0.1</v>
      </c>
      <c r="G218" s="81" t="s">
        <v>245</v>
      </c>
      <c r="H218" s="584" t="s">
        <v>139</v>
      </c>
      <c r="I218" s="599">
        <v>0</v>
      </c>
      <c r="J218" s="59">
        <v>0</v>
      </c>
      <c r="K218" s="621">
        <f>J218+I218</f>
        <v>0</v>
      </c>
      <c r="L218" s="585">
        <v>96</v>
      </c>
      <c r="M218" s="621">
        <f>K218*L218</f>
        <v>0</v>
      </c>
      <c r="N218" s="584" t="s">
        <v>140</v>
      </c>
      <c r="O218" s="584">
        <v>55</v>
      </c>
      <c r="P218" s="487" t="s">
        <v>146</v>
      </c>
      <c r="R218" s="487"/>
      <c r="S218" s="489"/>
      <c r="T218" s="489"/>
      <c r="U218" s="16">
        <v>0</v>
      </c>
      <c r="V218" s="620">
        <f>K218-U218</f>
        <v>0</v>
      </c>
      <c r="W218" s="618">
        <f>U218*L218</f>
        <v>0</v>
      </c>
      <c r="X218" s="228"/>
      <c r="Y218" s="586"/>
      <c r="Z218" s="586"/>
      <c r="AA218" s="617">
        <f>M218</f>
        <v>0</v>
      </c>
      <c r="AB218" s="61"/>
      <c r="AC218" s="616" t="str">
        <f>IF(Y218="","-",TEXT(Y218,"mmmmyy"))</f>
        <v>-</v>
      </c>
      <c r="AD218" s="588" t="s">
        <v>45</v>
      </c>
      <c r="AE218" s="589" t="s">
        <v>75</v>
      </c>
      <c r="AF218" s="250" t="s">
        <v>75</v>
      </c>
      <c r="AG218" s="250"/>
      <c r="AH218" s="250" t="s">
        <v>165</v>
      </c>
      <c r="AI218" s="590"/>
      <c r="AJ218" s="554">
        <v>43792161126</v>
      </c>
      <c r="AK218">
        <v>14380000</v>
      </c>
      <c r="AL218" s="61">
        <v>46174</v>
      </c>
      <c r="AM218" s="61">
        <v>46195</v>
      </c>
      <c r="AN218" s="593"/>
      <c r="AO218" s="592"/>
      <c r="AP218" s="46" t="s">
        <v>145</v>
      </c>
    </row>
    <row r="219" spans="1:42" x14ac:dyDescent="0.25">
      <c r="A219" s="582"/>
      <c r="B219" s="46">
        <v>5600000469</v>
      </c>
      <c r="C219" s="80" t="s">
        <v>1359</v>
      </c>
      <c r="D219" s="487">
        <v>46172</v>
      </c>
      <c r="E219" s="583" t="s">
        <v>1</v>
      </c>
      <c r="F219" s="262">
        <v>0.1</v>
      </c>
      <c r="G219" s="81" t="s">
        <v>245</v>
      </c>
      <c r="H219" s="584" t="s">
        <v>139</v>
      </c>
      <c r="I219" s="599">
        <v>0</v>
      </c>
      <c r="J219" s="59">
        <v>0</v>
      </c>
      <c r="K219" s="621">
        <f>J219+I219</f>
        <v>0</v>
      </c>
      <c r="L219" s="585">
        <v>96</v>
      </c>
      <c r="M219" s="621">
        <f>K219*L219</f>
        <v>0</v>
      </c>
      <c r="N219" s="584" t="s">
        <v>140</v>
      </c>
      <c r="O219" s="584">
        <v>55</v>
      </c>
      <c r="P219" s="487" t="s">
        <v>146</v>
      </c>
      <c r="R219" s="487"/>
      <c r="S219" s="489"/>
      <c r="T219" s="489"/>
      <c r="U219" s="16">
        <v>0</v>
      </c>
      <c r="V219" s="620">
        <f>K219-U219</f>
        <v>0</v>
      </c>
      <c r="W219" s="618">
        <f>U219*L219</f>
        <v>0</v>
      </c>
      <c r="X219" s="228"/>
      <c r="Y219" s="586"/>
      <c r="Z219" s="586"/>
      <c r="AA219" s="617">
        <f>M219</f>
        <v>0</v>
      </c>
      <c r="AB219" s="61"/>
      <c r="AC219" s="616" t="str">
        <f>IF(Y219="","-",TEXT(Y219,"mmmmyy"))</f>
        <v>-</v>
      </c>
      <c r="AD219" s="588" t="s">
        <v>45</v>
      </c>
      <c r="AE219" s="589" t="s">
        <v>75</v>
      </c>
      <c r="AF219" s="250" t="s">
        <v>75</v>
      </c>
      <c r="AG219" s="250"/>
      <c r="AH219" s="250" t="s">
        <v>165</v>
      </c>
      <c r="AI219" s="590"/>
      <c r="AJ219" s="554">
        <v>43630359430</v>
      </c>
      <c r="AK219">
        <v>16730000</v>
      </c>
      <c r="AL219" s="61">
        <v>46174</v>
      </c>
      <c r="AM219" s="61">
        <v>46195</v>
      </c>
      <c r="AN219" s="593"/>
      <c r="AO219" s="592"/>
      <c r="AP219" s="46" t="s">
        <v>145</v>
      </c>
    </row>
    <row r="220" spans="1:42" x14ac:dyDescent="0.25">
      <c r="A220" s="582">
        <v>317</v>
      </c>
      <c r="B220" s="46">
        <v>5600000486</v>
      </c>
      <c r="C220" s="80" t="s">
        <v>1360</v>
      </c>
      <c r="D220" s="487">
        <v>46174</v>
      </c>
      <c r="E220" s="583" t="s">
        <v>1</v>
      </c>
      <c r="F220" s="262">
        <v>0.1</v>
      </c>
      <c r="G220" s="81" t="s">
        <v>445</v>
      </c>
      <c r="H220" s="584" t="s">
        <v>139</v>
      </c>
      <c r="I220" s="599">
        <v>1279872</v>
      </c>
      <c r="J220" s="59">
        <v>0</v>
      </c>
      <c r="K220" s="621">
        <f>J220+I220</f>
        <v>1279872</v>
      </c>
      <c r="L220" s="585">
        <v>96</v>
      </c>
      <c r="M220" s="621">
        <f>K220*L220</f>
        <v>122867712</v>
      </c>
      <c r="N220" s="584" t="s">
        <v>140</v>
      </c>
      <c r="O220" s="584">
        <v>60</v>
      </c>
      <c r="P220" s="487" t="s">
        <v>16</v>
      </c>
      <c r="R220" s="487"/>
      <c r="S220" s="489"/>
      <c r="T220" s="489">
        <v>46218</v>
      </c>
      <c r="U220" s="16">
        <v>1279872</v>
      </c>
      <c r="V220" s="620">
        <f>K220-U220</f>
        <v>0</v>
      </c>
      <c r="W220" s="618">
        <f>U220*L220</f>
        <v>122867712</v>
      </c>
      <c r="X220" s="228"/>
      <c r="Y220" s="616">
        <f>T220+O220</f>
        <v>46278</v>
      </c>
      <c r="Z220" s="616">
        <f>Y220+2</f>
        <v>46280</v>
      </c>
      <c r="AA220" s="617">
        <f>M220</f>
        <v>122867712</v>
      </c>
      <c r="AB220" s="61"/>
      <c r="AC220" s="616" t="str">
        <f>IF(Y220="","-",TEXT(Y220,"mmmmyy"))</f>
        <v>September26</v>
      </c>
      <c r="AD220" s="588" t="s">
        <v>45</v>
      </c>
      <c r="AE220" s="589" t="s">
        <v>164</v>
      </c>
      <c r="AF220" s="250" t="s">
        <v>211</v>
      </c>
      <c r="AG220" s="250"/>
      <c r="AH220" s="250" t="s">
        <v>165</v>
      </c>
      <c r="AI220" s="590"/>
      <c r="AJ220" s="554">
        <v>42815340031</v>
      </c>
      <c r="AK220">
        <v>12280000</v>
      </c>
      <c r="AL220" s="61">
        <v>46218</v>
      </c>
      <c r="AM220" s="61">
        <v>46239</v>
      </c>
      <c r="AN220" s="593"/>
      <c r="AO220" s="592"/>
      <c r="AP220" s="46" t="s">
        <v>336</v>
      </c>
    </row>
    <row r="221" spans="1:42" x14ac:dyDescent="0.25">
      <c r="A221" s="582"/>
      <c r="B221" s="624"/>
      <c r="C221" s="600"/>
      <c r="D221" s="176"/>
      <c r="E221" s="176"/>
      <c r="F221" s="374"/>
      <c r="G221" s="601"/>
      <c r="H221" s="554"/>
      <c r="I221" s="375"/>
      <c r="J221" s="92"/>
      <c r="K221" s="602"/>
      <c r="L221" s="603"/>
      <c r="M221" s="602"/>
      <c r="N221" s="554"/>
      <c r="O221" s="554"/>
      <c r="P221" s="555"/>
      <c r="R221" s="487"/>
      <c r="S221" s="555"/>
      <c r="T221" s="555"/>
      <c r="U221" s="53"/>
      <c r="V221" s="53"/>
      <c r="W221" s="54"/>
      <c r="X221" s="376"/>
      <c r="Y221" s="556"/>
      <c r="Z221" s="556"/>
      <c r="AA221" s="602"/>
      <c r="AB221" s="61"/>
      <c r="AC221" s="556"/>
      <c r="AD221" s="556"/>
      <c r="AE221" s="590"/>
      <c r="AG221" s="590"/>
      <c r="AH221" s="590"/>
      <c r="AI221" s="590"/>
      <c r="AJ221" s="554"/>
      <c r="AK221"/>
      <c r="AL221" s="61"/>
      <c r="AM221" s="61"/>
      <c r="AN221" s="593"/>
      <c r="AO221" s="592"/>
      <c r="AP221" s="46"/>
    </row>
    <row r="222" spans="1:42" x14ac:dyDescent="0.25">
      <c r="A222" s="582"/>
      <c r="B222" s="625"/>
      <c r="C222" s="600"/>
      <c r="D222" s="176"/>
      <c r="E222" s="176"/>
      <c r="F222" s="604"/>
      <c r="G222" s="601"/>
      <c r="H222" s="554"/>
      <c r="I222" s="92"/>
      <c r="J222" s="92"/>
      <c r="K222" s="602"/>
      <c r="L222" s="605"/>
      <c r="M222" s="602"/>
      <c r="N222" s="554"/>
      <c r="O222" s="554"/>
      <c r="P222" s="555"/>
      <c r="Q222" s="606"/>
      <c r="R222" s="487"/>
      <c r="S222" s="555"/>
      <c r="T222" s="607"/>
      <c r="U222" s="53"/>
      <c r="V222" s="53"/>
      <c r="W222" s="54"/>
      <c r="X222" s="54"/>
      <c r="Y222" s="556"/>
      <c r="Z222" s="556"/>
      <c r="AA222" s="602"/>
      <c r="AB222" s="61"/>
      <c r="AC222" s="556"/>
      <c r="AD222" s="556"/>
      <c r="AE222" s="590"/>
      <c r="AG222" s="590"/>
      <c r="AH222" s="590"/>
      <c r="AI222" s="590"/>
      <c r="AJ222" s="554"/>
      <c r="AK222" s="367"/>
      <c r="AL222" s="61"/>
      <c r="AM222" s="61"/>
      <c r="AN222" s="6"/>
      <c r="AO222" s="592"/>
      <c r="AP222" s="46"/>
    </row>
    <row r="223" spans="1:42" x14ac:dyDescent="0.25">
      <c r="A223" s="608"/>
      <c r="B223" s="626"/>
      <c r="C223" s="609"/>
      <c r="D223" s="609"/>
      <c r="E223" s="609"/>
      <c r="F223" s="609"/>
      <c r="G223" s="610"/>
      <c r="H223" s="3"/>
      <c r="I223" s="622">
        <f>SUM(I2:I222)</f>
        <v>138476576.21000001</v>
      </c>
      <c r="J223" s="3"/>
      <c r="K223" s="622">
        <f>SUM(K2:K222)</f>
        <v>138018444.514</v>
      </c>
      <c r="L223" s="63"/>
      <c r="M223" s="622">
        <f>SUM(M2:M222)</f>
        <v>13167005526.126074</v>
      </c>
      <c r="N223" s="63"/>
      <c r="O223" s="63"/>
      <c r="P223" s="63"/>
      <c r="Q223" s="557"/>
      <c r="R223" s="487"/>
      <c r="S223" s="611"/>
      <c r="T223" s="557"/>
      <c r="U223" s="622">
        <f>SUM(U2:U222)</f>
        <v>138018462.17999998</v>
      </c>
      <c r="V223" s="622">
        <f>SUM(V2:V222)</f>
        <v>-17.665999999437531</v>
      </c>
      <c r="W223" s="622">
        <f>SUM(W2:W222)</f>
        <v>12998804418.14818</v>
      </c>
      <c r="X223" s="622">
        <f>SUM(X2:X222)</f>
        <v>24824.24720004946</v>
      </c>
      <c r="Y223" s="63"/>
      <c r="Z223" s="612"/>
      <c r="AA223" s="63"/>
      <c r="AB223" s="612"/>
      <c r="AC223" s="63"/>
      <c r="AD223" s="63"/>
      <c r="AE223" s="613"/>
      <c r="AG223" s="590"/>
      <c r="AH223" s="614"/>
      <c r="AI223" s="614"/>
      <c r="AJ223" s="554"/>
      <c r="AK223" s="622">
        <f>SUM(AK2:AK222)</f>
        <v>826867537.29999995</v>
      </c>
      <c r="AL223" s="612"/>
      <c r="AM223" s="612"/>
      <c r="AN223" s="615"/>
      <c r="AO223" s="612"/>
      <c r="AP223" s="558"/>
    </row>
    <row r="224" spans="1:42" x14ac:dyDescent="0.25">
      <c r="M224" s="1"/>
      <c r="AL224" s="58"/>
    </row>
  </sheetData>
  <dataValidations disablePrompts="1" count="10">
    <dataValidation type="list" allowBlank="1" showInputMessage="1" showErrorMessage="1" sqref="E12 E153:E154 E166:E171 E162:E163 E156:E159 E198:E200 E214:E221 E102:E151" xr:uid="{DFED77B0-02CD-4303-8056-83FADCCFF4E4}">
      <formula1>"SBI,IDBI,BOI"</formula1>
    </dataValidation>
    <dataValidation type="list" allowBlank="1" showInputMessage="1" showErrorMessage="1" sqref="E164:E165 E2:E11 E152 E155 E160:E161 E201:E213 E13:E101 E172:E197" xr:uid="{D30C2EDB-B4D7-4164-86C3-D815110A4E48}">
      <formula1>"SBI,IDBI,BOI,SBI 10%"</formula1>
    </dataValidation>
    <dataValidation type="list" allowBlank="1" showInputMessage="1" showErrorMessage="1" sqref="N2:N221" xr:uid="{F9AA24FB-C8D8-4E5D-950E-E770A05B9393}">
      <formula1>"Raw Material,Spares,CAPEX"</formula1>
    </dataValidation>
    <dataValidation type="list" allowBlank="1" showInputMessage="1" showErrorMessage="1" sqref="AE2:AE221" xr:uid="{EB711EF1-209D-4BBF-99CA-70F009CA54AB}">
      <formula1>"Paid,Unpaid,Cancelled"</formula1>
    </dataValidation>
    <dataValidation type="list" allowBlank="1" showInputMessage="1" showErrorMessage="1" sqref="F2:F221" xr:uid="{7E6C30AC-2FE1-44F5-B1E1-0D57BE36A26D}">
      <formula1>".10,1,1.10"</formula1>
    </dataValidation>
    <dataValidation type="list" allowBlank="1" showInputMessage="1" showErrorMessage="1" sqref="H2:H221" xr:uid="{E0189392-FDA4-421E-9774-92F861DD357B}">
      <formula1>"USD,EUR,HKD,"</formula1>
    </dataValidation>
    <dataValidation type="list" allowBlank="1" showInputMessage="1" showErrorMessage="1" sqref="AH2:AH221" xr:uid="{48B84184-9659-45FF-B6EE-A2F0CE5D100F}">
      <formula1>"Open,Closed,Cancelled"</formula1>
    </dataValidation>
    <dataValidation type="list" allowBlank="1" showInputMessage="1" showErrorMessage="1" sqref="AF2:AF1048576" xr:uid="{A895D234-2AEE-4FE6-984A-72F185CD98AF}">
      <formula1>"Received,Not Received,Cancelled"</formula1>
    </dataValidation>
    <dataValidation type="list" allowBlank="1" showInputMessage="1" showErrorMessage="1" sqref="P1:P1048576" xr:uid="{4EFD737D-9420-431E-8B63-8AC614CA9440}">
      <formula1>"YES,NO,CANCELLED,SOFT COPY,SBLC"</formula1>
    </dataValidation>
    <dataValidation type="list" allowBlank="1" showInputMessage="1" showErrorMessage="1" sqref="AI2:AI1048576" xr:uid="{EA42A93C-47A5-4E99-94D0-767667D381D6}">
      <formula1>"Yes, No, In Planning-SBI, Yes-SBI, In Planning"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D028D-7371-415D-8462-507B633CAD4D}">
  <dimension ref="B1:L12"/>
  <sheetViews>
    <sheetView workbookViewId="0">
      <selection activeCell="B1" sqref="B1"/>
    </sheetView>
  </sheetViews>
  <sheetFormatPr defaultRowHeight="15" x14ac:dyDescent="0.25"/>
  <cols>
    <col min="2" max="2" width="24.7109375" bestFit="1" customWidth="1"/>
    <col min="3" max="3" width="15.7109375" customWidth="1"/>
    <col min="4" max="4" width="45.5703125" bestFit="1" customWidth="1"/>
    <col min="5" max="5" width="13.85546875" bestFit="1" customWidth="1"/>
    <col min="6" max="6" width="14.28515625" bestFit="1" customWidth="1"/>
    <col min="7" max="7" width="21.42578125" customWidth="1"/>
    <col min="8" max="8" width="27.140625" customWidth="1"/>
    <col min="9" max="9" width="22.85546875" bestFit="1" customWidth="1"/>
    <col min="10" max="10" width="20.42578125" bestFit="1" customWidth="1"/>
    <col min="11" max="11" width="23.42578125" customWidth="1"/>
    <col min="12" max="12" width="22.42578125" bestFit="1" customWidth="1"/>
  </cols>
  <sheetData>
    <row r="1" spans="2:12" x14ac:dyDescent="0.25">
      <c r="F1" s="58"/>
    </row>
    <row r="2" spans="2:12" x14ac:dyDescent="0.25">
      <c r="B2" s="4" t="s">
        <v>605</v>
      </c>
      <c r="E2" s="1"/>
      <c r="J2" s="58"/>
      <c r="K2" s="58"/>
    </row>
    <row r="4" spans="2:12" ht="24.75" customHeight="1" x14ac:dyDescent="0.25">
      <c r="B4" s="368" t="s">
        <v>99</v>
      </c>
      <c r="C4" s="368" t="s">
        <v>100</v>
      </c>
      <c r="D4" s="368" t="s">
        <v>606</v>
      </c>
      <c r="E4" s="368" t="s">
        <v>607</v>
      </c>
      <c r="F4" s="368" t="s">
        <v>608</v>
      </c>
      <c r="G4" s="368" t="s">
        <v>609</v>
      </c>
      <c r="H4" s="369" t="s">
        <v>610</v>
      </c>
      <c r="I4" s="368" t="s">
        <v>121</v>
      </c>
      <c r="J4" s="368" t="s">
        <v>611</v>
      </c>
      <c r="K4" s="393" t="s">
        <v>612</v>
      </c>
      <c r="L4" s="57" t="s">
        <v>1371</v>
      </c>
    </row>
    <row r="5" spans="2:12" x14ac:dyDescent="0.25">
      <c r="B5" s="80" t="s">
        <v>285</v>
      </c>
      <c r="C5" s="61">
        <v>46101</v>
      </c>
      <c r="D5" s="81" t="s">
        <v>267</v>
      </c>
      <c r="E5" s="80" t="s">
        <v>139</v>
      </c>
      <c r="F5" s="79">
        <v>130770</v>
      </c>
      <c r="G5" s="363">
        <v>0</v>
      </c>
      <c r="H5" s="451">
        <f>F5-G5</f>
        <v>130770</v>
      </c>
      <c r="I5" s="381">
        <v>46177</v>
      </c>
      <c r="J5" s="80" t="s">
        <v>1367</v>
      </c>
      <c r="K5" s="394">
        <v>9246588</v>
      </c>
      <c r="L5" s="6">
        <v>81013533</v>
      </c>
    </row>
    <row r="6" spans="2:12" x14ac:dyDescent="0.25">
      <c r="B6" s="80" t="s">
        <v>288</v>
      </c>
      <c r="C6" s="61">
        <v>46101</v>
      </c>
      <c r="D6" s="81" t="s">
        <v>267</v>
      </c>
      <c r="E6" s="80" t="s">
        <v>139</v>
      </c>
      <c r="F6" s="79">
        <v>262440</v>
      </c>
      <c r="G6" s="363">
        <v>118</v>
      </c>
      <c r="H6" s="451">
        <f>F6-G6</f>
        <v>262322</v>
      </c>
      <c r="I6" s="381">
        <v>46177</v>
      </c>
      <c r="J6" s="80" t="s">
        <v>1368</v>
      </c>
      <c r="K6" s="394">
        <v>9151803</v>
      </c>
      <c r="L6" s="6">
        <v>81012295</v>
      </c>
    </row>
    <row r="7" spans="2:12" x14ac:dyDescent="0.25">
      <c r="B7" s="80" t="s">
        <v>432</v>
      </c>
      <c r="C7" s="61">
        <v>46127</v>
      </c>
      <c r="D7" s="81" t="s">
        <v>364</v>
      </c>
      <c r="E7" s="80" t="s">
        <v>139</v>
      </c>
      <c r="F7" s="79">
        <v>274950</v>
      </c>
      <c r="G7" s="363">
        <v>0</v>
      </c>
      <c r="H7" s="451">
        <f t="shared" ref="H7:H8" si="0">F7-G7</f>
        <v>274950</v>
      </c>
      <c r="I7" s="381">
        <v>46177</v>
      </c>
      <c r="J7" s="80" t="s">
        <v>1369</v>
      </c>
      <c r="K7" s="394">
        <v>9543987</v>
      </c>
      <c r="L7" s="6" t="s">
        <v>433</v>
      </c>
    </row>
    <row r="8" spans="2:12" x14ac:dyDescent="0.25">
      <c r="B8" s="80" t="s">
        <v>432</v>
      </c>
      <c r="C8" s="61">
        <v>46127</v>
      </c>
      <c r="D8" s="81" t="s">
        <v>364</v>
      </c>
      <c r="E8" s="80" t="s">
        <v>139</v>
      </c>
      <c r="F8" s="79">
        <v>412425</v>
      </c>
      <c r="G8" s="363">
        <v>0</v>
      </c>
      <c r="H8" s="451">
        <f t="shared" si="0"/>
        <v>412425</v>
      </c>
      <c r="I8" s="381">
        <v>46177</v>
      </c>
      <c r="J8" s="80" t="s">
        <v>1370</v>
      </c>
      <c r="K8" s="394" t="s">
        <v>1375</v>
      </c>
      <c r="L8" s="6" t="s">
        <v>434</v>
      </c>
    </row>
    <row r="9" spans="2:12" x14ac:dyDescent="0.25">
      <c r="B9" s="80"/>
      <c r="C9" s="61"/>
      <c r="D9" s="81"/>
      <c r="E9" s="80"/>
      <c r="F9" s="79"/>
      <c r="G9" s="363"/>
      <c r="H9" s="52"/>
      <c r="I9" s="392"/>
      <c r="J9" s="382"/>
      <c r="K9" s="394"/>
      <c r="L9" s="6"/>
    </row>
    <row r="10" spans="2:12" x14ac:dyDescent="0.25">
      <c r="B10" s="80"/>
      <c r="C10" s="61"/>
      <c r="D10" s="81"/>
      <c r="E10" s="80"/>
      <c r="F10" s="79"/>
      <c r="G10" s="363"/>
      <c r="H10" s="52"/>
      <c r="I10" s="392"/>
      <c r="J10" s="382"/>
      <c r="K10" s="394"/>
      <c r="L10" s="6"/>
    </row>
    <row r="11" spans="2:12" x14ac:dyDescent="0.25">
      <c r="B11" s="80"/>
      <c r="C11" s="61"/>
      <c r="D11" s="81"/>
      <c r="E11" s="80"/>
      <c r="F11" s="384"/>
      <c r="G11" s="363"/>
      <c r="H11" s="364"/>
      <c r="I11" s="383"/>
      <c r="J11" s="382"/>
      <c r="K11" s="394"/>
      <c r="L11" s="3"/>
    </row>
    <row r="12" spans="2:12" x14ac:dyDescent="0.25">
      <c r="B12" s="74"/>
      <c r="C12" s="74"/>
      <c r="D12" s="224" t="s">
        <v>613</v>
      </c>
      <c r="E12" s="74"/>
      <c r="F12" s="452">
        <f>SUBTOTAL(9,F5:F11)</f>
        <v>1080585</v>
      </c>
      <c r="G12" s="74"/>
      <c r="H12" s="452">
        <f>SUBTOTAL(9,H5:H11)</f>
        <v>1080467</v>
      </c>
      <c r="I12" s="63"/>
      <c r="J12" s="63"/>
      <c r="K12" s="361"/>
      <c r="L12" s="3"/>
    </row>
  </sheetData>
  <dataValidations count="1">
    <dataValidation type="list" allowBlank="1" showInputMessage="1" showErrorMessage="1" sqref="E5:E11" xr:uid="{CE7008C7-9EA5-4C8D-9E92-B5F7C089D71C}">
      <formula1>"USD,EUR,HKD,"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D5EAB-904A-4E78-A652-6C6ED801A13E}">
  <sheetPr>
    <pageSetUpPr fitToPage="1"/>
  </sheetPr>
  <dimension ref="A1:K15"/>
  <sheetViews>
    <sheetView zoomScaleNormal="100" workbookViewId="0">
      <selection activeCell="H1" sqref="H1"/>
    </sheetView>
  </sheetViews>
  <sheetFormatPr defaultRowHeight="15" x14ac:dyDescent="0.25"/>
  <cols>
    <col min="2" max="2" width="14.140625" bestFit="1" customWidth="1"/>
    <col min="3" max="3" width="9.7109375" bestFit="1" customWidth="1"/>
    <col min="4" max="4" width="12" bestFit="1" customWidth="1"/>
    <col min="5" max="5" width="46.28515625" bestFit="1" customWidth="1"/>
    <col min="6" max="6" width="23.85546875" style="259" bestFit="1" customWidth="1"/>
    <col min="7" max="7" width="13.7109375" bestFit="1" customWidth="1"/>
    <col min="8" max="8" width="17.7109375" style="261" bestFit="1" customWidth="1"/>
    <col min="9" max="9" width="17.7109375" style="261" customWidth="1"/>
    <col min="10" max="10" width="23.7109375" bestFit="1" customWidth="1"/>
    <col min="11" max="11" width="38" bestFit="1" customWidth="1"/>
  </cols>
  <sheetData>
    <row r="1" spans="1:11" x14ac:dyDescent="0.25">
      <c r="A1" s="74" t="s">
        <v>110</v>
      </c>
      <c r="B1" s="74" t="s">
        <v>101</v>
      </c>
      <c r="C1" s="74" t="s">
        <v>614</v>
      </c>
      <c r="D1" s="9" t="s">
        <v>615</v>
      </c>
      <c r="E1" s="205" t="s">
        <v>616</v>
      </c>
      <c r="F1" s="257" t="s">
        <v>617</v>
      </c>
      <c r="G1" s="205" t="s">
        <v>607</v>
      </c>
      <c r="H1" s="260" t="s">
        <v>618</v>
      </c>
      <c r="I1" s="260" t="s">
        <v>619</v>
      </c>
      <c r="J1" s="205" t="s">
        <v>620</v>
      </c>
      <c r="K1" s="9" t="s">
        <v>621</v>
      </c>
    </row>
    <row r="2" spans="1:11" x14ac:dyDescent="0.25">
      <c r="A2" s="3" t="s">
        <v>622</v>
      </c>
      <c r="B2" s="3" t="s">
        <v>1</v>
      </c>
      <c r="C2" s="263">
        <v>0.1</v>
      </c>
      <c r="D2" s="216">
        <v>5600000456</v>
      </c>
      <c r="E2" s="210" t="s">
        <v>624</v>
      </c>
      <c r="F2" s="258">
        <v>801024</v>
      </c>
      <c r="G2" s="215">
        <v>95</v>
      </c>
      <c r="H2" s="449">
        <f t="shared" ref="H2" si="0">F2*G2</f>
        <v>76097280</v>
      </c>
      <c r="I2" s="449">
        <f t="shared" ref="I2" si="1">H2*100%</f>
        <v>76097280</v>
      </c>
      <c r="J2" s="216" t="s">
        <v>429</v>
      </c>
      <c r="K2" s="6" t="s">
        <v>625</v>
      </c>
    </row>
    <row r="3" spans="1:11" x14ac:dyDescent="0.25">
      <c r="A3" s="3" t="s">
        <v>622</v>
      </c>
      <c r="B3" s="3" t="s">
        <v>1</v>
      </c>
      <c r="C3" s="263">
        <v>0.1</v>
      </c>
      <c r="D3" s="216">
        <v>5600000450</v>
      </c>
      <c r="E3" s="210" t="s">
        <v>352</v>
      </c>
      <c r="F3" s="258">
        <v>482500</v>
      </c>
      <c r="G3" s="215">
        <v>95</v>
      </c>
      <c r="H3" s="449">
        <f t="shared" ref="H3" si="2">F3*G3</f>
        <v>45837500</v>
      </c>
      <c r="I3" s="449">
        <f t="shared" ref="I3" si="3">H3*100%</f>
        <v>45837500</v>
      </c>
      <c r="J3" s="216" t="s">
        <v>626</v>
      </c>
      <c r="K3" s="6" t="s">
        <v>1298</v>
      </c>
    </row>
    <row r="4" spans="1:11" x14ac:dyDescent="0.25">
      <c r="A4" s="3" t="s">
        <v>622</v>
      </c>
      <c r="B4" s="3" t="s">
        <v>1</v>
      </c>
      <c r="C4" s="263">
        <v>0.1</v>
      </c>
      <c r="D4" s="216">
        <v>5600000455</v>
      </c>
      <c r="E4" s="210" t="s">
        <v>624</v>
      </c>
      <c r="F4" s="258">
        <v>801024</v>
      </c>
      <c r="G4" s="215">
        <v>95</v>
      </c>
      <c r="H4" s="449">
        <f>F4*G4</f>
        <v>76097280</v>
      </c>
      <c r="I4" s="449">
        <f>H4*100%</f>
        <v>76097280</v>
      </c>
      <c r="J4" s="216" t="s">
        <v>429</v>
      </c>
      <c r="K4" s="6" t="s">
        <v>625</v>
      </c>
    </row>
    <row r="5" spans="1:11" x14ac:dyDescent="0.25">
      <c r="A5" s="3" t="s">
        <v>622</v>
      </c>
      <c r="B5" s="3" t="s">
        <v>1</v>
      </c>
      <c r="C5" s="263">
        <v>0.1</v>
      </c>
      <c r="D5" s="216">
        <v>5600000451</v>
      </c>
      <c r="E5" s="210" t="s">
        <v>223</v>
      </c>
      <c r="F5" s="258">
        <v>1089760</v>
      </c>
      <c r="G5" s="215">
        <v>95</v>
      </c>
      <c r="H5" s="449">
        <f t="shared" ref="H5" si="4">F5*G5</f>
        <v>103527200</v>
      </c>
      <c r="I5" s="449">
        <f t="shared" ref="I5" si="5">H5*100%</f>
        <v>103527200</v>
      </c>
      <c r="J5" s="216" t="s">
        <v>626</v>
      </c>
      <c r="K5" s="6" t="s">
        <v>625</v>
      </c>
    </row>
    <row r="6" spans="1:11" x14ac:dyDescent="0.25">
      <c r="A6" s="3" t="s">
        <v>622</v>
      </c>
      <c r="B6" s="3" t="s">
        <v>1</v>
      </c>
      <c r="C6" s="263">
        <v>0.1</v>
      </c>
      <c r="D6" s="216">
        <v>5600000449</v>
      </c>
      <c r="E6" s="210" t="s">
        <v>223</v>
      </c>
      <c r="F6" s="258">
        <v>1107400</v>
      </c>
      <c r="G6" s="215">
        <v>95</v>
      </c>
      <c r="H6" s="449">
        <f t="shared" ref="H6" si="6">F6*G6</f>
        <v>105203000</v>
      </c>
      <c r="I6" s="449">
        <f t="shared" ref="I6" si="7">H6*100%</f>
        <v>105203000</v>
      </c>
      <c r="J6" s="216" t="s">
        <v>626</v>
      </c>
      <c r="K6" s="6" t="s">
        <v>625</v>
      </c>
    </row>
    <row r="7" spans="1:11" x14ac:dyDescent="0.25">
      <c r="A7" s="3" t="s">
        <v>622</v>
      </c>
      <c r="B7" s="3" t="s">
        <v>1</v>
      </c>
      <c r="C7" s="263">
        <v>0.1</v>
      </c>
      <c r="D7" s="216"/>
      <c r="E7" s="210" t="s">
        <v>627</v>
      </c>
      <c r="F7" s="258">
        <v>575815.68000000005</v>
      </c>
      <c r="G7" s="215">
        <v>95</v>
      </c>
      <c r="H7" s="449">
        <f t="shared" ref="H7" si="8">F7*G7</f>
        <v>54702489.600000001</v>
      </c>
      <c r="I7" s="449">
        <f t="shared" ref="I7" si="9">H7*100%</f>
        <v>54702489.600000001</v>
      </c>
      <c r="J7" s="216" t="s">
        <v>628</v>
      </c>
      <c r="K7" s="6" t="s">
        <v>623</v>
      </c>
    </row>
    <row r="10" spans="1:11" s="223" customFormat="1" x14ac:dyDescent="0.25">
      <c r="E10" s="223" t="s">
        <v>53</v>
      </c>
      <c r="F10" s="299"/>
      <c r="H10" s="450">
        <f>SUM(H2:H9)</f>
        <v>461464749.60000002</v>
      </c>
      <c r="I10" s="300"/>
    </row>
    <row r="14" spans="1:11" x14ac:dyDescent="0.25">
      <c r="G14" s="58"/>
    </row>
    <row r="15" spans="1:11" x14ac:dyDescent="0.25">
      <c r="G15" s="58"/>
    </row>
  </sheetData>
  <autoFilter ref="A1:K7" xr:uid="{9A3D5EAB-904A-4E78-A652-6C6ED801A13E}"/>
  <dataValidations count="3">
    <dataValidation type="list" allowBlank="1" showInputMessage="1" showErrorMessage="1" sqref="A2:A7" xr:uid="{F20327F9-02E7-498C-AFBD-07F1AAD768EF}">
      <formula1>"LC,BG"</formula1>
    </dataValidation>
    <dataValidation type="list" allowBlank="1" showInputMessage="1" showErrorMessage="1" sqref="B2:B7" xr:uid="{44A9C316-91E9-491A-B7AF-8994D5CB190E}">
      <formula1>"SBI,IDBI,BOI"</formula1>
    </dataValidation>
    <dataValidation type="list" allowBlank="1" showInputMessage="1" showErrorMessage="1" sqref="K1:K7" xr:uid="{1F7144D7-F64C-41F5-8D53-A66A3FBEA0F3}">
      <formula1>"DOC SUBMITTED TO BANK, LC DRAFT CONFRIMATION PENDING, HOLD"</formula1>
    </dataValidation>
  </dataValidations>
  <pageMargins left="0.70866141732283472" right="0.70866141732283472" top="0.74803149606299213" bottom="0.74803149606299213" header="0.31496062992125984" footer="0.31496062992125984"/>
  <pageSetup paperSize="9" scale="7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2FC6-33A8-4097-A8BA-F5389F3D837D}">
  <dimension ref="A1:J88"/>
  <sheetViews>
    <sheetView workbookViewId="0"/>
  </sheetViews>
  <sheetFormatPr defaultRowHeight="15" x14ac:dyDescent="0.25"/>
  <cols>
    <col min="1" max="1" width="8.7109375" bestFit="1" customWidth="1"/>
    <col min="2" max="2" width="51.140625" bestFit="1" customWidth="1"/>
    <col min="3" max="3" width="14.7109375" bestFit="1" customWidth="1"/>
    <col min="4" max="4" width="18.42578125" bestFit="1" customWidth="1"/>
    <col min="5" max="5" width="12.5703125" bestFit="1" customWidth="1"/>
    <col min="6" max="7" width="10.42578125" bestFit="1" customWidth="1"/>
    <col min="8" max="8" width="44.7109375" bestFit="1" customWidth="1"/>
  </cols>
  <sheetData>
    <row r="1" spans="1:10" ht="30" x14ac:dyDescent="0.25">
      <c r="A1" s="19" t="s">
        <v>635</v>
      </c>
      <c r="B1" s="19" t="s">
        <v>636</v>
      </c>
      <c r="C1" s="20" t="s">
        <v>110</v>
      </c>
      <c r="D1" s="20" t="s">
        <v>637</v>
      </c>
      <c r="E1" s="42" t="s">
        <v>638</v>
      </c>
      <c r="F1" s="20" t="s">
        <v>639</v>
      </c>
      <c r="G1" s="20" t="s">
        <v>640</v>
      </c>
      <c r="H1" s="20" t="s">
        <v>98</v>
      </c>
    </row>
    <row r="2" spans="1:10" x14ac:dyDescent="0.25">
      <c r="A2" s="179">
        <v>1</v>
      </c>
      <c r="B2" s="18" t="s">
        <v>641</v>
      </c>
      <c r="C2" s="28" t="s">
        <v>642</v>
      </c>
      <c r="D2" s="44" t="s">
        <v>247</v>
      </c>
      <c r="E2" s="43">
        <v>288545</v>
      </c>
      <c r="F2" s="30">
        <v>45268</v>
      </c>
      <c r="G2" s="30">
        <v>46252</v>
      </c>
      <c r="H2" s="46">
        <v>1100000132</v>
      </c>
    </row>
    <row r="3" spans="1:10" x14ac:dyDescent="0.25">
      <c r="A3" s="179">
        <v>2</v>
      </c>
      <c r="B3" s="18" t="s">
        <v>641</v>
      </c>
      <c r="C3" s="28" t="s">
        <v>642</v>
      </c>
      <c r="D3" s="44" t="s">
        <v>247</v>
      </c>
      <c r="E3" s="43">
        <v>932896</v>
      </c>
      <c r="F3" s="30">
        <v>45268</v>
      </c>
      <c r="G3" s="30">
        <v>46360</v>
      </c>
      <c r="H3" s="46">
        <v>1100000275</v>
      </c>
    </row>
    <row r="4" spans="1:10" x14ac:dyDescent="0.25">
      <c r="A4" s="179">
        <v>3</v>
      </c>
      <c r="B4" s="18" t="s">
        <v>641</v>
      </c>
      <c r="C4" s="28" t="s">
        <v>642</v>
      </c>
      <c r="D4" s="44" t="s">
        <v>247</v>
      </c>
      <c r="E4" s="43">
        <v>1872150</v>
      </c>
      <c r="F4" s="30">
        <v>45268</v>
      </c>
      <c r="G4" s="30">
        <v>46313</v>
      </c>
      <c r="H4" s="46">
        <v>1100000133</v>
      </c>
    </row>
    <row r="5" spans="1:10" x14ac:dyDescent="0.25">
      <c r="A5" s="179">
        <v>4</v>
      </c>
      <c r="B5" s="18" t="s">
        <v>643</v>
      </c>
      <c r="C5" s="28" t="s">
        <v>644</v>
      </c>
      <c r="D5" s="28" t="s">
        <v>645</v>
      </c>
      <c r="E5" s="43">
        <v>1010000</v>
      </c>
      <c r="F5" s="30">
        <v>45271</v>
      </c>
      <c r="G5" s="30">
        <v>45619</v>
      </c>
      <c r="H5" s="46">
        <v>1100000209</v>
      </c>
    </row>
    <row r="6" spans="1:10" x14ac:dyDescent="0.25">
      <c r="A6" s="179">
        <v>7</v>
      </c>
      <c r="B6" s="18" t="s">
        <v>646</v>
      </c>
      <c r="C6" s="28" t="s">
        <v>644</v>
      </c>
      <c r="D6" s="28" t="s">
        <v>647</v>
      </c>
      <c r="E6" s="43">
        <v>207500</v>
      </c>
      <c r="F6" s="30">
        <v>45350</v>
      </c>
      <c r="G6" s="30">
        <v>45636</v>
      </c>
      <c r="H6" s="45" t="s">
        <v>648</v>
      </c>
    </row>
    <row r="7" spans="1:10" x14ac:dyDescent="0.25">
      <c r="A7" s="179">
        <v>8</v>
      </c>
      <c r="B7" s="18" t="s">
        <v>649</v>
      </c>
      <c r="C7" s="28" t="s">
        <v>644</v>
      </c>
      <c r="D7" s="28" t="s">
        <v>647</v>
      </c>
      <c r="E7" s="43">
        <v>35200000</v>
      </c>
      <c r="F7" s="30">
        <v>45428</v>
      </c>
      <c r="G7" s="30">
        <v>45519</v>
      </c>
      <c r="H7" s="45" t="s">
        <v>650</v>
      </c>
    </row>
    <row r="8" spans="1:10" x14ac:dyDescent="0.25">
      <c r="A8" s="179">
        <v>10</v>
      </c>
      <c r="B8" s="18" t="s">
        <v>649</v>
      </c>
      <c r="C8" s="28" t="s">
        <v>644</v>
      </c>
      <c r="D8" s="28" t="s">
        <v>647</v>
      </c>
      <c r="E8" s="43">
        <v>8800000</v>
      </c>
      <c r="F8" s="30">
        <v>45510</v>
      </c>
      <c r="G8" s="30">
        <v>46086</v>
      </c>
      <c r="H8" s="45" t="s">
        <v>650</v>
      </c>
    </row>
    <row r="9" spans="1:10" x14ac:dyDescent="0.25">
      <c r="A9" s="179">
        <v>11</v>
      </c>
      <c r="B9" s="18" t="s">
        <v>641</v>
      </c>
      <c r="C9" s="28" t="s">
        <v>642</v>
      </c>
      <c r="D9" s="28" t="s">
        <v>247</v>
      </c>
      <c r="E9" s="43">
        <v>2840000</v>
      </c>
      <c r="F9" s="30">
        <v>45637</v>
      </c>
      <c r="G9" s="30">
        <v>46665</v>
      </c>
      <c r="H9" s="45" t="s">
        <v>651</v>
      </c>
    </row>
    <row r="10" spans="1:10" x14ac:dyDescent="0.25">
      <c r="A10" s="179">
        <v>12</v>
      </c>
      <c r="B10" s="18" t="s">
        <v>646</v>
      </c>
      <c r="C10" s="28" t="s">
        <v>644</v>
      </c>
      <c r="D10" s="28" t="s">
        <v>647</v>
      </c>
      <c r="E10" s="43">
        <v>184000</v>
      </c>
      <c r="F10" s="30">
        <v>45674</v>
      </c>
      <c r="G10" s="30">
        <v>46002</v>
      </c>
      <c r="H10" s="45" t="s">
        <v>652</v>
      </c>
    </row>
    <row r="11" spans="1:10" x14ac:dyDescent="0.25">
      <c r="A11" s="179">
        <v>13</v>
      </c>
      <c r="B11" s="18" t="s">
        <v>653</v>
      </c>
      <c r="C11" s="28" t="s">
        <v>644</v>
      </c>
      <c r="D11" s="28" t="s">
        <v>647</v>
      </c>
      <c r="E11" s="43">
        <v>34398745</v>
      </c>
      <c r="F11" s="30">
        <v>45735</v>
      </c>
      <c r="G11" s="30">
        <v>45930</v>
      </c>
      <c r="H11" s="45" t="s">
        <v>654</v>
      </c>
    </row>
    <row r="12" spans="1:10" x14ac:dyDescent="0.25">
      <c r="A12" s="179">
        <v>14</v>
      </c>
      <c r="B12" s="18" t="s">
        <v>655</v>
      </c>
      <c r="C12" s="28" t="s">
        <v>644</v>
      </c>
      <c r="D12" s="28" t="s">
        <v>647</v>
      </c>
      <c r="E12" s="43">
        <v>109815000</v>
      </c>
      <c r="F12" s="30">
        <v>45775</v>
      </c>
      <c r="G12" s="30">
        <v>46112</v>
      </c>
      <c r="H12" s="45" t="s">
        <v>656</v>
      </c>
    </row>
    <row r="13" spans="1:10" x14ac:dyDescent="0.25">
      <c r="A13" s="179">
        <v>15</v>
      </c>
      <c r="B13" s="18" t="s">
        <v>657</v>
      </c>
      <c r="C13" s="28" t="s">
        <v>644</v>
      </c>
      <c r="D13" s="28" t="s">
        <v>658</v>
      </c>
      <c r="E13" s="43">
        <v>2210000</v>
      </c>
      <c r="F13" s="30">
        <v>45777</v>
      </c>
      <c r="G13" s="30">
        <v>45882</v>
      </c>
      <c r="H13" s="45" t="s">
        <v>659</v>
      </c>
    </row>
    <row r="14" spans="1:10" ht="15.75" x14ac:dyDescent="0.25">
      <c r="A14" s="179">
        <v>16</v>
      </c>
      <c r="B14" s="18" t="s">
        <v>660</v>
      </c>
      <c r="C14" s="28" t="s">
        <v>644</v>
      </c>
      <c r="D14" s="28" t="s">
        <v>645</v>
      </c>
      <c r="E14" s="43">
        <v>42375730</v>
      </c>
      <c r="F14" s="30">
        <v>45791</v>
      </c>
      <c r="G14" s="30">
        <v>45960</v>
      </c>
      <c r="H14" s="45" t="s">
        <v>661</v>
      </c>
      <c r="J14" s="186"/>
    </row>
    <row r="15" spans="1:10" ht="15.75" x14ac:dyDescent="0.25">
      <c r="A15" s="182">
        <v>17</v>
      </c>
      <c r="B15" s="62" t="s">
        <v>662</v>
      </c>
      <c r="C15" s="112" t="s">
        <v>644</v>
      </c>
      <c r="D15" s="112" t="s">
        <v>663</v>
      </c>
      <c r="E15" s="201">
        <v>3000000</v>
      </c>
      <c r="F15" s="61">
        <v>45793</v>
      </c>
      <c r="G15" s="61">
        <v>46101</v>
      </c>
      <c r="H15" s="45" t="s">
        <v>664</v>
      </c>
      <c r="J15" s="186"/>
    </row>
    <row r="16" spans="1:10" ht="15.75" x14ac:dyDescent="0.25">
      <c r="A16" s="182">
        <v>18</v>
      </c>
      <c r="B16" s="62" t="s">
        <v>662</v>
      </c>
      <c r="C16" s="112" t="s">
        <v>644</v>
      </c>
      <c r="D16" s="112" t="s">
        <v>663</v>
      </c>
      <c r="E16" s="201">
        <v>11510000</v>
      </c>
      <c r="F16" s="61">
        <v>45793</v>
      </c>
      <c r="G16" s="61">
        <v>46101</v>
      </c>
      <c r="H16" s="45" t="s">
        <v>665</v>
      </c>
      <c r="J16" s="186"/>
    </row>
    <row r="17" spans="1:10" ht="15.75" x14ac:dyDescent="0.25">
      <c r="A17" s="182">
        <v>19</v>
      </c>
      <c r="B17" s="62" t="s">
        <v>649</v>
      </c>
      <c r="C17" s="112" t="s">
        <v>644</v>
      </c>
      <c r="D17" s="112" t="s">
        <v>663</v>
      </c>
      <c r="E17" s="201">
        <v>27734400</v>
      </c>
      <c r="F17" s="61">
        <v>45806</v>
      </c>
      <c r="G17" s="61">
        <v>45896</v>
      </c>
      <c r="H17" s="45" t="s">
        <v>666</v>
      </c>
      <c r="J17" s="186"/>
    </row>
    <row r="18" spans="1:10" ht="15.75" x14ac:dyDescent="0.25">
      <c r="A18" s="182">
        <v>20</v>
      </c>
      <c r="B18" s="62" t="s">
        <v>649</v>
      </c>
      <c r="C18" s="112" t="s">
        <v>644</v>
      </c>
      <c r="D18" s="112" t="s">
        <v>663</v>
      </c>
      <c r="E18" s="201">
        <v>87043744</v>
      </c>
      <c r="F18" s="61">
        <v>45806</v>
      </c>
      <c r="G18" s="61">
        <v>45896</v>
      </c>
      <c r="H18" s="45" t="s">
        <v>665</v>
      </c>
      <c r="J18" s="186"/>
    </row>
    <row r="19" spans="1:10" ht="15.75" x14ac:dyDescent="0.25">
      <c r="A19" s="182">
        <v>21</v>
      </c>
      <c r="B19" s="62" t="s">
        <v>667</v>
      </c>
      <c r="C19" s="112" t="s">
        <v>644</v>
      </c>
      <c r="D19" s="112" t="s">
        <v>1</v>
      </c>
      <c r="E19" s="201">
        <v>22972980</v>
      </c>
      <c r="F19" s="61">
        <v>45796</v>
      </c>
      <c r="G19" s="61">
        <v>46112</v>
      </c>
      <c r="H19" s="45" t="s">
        <v>668</v>
      </c>
      <c r="J19" s="186"/>
    </row>
    <row r="20" spans="1:10" ht="15.75" x14ac:dyDescent="0.25">
      <c r="A20" s="182">
        <v>22</v>
      </c>
      <c r="B20" s="62" t="s">
        <v>669</v>
      </c>
      <c r="C20" s="112" t="s">
        <v>644</v>
      </c>
      <c r="D20" s="112" t="s">
        <v>2</v>
      </c>
      <c r="E20" s="201">
        <v>14946077</v>
      </c>
      <c r="F20" s="61">
        <v>45807</v>
      </c>
      <c r="G20" s="61">
        <v>46122</v>
      </c>
      <c r="H20" s="45" t="s">
        <v>670</v>
      </c>
      <c r="J20" s="186"/>
    </row>
    <row r="21" spans="1:10" ht="15.75" x14ac:dyDescent="0.25">
      <c r="A21" s="182">
        <v>23</v>
      </c>
      <c r="B21" s="62" t="s">
        <v>671</v>
      </c>
      <c r="C21" s="112" t="s">
        <v>644</v>
      </c>
      <c r="D21" s="112" t="s">
        <v>647</v>
      </c>
      <c r="E21" s="201">
        <v>2595000</v>
      </c>
      <c r="F21" s="61">
        <v>45831</v>
      </c>
      <c r="G21" s="61">
        <v>45995</v>
      </c>
      <c r="H21" s="45" t="s">
        <v>672</v>
      </c>
      <c r="J21" s="186"/>
    </row>
    <row r="22" spans="1:10" ht="15.75" x14ac:dyDescent="0.25">
      <c r="A22" s="182">
        <v>24</v>
      </c>
      <c r="B22" s="62" t="s">
        <v>673</v>
      </c>
      <c r="C22" s="112" t="s">
        <v>644</v>
      </c>
      <c r="D22" s="112" t="s">
        <v>674</v>
      </c>
      <c r="E22" s="201">
        <v>4287500</v>
      </c>
      <c r="F22" s="61">
        <v>45821</v>
      </c>
      <c r="G22" s="61">
        <v>46550</v>
      </c>
      <c r="H22" s="45" t="s">
        <v>675</v>
      </c>
      <c r="J22" s="186"/>
    </row>
    <row r="23" spans="1:10" ht="15.75" x14ac:dyDescent="0.25">
      <c r="A23" s="182">
        <v>25</v>
      </c>
      <c r="B23" s="62" t="s">
        <v>676</v>
      </c>
      <c r="C23" s="112" t="s">
        <v>644</v>
      </c>
      <c r="D23" s="112" t="s">
        <v>677</v>
      </c>
      <c r="E23" s="201">
        <v>11863789</v>
      </c>
      <c r="F23" s="61">
        <v>45825</v>
      </c>
      <c r="G23" s="61">
        <v>45930</v>
      </c>
      <c r="H23" s="45" t="s">
        <v>678</v>
      </c>
      <c r="J23" s="186"/>
    </row>
    <row r="24" spans="1:10" ht="15.75" x14ac:dyDescent="0.25">
      <c r="A24" s="182">
        <v>26</v>
      </c>
      <c r="B24" s="62" t="s">
        <v>679</v>
      </c>
      <c r="C24" s="112" t="s">
        <v>644</v>
      </c>
      <c r="D24" s="112" t="s">
        <v>1</v>
      </c>
      <c r="E24" s="201">
        <v>23227400</v>
      </c>
      <c r="F24" s="61">
        <v>45829</v>
      </c>
      <c r="G24" s="61">
        <v>46022</v>
      </c>
      <c r="H24" s="45" t="s">
        <v>680</v>
      </c>
      <c r="J24" s="186"/>
    </row>
    <row r="25" spans="1:10" ht="15.75" x14ac:dyDescent="0.25">
      <c r="A25" s="182">
        <v>28</v>
      </c>
      <c r="B25" s="62" t="s">
        <v>681</v>
      </c>
      <c r="C25" s="112" t="s">
        <v>644</v>
      </c>
      <c r="D25" s="112" t="s">
        <v>682</v>
      </c>
      <c r="E25" s="201">
        <v>114300</v>
      </c>
      <c r="F25" s="61">
        <v>45854</v>
      </c>
      <c r="G25" s="61">
        <v>46198</v>
      </c>
      <c r="H25" s="45" t="s">
        <v>683</v>
      </c>
      <c r="J25" s="186"/>
    </row>
    <row r="26" spans="1:10" ht="15.75" x14ac:dyDescent="0.25">
      <c r="A26" s="182">
        <v>29</v>
      </c>
      <c r="B26" s="62" t="s">
        <v>681</v>
      </c>
      <c r="C26" s="112" t="s">
        <v>644</v>
      </c>
      <c r="D26" s="112" t="s">
        <v>682</v>
      </c>
      <c r="E26" s="201">
        <v>212900</v>
      </c>
      <c r="F26" s="61">
        <v>45854</v>
      </c>
      <c r="G26" s="61">
        <v>46198</v>
      </c>
      <c r="H26" s="45" t="s">
        <v>684</v>
      </c>
      <c r="J26" s="186"/>
    </row>
    <row r="27" spans="1:10" ht="15.75" x14ac:dyDescent="0.25">
      <c r="A27" s="182">
        <v>30</v>
      </c>
      <c r="B27" s="62" t="s">
        <v>653</v>
      </c>
      <c r="C27" s="112" t="s">
        <v>644</v>
      </c>
      <c r="D27" s="112" t="s">
        <v>674</v>
      </c>
      <c r="E27" s="201">
        <v>1863401</v>
      </c>
      <c r="F27" s="61">
        <v>45930</v>
      </c>
      <c r="G27" s="61">
        <v>46021</v>
      </c>
      <c r="H27" s="45" t="s">
        <v>685</v>
      </c>
      <c r="J27" s="186"/>
    </row>
    <row r="28" spans="1:10" ht="15.75" x14ac:dyDescent="0.25">
      <c r="A28" s="182">
        <v>31</v>
      </c>
      <c r="B28" s="62" t="s">
        <v>653</v>
      </c>
      <c r="C28" s="112" t="s">
        <v>644</v>
      </c>
      <c r="D28" s="112" t="s">
        <v>674</v>
      </c>
      <c r="E28" s="201">
        <v>17199373</v>
      </c>
      <c r="F28" s="61">
        <v>45898</v>
      </c>
      <c r="G28" s="61">
        <v>46386</v>
      </c>
      <c r="H28" s="45" t="s">
        <v>654</v>
      </c>
      <c r="J28" s="186"/>
    </row>
    <row r="29" spans="1:10" ht="15.75" x14ac:dyDescent="0.25">
      <c r="A29" s="182">
        <v>32</v>
      </c>
      <c r="B29" s="62" t="s">
        <v>671</v>
      </c>
      <c r="C29" s="112" t="s">
        <v>644</v>
      </c>
      <c r="D29" s="112" t="s">
        <v>647</v>
      </c>
      <c r="E29" s="201">
        <v>2600000</v>
      </c>
      <c r="F29" s="61">
        <v>45908</v>
      </c>
      <c r="G29" s="61">
        <v>46012</v>
      </c>
      <c r="H29" s="45" t="s">
        <v>686</v>
      </c>
      <c r="J29" s="186"/>
    </row>
    <row r="30" spans="1:10" ht="15.75" x14ac:dyDescent="0.25">
      <c r="A30" s="182">
        <v>33</v>
      </c>
      <c r="B30" s="62" t="s">
        <v>687</v>
      </c>
      <c r="C30" s="112" t="s">
        <v>644</v>
      </c>
      <c r="D30" s="112" t="s">
        <v>674</v>
      </c>
      <c r="E30" s="201">
        <v>3100713</v>
      </c>
      <c r="F30" s="61">
        <v>45912</v>
      </c>
      <c r="G30" s="61">
        <v>45991</v>
      </c>
      <c r="H30" s="45" t="s">
        <v>688</v>
      </c>
      <c r="J30" s="186"/>
    </row>
    <row r="31" spans="1:10" ht="15.75" x14ac:dyDescent="0.25">
      <c r="A31" s="182">
        <v>33</v>
      </c>
      <c r="B31" s="62" t="s">
        <v>687</v>
      </c>
      <c r="C31" s="112" t="s">
        <v>644</v>
      </c>
      <c r="D31" s="112" t="s">
        <v>674</v>
      </c>
      <c r="E31" s="201">
        <v>14750000</v>
      </c>
      <c r="F31" s="61">
        <v>45919</v>
      </c>
      <c r="G31" s="61">
        <v>45991</v>
      </c>
      <c r="H31" s="45" t="s">
        <v>689</v>
      </c>
      <c r="J31" s="186"/>
    </row>
    <row r="32" spans="1:10" ht="15.75" x14ac:dyDescent="0.25">
      <c r="A32" s="182">
        <v>36</v>
      </c>
      <c r="B32" s="62" t="s">
        <v>690</v>
      </c>
      <c r="C32" s="112" t="s">
        <v>644</v>
      </c>
      <c r="D32" s="112" t="s">
        <v>663</v>
      </c>
      <c r="E32" s="201">
        <v>1980036</v>
      </c>
      <c r="F32" s="61">
        <v>45922</v>
      </c>
      <c r="G32" s="61">
        <v>46011</v>
      </c>
      <c r="H32" s="45" t="s">
        <v>691</v>
      </c>
      <c r="J32" s="186"/>
    </row>
    <row r="33" spans="1:10" ht="15.75" x14ac:dyDescent="0.25">
      <c r="A33" s="182">
        <v>37</v>
      </c>
      <c r="B33" s="62" t="s">
        <v>673</v>
      </c>
      <c r="C33" s="112" t="s">
        <v>644</v>
      </c>
      <c r="D33" s="112" t="s">
        <v>674</v>
      </c>
      <c r="E33" s="201">
        <v>3136407</v>
      </c>
      <c r="F33" s="61">
        <v>45933</v>
      </c>
      <c r="G33" s="61">
        <v>46053</v>
      </c>
      <c r="H33" s="45" t="s">
        <v>692</v>
      </c>
      <c r="J33" s="186"/>
    </row>
    <row r="34" spans="1:10" ht="15.75" x14ac:dyDescent="0.25">
      <c r="A34" s="182">
        <v>39</v>
      </c>
      <c r="B34" s="62" t="s">
        <v>696</v>
      </c>
      <c r="C34" s="112" t="s">
        <v>644</v>
      </c>
      <c r="D34" s="112" t="s">
        <v>674</v>
      </c>
      <c r="E34" s="201">
        <v>5000000</v>
      </c>
      <c r="F34" s="61">
        <v>45959</v>
      </c>
      <c r="G34" s="61">
        <v>46127</v>
      </c>
      <c r="H34" s="45" t="s">
        <v>697</v>
      </c>
      <c r="J34" s="186"/>
    </row>
    <row r="35" spans="1:10" ht="15.75" x14ac:dyDescent="0.25">
      <c r="A35" s="182">
        <v>40</v>
      </c>
      <c r="B35" s="62" t="s">
        <v>696</v>
      </c>
      <c r="C35" s="112" t="s">
        <v>644</v>
      </c>
      <c r="D35" s="112" t="s">
        <v>674</v>
      </c>
      <c r="E35" s="201">
        <v>5000000</v>
      </c>
      <c r="F35" s="61">
        <v>45959</v>
      </c>
      <c r="G35" s="61">
        <v>46127</v>
      </c>
      <c r="H35" s="45" t="s">
        <v>697</v>
      </c>
      <c r="J35" s="186"/>
    </row>
    <row r="36" spans="1:10" ht="15.75" x14ac:dyDescent="0.25">
      <c r="A36" s="182">
        <v>41</v>
      </c>
      <c r="B36" s="62" t="s">
        <v>696</v>
      </c>
      <c r="C36" s="112" t="s">
        <v>644</v>
      </c>
      <c r="D36" s="112" t="s">
        <v>674</v>
      </c>
      <c r="E36" s="201">
        <v>5000000</v>
      </c>
      <c r="F36" s="61">
        <v>45959</v>
      </c>
      <c r="G36" s="61">
        <v>46127</v>
      </c>
      <c r="H36" s="45" t="s">
        <v>697</v>
      </c>
      <c r="J36" s="186"/>
    </row>
    <row r="37" spans="1:10" ht="15.75" x14ac:dyDescent="0.25">
      <c r="A37" s="182">
        <v>42</v>
      </c>
      <c r="B37" s="62" t="s">
        <v>696</v>
      </c>
      <c r="C37" s="112" t="s">
        <v>644</v>
      </c>
      <c r="D37" s="112" t="s">
        <v>674</v>
      </c>
      <c r="E37" s="201">
        <v>2450000</v>
      </c>
      <c r="F37" s="61">
        <v>45959</v>
      </c>
      <c r="G37" s="61">
        <v>46127</v>
      </c>
      <c r="H37" s="45" t="s">
        <v>697</v>
      </c>
      <c r="J37" s="186"/>
    </row>
    <row r="38" spans="1:10" ht="15.75" x14ac:dyDescent="0.25">
      <c r="A38" s="182">
        <v>43</v>
      </c>
      <c r="B38" s="62" t="s">
        <v>641</v>
      </c>
      <c r="C38" s="112" t="s">
        <v>642</v>
      </c>
      <c r="D38" s="112" t="s">
        <v>247</v>
      </c>
      <c r="E38" s="201">
        <v>4309890</v>
      </c>
      <c r="F38" s="61">
        <v>45958</v>
      </c>
      <c r="G38" s="61">
        <v>46691</v>
      </c>
      <c r="H38" s="45" t="s">
        <v>698</v>
      </c>
      <c r="J38" s="186"/>
    </row>
    <row r="39" spans="1:10" ht="15.75" x14ac:dyDescent="0.25">
      <c r="A39" s="182">
        <v>44</v>
      </c>
      <c r="B39" s="62" t="s">
        <v>699</v>
      </c>
      <c r="C39" s="112" t="s">
        <v>642</v>
      </c>
      <c r="D39" s="112" t="s">
        <v>247</v>
      </c>
      <c r="E39" s="201">
        <v>1550000</v>
      </c>
      <c r="F39" s="61">
        <v>45958</v>
      </c>
      <c r="G39" s="61">
        <v>46404</v>
      </c>
      <c r="H39" s="45" t="s">
        <v>700</v>
      </c>
      <c r="J39" s="186"/>
    </row>
    <row r="40" spans="1:10" ht="15.75" x14ac:dyDescent="0.25">
      <c r="A40" s="182">
        <v>45</v>
      </c>
      <c r="B40" s="62" t="s">
        <v>701</v>
      </c>
      <c r="C40" s="112" t="s">
        <v>644</v>
      </c>
      <c r="D40" s="112" t="s">
        <v>694</v>
      </c>
      <c r="E40" s="201">
        <v>297000</v>
      </c>
      <c r="F40" s="61">
        <v>46011</v>
      </c>
      <c r="G40" s="61">
        <v>46053</v>
      </c>
      <c r="H40" s="45" t="s">
        <v>702</v>
      </c>
      <c r="J40" s="186"/>
    </row>
    <row r="41" spans="1:10" ht="15.75" x14ac:dyDescent="0.25">
      <c r="A41" s="182">
        <v>46</v>
      </c>
      <c r="B41" s="62" t="s">
        <v>657</v>
      </c>
      <c r="C41" s="112" t="s">
        <v>644</v>
      </c>
      <c r="D41" s="112" t="s">
        <v>658</v>
      </c>
      <c r="E41" s="201">
        <v>2210000</v>
      </c>
      <c r="F41" s="61">
        <v>46043</v>
      </c>
      <c r="G41" s="61">
        <v>46494</v>
      </c>
      <c r="H41" s="45" t="s">
        <v>659</v>
      </c>
      <c r="J41" s="186"/>
    </row>
    <row r="42" spans="1:10" ht="15.75" x14ac:dyDescent="0.25">
      <c r="A42" s="182">
        <v>47</v>
      </c>
      <c r="B42" s="62" t="s">
        <v>703</v>
      </c>
      <c r="C42" s="112" t="s">
        <v>644</v>
      </c>
      <c r="D42" s="112" t="s">
        <v>704</v>
      </c>
      <c r="E42" s="201">
        <v>367720</v>
      </c>
      <c r="F42" s="61">
        <v>46050</v>
      </c>
      <c r="G42" s="61">
        <v>46445</v>
      </c>
      <c r="H42" s="45" t="s">
        <v>705</v>
      </c>
      <c r="J42" s="186"/>
    </row>
    <row r="43" spans="1:10" ht="15.75" x14ac:dyDescent="0.25">
      <c r="A43" s="182">
        <v>49</v>
      </c>
      <c r="B43" s="62" t="s">
        <v>696</v>
      </c>
      <c r="C43" s="112" t="s">
        <v>644</v>
      </c>
      <c r="D43" s="112" t="s">
        <v>663</v>
      </c>
      <c r="E43" s="201">
        <v>2335508</v>
      </c>
      <c r="F43" s="61">
        <v>46069</v>
      </c>
      <c r="G43" s="61">
        <v>46627</v>
      </c>
      <c r="H43" s="45" t="s">
        <v>697</v>
      </c>
      <c r="J43" s="186"/>
    </row>
    <row r="44" spans="1:10" ht="15.75" x14ac:dyDescent="0.25">
      <c r="A44" s="182">
        <v>50</v>
      </c>
      <c r="B44" s="62" t="s">
        <v>696</v>
      </c>
      <c r="C44" s="112" t="s">
        <v>644</v>
      </c>
      <c r="D44" s="112" t="s">
        <v>663</v>
      </c>
      <c r="E44" s="201">
        <v>5000000</v>
      </c>
      <c r="F44" s="61">
        <v>46069</v>
      </c>
      <c r="G44" s="61">
        <v>46627</v>
      </c>
      <c r="H44" s="45" t="s">
        <v>697</v>
      </c>
      <c r="J44" s="186"/>
    </row>
    <row r="45" spans="1:10" ht="15.75" x14ac:dyDescent="0.25">
      <c r="A45" s="182">
        <v>51</v>
      </c>
      <c r="B45" s="62" t="s">
        <v>673</v>
      </c>
      <c r="C45" s="112" t="s">
        <v>644</v>
      </c>
      <c r="D45" s="112" t="s">
        <v>674</v>
      </c>
      <c r="E45" s="201">
        <v>3136407</v>
      </c>
      <c r="F45" s="61">
        <v>46084</v>
      </c>
      <c r="G45" s="61">
        <v>46808</v>
      </c>
      <c r="H45" s="45" t="s">
        <v>692</v>
      </c>
      <c r="J45" s="186"/>
    </row>
    <row r="46" spans="1:10" ht="15.75" x14ac:dyDescent="0.25">
      <c r="A46" s="182">
        <v>52</v>
      </c>
      <c r="B46" s="62" t="s">
        <v>703</v>
      </c>
      <c r="C46" s="112" t="s">
        <v>644</v>
      </c>
      <c r="D46" s="112" t="s">
        <v>704</v>
      </c>
      <c r="E46" s="201">
        <v>568418</v>
      </c>
      <c r="F46" s="61">
        <v>46090</v>
      </c>
      <c r="G46" s="61">
        <v>46808</v>
      </c>
      <c r="H46" s="45" t="s">
        <v>706</v>
      </c>
      <c r="J46" s="186"/>
    </row>
    <row r="47" spans="1:10" ht="15.75" x14ac:dyDescent="0.25">
      <c r="A47" s="182">
        <v>55</v>
      </c>
      <c r="B47" s="62" t="s">
        <v>679</v>
      </c>
      <c r="C47" s="112" t="s">
        <v>644</v>
      </c>
      <c r="D47" s="112" t="s">
        <v>674</v>
      </c>
      <c r="E47" s="201">
        <v>5171300</v>
      </c>
      <c r="F47" s="61">
        <v>46092</v>
      </c>
      <c r="G47" s="61">
        <v>46295</v>
      </c>
      <c r="H47" s="45" t="s">
        <v>707</v>
      </c>
      <c r="J47" s="186"/>
    </row>
    <row r="48" spans="1:10" ht="15.75" x14ac:dyDescent="0.25">
      <c r="A48" s="182">
        <v>53</v>
      </c>
      <c r="B48" s="62" t="s">
        <v>660</v>
      </c>
      <c r="C48" s="112" t="s">
        <v>644</v>
      </c>
      <c r="D48" s="112" t="s">
        <v>645</v>
      </c>
      <c r="E48" s="201">
        <v>16552000</v>
      </c>
      <c r="F48" s="61">
        <v>46108</v>
      </c>
      <c r="G48" s="61">
        <v>46203</v>
      </c>
      <c r="H48" s="45" t="s">
        <v>708</v>
      </c>
      <c r="J48" s="186"/>
    </row>
    <row r="49" spans="1:10" ht="15.75" x14ac:dyDescent="0.25">
      <c r="A49" s="182">
        <v>54</v>
      </c>
      <c r="B49" s="62" t="s">
        <v>709</v>
      </c>
      <c r="C49" s="112" t="s">
        <v>644</v>
      </c>
      <c r="D49" s="112" t="s">
        <v>647</v>
      </c>
      <c r="E49" s="201">
        <v>7650000</v>
      </c>
      <c r="F49" s="61">
        <v>46118</v>
      </c>
      <c r="G49" s="61">
        <v>47026</v>
      </c>
      <c r="H49" s="45" t="s">
        <v>710</v>
      </c>
      <c r="J49" s="186"/>
    </row>
    <row r="50" spans="1:10" ht="15.75" x14ac:dyDescent="0.25">
      <c r="A50" s="182">
        <v>55</v>
      </c>
      <c r="B50" s="62" t="s">
        <v>711</v>
      </c>
      <c r="C50" s="112" t="s">
        <v>644</v>
      </c>
      <c r="D50" s="112" t="s">
        <v>704</v>
      </c>
      <c r="E50" s="201">
        <v>788152</v>
      </c>
      <c r="F50" s="61">
        <v>46128</v>
      </c>
      <c r="G50" s="61">
        <v>47927</v>
      </c>
      <c r="H50" s="45" t="s">
        <v>712</v>
      </c>
      <c r="J50" s="186"/>
    </row>
    <row r="51" spans="1:10" ht="15.75" x14ac:dyDescent="0.25">
      <c r="A51" s="182">
        <v>58</v>
      </c>
      <c r="B51" s="62" t="s">
        <v>649</v>
      </c>
      <c r="C51" s="112" t="s">
        <v>644</v>
      </c>
      <c r="D51" s="112" t="s">
        <v>674</v>
      </c>
      <c r="E51" s="201">
        <v>31385097</v>
      </c>
      <c r="F51" s="61">
        <v>46102</v>
      </c>
      <c r="G51" s="61">
        <v>46679</v>
      </c>
      <c r="H51" s="45" t="s">
        <v>713</v>
      </c>
      <c r="J51" s="186"/>
    </row>
    <row r="52" spans="1:10" ht="15.75" x14ac:dyDescent="0.25">
      <c r="A52" s="182">
        <v>56</v>
      </c>
      <c r="B52" s="62" t="s">
        <v>671</v>
      </c>
      <c r="C52" s="112" t="s">
        <v>644</v>
      </c>
      <c r="D52" s="112" t="s">
        <v>647</v>
      </c>
      <c r="E52" s="201">
        <v>2600000</v>
      </c>
      <c r="F52" s="61">
        <v>46129</v>
      </c>
      <c r="G52" s="61">
        <v>46642</v>
      </c>
      <c r="H52" s="45" t="s">
        <v>714</v>
      </c>
      <c r="J52" s="186"/>
    </row>
    <row r="53" spans="1:10" ht="15.75" x14ac:dyDescent="0.25">
      <c r="A53" s="182">
        <v>57</v>
      </c>
      <c r="B53" s="62" t="s">
        <v>671</v>
      </c>
      <c r="C53" s="112" t="s">
        <v>644</v>
      </c>
      <c r="D53" s="112" t="s">
        <v>647</v>
      </c>
      <c r="E53" s="201">
        <v>2595000</v>
      </c>
      <c r="F53" s="61">
        <v>46129</v>
      </c>
      <c r="G53" s="61">
        <v>46642</v>
      </c>
      <c r="H53" s="45" t="s">
        <v>672</v>
      </c>
      <c r="J53" s="186"/>
    </row>
    <row r="54" spans="1:10" ht="15.75" x14ac:dyDescent="0.25">
      <c r="A54" s="182">
        <v>58</v>
      </c>
      <c r="B54" s="62" t="s">
        <v>649</v>
      </c>
      <c r="C54" s="112" t="s">
        <v>644</v>
      </c>
      <c r="D54" s="112" t="s">
        <v>674</v>
      </c>
      <c r="E54" s="201">
        <v>2441968</v>
      </c>
      <c r="F54" s="61">
        <v>46142</v>
      </c>
      <c r="G54" s="61">
        <v>46679</v>
      </c>
      <c r="H54" s="45" t="s">
        <v>713</v>
      </c>
      <c r="J54" s="186"/>
    </row>
    <row r="55" spans="1:10" ht="15.75" x14ac:dyDescent="0.25">
      <c r="A55" s="234"/>
      <c r="B55" s="225"/>
      <c r="C55" s="113"/>
      <c r="D55" s="112"/>
      <c r="E55" s="201"/>
      <c r="F55" s="176"/>
      <c r="G55" s="176"/>
      <c r="H55" s="227"/>
      <c r="J55" s="186"/>
    </row>
    <row r="56" spans="1:10" ht="15.75" x14ac:dyDescent="0.25">
      <c r="A56" s="234"/>
      <c r="B56" s="225"/>
      <c r="C56" s="113"/>
      <c r="D56" s="112"/>
      <c r="E56" s="201"/>
      <c r="F56" s="176"/>
      <c r="G56" s="176"/>
      <c r="H56" s="227"/>
      <c r="J56" s="186"/>
    </row>
    <row r="57" spans="1:10" x14ac:dyDescent="0.25">
      <c r="D57" s="47" t="s">
        <v>53</v>
      </c>
      <c r="E57" s="444">
        <f>SUM(E2:E56)</f>
        <v>600681046</v>
      </c>
    </row>
    <row r="60" spans="1:10" x14ac:dyDescent="0.25">
      <c r="A60" s="4" t="s">
        <v>715</v>
      </c>
    </row>
    <row r="62" spans="1:10" ht="30" x14ac:dyDescent="0.25">
      <c r="A62" s="19" t="s">
        <v>635</v>
      </c>
      <c r="B62" s="19" t="s">
        <v>636</v>
      </c>
      <c r="C62" s="20" t="s">
        <v>110</v>
      </c>
      <c r="D62" s="20" t="s">
        <v>637</v>
      </c>
      <c r="E62" s="42" t="s">
        <v>638</v>
      </c>
      <c r="F62" s="20" t="s">
        <v>639</v>
      </c>
      <c r="G62" s="20" t="s">
        <v>640</v>
      </c>
      <c r="H62" s="20" t="s">
        <v>98</v>
      </c>
    </row>
    <row r="63" spans="1:10" x14ac:dyDescent="0.25">
      <c r="A63" s="18">
        <v>6</v>
      </c>
      <c r="B63" s="18" t="s">
        <v>716</v>
      </c>
      <c r="C63" s="28" t="s">
        <v>644</v>
      </c>
      <c r="D63" s="28" t="s">
        <v>717</v>
      </c>
      <c r="E63" s="43">
        <v>910068</v>
      </c>
      <c r="F63" s="30">
        <v>45289</v>
      </c>
      <c r="G63" s="30">
        <v>45593</v>
      </c>
      <c r="H63" s="45" t="s">
        <v>718</v>
      </c>
      <c r="I63" t="s">
        <v>719</v>
      </c>
    </row>
    <row r="64" spans="1:10" x14ac:dyDescent="0.25">
      <c r="A64" s="18">
        <v>5</v>
      </c>
      <c r="B64" s="18" t="s">
        <v>720</v>
      </c>
      <c r="C64" s="28" t="s">
        <v>644</v>
      </c>
      <c r="D64" s="28" t="s">
        <v>721</v>
      </c>
      <c r="E64" s="43">
        <v>12290888</v>
      </c>
      <c r="F64" s="30">
        <v>45274</v>
      </c>
      <c r="G64" s="30">
        <v>45641</v>
      </c>
      <c r="H64" s="45" t="s">
        <v>722</v>
      </c>
      <c r="I64" t="s">
        <v>723</v>
      </c>
    </row>
    <row r="65" spans="1:10" x14ac:dyDescent="0.25">
      <c r="A65" s="212">
        <v>9</v>
      </c>
      <c r="B65" s="18" t="s">
        <v>673</v>
      </c>
      <c r="C65" s="28" t="s">
        <v>644</v>
      </c>
      <c r="D65" s="28" t="s">
        <v>647</v>
      </c>
      <c r="E65" s="43">
        <v>1976000</v>
      </c>
      <c r="F65" s="30">
        <v>45449</v>
      </c>
      <c r="G65" s="30">
        <v>45838</v>
      </c>
      <c r="H65" s="45" t="s">
        <v>247</v>
      </c>
      <c r="I65" t="s">
        <v>724</v>
      </c>
    </row>
    <row r="66" spans="1:10" ht="15.75" x14ac:dyDescent="0.25">
      <c r="A66" s="209">
        <v>35</v>
      </c>
      <c r="B66" s="62" t="s">
        <v>687</v>
      </c>
      <c r="C66" s="112" t="s">
        <v>644</v>
      </c>
      <c r="D66" s="112" t="s">
        <v>674</v>
      </c>
      <c r="E66" s="201">
        <v>14750000</v>
      </c>
      <c r="F66" s="61">
        <v>45919</v>
      </c>
      <c r="G66" s="61">
        <v>45991</v>
      </c>
      <c r="H66" s="45" t="s">
        <v>688</v>
      </c>
      <c r="I66" t="s">
        <v>725</v>
      </c>
      <c r="J66" s="186"/>
    </row>
    <row r="67" spans="1:10" ht="15.75" x14ac:dyDescent="0.25">
      <c r="A67" s="209">
        <v>34</v>
      </c>
      <c r="B67" s="62" t="s">
        <v>726</v>
      </c>
      <c r="C67" s="112" t="s">
        <v>644</v>
      </c>
      <c r="D67" s="112" t="s">
        <v>727</v>
      </c>
      <c r="E67" s="201">
        <v>140000</v>
      </c>
      <c r="F67" s="61">
        <v>45916</v>
      </c>
      <c r="G67" s="61">
        <v>46173</v>
      </c>
      <c r="H67" s="45" t="s">
        <v>728</v>
      </c>
      <c r="I67" t="s">
        <v>729</v>
      </c>
      <c r="J67" s="186"/>
    </row>
    <row r="68" spans="1:10" ht="15.75" x14ac:dyDescent="0.25">
      <c r="A68" s="182">
        <v>27</v>
      </c>
      <c r="B68" s="62" t="s">
        <v>709</v>
      </c>
      <c r="C68" s="112" t="s">
        <v>644</v>
      </c>
      <c r="D68" s="112" t="s">
        <v>647</v>
      </c>
      <c r="E68" s="201">
        <v>7649999</v>
      </c>
      <c r="F68" s="61">
        <v>45848</v>
      </c>
      <c r="G68" s="61">
        <v>46053</v>
      </c>
      <c r="H68" s="45" t="s">
        <v>710</v>
      </c>
      <c r="I68" t="s">
        <v>730</v>
      </c>
      <c r="J68" s="186"/>
    </row>
    <row r="69" spans="1:10" ht="15.75" x14ac:dyDescent="0.25">
      <c r="A69" s="182">
        <v>48</v>
      </c>
      <c r="B69" s="62" t="s">
        <v>693</v>
      </c>
      <c r="C69" s="112" t="s">
        <v>644</v>
      </c>
      <c r="D69" s="112" t="s">
        <v>1</v>
      </c>
      <c r="E69" s="201">
        <v>14200000</v>
      </c>
      <c r="F69" s="61">
        <v>46052</v>
      </c>
      <c r="G69" s="61">
        <v>46112</v>
      </c>
      <c r="H69" s="45" t="s">
        <v>695</v>
      </c>
      <c r="I69" t="s">
        <v>1320</v>
      </c>
      <c r="J69" s="186"/>
    </row>
    <row r="70" spans="1:10" ht="15.75" x14ac:dyDescent="0.25">
      <c r="A70" s="182">
        <v>38</v>
      </c>
      <c r="B70" s="62" t="s">
        <v>693</v>
      </c>
      <c r="C70" s="112" t="s">
        <v>644</v>
      </c>
      <c r="D70" s="112" t="s">
        <v>694</v>
      </c>
      <c r="E70" s="201">
        <v>7100000</v>
      </c>
      <c r="F70" s="61">
        <v>45947</v>
      </c>
      <c r="G70" s="61">
        <v>46053</v>
      </c>
      <c r="H70" s="45" t="s">
        <v>695</v>
      </c>
      <c r="I70" t="s">
        <v>1320</v>
      </c>
      <c r="J70" s="186"/>
    </row>
    <row r="71" spans="1:10" ht="15.75" x14ac:dyDescent="0.25">
      <c r="A71" s="234"/>
      <c r="B71" s="225"/>
      <c r="C71" s="113"/>
      <c r="D71" s="113"/>
      <c r="E71" s="226"/>
      <c r="F71" s="176"/>
      <c r="G71" s="176"/>
      <c r="H71" s="227"/>
      <c r="J71" s="186"/>
    </row>
    <row r="72" spans="1:10" ht="15.75" x14ac:dyDescent="0.25">
      <c r="A72" s="234"/>
      <c r="B72" s="225"/>
      <c r="C72" s="113"/>
      <c r="D72" s="113"/>
      <c r="E72" s="226"/>
      <c r="F72" s="176"/>
      <c r="G72" s="176"/>
      <c r="H72" s="227"/>
      <c r="J72" s="186"/>
    </row>
    <row r="73" spans="1:10" ht="15.75" x14ac:dyDescent="0.25">
      <c r="A73" s="207" t="s">
        <v>731</v>
      </c>
    </row>
    <row r="74" spans="1:10" ht="16.5" thickBot="1" x14ac:dyDescent="0.3">
      <c r="A74" s="187"/>
    </row>
    <row r="75" spans="1:10" ht="75.75" thickBot="1" x14ac:dyDescent="0.3">
      <c r="A75" s="188" t="s">
        <v>616</v>
      </c>
      <c r="B75" s="189" t="s">
        <v>732</v>
      </c>
      <c r="C75" s="190" t="s">
        <v>733</v>
      </c>
      <c r="D75" s="190" t="s">
        <v>734</v>
      </c>
      <c r="E75" s="190" t="s">
        <v>735</v>
      </c>
      <c r="F75" s="191" t="s">
        <v>736</v>
      </c>
      <c r="G75" s="189" t="s">
        <v>737</v>
      </c>
      <c r="H75" s="189" t="s">
        <v>738</v>
      </c>
    </row>
    <row r="76" spans="1:10" ht="15.75" thickBot="1" x14ac:dyDescent="0.3">
      <c r="A76" s="192" t="s">
        <v>739</v>
      </c>
      <c r="B76" s="198" t="s">
        <v>659</v>
      </c>
      <c r="C76" s="200">
        <v>2210000</v>
      </c>
      <c r="D76" s="194">
        <v>45745</v>
      </c>
      <c r="E76" s="193" t="s">
        <v>740</v>
      </c>
      <c r="F76" s="195">
        <v>45748</v>
      </c>
      <c r="G76" s="193" t="s">
        <v>17</v>
      </c>
      <c r="H76" s="196"/>
    </row>
    <row r="77" spans="1:10" ht="15.75" thickBot="1" x14ac:dyDescent="0.3">
      <c r="A77" s="192" t="s">
        <v>741</v>
      </c>
      <c r="B77" s="198" t="s">
        <v>742</v>
      </c>
      <c r="C77" s="193" t="s">
        <v>743</v>
      </c>
      <c r="D77" s="194">
        <v>45757</v>
      </c>
      <c r="E77" s="193" t="s">
        <v>744</v>
      </c>
      <c r="F77" s="195">
        <v>45763</v>
      </c>
      <c r="G77" s="193" t="s">
        <v>17</v>
      </c>
      <c r="H77" s="196"/>
    </row>
    <row r="78" spans="1:10" ht="15.75" thickBot="1" x14ac:dyDescent="0.3">
      <c r="A78" s="192" t="s">
        <v>745</v>
      </c>
      <c r="B78" s="198">
        <v>1400000138</v>
      </c>
      <c r="C78" s="193" t="s">
        <v>746</v>
      </c>
      <c r="D78" s="194">
        <v>45757</v>
      </c>
      <c r="E78" s="193" t="s">
        <v>744</v>
      </c>
      <c r="F78" s="195">
        <v>45761</v>
      </c>
      <c r="G78" s="193" t="s">
        <v>17</v>
      </c>
      <c r="H78" s="193" t="s">
        <v>247</v>
      </c>
    </row>
    <row r="79" spans="1:10" ht="15.75" thickBot="1" x14ac:dyDescent="0.3">
      <c r="A79" s="192" t="s">
        <v>747</v>
      </c>
      <c r="B79" s="198" t="s">
        <v>661</v>
      </c>
      <c r="C79" s="193" t="s">
        <v>748</v>
      </c>
      <c r="D79" s="194">
        <v>45763</v>
      </c>
      <c r="E79" s="193" t="s">
        <v>744</v>
      </c>
      <c r="F79" s="195">
        <v>45763</v>
      </c>
      <c r="G79" s="193" t="s">
        <v>17</v>
      </c>
      <c r="H79" s="193" t="s">
        <v>247</v>
      </c>
    </row>
    <row r="80" spans="1:10" ht="15.75" thickBot="1" x14ac:dyDescent="0.3">
      <c r="A80" s="192" t="s">
        <v>749</v>
      </c>
      <c r="B80" s="198">
        <v>1400000114</v>
      </c>
      <c r="C80" s="193" t="s">
        <v>750</v>
      </c>
      <c r="D80" s="194">
        <v>45771</v>
      </c>
      <c r="E80" s="193" t="s">
        <v>744</v>
      </c>
      <c r="F80" s="197">
        <v>45772</v>
      </c>
      <c r="G80" s="193" t="s">
        <v>17</v>
      </c>
      <c r="H80" s="196"/>
    </row>
    <row r="81" spans="1:8" ht="15.75" thickBot="1" x14ac:dyDescent="0.3">
      <c r="A81" s="192" t="s">
        <v>751</v>
      </c>
      <c r="B81" s="199" t="s">
        <v>752</v>
      </c>
      <c r="C81" s="193" t="s">
        <v>753</v>
      </c>
      <c r="D81" s="194">
        <v>45784</v>
      </c>
      <c r="E81" s="193" t="s">
        <v>740</v>
      </c>
      <c r="F81" s="193" t="s">
        <v>247</v>
      </c>
      <c r="G81" s="193" t="s">
        <v>17</v>
      </c>
      <c r="H81" s="196" t="s">
        <v>247</v>
      </c>
    </row>
    <row r="82" spans="1:8" ht="15.75" thickBot="1" x14ac:dyDescent="0.3">
      <c r="A82" s="192" t="s">
        <v>754</v>
      </c>
      <c r="B82" s="199">
        <v>1400000183</v>
      </c>
      <c r="C82" s="202">
        <v>3000000</v>
      </c>
      <c r="D82" s="194">
        <v>45792</v>
      </c>
      <c r="E82" s="193" t="s">
        <v>744</v>
      </c>
      <c r="F82" s="197">
        <v>45792</v>
      </c>
      <c r="G82" s="193" t="s">
        <v>17</v>
      </c>
      <c r="H82" s="196" t="s">
        <v>247</v>
      </c>
    </row>
    <row r="83" spans="1:8" ht="15.75" thickBot="1" x14ac:dyDescent="0.3">
      <c r="A83" s="192" t="s">
        <v>754</v>
      </c>
      <c r="B83" s="199">
        <v>1400000181</v>
      </c>
      <c r="C83" s="202">
        <v>11510000</v>
      </c>
      <c r="D83" s="194">
        <v>45792</v>
      </c>
      <c r="E83" s="193" t="s">
        <v>744</v>
      </c>
      <c r="F83" s="197">
        <v>45792</v>
      </c>
      <c r="G83" s="193" t="s">
        <v>17</v>
      </c>
      <c r="H83" s="196" t="s">
        <v>247</v>
      </c>
    </row>
    <row r="84" spans="1:8" ht="15.75" thickBot="1" x14ac:dyDescent="0.3">
      <c r="A84" s="192" t="s">
        <v>755</v>
      </c>
      <c r="B84" s="199">
        <v>1400000139</v>
      </c>
      <c r="C84" s="206" t="s">
        <v>756</v>
      </c>
      <c r="D84" s="194">
        <v>45819</v>
      </c>
      <c r="E84" s="193" t="s">
        <v>757</v>
      </c>
      <c r="F84" s="197">
        <v>45821</v>
      </c>
      <c r="G84" s="193" t="s">
        <v>16</v>
      </c>
      <c r="H84" s="196" t="s">
        <v>247</v>
      </c>
    </row>
    <row r="85" spans="1:8" ht="15.75" thickBot="1" x14ac:dyDescent="0.3">
      <c r="A85" s="192" t="s">
        <v>755</v>
      </c>
      <c r="B85" s="199">
        <v>1400000141</v>
      </c>
      <c r="C85" s="206" t="s">
        <v>758</v>
      </c>
      <c r="D85" s="194">
        <v>45819</v>
      </c>
      <c r="E85" s="193" t="s">
        <v>757</v>
      </c>
      <c r="F85" s="197">
        <v>45821</v>
      </c>
      <c r="G85" s="193" t="s">
        <v>16</v>
      </c>
      <c r="H85" s="196" t="s">
        <v>247</v>
      </c>
    </row>
    <row r="86" spans="1:8" ht="15.75" thickBot="1" x14ac:dyDescent="0.3">
      <c r="A86" s="192" t="s">
        <v>709</v>
      </c>
      <c r="B86" s="199">
        <v>1400000252</v>
      </c>
      <c r="C86" s="202">
        <v>7650000</v>
      </c>
      <c r="D86" s="194">
        <v>45825</v>
      </c>
      <c r="E86" s="193" t="s">
        <v>628</v>
      </c>
      <c r="F86" s="197">
        <v>45826</v>
      </c>
      <c r="G86" s="193" t="s">
        <v>17</v>
      </c>
      <c r="H86" s="196" t="s">
        <v>247</v>
      </c>
    </row>
    <row r="87" spans="1:8" ht="15.75" thickBot="1" x14ac:dyDescent="0.3">
      <c r="A87" s="192" t="s">
        <v>759</v>
      </c>
      <c r="B87" s="199" t="s">
        <v>760</v>
      </c>
      <c r="C87" s="202">
        <v>17850713</v>
      </c>
      <c r="D87" s="194">
        <v>45845</v>
      </c>
      <c r="E87" s="193" t="s">
        <v>628</v>
      </c>
      <c r="F87" s="197">
        <v>45846</v>
      </c>
      <c r="G87" s="193" t="s">
        <v>16</v>
      </c>
      <c r="H87" s="196" t="s">
        <v>247</v>
      </c>
    </row>
    <row r="88" spans="1:8" ht="15.75" thickBot="1" x14ac:dyDescent="0.3">
      <c r="A88" s="192" t="s">
        <v>761</v>
      </c>
      <c r="B88" s="199" t="s">
        <v>762</v>
      </c>
      <c r="C88" s="202">
        <v>1863401</v>
      </c>
      <c r="D88" s="194">
        <v>45849</v>
      </c>
      <c r="E88" s="193" t="s">
        <v>628</v>
      </c>
      <c r="F88" s="197">
        <v>45852</v>
      </c>
      <c r="G88" s="193" t="s">
        <v>17</v>
      </c>
      <c r="H88" s="196" t="s">
        <v>247</v>
      </c>
    </row>
  </sheetData>
  <autoFilter ref="A1:H57" xr:uid="{92A22FC6-33A8-4097-A8BA-F5389F3D837D}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866E-0B18-44E7-BD4D-87D7EFC4CC5A}">
  <sheetPr>
    <pageSetUpPr fitToPage="1"/>
  </sheetPr>
  <dimension ref="A1:O71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6.42578125" bestFit="1" customWidth="1"/>
    <col min="2" max="2" width="11.5703125" bestFit="1" customWidth="1"/>
    <col min="3" max="3" width="12.140625" bestFit="1" customWidth="1"/>
    <col min="4" max="4" width="19.5703125" bestFit="1" customWidth="1"/>
    <col min="5" max="5" width="5.5703125" bestFit="1" customWidth="1"/>
    <col min="6" max="6" width="18" bestFit="1" customWidth="1"/>
    <col min="7" max="7" width="10" bestFit="1" customWidth="1"/>
    <col min="8" max="8" width="17.5703125" bestFit="1" customWidth="1"/>
    <col min="9" max="9" width="15.85546875" bestFit="1" customWidth="1"/>
    <col min="10" max="10" width="11.7109375" bestFit="1" customWidth="1"/>
    <col min="11" max="11" width="17.7109375" bestFit="1" customWidth="1"/>
    <col min="12" max="12" width="16.28515625" bestFit="1" customWidth="1"/>
    <col min="14" max="14" width="10.7109375" bestFit="1" customWidth="1"/>
    <col min="15" max="15" width="43" customWidth="1"/>
  </cols>
  <sheetData>
    <row r="1" spans="1:13" ht="29.25" x14ac:dyDescent="0.25">
      <c r="A1" s="19" t="s">
        <v>635</v>
      </c>
      <c r="B1" s="19" t="s">
        <v>101</v>
      </c>
      <c r="C1" s="19" t="s">
        <v>636</v>
      </c>
      <c r="D1" s="19" t="s">
        <v>763</v>
      </c>
      <c r="E1" s="20" t="s">
        <v>110</v>
      </c>
      <c r="F1" s="21" t="s">
        <v>638</v>
      </c>
      <c r="G1" s="21" t="s">
        <v>1379</v>
      </c>
      <c r="H1" s="20" t="s">
        <v>639</v>
      </c>
      <c r="I1" s="20" t="s">
        <v>640</v>
      </c>
      <c r="J1" s="23" t="s">
        <v>764</v>
      </c>
      <c r="K1" s="23" t="s">
        <v>765</v>
      </c>
      <c r="L1" s="295" t="s">
        <v>766</v>
      </c>
      <c r="M1" s="296" t="s">
        <v>767</v>
      </c>
    </row>
    <row r="2" spans="1:13" x14ac:dyDescent="0.25">
      <c r="A2" s="18">
        <v>1</v>
      </c>
      <c r="B2" s="3" t="s">
        <v>48</v>
      </c>
      <c r="C2" s="18" t="s">
        <v>768</v>
      </c>
      <c r="D2" s="18" t="s">
        <v>769</v>
      </c>
      <c r="E2" s="28" t="s">
        <v>770</v>
      </c>
      <c r="F2" s="48">
        <v>22734500</v>
      </c>
      <c r="G2" s="49" t="s">
        <v>771</v>
      </c>
      <c r="H2" s="30">
        <v>45107</v>
      </c>
      <c r="I2" s="30">
        <v>47299</v>
      </c>
      <c r="J2" s="55">
        <v>42815340031</v>
      </c>
      <c r="K2" s="163">
        <v>7224000</v>
      </c>
      <c r="L2" s="38">
        <v>19980054</v>
      </c>
      <c r="M2" s="49" t="s">
        <v>772</v>
      </c>
    </row>
    <row r="3" spans="1:13" x14ac:dyDescent="0.25">
      <c r="A3" s="18"/>
      <c r="B3" s="3" t="s">
        <v>48</v>
      </c>
      <c r="C3" s="18" t="s">
        <v>768</v>
      </c>
      <c r="D3" s="18" t="s">
        <v>769</v>
      </c>
      <c r="E3" s="28" t="s">
        <v>770</v>
      </c>
      <c r="F3" s="48">
        <v>0</v>
      </c>
      <c r="G3" s="49" t="s">
        <v>771</v>
      </c>
      <c r="H3" s="30">
        <v>45107</v>
      </c>
      <c r="I3" s="30">
        <v>47299</v>
      </c>
      <c r="J3" s="55">
        <v>42456259384</v>
      </c>
      <c r="K3" s="162">
        <v>7564000</v>
      </c>
      <c r="L3" s="38">
        <v>13071236</v>
      </c>
      <c r="M3" s="49" t="s">
        <v>772</v>
      </c>
    </row>
    <row r="4" spans="1:13" x14ac:dyDescent="0.25">
      <c r="A4" s="18"/>
      <c r="B4" s="3" t="s">
        <v>48</v>
      </c>
      <c r="C4" s="18" t="s">
        <v>768</v>
      </c>
      <c r="D4" s="18" t="s">
        <v>769</v>
      </c>
      <c r="E4" s="28" t="s">
        <v>770</v>
      </c>
      <c r="F4" s="48">
        <v>0</v>
      </c>
      <c r="G4" s="49" t="s">
        <v>771</v>
      </c>
      <c r="H4" s="30">
        <v>45107</v>
      </c>
      <c r="I4" s="30">
        <v>47299</v>
      </c>
      <c r="J4" s="55">
        <v>42561333063</v>
      </c>
      <c r="K4" s="162">
        <v>4450000</v>
      </c>
      <c r="L4" s="156">
        <v>6801318</v>
      </c>
      <c r="M4" s="49" t="s">
        <v>772</v>
      </c>
    </row>
    <row r="5" spans="1:13" x14ac:dyDescent="0.25">
      <c r="A5" s="18"/>
      <c r="B5" s="3" t="s">
        <v>48</v>
      </c>
      <c r="C5" s="18" t="s">
        <v>768</v>
      </c>
      <c r="D5" s="18" t="s">
        <v>769</v>
      </c>
      <c r="E5" s="28" t="s">
        <v>770</v>
      </c>
      <c r="F5" s="48">
        <v>0</v>
      </c>
      <c r="G5" s="49" t="s">
        <v>771</v>
      </c>
      <c r="H5" s="30">
        <v>45107</v>
      </c>
      <c r="I5" s="30">
        <v>47299</v>
      </c>
      <c r="J5" s="87">
        <v>42371819184</v>
      </c>
      <c r="K5" s="162">
        <v>3496500</v>
      </c>
      <c r="L5" s="38">
        <v>4144466</v>
      </c>
      <c r="M5" s="49" t="s">
        <v>772</v>
      </c>
    </row>
    <row r="6" spans="1:13" x14ac:dyDescent="0.25">
      <c r="A6" s="445">
        <f>A2+1</f>
        <v>2</v>
      </c>
      <c r="B6" s="3" t="s">
        <v>48</v>
      </c>
      <c r="C6" s="18" t="s">
        <v>768</v>
      </c>
      <c r="D6" s="18" t="s">
        <v>773</v>
      </c>
      <c r="E6" s="28" t="s">
        <v>770</v>
      </c>
      <c r="F6" s="48">
        <v>14767500</v>
      </c>
      <c r="G6" s="49" t="s">
        <v>774</v>
      </c>
      <c r="H6" s="30">
        <v>45110</v>
      </c>
      <c r="I6" s="30">
        <v>47330</v>
      </c>
      <c r="J6" s="55">
        <v>42042836045</v>
      </c>
      <c r="K6" s="162">
        <v>14767500</v>
      </c>
      <c r="L6" s="38">
        <v>14767500</v>
      </c>
      <c r="M6" s="49" t="s">
        <v>772</v>
      </c>
    </row>
    <row r="7" spans="1:13" x14ac:dyDescent="0.25">
      <c r="A7" s="445">
        <f t="shared" ref="A7:A12" si="0">A6+1</f>
        <v>3</v>
      </c>
      <c r="B7" s="3" t="s">
        <v>48</v>
      </c>
      <c r="C7" s="18" t="s">
        <v>768</v>
      </c>
      <c r="D7" s="18" t="s">
        <v>775</v>
      </c>
      <c r="E7" s="28" t="s">
        <v>770</v>
      </c>
      <c r="F7" s="48">
        <v>1229500</v>
      </c>
      <c r="G7" s="49" t="s">
        <v>776</v>
      </c>
      <c r="H7" s="30">
        <v>45159</v>
      </c>
      <c r="I7" s="30">
        <v>47351</v>
      </c>
      <c r="J7" s="55">
        <v>42194876674</v>
      </c>
      <c r="K7" s="162">
        <v>1229500</v>
      </c>
      <c r="L7" s="38">
        <v>1229500</v>
      </c>
      <c r="M7" s="49" t="s">
        <v>772</v>
      </c>
    </row>
    <row r="8" spans="1:13" x14ac:dyDescent="0.25">
      <c r="A8" s="445">
        <f t="shared" si="0"/>
        <v>4</v>
      </c>
      <c r="B8" s="3" t="s">
        <v>48</v>
      </c>
      <c r="C8" s="18" t="s">
        <v>768</v>
      </c>
      <c r="D8" s="18" t="s">
        <v>777</v>
      </c>
      <c r="E8" s="28" t="s">
        <v>778</v>
      </c>
      <c r="F8" s="50">
        <v>13125000</v>
      </c>
      <c r="G8" s="51" t="s">
        <v>779</v>
      </c>
      <c r="H8" s="30">
        <v>45199</v>
      </c>
      <c r="I8" s="30">
        <v>46295</v>
      </c>
      <c r="J8" s="55">
        <v>42311730454</v>
      </c>
      <c r="K8" s="162">
        <v>13125000</v>
      </c>
      <c r="L8" s="70">
        <v>13125000</v>
      </c>
      <c r="M8" s="49" t="s">
        <v>772</v>
      </c>
    </row>
    <row r="9" spans="1:13" x14ac:dyDescent="0.25">
      <c r="A9" s="445">
        <f t="shared" si="0"/>
        <v>5</v>
      </c>
      <c r="B9" s="3" t="s">
        <v>48</v>
      </c>
      <c r="C9" s="18" t="s">
        <v>768</v>
      </c>
      <c r="D9" s="18" t="s">
        <v>780</v>
      </c>
      <c r="E9" s="28" t="s">
        <v>770</v>
      </c>
      <c r="F9" s="50">
        <v>1425000</v>
      </c>
      <c r="G9" s="51" t="s">
        <v>781</v>
      </c>
      <c r="H9" s="30">
        <v>45240</v>
      </c>
      <c r="I9" s="30">
        <v>47432</v>
      </c>
      <c r="J9" s="39">
        <v>42426399021</v>
      </c>
      <c r="K9" s="162">
        <v>1425000</v>
      </c>
      <c r="L9" s="38">
        <v>1425000</v>
      </c>
      <c r="M9" s="49" t="s">
        <v>772</v>
      </c>
    </row>
    <row r="10" spans="1:13" x14ac:dyDescent="0.25">
      <c r="A10" s="445">
        <f t="shared" si="0"/>
        <v>6</v>
      </c>
      <c r="B10" s="3" t="s">
        <v>48</v>
      </c>
      <c r="C10" s="18" t="s">
        <v>768</v>
      </c>
      <c r="D10" s="18" t="s">
        <v>782</v>
      </c>
      <c r="E10" s="28" t="s">
        <v>770</v>
      </c>
      <c r="F10" s="50">
        <v>498800</v>
      </c>
      <c r="G10" s="51" t="s">
        <v>783</v>
      </c>
      <c r="H10" s="30">
        <v>45240</v>
      </c>
      <c r="I10" s="30">
        <v>47432</v>
      </c>
      <c r="J10" s="39">
        <v>42426333831</v>
      </c>
      <c r="K10" s="162">
        <v>498800</v>
      </c>
      <c r="L10" s="38">
        <v>498800</v>
      </c>
      <c r="M10" s="49" t="s">
        <v>772</v>
      </c>
    </row>
    <row r="11" spans="1:13" x14ac:dyDescent="0.25">
      <c r="A11" s="445">
        <f t="shared" si="0"/>
        <v>7</v>
      </c>
      <c r="B11" s="3" t="s">
        <v>48</v>
      </c>
      <c r="C11" s="18" t="s">
        <v>768</v>
      </c>
      <c r="D11" s="18" t="s">
        <v>784</v>
      </c>
      <c r="E11" s="28" t="s">
        <v>770</v>
      </c>
      <c r="F11" s="50">
        <v>22734500</v>
      </c>
      <c r="G11" s="49" t="s">
        <v>771</v>
      </c>
      <c r="H11" s="30">
        <v>45240</v>
      </c>
      <c r="I11" s="30">
        <v>47432</v>
      </c>
      <c r="J11" s="39">
        <v>42426400640</v>
      </c>
      <c r="K11" s="162">
        <v>22734500</v>
      </c>
      <c r="L11" s="38">
        <v>22734500</v>
      </c>
      <c r="M11" s="49" t="s">
        <v>772</v>
      </c>
    </row>
    <row r="12" spans="1:13" x14ac:dyDescent="0.25">
      <c r="A12" s="445">
        <f t="shared" si="0"/>
        <v>8</v>
      </c>
      <c r="B12" s="3" t="s">
        <v>48</v>
      </c>
      <c r="C12" s="18" t="s">
        <v>768</v>
      </c>
      <c r="D12" s="18" t="s">
        <v>785</v>
      </c>
      <c r="E12" s="28" t="s">
        <v>770</v>
      </c>
      <c r="F12" s="50">
        <v>4254045</v>
      </c>
      <c r="G12" s="49" t="s">
        <v>786</v>
      </c>
      <c r="H12" s="30">
        <v>45275</v>
      </c>
      <c r="I12" s="30">
        <v>47467</v>
      </c>
      <c r="J12" s="39">
        <v>42525986027</v>
      </c>
      <c r="K12" s="162">
        <v>4254045</v>
      </c>
      <c r="L12" s="38">
        <v>4254045</v>
      </c>
      <c r="M12" s="49" t="s">
        <v>772</v>
      </c>
    </row>
    <row r="13" spans="1:13" x14ac:dyDescent="0.25">
      <c r="A13" s="18">
        <v>9</v>
      </c>
      <c r="B13" s="3" t="s">
        <v>42</v>
      </c>
      <c r="C13" s="18" t="s">
        <v>787</v>
      </c>
      <c r="D13" s="18" t="s">
        <v>788</v>
      </c>
      <c r="E13" s="28" t="s">
        <v>789</v>
      </c>
      <c r="F13" s="48">
        <v>180000000</v>
      </c>
      <c r="G13" s="49" t="s">
        <v>789</v>
      </c>
      <c r="H13" s="30">
        <v>45379</v>
      </c>
      <c r="I13" s="30">
        <v>47968</v>
      </c>
      <c r="J13" s="39">
        <v>42830614684</v>
      </c>
      <c r="K13" s="298">
        <v>18000000</v>
      </c>
      <c r="L13" s="38">
        <v>18000000</v>
      </c>
      <c r="M13" s="49" t="s">
        <v>772</v>
      </c>
    </row>
    <row r="14" spans="1:13" x14ac:dyDescent="0.25">
      <c r="A14" s="62">
        <v>10</v>
      </c>
      <c r="B14" s="3" t="s">
        <v>48</v>
      </c>
      <c r="C14" s="18" t="s">
        <v>768</v>
      </c>
      <c r="D14" s="62" t="s">
        <v>790</v>
      </c>
      <c r="E14" s="28" t="s">
        <v>791</v>
      </c>
      <c r="F14" s="50">
        <v>4672540</v>
      </c>
      <c r="G14" s="49" t="s">
        <v>792</v>
      </c>
      <c r="H14" s="30">
        <v>45439</v>
      </c>
      <c r="I14" s="30">
        <v>46195</v>
      </c>
      <c r="J14" s="152">
        <v>43254910895</v>
      </c>
      <c r="K14" s="111">
        <v>1700000</v>
      </c>
      <c r="L14" s="38">
        <v>1806609</v>
      </c>
      <c r="M14" s="49" t="s">
        <v>772</v>
      </c>
    </row>
    <row r="15" spans="1:13" x14ac:dyDescent="0.25">
      <c r="A15" s="18"/>
      <c r="B15" s="3" t="s">
        <v>48</v>
      </c>
      <c r="C15" s="18" t="s">
        <v>768</v>
      </c>
      <c r="D15" s="18" t="s">
        <v>790</v>
      </c>
      <c r="E15" s="28" t="s">
        <v>791</v>
      </c>
      <c r="F15" s="50"/>
      <c r="G15" s="49" t="s">
        <v>792</v>
      </c>
      <c r="H15" s="30">
        <v>45439</v>
      </c>
      <c r="I15" s="30">
        <v>46195</v>
      </c>
      <c r="J15" s="152">
        <v>42352342044</v>
      </c>
      <c r="K15" s="162">
        <v>1368730</v>
      </c>
      <c r="L15" s="38">
        <v>1368730</v>
      </c>
      <c r="M15" s="49" t="s">
        <v>772</v>
      </c>
    </row>
    <row r="16" spans="1:13" x14ac:dyDescent="0.25">
      <c r="A16" s="18"/>
      <c r="B16" s="3" t="s">
        <v>48</v>
      </c>
      <c r="C16" s="18" t="s">
        <v>768</v>
      </c>
      <c r="D16" s="18" t="s">
        <v>790</v>
      </c>
      <c r="E16" s="28" t="s">
        <v>791</v>
      </c>
      <c r="F16" s="50"/>
      <c r="G16" s="49" t="s">
        <v>792</v>
      </c>
      <c r="H16" s="30">
        <v>45439</v>
      </c>
      <c r="I16" s="30">
        <v>46195</v>
      </c>
      <c r="J16" s="152">
        <v>42318765196</v>
      </c>
      <c r="K16" s="162">
        <v>1594009</v>
      </c>
      <c r="L16" s="38">
        <v>1594009</v>
      </c>
      <c r="M16" s="49" t="s">
        <v>772</v>
      </c>
    </row>
    <row r="17" spans="1:13" x14ac:dyDescent="0.25">
      <c r="A17" s="18"/>
      <c r="B17" s="3" t="s">
        <v>48</v>
      </c>
      <c r="C17" s="18" t="s">
        <v>768</v>
      </c>
      <c r="D17" s="18" t="s">
        <v>790</v>
      </c>
      <c r="E17" s="28" t="s">
        <v>791</v>
      </c>
      <c r="F17" s="50"/>
      <c r="G17" s="49" t="s">
        <v>792</v>
      </c>
      <c r="H17" s="30">
        <v>45439</v>
      </c>
      <c r="I17" s="30">
        <v>46195</v>
      </c>
      <c r="J17" s="152">
        <v>42319489577</v>
      </c>
      <c r="K17" s="162">
        <v>9801</v>
      </c>
      <c r="L17" s="38">
        <v>318801</v>
      </c>
      <c r="M17" s="49" t="s">
        <v>772</v>
      </c>
    </row>
    <row r="18" spans="1:13" x14ac:dyDescent="0.25">
      <c r="A18" s="445">
        <f>A14+1</f>
        <v>11</v>
      </c>
      <c r="B18" s="3" t="s">
        <v>48</v>
      </c>
      <c r="C18" s="18" t="s">
        <v>768</v>
      </c>
      <c r="D18" s="62" t="s">
        <v>793</v>
      </c>
      <c r="E18" s="28" t="s">
        <v>791</v>
      </c>
      <c r="F18" s="50">
        <v>4669484</v>
      </c>
      <c r="G18" s="49" t="s">
        <v>794</v>
      </c>
      <c r="H18" s="30">
        <v>45439</v>
      </c>
      <c r="I18" s="30">
        <v>46195</v>
      </c>
      <c r="J18" s="152">
        <v>42309489089</v>
      </c>
      <c r="K18" s="111">
        <v>3188000</v>
      </c>
      <c r="L18" s="156">
        <v>3188034</v>
      </c>
      <c r="M18" s="49" t="s">
        <v>772</v>
      </c>
    </row>
    <row r="19" spans="1:13" x14ac:dyDescent="0.25">
      <c r="A19" s="18"/>
      <c r="B19" s="3" t="s">
        <v>48</v>
      </c>
      <c r="C19" s="18" t="s">
        <v>768</v>
      </c>
      <c r="D19" s="18" t="s">
        <v>793</v>
      </c>
      <c r="E19" s="28" t="s">
        <v>791</v>
      </c>
      <c r="F19" s="50"/>
      <c r="G19" s="49" t="s">
        <v>794</v>
      </c>
      <c r="H19" s="30">
        <v>45439</v>
      </c>
      <c r="I19" s="30">
        <v>46195</v>
      </c>
      <c r="J19" s="152">
        <v>42896923356</v>
      </c>
      <c r="K19" s="162">
        <v>1048000</v>
      </c>
      <c r="L19" s="38">
        <v>10893478</v>
      </c>
      <c r="M19" s="49" t="s">
        <v>772</v>
      </c>
    </row>
    <row r="20" spans="1:13" x14ac:dyDescent="0.25">
      <c r="A20" s="18"/>
      <c r="B20" s="3" t="s">
        <v>48</v>
      </c>
      <c r="C20" s="18" t="s">
        <v>768</v>
      </c>
      <c r="D20" s="18" t="s">
        <v>793</v>
      </c>
      <c r="E20" s="28" t="s">
        <v>791</v>
      </c>
      <c r="F20" s="50"/>
      <c r="G20" s="49" t="s">
        <v>794</v>
      </c>
      <c r="H20" s="30">
        <v>45439</v>
      </c>
      <c r="I20" s="30">
        <v>46195</v>
      </c>
      <c r="J20" s="152">
        <v>42377916078</v>
      </c>
      <c r="K20" s="162">
        <v>433484</v>
      </c>
      <c r="L20" s="38">
        <v>4888352</v>
      </c>
      <c r="M20" s="49" t="s">
        <v>772</v>
      </c>
    </row>
    <row r="21" spans="1:13" x14ac:dyDescent="0.25">
      <c r="A21" s="445">
        <f>A18+1</f>
        <v>12</v>
      </c>
      <c r="B21" s="3" t="s">
        <v>48</v>
      </c>
      <c r="C21" s="18" t="s">
        <v>768</v>
      </c>
      <c r="D21" s="62" t="s">
        <v>795</v>
      </c>
      <c r="E21" s="28" t="s">
        <v>791</v>
      </c>
      <c r="F21" s="50">
        <v>4672251</v>
      </c>
      <c r="G21" s="49" t="s">
        <v>796</v>
      </c>
      <c r="H21" s="30">
        <v>45439</v>
      </c>
      <c r="I21" s="30">
        <v>46195</v>
      </c>
      <c r="J21" s="152">
        <v>42377916078</v>
      </c>
      <c r="K21" s="111">
        <v>4014275</v>
      </c>
      <c r="L21" s="8">
        <v>0</v>
      </c>
      <c r="M21" s="49" t="s">
        <v>772</v>
      </c>
    </row>
    <row r="22" spans="1:13" x14ac:dyDescent="0.25">
      <c r="A22" s="18"/>
      <c r="B22" s="3" t="s">
        <v>48</v>
      </c>
      <c r="C22" s="18" t="s">
        <v>768</v>
      </c>
      <c r="D22" s="18" t="s">
        <v>795</v>
      </c>
      <c r="E22" s="28" t="s">
        <v>791</v>
      </c>
      <c r="F22" s="50">
        <v>0</v>
      </c>
      <c r="G22" s="49" t="s">
        <v>796</v>
      </c>
      <c r="H22" s="30">
        <v>45439</v>
      </c>
      <c r="I22" s="30">
        <v>46195</v>
      </c>
      <c r="J22" s="152">
        <v>42597394309</v>
      </c>
      <c r="K22" s="162">
        <v>657976</v>
      </c>
      <c r="L22" s="149">
        <v>820000</v>
      </c>
      <c r="M22" s="49" t="s">
        <v>772</v>
      </c>
    </row>
    <row r="23" spans="1:13" x14ac:dyDescent="0.25">
      <c r="A23" s="62">
        <v>19</v>
      </c>
      <c r="B23" s="62" t="s">
        <v>44</v>
      </c>
      <c r="C23" s="18" t="s">
        <v>797</v>
      </c>
      <c r="D23" s="62" t="s">
        <v>798</v>
      </c>
      <c r="E23" s="28" t="s">
        <v>799</v>
      </c>
      <c r="F23" s="50">
        <v>70250120</v>
      </c>
      <c r="G23" s="49" t="s">
        <v>800</v>
      </c>
      <c r="H23" s="30">
        <v>46076</v>
      </c>
      <c r="I23" s="30">
        <v>46112</v>
      </c>
      <c r="J23" s="155"/>
      <c r="K23" s="156"/>
      <c r="L23" s="38"/>
      <c r="M23" s="49" t="s">
        <v>772</v>
      </c>
    </row>
    <row r="24" spans="1:13" x14ac:dyDescent="0.25">
      <c r="A24" s="62">
        <v>20</v>
      </c>
      <c r="B24" s="62" t="s">
        <v>44</v>
      </c>
      <c r="C24" s="18" t="s">
        <v>797</v>
      </c>
      <c r="D24" s="62" t="s">
        <v>801</v>
      </c>
      <c r="E24" s="28" t="s">
        <v>799</v>
      </c>
      <c r="F24" s="50">
        <v>87561900</v>
      </c>
      <c r="G24" s="49" t="s">
        <v>802</v>
      </c>
      <c r="H24" s="30">
        <v>46090</v>
      </c>
      <c r="I24" s="30">
        <v>46119</v>
      </c>
      <c r="J24" s="155" t="s">
        <v>803</v>
      </c>
      <c r="K24" s="156">
        <v>8757000</v>
      </c>
      <c r="L24" s="38"/>
      <c r="M24" s="49" t="s">
        <v>772</v>
      </c>
    </row>
    <row r="25" spans="1:13" x14ac:dyDescent="0.25">
      <c r="A25" s="62">
        <v>22</v>
      </c>
      <c r="B25" s="3" t="s">
        <v>42</v>
      </c>
      <c r="C25" s="18" t="s">
        <v>804</v>
      </c>
      <c r="D25" s="62" t="s">
        <v>807</v>
      </c>
      <c r="E25" s="28" t="s">
        <v>799</v>
      </c>
      <c r="F25" s="50">
        <v>904400000</v>
      </c>
      <c r="G25" s="49" t="s">
        <v>806</v>
      </c>
      <c r="H25" s="30">
        <v>46093</v>
      </c>
      <c r="I25" s="30">
        <v>46173</v>
      </c>
      <c r="J25" s="155">
        <v>44995227852</v>
      </c>
      <c r="K25" s="156">
        <v>90000000</v>
      </c>
      <c r="L25" s="38"/>
      <c r="M25" s="49" t="s">
        <v>772</v>
      </c>
    </row>
    <row r="26" spans="1:13" x14ac:dyDescent="0.25">
      <c r="A26" s="62"/>
      <c r="B26" s="3" t="s">
        <v>42</v>
      </c>
      <c r="C26" s="18" t="s">
        <v>804</v>
      </c>
      <c r="D26" s="62" t="s">
        <v>807</v>
      </c>
      <c r="E26" s="28" t="s">
        <v>799</v>
      </c>
      <c r="F26" s="50">
        <v>0</v>
      </c>
      <c r="G26" s="49" t="s">
        <v>806</v>
      </c>
      <c r="H26" s="30">
        <v>46093</v>
      </c>
      <c r="I26" s="30">
        <v>46173</v>
      </c>
      <c r="J26" s="155">
        <v>44994834618</v>
      </c>
      <c r="K26" s="156">
        <v>40980678</v>
      </c>
      <c r="L26" s="38"/>
      <c r="M26" s="49" t="s">
        <v>772</v>
      </c>
    </row>
    <row r="27" spans="1:13" x14ac:dyDescent="0.25">
      <c r="A27" s="62"/>
      <c r="B27" s="3" t="s">
        <v>42</v>
      </c>
      <c r="C27" s="18" t="s">
        <v>804</v>
      </c>
      <c r="D27" s="62" t="s">
        <v>807</v>
      </c>
      <c r="E27" s="28" t="s">
        <v>799</v>
      </c>
      <c r="F27" s="50">
        <v>0</v>
      </c>
      <c r="G27" s="49" t="s">
        <v>806</v>
      </c>
      <c r="H27" s="30">
        <v>46093</v>
      </c>
      <c r="I27" s="30">
        <v>46173</v>
      </c>
      <c r="J27" s="155">
        <v>43286332815</v>
      </c>
      <c r="K27" s="156">
        <v>4680000</v>
      </c>
      <c r="L27" s="38"/>
      <c r="M27" s="49" t="s">
        <v>772</v>
      </c>
    </row>
    <row r="28" spans="1:13" x14ac:dyDescent="0.25">
      <c r="A28" s="62">
        <v>23</v>
      </c>
      <c r="B28" s="3" t="s">
        <v>42</v>
      </c>
      <c r="C28" s="18" t="s">
        <v>808</v>
      </c>
      <c r="D28" s="62" t="s">
        <v>809</v>
      </c>
      <c r="E28" s="28" t="s">
        <v>799</v>
      </c>
      <c r="F28" s="50">
        <v>358647023</v>
      </c>
      <c r="G28" s="267" t="s">
        <v>810</v>
      </c>
      <c r="H28" s="30">
        <v>46111</v>
      </c>
      <c r="I28" s="30">
        <v>46223</v>
      </c>
      <c r="J28" s="155">
        <v>45039415633</v>
      </c>
      <c r="K28" s="156">
        <v>53798000</v>
      </c>
      <c r="L28" s="38"/>
      <c r="M28" s="49" t="s">
        <v>772</v>
      </c>
    </row>
    <row r="29" spans="1:13" x14ac:dyDescent="0.25">
      <c r="A29" s="62">
        <v>24</v>
      </c>
      <c r="B29" s="3" t="s">
        <v>42</v>
      </c>
      <c r="C29" s="18" t="s">
        <v>808</v>
      </c>
      <c r="D29" s="62" t="s">
        <v>811</v>
      </c>
      <c r="E29" s="28" t="s">
        <v>799</v>
      </c>
      <c r="F29" s="50">
        <v>51239569</v>
      </c>
      <c r="G29" s="267" t="s">
        <v>810</v>
      </c>
      <c r="H29" s="30">
        <v>46111</v>
      </c>
      <c r="I29" s="30">
        <v>46223</v>
      </c>
      <c r="J29" s="155">
        <v>45039415633</v>
      </c>
      <c r="K29" s="156">
        <v>7686000</v>
      </c>
      <c r="L29" s="38"/>
      <c r="M29" s="49" t="s">
        <v>772</v>
      </c>
    </row>
    <row r="30" spans="1:13" x14ac:dyDescent="0.25">
      <c r="A30" s="62">
        <v>25</v>
      </c>
      <c r="B30" s="3" t="s">
        <v>42</v>
      </c>
      <c r="C30" s="18" t="s">
        <v>808</v>
      </c>
      <c r="D30" s="62" t="s">
        <v>812</v>
      </c>
      <c r="E30" s="28" t="s">
        <v>799</v>
      </c>
      <c r="F30" s="50">
        <v>307409604</v>
      </c>
      <c r="G30" s="267" t="s">
        <v>810</v>
      </c>
      <c r="H30" s="30">
        <v>46111</v>
      </c>
      <c r="I30" s="30">
        <v>46223</v>
      </c>
      <c r="J30" s="155">
        <v>45039415633</v>
      </c>
      <c r="K30" s="156">
        <v>46112000</v>
      </c>
      <c r="L30" s="38"/>
      <c r="M30" s="49" t="s">
        <v>772</v>
      </c>
    </row>
    <row r="31" spans="1:13" x14ac:dyDescent="0.25">
      <c r="A31" s="18"/>
      <c r="B31" s="18"/>
      <c r="C31" s="18"/>
      <c r="D31" s="18"/>
      <c r="E31" s="36"/>
      <c r="F31" s="50"/>
      <c r="G31" s="49"/>
      <c r="H31" s="37"/>
      <c r="I31" s="37"/>
      <c r="J31" s="39"/>
      <c r="K31" s="162"/>
      <c r="L31" s="38"/>
      <c r="M31" s="49"/>
    </row>
    <row r="32" spans="1:13" x14ac:dyDescent="0.25">
      <c r="A32" s="18"/>
      <c r="B32" s="18"/>
      <c r="C32" s="18"/>
      <c r="D32" s="18" t="s">
        <v>49</v>
      </c>
      <c r="E32" s="36"/>
      <c r="F32" s="446">
        <f>SUBTOTAL(9,F2:F31)</f>
        <v>2054291336</v>
      </c>
      <c r="G32" s="40"/>
      <c r="H32" s="36"/>
      <c r="I32" s="36"/>
      <c r="J32" s="41"/>
      <c r="K32" s="446">
        <f>SUBTOTAL(9,K2:K31)</f>
        <v>364796798</v>
      </c>
      <c r="L32" s="446">
        <f>SUBTOTAL(9,L2:L31)</f>
        <v>144909432</v>
      </c>
      <c r="M32" s="3"/>
    </row>
    <row r="33" spans="1:14" x14ac:dyDescent="0.25">
      <c r="F33" s="1"/>
      <c r="G33" s="1"/>
      <c r="H33" s="1"/>
      <c r="I33" s="1"/>
      <c r="K33" s="1"/>
    </row>
    <row r="34" spans="1:14" x14ac:dyDescent="0.25">
      <c r="C34" s="153" t="s">
        <v>813</v>
      </c>
      <c r="F34" s="232"/>
      <c r="G34" s="1"/>
      <c r="H34" s="1"/>
    </row>
    <row r="35" spans="1:14" x14ac:dyDescent="0.25">
      <c r="C35" s="153"/>
      <c r="F35" s="232"/>
      <c r="G35" s="1"/>
      <c r="H35" s="1"/>
    </row>
    <row r="36" spans="1:14" ht="29.25" x14ac:dyDescent="0.25">
      <c r="A36" s="19" t="s">
        <v>635</v>
      </c>
      <c r="B36" s="19" t="s">
        <v>101</v>
      </c>
      <c r="C36" s="19" t="s">
        <v>636</v>
      </c>
      <c r="D36" s="19" t="s">
        <v>763</v>
      </c>
      <c r="E36" s="20" t="s">
        <v>110</v>
      </c>
      <c r="F36" s="21" t="s">
        <v>638</v>
      </c>
      <c r="G36" s="21"/>
      <c r="H36" s="20" t="s">
        <v>639</v>
      </c>
      <c r="I36" s="20" t="s">
        <v>640</v>
      </c>
      <c r="J36" s="23" t="s">
        <v>764</v>
      </c>
      <c r="K36" s="23" t="s">
        <v>765</v>
      </c>
      <c r="L36" s="295" t="s">
        <v>766</v>
      </c>
      <c r="M36" s="296" t="s">
        <v>767</v>
      </c>
      <c r="N36" s="143" t="s">
        <v>814</v>
      </c>
    </row>
    <row r="37" spans="1:14" x14ac:dyDescent="0.25">
      <c r="A37" s="445">
        <f>A12+1</f>
        <v>9</v>
      </c>
      <c r="B37" s="18" t="s">
        <v>1</v>
      </c>
      <c r="C37" s="18" t="s">
        <v>787</v>
      </c>
      <c r="D37" s="18" t="s">
        <v>815</v>
      </c>
      <c r="E37" s="36" t="s">
        <v>816</v>
      </c>
      <c r="F37" s="50">
        <v>54000000</v>
      </c>
      <c r="G37" s="49" t="s">
        <v>817</v>
      </c>
      <c r="H37" s="37">
        <v>45281</v>
      </c>
      <c r="I37" s="37">
        <v>45540</v>
      </c>
      <c r="J37" s="39" t="s">
        <v>818</v>
      </c>
      <c r="K37" s="39"/>
      <c r="L37" s="31" t="s">
        <v>247</v>
      </c>
      <c r="M37" s="49" t="s">
        <v>715</v>
      </c>
      <c r="N37" s="58">
        <v>45508</v>
      </c>
    </row>
    <row r="38" spans="1:14" x14ac:dyDescent="0.25">
      <c r="A38" s="445">
        <f>A13+1</f>
        <v>10</v>
      </c>
      <c r="B38" s="18" t="s">
        <v>1</v>
      </c>
      <c r="C38" s="18" t="s">
        <v>787</v>
      </c>
      <c r="D38" s="18" t="s">
        <v>819</v>
      </c>
      <c r="E38" s="36" t="s">
        <v>816</v>
      </c>
      <c r="F38" s="50">
        <v>75000000</v>
      </c>
      <c r="G38" s="49" t="s">
        <v>820</v>
      </c>
      <c r="H38" s="37">
        <v>45372</v>
      </c>
      <c r="I38" s="37">
        <v>45632</v>
      </c>
      <c r="J38" s="39">
        <v>42814707478</v>
      </c>
      <c r="K38" s="39"/>
      <c r="L38" s="38">
        <v>7500000</v>
      </c>
      <c r="M38" s="49" t="s">
        <v>715</v>
      </c>
      <c r="N38" s="58">
        <v>45503</v>
      </c>
    </row>
    <row r="39" spans="1:14" x14ac:dyDescent="0.25">
      <c r="A39" s="18">
        <v>1</v>
      </c>
      <c r="B39" s="18" t="s">
        <v>821</v>
      </c>
      <c r="C39" s="18" t="s">
        <v>787</v>
      </c>
      <c r="D39" s="18" t="s">
        <v>822</v>
      </c>
      <c r="E39" s="28" t="s">
        <v>789</v>
      </c>
      <c r="F39" s="48">
        <v>180000000</v>
      </c>
      <c r="G39" s="49" t="s">
        <v>789</v>
      </c>
      <c r="H39" s="30">
        <v>45026</v>
      </c>
      <c r="I39" s="30">
        <v>47968</v>
      </c>
      <c r="J39" s="39" t="s">
        <v>823</v>
      </c>
      <c r="K39" s="39"/>
      <c r="L39" s="32">
        <v>180000000</v>
      </c>
      <c r="M39" s="49" t="s">
        <v>715</v>
      </c>
      <c r="N39" s="58">
        <v>45418</v>
      </c>
    </row>
    <row r="40" spans="1:14" x14ac:dyDescent="0.25">
      <c r="A40" s="18">
        <v>17</v>
      </c>
      <c r="B40" s="18" t="s">
        <v>1</v>
      </c>
      <c r="C40" s="18" t="s">
        <v>824</v>
      </c>
      <c r="D40" s="18" t="s">
        <v>825</v>
      </c>
      <c r="E40" s="36" t="s">
        <v>791</v>
      </c>
      <c r="F40" s="50">
        <v>167500000</v>
      </c>
      <c r="G40" s="49" t="s">
        <v>826</v>
      </c>
      <c r="H40" s="37">
        <v>45492</v>
      </c>
      <c r="I40" s="37">
        <v>45595</v>
      </c>
      <c r="J40" s="56" t="s">
        <v>827</v>
      </c>
      <c r="K40" s="56"/>
      <c r="L40" s="149">
        <v>16800000</v>
      </c>
      <c r="M40" s="49" t="s">
        <v>715</v>
      </c>
      <c r="N40" s="58">
        <v>45611</v>
      </c>
    </row>
    <row r="41" spans="1:14" x14ac:dyDescent="0.25">
      <c r="A41" s="18">
        <v>23</v>
      </c>
      <c r="B41" s="18" t="s">
        <v>1</v>
      </c>
      <c r="C41" s="18" t="s">
        <v>828</v>
      </c>
      <c r="D41" s="18" t="s">
        <v>829</v>
      </c>
      <c r="E41" s="36" t="s">
        <v>799</v>
      </c>
      <c r="F41" s="50">
        <v>119832166</v>
      </c>
      <c r="G41" s="49"/>
      <c r="H41" s="37">
        <v>45617</v>
      </c>
      <c r="I41" s="37">
        <v>45688</v>
      </c>
      <c r="J41" s="155">
        <v>43549245722</v>
      </c>
      <c r="K41" s="162">
        <v>119832166</v>
      </c>
      <c r="L41" s="38">
        <v>119832166</v>
      </c>
      <c r="M41" s="49" t="s">
        <v>715</v>
      </c>
      <c r="N41" s="58">
        <v>45661</v>
      </c>
    </row>
    <row r="42" spans="1:14" x14ac:dyDescent="0.25">
      <c r="A42" s="18">
        <v>19</v>
      </c>
      <c r="B42" s="18" t="s">
        <v>1</v>
      </c>
      <c r="C42" s="18" t="s">
        <v>828</v>
      </c>
      <c r="D42" s="18" t="s">
        <v>830</v>
      </c>
      <c r="E42" s="36" t="s">
        <v>799</v>
      </c>
      <c r="F42" s="50">
        <v>56468122</v>
      </c>
      <c r="G42" s="49" t="s">
        <v>831</v>
      </c>
      <c r="H42" s="37">
        <v>45527</v>
      </c>
      <c r="I42" s="37">
        <v>45626</v>
      </c>
      <c r="J42" s="39">
        <v>42814707478</v>
      </c>
      <c r="K42" s="162">
        <v>5646813</v>
      </c>
      <c r="L42" s="38">
        <v>7773717</v>
      </c>
      <c r="M42" s="49" t="s">
        <v>715</v>
      </c>
      <c r="N42" s="58">
        <v>45673</v>
      </c>
    </row>
    <row r="43" spans="1:14" x14ac:dyDescent="0.25">
      <c r="A43" s="18">
        <v>23</v>
      </c>
      <c r="B43" s="18" t="s">
        <v>1</v>
      </c>
      <c r="C43" s="18" t="s">
        <v>832</v>
      </c>
      <c r="D43" s="18" t="s">
        <v>833</v>
      </c>
      <c r="E43" s="36" t="s">
        <v>799</v>
      </c>
      <c r="F43" s="50">
        <v>139236457</v>
      </c>
      <c r="G43" s="49" t="s">
        <v>834</v>
      </c>
      <c r="H43" s="37">
        <v>45681</v>
      </c>
      <c r="I43" s="37">
        <v>45731</v>
      </c>
      <c r="J43" s="39">
        <v>43749543130</v>
      </c>
      <c r="K43" s="162">
        <v>139236457</v>
      </c>
      <c r="L43" s="38">
        <v>139236457</v>
      </c>
      <c r="M43" s="49" t="s">
        <v>715</v>
      </c>
      <c r="N43" s="58">
        <v>45749</v>
      </c>
    </row>
    <row r="44" spans="1:14" x14ac:dyDescent="0.25">
      <c r="A44" s="18">
        <v>20</v>
      </c>
      <c r="B44" s="18" t="s">
        <v>1</v>
      </c>
      <c r="C44" s="18" t="s">
        <v>828</v>
      </c>
      <c r="D44" s="18" t="s">
        <v>835</v>
      </c>
      <c r="E44" s="36" t="s">
        <v>799</v>
      </c>
      <c r="F44" s="50">
        <v>124338817</v>
      </c>
      <c r="G44" s="49" t="s">
        <v>836</v>
      </c>
      <c r="H44" s="37">
        <v>45561</v>
      </c>
      <c r="I44" s="37">
        <v>45716</v>
      </c>
      <c r="J44" s="39">
        <v>42814707478</v>
      </c>
      <c r="K44" s="162">
        <v>1800000</v>
      </c>
      <c r="L44" s="41">
        <v>0</v>
      </c>
      <c r="M44" s="49" t="s">
        <v>715</v>
      </c>
      <c r="N44" s="58">
        <v>45754</v>
      </c>
    </row>
    <row r="45" spans="1:14" x14ac:dyDescent="0.25">
      <c r="A45" s="18"/>
      <c r="B45" s="18" t="s">
        <v>1</v>
      </c>
      <c r="C45" s="18" t="s">
        <v>828</v>
      </c>
      <c r="D45" s="18" t="s">
        <v>835</v>
      </c>
      <c r="E45" s="36" t="s">
        <v>799</v>
      </c>
      <c r="F45" s="50">
        <v>0</v>
      </c>
      <c r="G45" s="49" t="s">
        <v>836</v>
      </c>
      <c r="H45" s="37">
        <v>45561</v>
      </c>
      <c r="I45" s="37">
        <v>45716</v>
      </c>
      <c r="J45" s="39">
        <v>43381644996</v>
      </c>
      <c r="K45" s="162">
        <v>2500000</v>
      </c>
      <c r="L45" s="38">
        <v>2500000</v>
      </c>
      <c r="M45" s="49" t="s">
        <v>715</v>
      </c>
      <c r="N45" s="58"/>
    </row>
    <row r="46" spans="1:14" x14ac:dyDescent="0.25">
      <c r="A46" s="18"/>
      <c r="B46" s="18" t="s">
        <v>1</v>
      </c>
      <c r="C46" s="18" t="s">
        <v>828</v>
      </c>
      <c r="D46" s="18" t="s">
        <v>835</v>
      </c>
      <c r="E46" s="36" t="s">
        <v>799</v>
      </c>
      <c r="F46" s="50">
        <v>0</v>
      </c>
      <c r="G46" s="49" t="s">
        <v>836</v>
      </c>
      <c r="H46" s="37">
        <v>45561</v>
      </c>
      <c r="I46" s="37">
        <v>45716</v>
      </c>
      <c r="J46" s="39">
        <v>42461935379</v>
      </c>
      <c r="K46" s="162">
        <v>3560000</v>
      </c>
      <c r="L46" s="38">
        <v>3783224</v>
      </c>
      <c r="M46" s="49" t="s">
        <v>715</v>
      </c>
      <c r="N46" s="58"/>
    </row>
    <row r="47" spans="1:14" x14ac:dyDescent="0.25">
      <c r="A47" s="18"/>
      <c r="B47" s="18" t="s">
        <v>1</v>
      </c>
      <c r="C47" s="18" t="s">
        <v>828</v>
      </c>
      <c r="D47" s="18" t="s">
        <v>835</v>
      </c>
      <c r="E47" s="36" t="s">
        <v>799</v>
      </c>
      <c r="F47" s="50">
        <v>0</v>
      </c>
      <c r="G47" s="49" t="s">
        <v>836</v>
      </c>
      <c r="H47" s="37">
        <v>45561</v>
      </c>
      <c r="I47" s="37">
        <v>45716</v>
      </c>
      <c r="J47" s="39">
        <v>43183927865</v>
      </c>
      <c r="K47" s="162">
        <v>4700000</v>
      </c>
      <c r="L47" s="38">
        <v>4700000</v>
      </c>
      <c r="M47" s="49" t="s">
        <v>715</v>
      </c>
      <c r="N47" s="58"/>
    </row>
    <row r="48" spans="1:14" x14ac:dyDescent="0.25">
      <c r="A48" s="62">
        <v>18</v>
      </c>
      <c r="B48" s="62" t="s">
        <v>1</v>
      </c>
      <c r="C48" s="62" t="s">
        <v>837</v>
      </c>
      <c r="D48" s="62" t="s">
        <v>838</v>
      </c>
      <c r="E48" s="3" t="s">
        <v>799</v>
      </c>
      <c r="F48" s="50">
        <v>188198146</v>
      </c>
      <c r="G48" s="49" t="s">
        <v>839</v>
      </c>
      <c r="H48" s="89">
        <v>45497</v>
      </c>
      <c r="I48" s="89">
        <v>45808</v>
      </c>
      <c r="J48" s="56">
        <v>43183923893</v>
      </c>
      <c r="K48" s="111">
        <v>18900000</v>
      </c>
      <c r="L48" s="173">
        <v>18900000</v>
      </c>
      <c r="M48" s="49" t="s">
        <v>715</v>
      </c>
      <c r="N48" s="58">
        <v>45847</v>
      </c>
    </row>
    <row r="49" spans="1:15" x14ac:dyDescent="0.25">
      <c r="A49" s="18">
        <v>23</v>
      </c>
      <c r="B49" s="18" t="s">
        <v>1</v>
      </c>
      <c r="C49" s="18" t="s">
        <v>840</v>
      </c>
      <c r="D49" s="18" t="s">
        <v>841</v>
      </c>
      <c r="E49" s="36" t="s">
        <v>799</v>
      </c>
      <c r="F49" s="50">
        <v>69804000</v>
      </c>
      <c r="G49" s="49" t="s">
        <v>842</v>
      </c>
      <c r="H49" s="37">
        <v>45751</v>
      </c>
      <c r="I49" s="37">
        <v>45838</v>
      </c>
      <c r="J49" s="39">
        <v>42456259384</v>
      </c>
      <c r="K49" s="162">
        <v>5500000</v>
      </c>
      <c r="L49" s="33">
        <v>0</v>
      </c>
      <c r="M49" s="49" t="s">
        <v>715</v>
      </c>
      <c r="N49" s="58">
        <v>45861</v>
      </c>
    </row>
    <row r="50" spans="1:15" x14ac:dyDescent="0.25">
      <c r="A50" s="18"/>
      <c r="B50" s="18" t="s">
        <v>1</v>
      </c>
      <c r="C50" s="18" t="s">
        <v>840</v>
      </c>
      <c r="D50" s="18" t="s">
        <v>841</v>
      </c>
      <c r="E50" s="36" t="s">
        <v>799</v>
      </c>
      <c r="F50" s="50">
        <v>0</v>
      </c>
      <c r="G50" s="49"/>
      <c r="H50" s="37">
        <v>45751</v>
      </c>
      <c r="I50" s="37">
        <v>45838</v>
      </c>
      <c r="J50" s="39">
        <v>42561333063</v>
      </c>
      <c r="K50" s="162">
        <v>1481000</v>
      </c>
      <c r="L50" s="33">
        <v>0</v>
      </c>
      <c r="M50" s="49" t="s">
        <v>715</v>
      </c>
      <c r="N50" s="58">
        <v>45861</v>
      </c>
    </row>
    <row r="51" spans="1:15" x14ac:dyDescent="0.25">
      <c r="A51" s="62">
        <v>25</v>
      </c>
      <c r="B51" s="62" t="s">
        <v>1</v>
      </c>
      <c r="C51" s="18" t="s">
        <v>787</v>
      </c>
      <c r="D51" s="62" t="s">
        <v>843</v>
      </c>
      <c r="E51" s="3" t="s">
        <v>816</v>
      </c>
      <c r="F51" s="50">
        <v>56000000</v>
      </c>
      <c r="G51" s="49" t="s">
        <v>844</v>
      </c>
      <c r="H51" s="89">
        <v>45796</v>
      </c>
      <c r="I51" s="89">
        <v>46011</v>
      </c>
      <c r="J51" s="155">
        <v>43286332815</v>
      </c>
      <c r="K51" s="111">
        <v>5600000</v>
      </c>
      <c r="L51" s="174">
        <v>0</v>
      </c>
      <c r="M51" s="49" t="s">
        <v>715</v>
      </c>
      <c r="N51" s="58">
        <v>45888</v>
      </c>
    </row>
    <row r="52" spans="1:15" x14ac:dyDescent="0.25">
      <c r="A52" s="62">
        <v>21</v>
      </c>
      <c r="B52" s="62" t="s">
        <v>1</v>
      </c>
      <c r="C52" s="62" t="s">
        <v>804</v>
      </c>
      <c r="D52" s="62" t="s">
        <v>845</v>
      </c>
      <c r="E52" s="3" t="s">
        <v>799</v>
      </c>
      <c r="F52" s="50">
        <v>112753571</v>
      </c>
      <c r="G52" s="49" t="s">
        <v>846</v>
      </c>
      <c r="H52" s="89">
        <v>45583</v>
      </c>
      <c r="I52" s="89">
        <v>45900</v>
      </c>
      <c r="J52" s="39">
        <v>42039487699</v>
      </c>
      <c r="K52" s="111">
        <v>800000</v>
      </c>
      <c r="L52" s="156">
        <v>29100000</v>
      </c>
      <c r="M52" s="49" t="s">
        <v>715</v>
      </c>
      <c r="N52" s="58">
        <v>45890</v>
      </c>
    </row>
    <row r="53" spans="1:15" x14ac:dyDescent="0.25">
      <c r="A53" s="18"/>
      <c r="B53" s="18" t="s">
        <v>1</v>
      </c>
      <c r="C53" s="18" t="s">
        <v>804</v>
      </c>
      <c r="D53" s="18" t="s">
        <v>845</v>
      </c>
      <c r="E53" s="36" t="s">
        <v>799</v>
      </c>
      <c r="F53" s="50">
        <v>0</v>
      </c>
      <c r="G53" s="49" t="s">
        <v>846</v>
      </c>
      <c r="H53" s="37">
        <v>45583</v>
      </c>
      <c r="I53" s="37">
        <v>45900</v>
      </c>
      <c r="J53" s="39">
        <v>42461936258</v>
      </c>
      <c r="K53" s="162">
        <v>10000000</v>
      </c>
      <c r="L53" s="38">
        <v>22734500</v>
      </c>
      <c r="M53" s="49" t="s">
        <v>715</v>
      </c>
    </row>
    <row r="54" spans="1:15" x14ac:dyDescent="0.25">
      <c r="A54" s="18"/>
      <c r="B54" s="18" t="s">
        <v>1</v>
      </c>
      <c r="C54" s="18" t="s">
        <v>804</v>
      </c>
      <c r="D54" s="18" t="s">
        <v>845</v>
      </c>
      <c r="E54" s="36" t="s">
        <v>799</v>
      </c>
      <c r="F54" s="50">
        <v>0</v>
      </c>
      <c r="G54" s="49" t="s">
        <v>846</v>
      </c>
      <c r="H54" s="37">
        <v>45583</v>
      </c>
      <c r="I54" s="37">
        <v>45900</v>
      </c>
      <c r="J54" s="39">
        <v>43286332815</v>
      </c>
      <c r="K54" s="162">
        <v>531000</v>
      </c>
      <c r="L54" s="38">
        <v>10627033</v>
      </c>
      <c r="M54" s="49" t="s">
        <v>715</v>
      </c>
    </row>
    <row r="55" spans="1:15" x14ac:dyDescent="0.25">
      <c r="A55" s="18">
        <v>22</v>
      </c>
      <c r="B55" s="18" t="s">
        <v>1</v>
      </c>
      <c r="C55" s="18" t="s">
        <v>804</v>
      </c>
      <c r="D55" s="18" t="s">
        <v>847</v>
      </c>
      <c r="E55" s="36" t="s">
        <v>799</v>
      </c>
      <c r="F55" s="50">
        <v>156200000</v>
      </c>
      <c r="G55" s="49" t="s">
        <v>846</v>
      </c>
      <c r="H55" s="37">
        <v>45617</v>
      </c>
      <c r="I55" s="37">
        <v>45900</v>
      </c>
      <c r="J55" s="39">
        <v>42840339454</v>
      </c>
      <c r="K55" s="162">
        <v>2020000</v>
      </c>
      <c r="L55" s="38">
        <v>3480084</v>
      </c>
      <c r="M55" s="49" t="s">
        <v>715</v>
      </c>
      <c r="N55" s="58">
        <v>45890</v>
      </c>
    </row>
    <row r="56" spans="1:15" x14ac:dyDescent="0.25">
      <c r="A56" s="18"/>
      <c r="B56" s="18" t="s">
        <v>1</v>
      </c>
      <c r="C56" s="18" t="s">
        <v>804</v>
      </c>
      <c r="D56" s="18" t="s">
        <v>847</v>
      </c>
      <c r="E56" s="36" t="s">
        <v>799</v>
      </c>
      <c r="F56" s="50">
        <v>0</v>
      </c>
      <c r="G56" s="49"/>
      <c r="H56" s="37">
        <v>45617</v>
      </c>
      <c r="I56" s="37">
        <v>45900</v>
      </c>
      <c r="J56" s="39">
        <v>42855164420</v>
      </c>
      <c r="K56" s="162">
        <v>3600000</v>
      </c>
      <c r="L56" s="38">
        <v>3600000</v>
      </c>
      <c r="M56" s="49" t="s">
        <v>715</v>
      </c>
    </row>
    <row r="57" spans="1:15" x14ac:dyDescent="0.25">
      <c r="A57" s="18"/>
      <c r="B57" s="18" t="s">
        <v>1</v>
      </c>
      <c r="C57" s="18" t="s">
        <v>804</v>
      </c>
      <c r="D57" s="18" t="s">
        <v>847</v>
      </c>
      <c r="E57" s="36" t="s">
        <v>799</v>
      </c>
      <c r="F57" s="50">
        <v>0</v>
      </c>
      <c r="G57" s="49"/>
      <c r="H57" s="37">
        <v>45617</v>
      </c>
      <c r="I57" s="37">
        <v>45900</v>
      </c>
      <c r="J57" s="39">
        <v>43549278543</v>
      </c>
      <c r="K57" s="162">
        <v>10000000</v>
      </c>
      <c r="L57" s="38">
        <v>10000000</v>
      </c>
      <c r="M57" s="49" t="s">
        <v>715</v>
      </c>
    </row>
    <row r="58" spans="1:15" x14ac:dyDescent="0.25">
      <c r="A58" s="62">
        <v>15</v>
      </c>
      <c r="B58" s="62" t="s">
        <v>1</v>
      </c>
      <c r="C58" s="18" t="s">
        <v>848</v>
      </c>
      <c r="D58" s="62" t="s">
        <v>849</v>
      </c>
      <c r="E58" s="28" t="s">
        <v>799</v>
      </c>
      <c r="F58" s="50">
        <v>106061378</v>
      </c>
      <c r="G58" s="49" t="s">
        <v>850</v>
      </c>
      <c r="H58" s="30">
        <v>45881</v>
      </c>
      <c r="I58" s="30">
        <v>46053</v>
      </c>
      <c r="J58" s="155">
        <v>44361399732</v>
      </c>
      <c r="K58" s="111">
        <v>10606200</v>
      </c>
      <c r="L58" s="174">
        <v>71500000</v>
      </c>
      <c r="M58" s="49" t="s">
        <v>715</v>
      </c>
      <c r="N58" s="58">
        <v>45933</v>
      </c>
    </row>
    <row r="59" spans="1:15" x14ac:dyDescent="0.25">
      <c r="A59" s="62">
        <v>14</v>
      </c>
      <c r="B59" s="62" t="s">
        <v>1</v>
      </c>
      <c r="C59" s="18" t="s">
        <v>804</v>
      </c>
      <c r="D59" s="62" t="s">
        <v>851</v>
      </c>
      <c r="E59" s="28" t="s">
        <v>799</v>
      </c>
      <c r="F59" s="50">
        <v>419109538</v>
      </c>
      <c r="G59" s="49" t="s">
        <v>852</v>
      </c>
      <c r="H59" s="30">
        <v>45791</v>
      </c>
      <c r="I59" s="30">
        <v>45930</v>
      </c>
      <c r="J59" s="155">
        <v>44085316349</v>
      </c>
      <c r="K59" s="111">
        <v>50000000</v>
      </c>
      <c r="L59" s="174">
        <v>124315000</v>
      </c>
      <c r="M59" s="49" t="s">
        <v>715</v>
      </c>
      <c r="N59" s="58">
        <v>46108</v>
      </c>
    </row>
    <row r="60" spans="1:15" x14ac:dyDescent="0.25">
      <c r="A60" s="18">
        <v>13</v>
      </c>
      <c r="B60" s="3" t="s">
        <v>48</v>
      </c>
      <c r="C60" s="18" t="s">
        <v>768</v>
      </c>
      <c r="D60" s="18" t="s">
        <v>853</v>
      </c>
      <c r="E60" s="28" t="s">
        <v>791</v>
      </c>
      <c r="F60" s="50">
        <v>10218189</v>
      </c>
      <c r="G60" s="49" t="s">
        <v>854</v>
      </c>
      <c r="H60" s="30">
        <v>45463</v>
      </c>
      <c r="I60" s="30">
        <v>46021</v>
      </c>
      <c r="J60" s="152">
        <v>43074817405</v>
      </c>
      <c r="K60" s="162">
        <v>10218189</v>
      </c>
      <c r="L60" s="38">
        <v>10913952</v>
      </c>
      <c r="M60" s="49" t="s">
        <v>715</v>
      </c>
      <c r="N60" s="58">
        <v>46108</v>
      </c>
      <c r="O60" s="233"/>
    </row>
    <row r="61" spans="1:15" x14ac:dyDescent="0.25">
      <c r="A61" s="62"/>
      <c r="B61" s="3" t="s">
        <v>42</v>
      </c>
      <c r="C61" s="18" t="s">
        <v>855</v>
      </c>
      <c r="D61" s="62" t="s">
        <v>856</v>
      </c>
      <c r="E61" s="28" t="s">
        <v>816</v>
      </c>
      <c r="F61" s="50">
        <v>200000000</v>
      </c>
      <c r="G61" s="49" t="s">
        <v>857</v>
      </c>
      <c r="H61" s="30">
        <v>45894</v>
      </c>
      <c r="I61" s="30">
        <v>46070</v>
      </c>
      <c r="J61" s="155">
        <v>42461936258</v>
      </c>
      <c r="K61" s="156">
        <v>10000000</v>
      </c>
      <c r="L61" s="38">
        <v>10627033</v>
      </c>
      <c r="M61" s="49" t="s">
        <v>715</v>
      </c>
    </row>
    <row r="62" spans="1:15" x14ac:dyDescent="0.25">
      <c r="A62" s="62"/>
      <c r="B62" s="3" t="s">
        <v>42</v>
      </c>
      <c r="C62" s="18" t="s">
        <v>855</v>
      </c>
      <c r="D62" s="62" t="s">
        <v>856</v>
      </c>
      <c r="E62" s="28" t="s">
        <v>816</v>
      </c>
      <c r="F62" s="50">
        <v>0</v>
      </c>
      <c r="G62" s="49" t="s">
        <v>857</v>
      </c>
      <c r="H62" s="30">
        <v>45894</v>
      </c>
      <c r="I62" s="30">
        <v>46070</v>
      </c>
      <c r="J62" s="155">
        <v>43549278543</v>
      </c>
      <c r="K62" s="156">
        <v>10000000</v>
      </c>
      <c r="L62" s="38">
        <v>10000000</v>
      </c>
      <c r="M62" s="49" t="s">
        <v>715</v>
      </c>
    </row>
    <row r="63" spans="1:15" x14ac:dyDescent="0.25">
      <c r="A63" s="62">
        <v>18</v>
      </c>
      <c r="B63" s="3" t="s">
        <v>42</v>
      </c>
      <c r="C63" s="18" t="s">
        <v>858</v>
      </c>
      <c r="D63" s="62" t="s">
        <v>859</v>
      </c>
      <c r="E63" s="28" t="s">
        <v>816</v>
      </c>
      <c r="F63" s="50">
        <v>200000000</v>
      </c>
      <c r="G63" s="49" t="s">
        <v>860</v>
      </c>
      <c r="H63" s="30">
        <v>45895</v>
      </c>
      <c r="I63" s="30">
        <v>46073</v>
      </c>
      <c r="J63" s="155">
        <v>43286332815</v>
      </c>
      <c r="K63" s="156">
        <v>8867000</v>
      </c>
      <c r="L63" s="38">
        <v>22848391</v>
      </c>
      <c r="M63" s="49" t="s">
        <v>715</v>
      </c>
      <c r="N63" s="58">
        <v>46114</v>
      </c>
    </row>
    <row r="64" spans="1:15" x14ac:dyDescent="0.25">
      <c r="A64" s="62"/>
      <c r="B64" s="3" t="s">
        <v>42</v>
      </c>
      <c r="C64" s="18" t="s">
        <v>858</v>
      </c>
      <c r="D64" s="62" t="s">
        <v>859</v>
      </c>
      <c r="E64" s="28" t="s">
        <v>816</v>
      </c>
      <c r="F64" s="50">
        <v>0</v>
      </c>
      <c r="G64" s="49" t="s">
        <v>860</v>
      </c>
      <c r="H64" s="30">
        <v>45895</v>
      </c>
      <c r="I64" s="30">
        <v>46073</v>
      </c>
      <c r="J64" s="155">
        <v>42896923356</v>
      </c>
      <c r="K64" s="156">
        <v>9845000</v>
      </c>
      <c r="L64" s="156"/>
      <c r="M64" s="49" t="s">
        <v>715</v>
      </c>
      <c r="N64" s="58">
        <v>46114</v>
      </c>
    </row>
    <row r="65" spans="1:15" x14ac:dyDescent="0.25">
      <c r="A65" s="62"/>
      <c r="B65" s="3" t="s">
        <v>42</v>
      </c>
      <c r="C65" s="18" t="s">
        <v>858</v>
      </c>
      <c r="D65" s="62" t="s">
        <v>859</v>
      </c>
      <c r="E65" s="28" t="s">
        <v>816</v>
      </c>
      <c r="F65" s="50">
        <v>0</v>
      </c>
      <c r="G65" s="49" t="s">
        <v>860</v>
      </c>
      <c r="H65" s="30">
        <v>45895</v>
      </c>
      <c r="I65" s="30">
        <v>46073</v>
      </c>
      <c r="J65" s="155">
        <v>44361399732</v>
      </c>
      <c r="K65" s="156">
        <v>1288000</v>
      </c>
      <c r="L65" s="8">
        <v>0</v>
      </c>
      <c r="M65" s="49" t="s">
        <v>715</v>
      </c>
      <c r="N65" s="58">
        <v>46114</v>
      </c>
    </row>
    <row r="66" spans="1:15" x14ac:dyDescent="0.25">
      <c r="A66" s="62">
        <v>17</v>
      </c>
      <c r="B66" s="3" t="s">
        <v>42</v>
      </c>
      <c r="C66" s="18" t="s">
        <v>858</v>
      </c>
      <c r="D66" s="62" t="s">
        <v>861</v>
      </c>
      <c r="E66" s="28" t="s">
        <v>816</v>
      </c>
      <c r="F66" s="50">
        <v>200000000</v>
      </c>
      <c r="G66" s="49" t="s">
        <v>862</v>
      </c>
      <c r="H66" s="30">
        <v>45888</v>
      </c>
      <c r="I66" s="30">
        <v>46173</v>
      </c>
      <c r="J66" s="155">
        <v>44085316349</v>
      </c>
      <c r="K66" s="156">
        <v>20000000</v>
      </c>
      <c r="L66" s="156">
        <v>200000000</v>
      </c>
      <c r="M66" s="49" t="s">
        <v>715</v>
      </c>
      <c r="N66" s="58">
        <v>46121</v>
      </c>
      <c r="O66" t="s">
        <v>863</v>
      </c>
    </row>
    <row r="67" spans="1:15" x14ac:dyDescent="0.25">
      <c r="A67" s="62">
        <v>16</v>
      </c>
      <c r="B67" s="3" t="s">
        <v>42</v>
      </c>
      <c r="C67" s="18" t="s">
        <v>848</v>
      </c>
      <c r="D67" s="62" t="s">
        <v>864</v>
      </c>
      <c r="E67" s="28" t="s">
        <v>799</v>
      </c>
      <c r="F67" s="50">
        <v>2426631</v>
      </c>
      <c r="G67" s="49" t="s">
        <v>850</v>
      </c>
      <c r="H67" s="30">
        <v>45881</v>
      </c>
      <c r="I67" s="30">
        <v>46053</v>
      </c>
      <c r="J67" s="155"/>
      <c r="K67" s="111">
        <v>365000</v>
      </c>
      <c r="L67" s="38">
        <v>30924792</v>
      </c>
      <c r="M67" s="49" t="s">
        <v>715</v>
      </c>
      <c r="N67" s="58">
        <v>46144</v>
      </c>
    </row>
    <row r="68" spans="1:15" x14ac:dyDescent="0.25">
      <c r="A68" s="62">
        <v>21</v>
      </c>
      <c r="B68" s="3" t="s">
        <v>42</v>
      </c>
      <c r="C68" s="18" t="s">
        <v>804</v>
      </c>
      <c r="D68" s="62" t="s">
        <v>805</v>
      </c>
      <c r="E68" s="28" t="s">
        <v>799</v>
      </c>
      <c r="F68" s="50">
        <v>910000000</v>
      </c>
      <c r="G68" s="49" t="s">
        <v>806</v>
      </c>
      <c r="H68" s="30">
        <v>46093</v>
      </c>
      <c r="I68" s="30">
        <v>46173</v>
      </c>
      <c r="J68" s="155">
        <v>44361399732</v>
      </c>
      <c r="K68" s="156">
        <v>59584437</v>
      </c>
      <c r="L68" s="38"/>
      <c r="M68" s="49" t="s">
        <v>715</v>
      </c>
      <c r="N68" s="58">
        <v>46164</v>
      </c>
    </row>
    <row r="69" spans="1:15" x14ac:dyDescent="0.25">
      <c r="A69" s="62"/>
      <c r="B69" s="3" t="s">
        <v>42</v>
      </c>
      <c r="C69" s="18" t="s">
        <v>804</v>
      </c>
      <c r="D69" s="62" t="s">
        <v>805</v>
      </c>
      <c r="E69" s="28" t="s">
        <v>799</v>
      </c>
      <c r="F69" s="50"/>
      <c r="G69" s="49" t="s">
        <v>806</v>
      </c>
      <c r="H69" s="30">
        <v>46093</v>
      </c>
      <c r="I69" s="30">
        <v>46173</v>
      </c>
      <c r="J69" s="155">
        <v>42039487699</v>
      </c>
      <c r="K69" s="156">
        <v>21900000</v>
      </c>
      <c r="L69" s="38"/>
      <c r="M69" s="49" t="s">
        <v>715</v>
      </c>
      <c r="N69" s="58">
        <v>46164</v>
      </c>
    </row>
    <row r="70" spans="1:15" x14ac:dyDescent="0.25">
      <c r="A70" s="62"/>
      <c r="B70" s="3" t="s">
        <v>42</v>
      </c>
      <c r="C70" s="18" t="s">
        <v>804</v>
      </c>
      <c r="D70" s="62" t="s">
        <v>805</v>
      </c>
      <c r="E70" s="28" t="s">
        <v>799</v>
      </c>
      <c r="F70" s="50"/>
      <c r="G70" s="49" t="s">
        <v>806</v>
      </c>
      <c r="H70" s="30">
        <v>46093</v>
      </c>
      <c r="I70" s="30">
        <v>46173</v>
      </c>
      <c r="J70" s="155">
        <v>43199860436</v>
      </c>
      <c r="K70" s="156">
        <v>30996241</v>
      </c>
      <c r="L70" s="38"/>
      <c r="M70" s="49" t="s">
        <v>715</v>
      </c>
      <c r="N70" s="58">
        <v>46164</v>
      </c>
    </row>
    <row r="71" spans="1:15" x14ac:dyDescent="0.25">
      <c r="A71" s="62"/>
      <c r="B71" s="3" t="s">
        <v>42</v>
      </c>
      <c r="C71" s="18" t="s">
        <v>804</v>
      </c>
      <c r="D71" s="62" t="s">
        <v>805</v>
      </c>
      <c r="E71" s="28" t="s">
        <v>799</v>
      </c>
      <c r="F71" s="50"/>
      <c r="G71" s="49" t="s">
        <v>806</v>
      </c>
      <c r="H71" s="30">
        <v>46093</v>
      </c>
      <c r="I71" s="30">
        <v>46173</v>
      </c>
      <c r="J71" s="155">
        <v>44994834618</v>
      </c>
      <c r="K71" s="156">
        <v>24019322</v>
      </c>
      <c r="L71" s="38"/>
      <c r="M71" s="49" t="s">
        <v>715</v>
      </c>
      <c r="N71" s="58">
        <v>46164</v>
      </c>
    </row>
  </sheetData>
  <autoFilter ref="A1:M30" xr:uid="{942B866E-0B18-44E7-BD4D-87D7EFC4CC5A}"/>
  <pageMargins left="0.70866141732283472" right="0.70866141732283472" top="0.74803149606299213" bottom="0.74803149606299213" header="0.31496062992125984" footer="0.31496062992125984"/>
  <pageSetup paperSize="9" scale="3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464F3-F060-4A61-ABFA-5D9728DC1E64}">
  <sheetPr>
    <pageSetUpPr fitToPage="1"/>
  </sheetPr>
  <dimension ref="A1:Z209"/>
  <sheetViews>
    <sheetView workbookViewId="0">
      <pane ySplit="1" topLeftCell="A2" activePane="bottomLeft" state="frozen"/>
      <selection activeCell="I1" sqref="I1"/>
      <selection pane="bottomLeft"/>
    </sheetView>
  </sheetViews>
  <sheetFormatPr defaultRowHeight="15" x14ac:dyDescent="0.25"/>
  <cols>
    <col min="1" max="1" width="11.7109375" bestFit="1" customWidth="1"/>
    <col min="2" max="2" width="17.85546875" bestFit="1" customWidth="1"/>
    <col min="3" max="3" width="14.140625" bestFit="1" customWidth="1"/>
    <col min="4" max="4" width="26.28515625" bestFit="1" customWidth="1"/>
    <col min="5" max="5" width="25.42578125" bestFit="1" customWidth="1"/>
    <col min="6" max="6" width="14.140625" bestFit="1" customWidth="1"/>
    <col min="7" max="7" width="39" style="90" bestFit="1" customWidth="1"/>
    <col min="8" max="8" width="14.28515625" bestFit="1" customWidth="1"/>
    <col min="9" max="9" width="38.5703125" bestFit="1" customWidth="1"/>
    <col min="10" max="10" width="29.7109375" bestFit="1" customWidth="1"/>
    <col min="11" max="11" width="16.85546875" bestFit="1" customWidth="1"/>
    <col min="12" max="12" width="14" bestFit="1" customWidth="1"/>
    <col min="13" max="13" width="20.28515625" bestFit="1" customWidth="1"/>
    <col min="14" max="14" width="13.42578125" bestFit="1" customWidth="1"/>
    <col min="15" max="15" width="19.7109375" bestFit="1" customWidth="1"/>
    <col min="16" max="17" width="14.42578125" bestFit="1" customWidth="1"/>
    <col min="18" max="18" width="13.5703125" bestFit="1" customWidth="1"/>
    <col min="19" max="20" width="14.42578125" bestFit="1" customWidth="1"/>
    <col min="21" max="21" width="13.5703125" bestFit="1" customWidth="1"/>
    <col min="22" max="22" width="14.85546875" bestFit="1" customWidth="1"/>
    <col min="23" max="23" width="13.85546875" bestFit="1" customWidth="1"/>
    <col min="24" max="24" width="19.42578125" bestFit="1" customWidth="1"/>
    <col min="25" max="25" width="10.7109375" bestFit="1" customWidth="1"/>
    <col min="26" max="26" width="21.85546875" bestFit="1" customWidth="1"/>
  </cols>
  <sheetData>
    <row r="1" spans="1:24" ht="43.5" x14ac:dyDescent="0.25">
      <c r="A1" s="65" t="s">
        <v>865</v>
      </c>
      <c r="B1" s="65" t="s">
        <v>101</v>
      </c>
      <c r="C1" s="27" t="s">
        <v>866</v>
      </c>
      <c r="D1" s="365" t="s">
        <v>867</v>
      </c>
      <c r="E1" s="65" t="s">
        <v>868</v>
      </c>
      <c r="F1" s="65" t="s">
        <v>619</v>
      </c>
      <c r="G1" s="178" t="s">
        <v>869</v>
      </c>
      <c r="H1" s="65" t="s">
        <v>870</v>
      </c>
      <c r="I1" s="65" t="s">
        <v>871</v>
      </c>
      <c r="J1" s="66" t="s">
        <v>872</v>
      </c>
      <c r="K1" s="66" t="s">
        <v>873</v>
      </c>
      <c r="L1" s="66" t="s">
        <v>874</v>
      </c>
      <c r="M1" s="66" t="s">
        <v>875</v>
      </c>
      <c r="N1" s="67" t="s">
        <v>876</v>
      </c>
      <c r="O1" s="26" t="s">
        <v>877</v>
      </c>
      <c r="P1" s="27" t="s">
        <v>878</v>
      </c>
      <c r="Q1" s="27" t="s">
        <v>879</v>
      </c>
      <c r="R1" s="150" t="s">
        <v>880</v>
      </c>
      <c r="S1" s="150" t="s">
        <v>881</v>
      </c>
      <c r="T1" s="150" t="s">
        <v>882</v>
      </c>
      <c r="U1" s="150" t="s">
        <v>883</v>
      </c>
      <c r="V1" s="150" t="s">
        <v>884</v>
      </c>
      <c r="W1" s="27" t="s">
        <v>621</v>
      </c>
      <c r="X1" s="27" t="s">
        <v>885</v>
      </c>
    </row>
    <row r="2" spans="1:24" x14ac:dyDescent="0.25">
      <c r="A2" s="440">
        <f>A203+1</f>
        <v>2</v>
      </c>
      <c r="B2" s="6" t="s">
        <v>1</v>
      </c>
      <c r="C2" s="73">
        <v>45108</v>
      </c>
      <c r="D2" s="87">
        <v>42042836045</v>
      </c>
      <c r="E2" s="6" t="s">
        <v>890</v>
      </c>
      <c r="F2" s="31">
        <v>1</v>
      </c>
      <c r="G2" s="179" t="s">
        <v>768</v>
      </c>
      <c r="H2" s="55" t="s">
        <v>770</v>
      </c>
      <c r="I2" s="49" t="s">
        <v>891</v>
      </c>
      <c r="J2" s="31">
        <v>6.5000000000000002E-2</v>
      </c>
      <c r="K2" s="38">
        <v>14767500</v>
      </c>
      <c r="L2" s="38">
        <v>14767500</v>
      </c>
      <c r="M2" s="38">
        <v>14767500</v>
      </c>
      <c r="N2" s="68">
        <v>6975546</v>
      </c>
      <c r="O2" s="69">
        <v>21743046</v>
      </c>
      <c r="P2" s="34" t="s">
        <v>892</v>
      </c>
      <c r="Q2" s="35">
        <v>47300</v>
      </c>
      <c r="R2" s="38" t="s">
        <v>247</v>
      </c>
      <c r="S2" s="38" t="s">
        <v>247</v>
      </c>
      <c r="T2" s="38" t="s">
        <v>247</v>
      </c>
      <c r="U2" s="38" t="s">
        <v>247</v>
      </c>
      <c r="V2" s="439">
        <f>M2</f>
        <v>14767500</v>
      </c>
      <c r="W2" s="3" t="s">
        <v>772</v>
      </c>
      <c r="X2" s="3" t="s">
        <v>888</v>
      </c>
    </row>
    <row r="3" spans="1:24" x14ac:dyDescent="0.25">
      <c r="A3" s="440">
        <f>A2+1</f>
        <v>3</v>
      </c>
      <c r="B3" s="6" t="s">
        <v>1</v>
      </c>
      <c r="C3" s="73">
        <v>45079</v>
      </c>
      <c r="D3" s="155">
        <v>41965814780</v>
      </c>
      <c r="E3" s="6" t="s">
        <v>893</v>
      </c>
      <c r="F3" s="165" t="s">
        <v>893</v>
      </c>
      <c r="G3" s="180" t="s">
        <v>894</v>
      </c>
      <c r="H3" s="155" t="s">
        <v>893</v>
      </c>
      <c r="I3" s="155" t="s">
        <v>247</v>
      </c>
      <c r="J3" s="165">
        <v>7.0999999999999994E-2</v>
      </c>
      <c r="K3" s="156">
        <v>14600000</v>
      </c>
      <c r="L3" s="156">
        <v>14600000</v>
      </c>
      <c r="M3" s="156">
        <v>15650791</v>
      </c>
      <c r="N3" s="438">
        <f>O3-L3</f>
        <v>2306258</v>
      </c>
      <c r="O3" s="156">
        <v>16906258</v>
      </c>
      <c r="P3" s="177" t="s">
        <v>895</v>
      </c>
      <c r="Q3" s="83">
        <v>45479</v>
      </c>
      <c r="R3" s="156">
        <v>16778862</v>
      </c>
      <c r="S3" s="156">
        <v>17959368</v>
      </c>
      <c r="T3" s="83">
        <v>46279</v>
      </c>
      <c r="U3" s="165">
        <v>6.25E-2</v>
      </c>
      <c r="V3" s="439">
        <f>R3</f>
        <v>16778862</v>
      </c>
      <c r="W3" s="3" t="s">
        <v>772</v>
      </c>
      <c r="X3" s="3" t="s">
        <v>247</v>
      </c>
    </row>
    <row r="4" spans="1:24" x14ac:dyDescent="0.25">
      <c r="A4" s="440">
        <f>A3+1</f>
        <v>4</v>
      </c>
      <c r="B4" s="6" t="s">
        <v>1</v>
      </c>
      <c r="C4" s="73">
        <v>45159</v>
      </c>
      <c r="D4" s="87">
        <v>42194876674</v>
      </c>
      <c r="E4" s="6" t="s">
        <v>890</v>
      </c>
      <c r="F4" s="31">
        <v>1</v>
      </c>
      <c r="G4" s="179" t="s">
        <v>768</v>
      </c>
      <c r="H4" s="55" t="s">
        <v>770</v>
      </c>
      <c r="I4" s="49" t="s">
        <v>896</v>
      </c>
      <c r="J4" s="31">
        <v>6.5000000000000002E-2</v>
      </c>
      <c r="K4" s="38">
        <v>1229500</v>
      </c>
      <c r="L4" s="38">
        <v>1229500</v>
      </c>
      <c r="M4" s="38">
        <v>1229500</v>
      </c>
      <c r="N4" s="68">
        <v>580764</v>
      </c>
      <c r="O4" s="69">
        <v>1810264</v>
      </c>
      <c r="P4" s="34" t="s">
        <v>892</v>
      </c>
      <c r="Q4" s="35">
        <v>47351</v>
      </c>
      <c r="R4" s="38" t="s">
        <v>247</v>
      </c>
      <c r="S4" s="38" t="s">
        <v>247</v>
      </c>
      <c r="T4" s="38" t="s">
        <v>247</v>
      </c>
      <c r="U4" s="38" t="s">
        <v>247</v>
      </c>
      <c r="V4" s="439">
        <f>M4</f>
        <v>1229500</v>
      </c>
      <c r="W4" s="3" t="s">
        <v>772</v>
      </c>
      <c r="X4" s="3" t="s">
        <v>888</v>
      </c>
    </row>
    <row r="5" spans="1:24" x14ac:dyDescent="0.25">
      <c r="A5" s="440">
        <f>A127+1</f>
        <v>8</v>
      </c>
      <c r="B5" s="6" t="s">
        <v>1</v>
      </c>
      <c r="C5" s="73">
        <v>45199</v>
      </c>
      <c r="D5" s="87">
        <v>42311730454</v>
      </c>
      <c r="E5" s="6" t="s">
        <v>890</v>
      </c>
      <c r="F5" s="31">
        <v>1</v>
      </c>
      <c r="G5" s="179" t="s">
        <v>768</v>
      </c>
      <c r="H5" s="34" t="s">
        <v>778</v>
      </c>
      <c r="I5" s="51" t="s">
        <v>897</v>
      </c>
      <c r="J5" s="31">
        <v>7.0000000000000007E-2</v>
      </c>
      <c r="K5" s="38">
        <v>13125000</v>
      </c>
      <c r="L5" s="70">
        <v>13125000</v>
      </c>
      <c r="M5" s="70">
        <v>13125000</v>
      </c>
      <c r="N5" s="68">
        <v>2040830</v>
      </c>
      <c r="O5" s="18">
        <v>15165830</v>
      </c>
      <c r="P5" s="34" t="s">
        <v>898</v>
      </c>
      <c r="Q5" s="35">
        <v>45960</v>
      </c>
      <c r="R5" s="38">
        <v>14953460</v>
      </c>
      <c r="S5" s="38">
        <v>17088006</v>
      </c>
      <c r="T5" s="35">
        <v>46721</v>
      </c>
      <c r="U5" s="219">
        <v>6.45</v>
      </c>
      <c r="V5" s="439">
        <f>M5</f>
        <v>13125000</v>
      </c>
      <c r="W5" s="3" t="s">
        <v>772</v>
      </c>
      <c r="X5" s="3" t="s">
        <v>888</v>
      </c>
    </row>
    <row r="6" spans="1:24" x14ac:dyDescent="0.25">
      <c r="A6" s="440">
        <f>A5+1</f>
        <v>9</v>
      </c>
      <c r="B6" s="6" t="s">
        <v>1</v>
      </c>
      <c r="C6" s="73">
        <v>45199</v>
      </c>
      <c r="D6" s="87">
        <v>42309489089</v>
      </c>
      <c r="E6" s="6" t="s">
        <v>890</v>
      </c>
      <c r="F6" s="31">
        <v>1</v>
      </c>
      <c r="G6" s="181" t="s">
        <v>768</v>
      </c>
      <c r="H6" s="49" t="s">
        <v>899</v>
      </c>
      <c r="I6" s="49" t="s">
        <v>794</v>
      </c>
      <c r="J6" s="31">
        <v>6.8000000000000005E-2</v>
      </c>
      <c r="K6" s="38">
        <v>3000000</v>
      </c>
      <c r="L6" s="70">
        <v>3188034</v>
      </c>
      <c r="M6" s="38">
        <v>3188034</v>
      </c>
      <c r="N6" s="441">
        <f>O6-M6</f>
        <v>222377</v>
      </c>
      <c r="O6" s="38">
        <v>3410411</v>
      </c>
      <c r="P6" s="34" t="s">
        <v>900</v>
      </c>
      <c r="Q6" s="35">
        <v>45565</v>
      </c>
      <c r="R6" s="38">
        <v>3387854</v>
      </c>
      <c r="S6" s="38">
        <v>3604609</v>
      </c>
      <c r="T6" s="35">
        <v>46295</v>
      </c>
      <c r="U6" s="31">
        <v>6.25E-2</v>
      </c>
      <c r="V6" s="439">
        <f>R6</f>
        <v>3387854</v>
      </c>
      <c r="W6" s="3" t="s">
        <v>772</v>
      </c>
      <c r="X6" s="3" t="s">
        <v>888</v>
      </c>
    </row>
    <row r="7" spans="1:24" x14ac:dyDescent="0.25">
      <c r="A7" s="440">
        <f>A6+1</f>
        <v>10</v>
      </c>
      <c r="B7" s="6" t="s">
        <v>1</v>
      </c>
      <c r="C7" s="73">
        <v>45202</v>
      </c>
      <c r="D7" s="87">
        <v>42319489577</v>
      </c>
      <c r="E7" s="6" t="s">
        <v>890</v>
      </c>
      <c r="F7" s="31">
        <v>1</v>
      </c>
      <c r="G7" s="181" t="s">
        <v>768</v>
      </c>
      <c r="H7" s="49" t="s">
        <v>899</v>
      </c>
      <c r="I7" s="49" t="s">
        <v>792</v>
      </c>
      <c r="J7" s="31">
        <v>6.8000000000000005E-2</v>
      </c>
      <c r="K7" s="38">
        <v>300000</v>
      </c>
      <c r="L7" s="38">
        <v>9801</v>
      </c>
      <c r="M7" s="38">
        <v>318801</v>
      </c>
      <c r="N7" s="441">
        <f>O7-M7</f>
        <v>22238</v>
      </c>
      <c r="O7" s="38">
        <v>341039</v>
      </c>
      <c r="P7" s="34" t="s">
        <v>900</v>
      </c>
      <c r="Q7" s="35">
        <v>45568</v>
      </c>
      <c r="R7" s="38">
        <v>338780</v>
      </c>
      <c r="S7" s="38">
        <v>360455</v>
      </c>
      <c r="T7" s="35">
        <v>46298</v>
      </c>
      <c r="U7" s="31">
        <v>6.25E-2</v>
      </c>
      <c r="V7" s="439">
        <f>R7</f>
        <v>338780</v>
      </c>
      <c r="W7" s="3" t="s">
        <v>772</v>
      </c>
      <c r="X7" s="3" t="s">
        <v>888</v>
      </c>
    </row>
    <row r="8" spans="1:24" x14ac:dyDescent="0.25">
      <c r="A8" s="3"/>
      <c r="B8" s="6" t="s">
        <v>1</v>
      </c>
      <c r="C8" s="73">
        <v>45202</v>
      </c>
      <c r="D8" s="87">
        <v>42319489577</v>
      </c>
      <c r="E8" s="6" t="s">
        <v>901</v>
      </c>
      <c r="F8" s="31">
        <v>1</v>
      </c>
      <c r="G8" s="179"/>
      <c r="H8" s="155"/>
      <c r="I8" s="49"/>
      <c r="J8" s="165">
        <v>6.8000000000000005E-2</v>
      </c>
      <c r="K8" s="38" t="s">
        <v>247</v>
      </c>
      <c r="L8" s="156">
        <v>328979</v>
      </c>
      <c r="M8" s="38" t="s">
        <v>247</v>
      </c>
      <c r="N8" s="38" t="s">
        <v>247</v>
      </c>
      <c r="O8" s="38" t="s">
        <v>247</v>
      </c>
      <c r="P8" s="6" t="s">
        <v>900</v>
      </c>
      <c r="Q8" s="83">
        <v>45568</v>
      </c>
      <c r="R8" s="38" t="s">
        <v>247</v>
      </c>
      <c r="S8" s="38" t="s">
        <v>247</v>
      </c>
      <c r="T8" s="35">
        <v>46298</v>
      </c>
      <c r="U8" s="31">
        <v>6.25E-2</v>
      </c>
      <c r="V8" s="38" t="s">
        <v>247</v>
      </c>
      <c r="W8" s="3" t="s">
        <v>772</v>
      </c>
      <c r="X8" s="3" t="s">
        <v>888</v>
      </c>
    </row>
    <row r="9" spans="1:24" x14ac:dyDescent="0.25">
      <c r="A9" s="440">
        <f>A134+1</f>
        <v>13</v>
      </c>
      <c r="B9" s="6" t="s">
        <v>1</v>
      </c>
      <c r="C9" s="73">
        <v>45212</v>
      </c>
      <c r="D9" s="87">
        <v>42352342044</v>
      </c>
      <c r="E9" s="6" t="s">
        <v>890</v>
      </c>
      <c r="F9" s="31">
        <v>1</v>
      </c>
      <c r="G9" s="181" t="s">
        <v>768</v>
      </c>
      <c r="H9" s="49" t="s">
        <v>899</v>
      </c>
      <c r="I9" s="49" t="s">
        <v>792</v>
      </c>
      <c r="J9" s="31">
        <v>6.8000000000000005E-2</v>
      </c>
      <c r="K9" s="38">
        <v>1288000</v>
      </c>
      <c r="L9" s="71">
        <v>1368730</v>
      </c>
      <c r="M9" s="38">
        <v>1368730</v>
      </c>
      <c r="N9" s="441">
        <f t="shared" ref="N9:N10" si="0">O9-M9</f>
        <v>95474</v>
      </c>
      <c r="O9" s="38">
        <v>1464204</v>
      </c>
      <c r="P9" s="72" t="s">
        <v>902</v>
      </c>
      <c r="Q9" s="35">
        <v>45578</v>
      </c>
      <c r="R9" s="38">
        <v>1454521</v>
      </c>
      <c r="S9" s="38">
        <v>1547581</v>
      </c>
      <c r="T9" s="35">
        <v>46308</v>
      </c>
      <c r="U9" s="31">
        <v>6.25E-2</v>
      </c>
      <c r="V9" s="439">
        <f>R9</f>
        <v>1454521</v>
      </c>
      <c r="W9" s="3" t="s">
        <v>772</v>
      </c>
      <c r="X9" s="3" t="s">
        <v>888</v>
      </c>
    </row>
    <row r="10" spans="1:24" x14ac:dyDescent="0.25">
      <c r="A10" s="440">
        <f>A149+1</f>
        <v>16</v>
      </c>
      <c r="B10" s="6" t="s">
        <v>1</v>
      </c>
      <c r="C10" s="73">
        <v>45219</v>
      </c>
      <c r="D10" s="87">
        <v>42371819184</v>
      </c>
      <c r="E10" s="6" t="s">
        <v>890</v>
      </c>
      <c r="F10" s="31">
        <v>1</v>
      </c>
      <c r="G10" s="181" t="s">
        <v>768</v>
      </c>
      <c r="H10" s="55" t="s">
        <v>770</v>
      </c>
      <c r="I10" s="49" t="s">
        <v>771</v>
      </c>
      <c r="J10" s="31">
        <v>6.8000000000000005E-2</v>
      </c>
      <c r="K10" s="38">
        <v>3900000</v>
      </c>
      <c r="L10" s="71">
        <v>3496500</v>
      </c>
      <c r="M10" s="38">
        <v>4144466</v>
      </c>
      <c r="N10" s="441">
        <f t="shared" si="0"/>
        <v>289092</v>
      </c>
      <c r="O10" s="38">
        <v>4433558</v>
      </c>
      <c r="P10" s="72" t="s">
        <v>902</v>
      </c>
      <c r="Q10" s="35">
        <v>45585</v>
      </c>
      <c r="R10" s="38">
        <v>4404256</v>
      </c>
      <c r="S10" s="38">
        <v>4686041</v>
      </c>
      <c r="T10" s="35">
        <v>46315</v>
      </c>
      <c r="U10" s="31">
        <v>6.25E-2</v>
      </c>
      <c r="V10" s="439">
        <f>R10</f>
        <v>4404256</v>
      </c>
      <c r="W10" s="3" t="s">
        <v>772</v>
      </c>
      <c r="X10" s="3" t="s">
        <v>888</v>
      </c>
    </row>
    <row r="11" spans="1:24" x14ac:dyDescent="0.25">
      <c r="A11" s="3"/>
      <c r="B11" s="6" t="s">
        <v>1</v>
      </c>
      <c r="C11" s="73">
        <v>45219</v>
      </c>
      <c r="D11" s="87">
        <v>42371819184</v>
      </c>
      <c r="E11" s="6" t="s">
        <v>903</v>
      </c>
      <c r="F11" s="31">
        <v>0.1</v>
      </c>
      <c r="G11" s="181"/>
      <c r="H11" s="55"/>
      <c r="I11" s="55"/>
      <c r="J11" s="31">
        <v>6.8000000000000005E-2</v>
      </c>
      <c r="K11" s="68">
        <v>0</v>
      </c>
      <c r="L11" s="71">
        <v>103500</v>
      </c>
      <c r="M11" s="68">
        <v>0</v>
      </c>
      <c r="N11" s="68">
        <v>0</v>
      </c>
      <c r="O11" s="68">
        <v>0</v>
      </c>
      <c r="P11" s="72" t="s">
        <v>902</v>
      </c>
      <c r="Q11" s="35">
        <v>45585</v>
      </c>
      <c r="R11" s="38" t="s">
        <v>247</v>
      </c>
      <c r="S11" s="38" t="s">
        <v>247</v>
      </c>
      <c r="T11" s="35">
        <v>46315</v>
      </c>
      <c r="U11" s="31">
        <v>6.25E-2</v>
      </c>
      <c r="V11" s="38" t="s">
        <v>247</v>
      </c>
      <c r="W11" s="3" t="s">
        <v>772</v>
      </c>
      <c r="X11" s="3" t="s">
        <v>888</v>
      </c>
    </row>
    <row r="12" spans="1:24" x14ac:dyDescent="0.25">
      <c r="A12" s="3"/>
      <c r="B12" s="6" t="s">
        <v>1</v>
      </c>
      <c r="C12" s="73">
        <v>45219</v>
      </c>
      <c r="D12" s="87">
        <v>42371819184</v>
      </c>
      <c r="E12" s="6" t="s">
        <v>903</v>
      </c>
      <c r="F12" s="31">
        <v>0.1</v>
      </c>
      <c r="G12" s="181"/>
      <c r="H12" s="55"/>
      <c r="I12" s="55"/>
      <c r="J12" s="31">
        <v>6.8000000000000005E-2</v>
      </c>
      <c r="K12" s="68">
        <v>0</v>
      </c>
      <c r="L12" s="71">
        <v>300000</v>
      </c>
      <c r="M12" s="68">
        <v>0</v>
      </c>
      <c r="N12" s="68">
        <v>0</v>
      </c>
      <c r="O12" s="68">
        <v>0</v>
      </c>
      <c r="P12" s="72" t="s">
        <v>902</v>
      </c>
      <c r="Q12" s="35">
        <v>45585</v>
      </c>
      <c r="R12" s="38" t="s">
        <v>247</v>
      </c>
      <c r="S12" s="38" t="s">
        <v>247</v>
      </c>
      <c r="T12" s="35">
        <v>46315</v>
      </c>
      <c r="U12" s="31">
        <v>6.25E-2</v>
      </c>
      <c r="V12" s="38" t="s">
        <v>247</v>
      </c>
      <c r="W12" s="3" t="s">
        <v>772</v>
      </c>
      <c r="X12" s="3" t="s">
        <v>888</v>
      </c>
    </row>
    <row r="13" spans="1:24" x14ac:dyDescent="0.25">
      <c r="A13" s="440">
        <f>A143+1</f>
        <v>18</v>
      </c>
      <c r="B13" s="6" t="s">
        <v>1</v>
      </c>
      <c r="C13" s="73">
        <v>45251</v>
      </c>
      <c r="D13" s="87">
        <v>42456259384</v>
      </c>
      <c r="E13" s="6" t="s">
        <v>890</v>
      </c>
      <c r="F13" s="31">
        <v>1</v>
      </c>
      <c r="G13" s="181" t="s">
        <v>768</v>
      </c>
      <c r="H13" s="55" t="s">
        <v>770</v>
      </c>
      <c r="I13" s="49" t="s">
        <v>771</v>
      </c>
      <c r="J13" s="31">
        <v>6.8000000000000005E-2</v>
      </c>
      <c r="K13" s="38">
        <v>12300000</v>
      </c>
      <c r="L13" s="71">
        <v>7564000</v>
      </c>
      <c r="M13" s="38">
        <v>13071236</v>
      </c>
      <c r="N13" s="441">
        <f>O13-M13</f>
        <v>911768</v>
      </c>
      <c r="O13" s="38">
        <v>13983004</v>
      </c>
      <c r="P13" s="72" t="s">
        <v>900</v>
      </c>
      <c r="Q13" s="35">
        <v>45617</v>
      </c>
      <c r="R13" s="38">
        <v>13890835</v>
      </c>
      <c r="S13" s="38">
        <v>14779573</v>
      </c>
      <c r="T13" s="35">
        <v>46347</v>
      </c>
      <c r="U13" s="31">
        <v>6.25E-2</v>
      </c>
      <c r="V13" s="439">
        <f>R13</f>
        <v>13890835</v>
      </c>
      <c r="W13" s="3" t="s">
        <v>772</v>
      </c>
      <c r="X13" s="3" t="s">
        <v>904</v>
      </c>
    </row>
    <row r="14" spans="1:24" x14ac:dyDescent="0.25">
      <c r="A14" s="3"/>
      <c r="B14" s="6" t="s">
        <v>1</v>
      </c>
      <c r="C14" s="169">
        <v>45251</v>
      </c>
      <c r="D14" s="87">
        <v>42456259384</v>
      </c>
      <c r="E14" s="6" t="s">
        <v>903</v>
      </c>
      <c r="F14" s="165">
        <v>0.1</v>
      </c>
      <c r="G14" s="86"/>
      <c r="H14" s="87"/>
      <c r="I14" s="87"/>
      <c r="J14" s="165">
        <v>6.8000000000000005E-2</v>
      </c>
      <c r="K14" s="156"/>
      <c r="L14" s="164">
        <v>6326835</v>
      </c>
      <c r="M14" s="156" t="s">
        <v>247</v>
      </c>
      <c r="N14" s="166">
        <v>0</v>
      </c>
      <c r="O14" s="156" t="s">
        <v>247</v>
      </c>
      <c r="P14" s="60" t="s">
        <v>900</v>
      </c>
      <c r="Q14" s="83">
        <v>45617</v>
      </c>
      <c r="R14" s="156" t="s">
        <v>247</v>
      </c>
      <c r="S14" s="156" t="s">
        <v>247</v>
      </c>
      <c r="T14" s="35">
        <v>46347</v>
      </c>
      <c r="U14" s="165">
        <v>6.25E-2</v>
      </c>
      <c r="V14" s="156" t="s">
        <v>247</v>
      </c>
      <c r="W14" s="3" t="s">
        <v>772</v>
      </c>
      <c r="X14" s="3" t="s">
        <v>904</v>
      </c>
    </row>
    <row r="15" spans="1:24" x14ac:dyDescent="0.25">
      <c r="A15" s="440">
        <f>A162+1</f>
        <v>20</v>
      </c>
      <c r="B15" s="6" t="s">
        <v>1</v>
      </c>
      <c r="C15" s="169">
        <v>45253</v>
      </c>
      <c r="D15" s="87">
        <v>42461936258</v>
      </c>
      <c r="E15" s="6" t="s">
        <v>886</v>
      </c>
      <c r="F15" s="165">
        <v>0.1</v>
      </c>
      <c r="G15" s="62"/>
      <c r="H15" s="6"/>
      <c r="I15" s="49"/>
      <c r="J15" s="165">
        <v>6.8000000000000005E-2</v>
      </c>
      <c r="K15" s="156">
        <v>10000000</v>
      </c>
      <c r="L15" s="164">
        <v>10000000</v>
      </c>
      <c r="M15" s="156">
        <v>10000000</v>
      </c>
      <c r="N15" s="441">
        <f t="shared" ref="N15:N17" si="1">O15-M15</f>
        <v>1368308</v>
      </c>
      <c r="O15" s="156">
        <v>11368308</v>
      </c>
      <c r="P15" s="60" t="s">
        <v>900</v>
      </c>
      <c r="Q15" s="83">
        <v>45619</v>
      </c>
      <c r="R15" s="156">
        <v>11293386</v>
      </c>
      <c r="S15" s="156">
        <v>12015939</v>
      </c>
      <c r="T15" s="83">
        <v>46349</v>
      </c>
      <c r="U15" s="165">
        <v>6.25E-2</v>
      </c>
      <c r="V15" s="439">
        <f>R15</f>
        <v>11293386</v>
      </c>
      <c r="W15" s="3" t="s">
        <v>772</v>
      </c>
      <c r="X15" s="3" t="s">
        <v>888</v>
      </c>
    </row>
    <row r="16" spans="1:24" x14ac:dyDescent="0.25">
      <c r="A16" s="3"/>
      <c r="B16" s="6" t="s">
        <v>1</v>
      </c>
      <c r="C16" s="169">
        <v>45253</v>
      </c>
      <c r="D16" s="87">
        <v>42461936258</v>
      </c>
      <c r="E16" s="6" t="s">
        <v>886</v>
      </c>
      <c r="F16" s="31">
        <v>0.1</v>
      </c>
      <c r="G16" s="182"/>
      <c r="H16" s="6"/>
      <c r="I16" s="49"/>
      <c r="J16" s="165">
        <v>6.8000000000000005E-2</v>
      </c>
      <c r="K16" s="38" t="s">
        <v>247</v>
      </c>
      <c r="L16" s="164">
        <v>1293386</v>
      </c>
      <c r="M16" s="38" t="s">
        <v>247</v>
      </c>
      <c r="N16" s="166">
        <v>0</v>
      </c>
      <c r="O16" s="38" t="s">
        <v>247</v>
      </c>
      <c r="P16" s="60" t="s">
        <v>900</v>
      </c>
      <c r="Q16" s="83">
        <v>45619</v>
      </c>
      <c r="R16" s="38" t="s">
        <v>247</v>
      </c>
      <c r="S16" s="38" t="s">
        <v>247</v>
      </c>
      <c r="T16" s="35">
        <v>46349</v>
      </c>
      <c r="U16" s="165">
        <v>6.25E-2</v>
      </c>
      <c r="V16" s="38" t="s">
        <v>247</v>
      </c>
      <c r="W16" s="3" t="s">
        <v>772</v>
      </c>
      <c r="X16" s="3" t="s">
        <v>888</v>
      </c>
    </row>
    <row r="17" spans="1:24" x14ac:dyDescent="0.25">
      <c r="A17" s="440">
        <f>A151+1</f>
        <v>24</v>
      </c>
      <c r="B17" s="6" t="s">
        <v>1</v>
      </c>
      <c r="C17" s="169">
        <v>45289</v>
      </c>
      <c r="D17" s="87">
        <v>42561333063</v>
      </c>
      <c r="E17" s="6" t="s">
        <v>890</v>
      </c>
      <c r="F17" s="31">
        <v>1</v>
      </c>
      <c r="G17" s="181" t="s">
        <v>768</v>
      </c>
      <c r="H17" s="55" t="s">
        <v>770</v>
      </c>
      <c r="I17" s="49" t="s">
        <v>771</v>
      </c>
      <c r="J17" s="165">
        <v>6.8000000000000005E-2</v>
      </c>
      <c r="K17" s="156">
        <v>6400000</v>
      </c>
      <c r="L17" s="164">
        <v>4450000</v>
      </c>
      <c r="M17" s="164">
        <v>6801318</v>
      </c>
      <c r="N17" s="441">
        <f t="shared" si="1"/>
        <v>45106</v>
      </c>
      <c r="O17" s="62">
        <v>6846424</v>
      </c>
      <c r="P17" s="60" t="s">
        <v>900</v>
      </c>
      <c r="Q17" s="35">
        <v>45655</v>
      </c>
      <c r="R17" s="156">
        <v>7227800</v>
      </c>
      <c r="S17" s="156">
        <v>7690236</v>
      </c>
      <c r="T17" s="35">
        <v>46385</v>
      </c>
      <c r="U17" s="165">
        <v>6.25E-2</v>
      </c>
      <c r="V17" s="439">
        <f>R17</f>
        <v>7227800</v>
      </c>
      <c r="W17" s="3" t="s">
        <v>772</v>
      </c>
      <c r="X17" s="3" t="s">
        <v>904</v>
      </c>
    </row>
    <row r="18" spans="1:24" x14ac:dyDescent="0.25">
      <c r="A18" s="3"/>
      <c r="B18" s="6" t="s">
        <v>1</v>
      </c>
      <c r="C18" s="169">
        <v>45289</v>
      </c>
      <c r="D18" s="87">
        <v>42561333063</v>
      </c>
      <c r="E18" s="6" t="s">
        <v>903</v>
      </c>
      <c r="F18" s="165">
        <v>0.1</v>
      </c>
      <c r="G18" s="86"/>
      <c r="H18" s="87"/>
      <c r="I18" s="87"/>
      <c r="J18" s="165">
        <v>6.8000000000000005E-2</v>
      </c>
      <c r="K18" s="156" t="s">
        <v>247</v>
      </c>
      <c r="L18" s="164">
        <v>1907482</v>
      </c>
      <c r="M18" s="164">
        <v>0</v>
      </c>
      <c r="N18" s="166">
        <v>0</v>
      </c>
      <c r="O18" s="156" t="s">
        <v>247</v>
      </c>
      <c r="P18" s="60" t="s">
        <v>900</v>
      </c>
      <c r="Q18" s="83">
        <v>45655</v>
      </c>
      <c r="R18" s="156" t="s">
        <v>247</v>
      </c>
      <c r="S18" s="156" t="s">
        <v>247</v>
      </c>
      <c r="T18" s="35">
        <v>46385</v>
      </c>
      <c r="U18" s="165">
        <v>6.25E-2</v>
      </c>
      <c r="V18" s="156" t="s">
        <v>247</v>
      </c>
      <c r="W18" s="3" t="s">
        <v>772</v>
      </c>
      <c r="X18" s="3" t="s">
        <v>904</v>
      </c>
    </row>
    <row r="19" spans="1:24" x14ac:dyDescent="0.25">
      <c r="A19" s="3"/>
      <c r="B19" s="6" t="s">
        <v>1</v>
      </c>
      <c r="C19" s="169">
        <v>45289</v>
      </c>
      <c r="D19" s="87">
        <v>42561333063</v>
      </c>
      <c r="E19" s="6" t="s">
        <v>905</v>
      </c>
      <c r="F19" s="31">
        <v>0.1</v>
      </c>
      <c r="G19" s="86"/>
      <c r="H19" s="87"/>
      <c r="I19" s="87"/>
      <c r="J19" s="165">
        <v>6.8000000000000005E-2</v>
      </c>
      <c r="K19" s="156" t="s">
        <v>247</v>
      </c>
      <c r="L19" s="164">
        <v>870318</v>
      </c>
      <c r="M19" s="164">
        <v>0</v>
      </c>
      <c r="N19" s="166">
        <v>0</v>
      </c>
      <c r="O19" s="156" t="s">
        <v>247</v>
      </c>
      <c r="P19" s="60" t="s">
        <v>900</v>
      </c>
      <c r="Q19" s="83">
        <v>45655</v>
      </c>
      <c r="R19" s="156" t="s">
        <v>247</v>
      </c>
      <c r="S19" s="156" t="s">
        <v>247</v>
      </c>
      <c r="T19" s="35">
        <v>46385</v>
      </c>
      <c r="U19" s="165">
        <v>6.25E-2</v>
      </c>
      <c r="V19" s="156" t="s">
        <v>247</v>
      </c>
      <c r="W19" s="3" t="s">
        <v>772</v>
      </c>
      <c r="X19" s="3" t="s">
        <v>904</v>
      </c>
    </row>
    <row r="20" spans="1:24" x14ac:dyDescent="0.25">
      <c r="A20" s="440">
        <f>A132+1</f>
        <v>27</v>
      </c>
      <c r="B20" s="6" t="s">
        <v>1</v>
      </c>
      <c r="C20" s="73">
        <v>45202</v>
      </c>
      <c r="D20" s="87">
        <v>42318765196</v>
      </c>
      <c r="E20" s="6" t="s">
        <v>890</v>
      </c>
      <c r="F20" s="31">
        <v>1</v>
      </c>
      <c r="G20" s="179" t="s">
        <v>768</v>
      </c>
      <c r="H20" s="55" t="s">
        <v>899</v>
      </c>
      <c r="I20" s="49" t="s">
        <v>792</v>
      </c>
      <c r="J20" s="31">
        <v>6.8000000000000005E-2</v>
      </c>
      <c r="K20" s="38">
        <v>1500000</v>
      </c>
      <c r="L20" s="71">
        <v>1594009</v>
      </c>
      <c r="M20" s="38">
        <v>1594009</v>
      </c>
      <c r="N20" s="441">
        <f>O20-M20</f>
        <v>111188</v>
      </c>
      <c r="O20" s="38">
        <v>1705197</v>
      </c>
      <c r="P20" s="72" t="s">
        <v>902</v>
      </c>
      <c r="Q20" s="35">
        <v>45568</v>
      </c>
      <c r="R20" s="38">
        <v>1693911</v>
      </c>
      <c r="S20" s="38">
        <v>1802288</v>
      </c>
      <c r="T20" s="35">
        <v>46298</v>
      </c>
      <c r="U20" s="31">
        <v>6.25E-2</v>
      </c>
      <c r="V20" s="439">
        <f>R20</f>
        <v>1693911</v>
      </c>
      <c r="W20" s="3" t="s">
        <v>772</v>
      </c>
      <c r="X20" s="3" t="s">
        <v>888</v>
      </c>
    </row>
    <row r="21" spans="1:24" x14ac:dyDescent="0.25">
      <c r="A21" s="440">
        <f>A20+1</f>
        <v>28</v>
      </c>
      <c r="B21" s="6" t="s">
        <v>1</v>
      </c>
      <c r="C21" s="169">
        <v>45239</v>
      </c>
      <c r="D21" s="87">
        <v>42426399021</v>
      </c>
      <c r="E21" s="6" t="s">
        <v>890</v>
      </c>
      <c r="F21" s="31">
        <v>1</v>
      </c>
      <c r="G21" s="179" t="s">
        <v>768</v>
      </c>
      <c r="H21" s="55" t="s">
        <v>770</v>
      </c>
      <c r="I21" s="51" t="s">
        <v>781</v>
      </c>
      <c r="J21" s="31">
        <v>6.5000000000000002E-2</v>
      </c>
      <c r="K21" s="38">
        <v>1425000</v>
      </c>
      <c r="L21" s="38">
        <v>1425000</v>
      </c>
      <c r="M21" s="38">
        <v>1425000</v>
      </c>
      <c r="N21" s="68">
        <v>673110</v>
      </c>
      <c r="O21" s="38">
        <v>2098110</v>
      </c>
      <c r="P21" s="34" t="s">
        <v>906</v>
      </c>
      <c r="Q21" s="35">
        <v>47431</v>
      </c>
      <c r="R21" s="38" t="s">
        <v>247</v>
      </c>
      <c r="S21" s="38" t="s">
        <v>247</v>
      </c>
      <c r="T21" s="35" t="s">
        <v>247</v>
      </c>
      <c r="U21" s="38" t="s">
        <v>247</v>
      </c>
      <c r="V21" s="439">
        <f>M21</f>
        <v>1425000</v>
      </c>
      <c r="W21" s="3" t="s">
        <v>772</v>
      </c>
      <c r="X21" s="3" t="s">
        <v>904</v>
      </c>
    </row>
    <row r="22" spans="1:24" x14ac:dyDescent="0.25">
      <c r="A22" s="440">
        <f>A21+1</f>
        <v>29</v>
      </c>
      <c r="B22" s="6" t="s">
        <v>1</v>
      </c>
      <c r="C22" s="169">
        <v>45239</v>
      </c>
      <c r="D22" s="87">
        <v>42426333831</v>
      </c>
      <c r="E22" s="6" t="s">
        <v>890</v>
      </c>
      <c r="F22" s="31">
        <v>1</v>
      </c>
      <c r="G22" s="179" t="s">
        <v>768</v>
      </c>
      <c r="H22" s="55" t="s">
        <v>770</v>
      </c>
      <c r="I22" s="51" t="s">
        <v>783</v>
      </c>
      <c r="J22" s="31">
        <v>6.5000000000000002E-2</v>
      </c>
      <c r="K22" s="38">
        <v>498800</v>
      </c>
      <c r="L22" s="38">
        <v>498800</v>
      </c>
      <c r="M22" s="38">
        <v>498800</v>
      </c>
      <c r="N22" s="68">
        <v>235612</v>
      </c>
      <c r="O22" s="38">
        <v>734412</v>
      </c>
      <c r="P22" s="34" t="s">
        <v>906</v>
      </c>
      <c r="Q22" s="35">
        <v>47431</v>
      </c>
      <c r="R22" s="38" t="s">
        <v>247</v>
      </c>
      <c r="S22" s="38" t="s">
        <v>247</v>
      </c>
      <c r="T22" s="35" t="s">
        <v>247</v>
      </c>
      <c r="U22" s="38" t="s">
        <v>247</v>
      </c>
      <c r="V22" s="439">
        <f>M22</f>
        <v>498800</v>
      </c>
      <c r="W22" s="3" t="s">
        <v>772</v>
      </c>
      <c r="X22" s="3" t="s">
        <v>904</v>
      </c>
    </row>
    <row r="23" spans="1:24" x14ac:dyDescent="0.25">
      <c r="A23" s="440">
        <f>A22+1</f>
        <v>30</v>
      </c>
      <c r="B23" s="6" t="s">
        <v>1</v>
      </c>
      <c r="C23" s="169">
        <v>45239</v>
      </c>
      <c r="D23" s="87">
        <v>42426400640</v>
      </c>
      <c r="E23" s="6" t="s">
        <v>890</v>
      </c>
      <c r="F23" s="31">
        <v>1</v>
      </c>
      <c r="G23" s="179" t="s">
        <v>768</v>
      </c>
      <c r="H23" s="55" t="s">
        <v>770</v>
      </c>
      <c r="I23" s="49" t="s">
        <v>771</v>
      </c>
      <c r="J23" s="31">
        <v>0.06</v>
      </c>
      <c r="K23" s="38">
        <v>22734500</v>
      </c>
      <c r="L23" s="38">
        <v>22734500</v>
      </c>
      <c r="M23" s="38">
        <v>22734500</v>
      </c>
      <c r="N23" s="68">
        <v>9764532</v>
      </c>
      <c r="O23" s="38">
        <v>32499032</v>
      </c>
      <c r="P23" s="34" t="s">
        <v>906</v>
      </c>
      <c r="Q23" s="35">
        <v>47431</v>
      </c>
      <c r="R23" s="38" t="s">
        <v>247</v>
      </c>
      <c r="S23" s="38" t="s">
        <v>247</v>
      </c>
      <c r="T23" s="35" t="s">
        <v>247</v>
      </c>
      <c r="U23" s="38" t="s">
        <v>247</v>
      </c>
      <c r="V23" s="439">
        <f>M23</f>
        <v>22734500</v>
      </c>
      <c r="W23" s="3" t="s">
        <v>772</v>
      </c>
      <c r="X23" s="3" t="s">
        <v>904</v>
      </c>
    </row>
    <row r="24" spans="1:24" x14ac:dyDescent="0.25">
      <c r="A24" s="440">
        <f>A23+1</f>
        <v>31</v>
      </c>
      <c r="B24" s="6" t="s">
        <v>1</v>
      </c>
      <c r="C24" s="169">
        <v>45275</v>
      </c>
      <c r="D24" s="87">
        <v>42525986027</v>
      </c>
      <c r="E24" s="6" t="s">
        <v>890</v>
      </c>
      <c r="F24" s="31">
        <v>1</v>
      </c>
      <c r="G24" s="179" t="s">
        <v>768</v>
      </c>
      <c r="H24" s="55" t="s">
        <v>770</v>
      </c>
      <c r="I24" s="49" t="s">
        <v>786</v>
      </c>
      <c r="J24" s="31">
        <v>6.5000000000000002E-2</v>
      </c>
      <c r="K24" s="38">
        <v>4254045</v>
      </c>
      <c r="L24" s="38">
        <v>4254045</v>
      </c>
      <c r="M24" s="38">
        <v>4254045</v>
      </c>
      <c r="N24" s="68">
        <v>2009432</v>
      </c>
      <c r="O24" s="38">
        <v>6263477</v>
      </c>
      <c r="P24" s="34" t="s">
        <v>906</v>
      </c>
      <c r="Q24" s="35">
        <v>47467</v>
      </c>
      <c r="R24" s="38" t="s">
        <v>247</v>
      </c>
      <c r="S24" s="38" t="s">
        <v>247</v>
      </c>
      <c r="T24" s="35" t="s">
        <v>247</v>
      </c>
      <c r="U24" s="38" t="s">
        <v>247</v>
      </c>
      <c r="V24" s="439">
        <f>M24</f>
        <v>4254045</v>
      </c>
      <c r="W24" s="3" t="s">
        <v>772</v>
      </c>
      <c r="X24" s="3" t="s">
        <v>904</v>
      </c>
    </row>
    <row r="25" spans="1:24" x14ac:dyDescent="0.25">
      <c r="A25" s="440">
        <f>A24+1</f>
        <v>32</v>
      </c>
      <c r="B25" s="6" t="s">
        <v>1</v>
      </c>
      <c r="C25" s="169">
        <v>45222</v>
      </c>
      <c r="D25" s="87">
        <v>42377916078</v>
      </c>
      <c r="E25" s="6" t="s">
        <v>890</v>
      </c>
      <c r="F25" s="31">
        <v>1</v>
      </c>
      <c r="G25" s="179" t="s">
        <v>768</v>
      </c>
      <c r="H25" s="6" t="s">
        <v>899</v>
      </c>
      <c r="I25" s="49" t="s">
        <v>796</v>
      </c>
      <c r="J25" s="31">
        <v>6.8000000000000005E-2</v>
      </c>
      <c r="K25" s="38">
        <v>4600000</v>
      </c>
      <c r="L25" s="38">
        <v>4014275</v>
      </c>
      <c r="M25" s="38">
        <v>4888352</v>
      </c>
      <c r="N25" s="441">
        <f>O25-M25</f>
        <v>340981</v>
      </c>
      <c r="O25" s="38">
        <v>5229333</v>
      </c>
      <c r="P25" s="72" t="s">
        <v>902</v>
      </c>
      <c r="Q25" s="35">
        <v>45588</v>
      </c>
      <c r="R25" s="38">
        <v>5194781</v>
      </c>
      <c r="S25" s="38">
        <v>5527144</v>
      </c>
      <c r="T25" s="35">
        <v>46318</v>
      </c>
      <c r="U25" s="31">
        <v>6.25E-2</v>
      </c>
      <c r="V25" s="439">
        <f>R25</f>
        <v>5194781</v>
      </c>
      <c r="W25" s="3" t="s">
        <v>772</v>
      </c>
      <c r="X25" s="3" t="s">
        <v>888</v>
      </c>
    </row>
    <row r="26" spans="1:24" x14ac:dyDescent="0.25">
      <c r="A26" s="3"/>
      <c r="B26" s="6" t="s">
        <v>1</v>
      </c>
      <c r="C26" s="169">
        <v>45222</v>
      </c>
      <c r="D26" s="87">
        <v>42377916078</v>
      </c>
      <c r="E26" s="6" t="s">
        <v>890</v>
      </c>
      <c r="F26" s="31">
        <v>1</v>
      </c>
      <c r="G26" s="179" t="s">
        <v>768</v>
      </c>
      <c r="H26" s="6" t="s">
        <v>899</v>
      </c>
      <c r="I26" s="49" t="s">
        <v>794</v>
      </c>
      <c r="J26" s="31">
        <v>6.8000000000000005E-2</v>
      </c>
      <c r="K26" s="41">
        <v>0</v>
      </c>
      <c r="L26" s="41">
        <v>433484</v>
      </c>
      <c r="M26" s="41">
        <v>0</v>
      </c>
      <c r="N26" s="170">
        <v>0</v>
      </c>
      <c r="O26" s="41">
        <v>0</v>
      </c>
      <c r="P26" s="72" t="s">
        <v>902</v>
      </c>
      <c r="Q26" s="35">
        <v>45588</v>
      </c>
      <c r="R26" s="41">
        <v>0</v>
      </c>
      <c r="S26" s="41">
        <v>0</v>
      </c>
      <c r="T26" s="35">
        <v>46318</v>
      </c>
      <c r="U26" s="31">
        <v>6.25E-2</v>
      </c>
      <c r="V26" s="38" t="s">
        <v>247</v>
      </c>
      <c r="W26" s="3" t="s">
        <v>772</v>
      </c>
      <c r="X26" s="3" t="s">
        <v>888</v>
      </c>
    </row>
    <row r="27" spans="1:24" x14ac:dyDescent="0.25">
      <c r="A27" s="3"/>
      <c r="B27" s="6" t="s">
        <v>1</v>
      </c>
      <c r="C27" s="169">
        <v>45222</v>
      </c>
      <c r="D27" s="87">
        <v>42377916078</v>
      </c>
      <c r="E27" s="6" t="s">
        <v>886</v>
      </c>
      <c r="F27" s="31">
        <v>1</v>
      </c>
      <c r="G27" s="179"/>
      <c r="H27" s="6"/>
      <c r="I27" s="49"/>
      <c r="J27" s="31">
        <v>6.8000000000000005E-2</v>
      </c>
      <c r="K27" s="41">
        <v>0</v>
      </c>
      <c r="L27" s="38">
        <v>152241</v>
      </c>
      <c r="M27" s="41">
        <v>0</v>
      </c>
      <c r="N27" s="170">
        <v>0</v>
      </c>
      <c r="O27" s="41">
        <v>0</v>
      </c>
      <c r="P27" s="72" t="s">
        <v>902</v>
      </c>
      <c r="Q27" s="35">
        <v>45588</v>
      </c>
      <c r="R27" s="41">
        <v>0</v>
      </c>
      <c r="S27" s="41">
        <v>0</v>
      </c>
      <c r="T27" s="35">
        <v>46318</v>
      </c>
      <c r="U27" s="31">
        <v>6.25E-2</v>
      </c>
      <c r="V27" s="38" t="s">
        <v>247</v>
      </c>
      <c r="W27" s="3" t="s">
        <v>772</v>
      </c>
      <c r="X27" s="3" t="s">
        <v>888</v>
      </c>
    </row>
    <row r="28" spans="1:24" x14ac:dyDescent="0.25">
      <c r="A28" s="440">
        <f>A25+1</f>
        <v>33</v>
      </c>
      <c r="B28" s="6" t="s">
        <v>1</v>
      </c>
      <c r="C28" s="169">
        <v>45299</v>
      </c>
      <c r="D28" s="366">
        <v>42597394309</v>
      </c>
      <c r="E28" s="6" t="s">
        <v>890</v>
      </c>
      <c r="F28" s="165">
        <v>1</v>
      </c>
      <c r="G28" s="182" t="s">
        <v>768</v>
      </c>
      <c r="H28" s="155" t="s">
        <v>899</v>
      </c>
      <c r="I28" s="49" t="s">
        <v>796</v>
      </c>
      <c r="J28" s="165">
        <v>6.8000000000000005E-2</v>
      </c>
      <c r="K28" s="156">
        <v>820000</v>
      </c>
      <c r="L28" s="156">
        <v>657976</v>
      </c>
      <c r="M28" s="156">
        <v>820000</v>
      </c>
      <c r="N28" s="166">
        <v>57198</v>
      </c>
      <c r="O28" s="156">
        <v>877198</v>
      </c>
      <c r="P28" s="60" t="s">
        <v>902</v>
      </c>
      <c r="Q28" s="35">
        <v>45665</v>
      </c>
      <c r="R28" s="156">
        <v>926058</v>
      </c>
      <c r="S28" s="156">
        <v>985307</v>
      </c>
      <c r="T28" s="35">
        <v>46395</v>
      </c>
      <c r="U28" s="165">
        <v>6.25E-2</v>
      </c>
      <c r="V28" s="439">
        <f>R28</f>
        <v>926058</v>
      </c>
      <c r="W28" s="3" t="s">
        <v>772</v>
      </c>
      <c r="X28" s="3" t="s">
        <v>904</v>
      </c>
    </row>
    <row r="29" spans="1:24" x14ac:dyDescent="0.25">
      <c r="A29" s="3"/>
      <c r="B29" s="6" t="s">
        <v>1</v>
      </c>
      <c r="C29" s="169">
        <v>45299</v>
      </c>
      <c r="D29" s="366">
        <v>42597394309</v>
      </c>
      <c r="E29" s="6" t="s">
        <v>903</v>
      </c>
      <c r="F29" s="31">
        <v>0.1</v>
      </c>
      <c r="G29" s="182"/>
      <c r="H29" s="155"/>
      <c r="I29" s="155"/>
      <c r="J29" s="165">
        <v>6.8000000000000005E-2</v>
      </c>
      <c r="K29" s="38" t="s">
        <v>247</v>
      </c>
      <c r="L29" s="156">
        <v>268082</v>
      </c>
      <c r="M29" s="156">
        <v>0</v>
      </c>
      <c r="N29" s="166">
        <v>0</v>
      </c>
      <c r="O29" s="156">
        <v>0</v>
      </c>
      <c r="P29" s="60" t="s">
        <v>902</v>
      </c>
      <c r="Q29" s="83">
        <v>45665</v>
      </c>
      <c r="R29" s="38" t="s">
        <v>247</v>
      </c>
      <c r="S29" s="38" t="s">
        <v>247</v>
      </c>
      <c r="T29" s="35">
        <v>46395</v>
      </c>
      <c r="U29" s="165">
        <v>6.25E-2</v>
      </c>
      <c r="V29" s="38"/>
      <c r="W29" s="3" t="s">
        <v>772</v>
      </c>
      <c r="X29" s="3" t="s">
        <v>904</v>
      </c>
    </row>
    <row r="30" spans="1:24" x14ac:dyDescent="0.25">
      <c r="A30" s="440">
        <f>A28+1</f>
        <v>34</v>
      </c>
      <c r="B30" s="6" t="s">
        <v>1</v>
      </c>
      <c r="C30" s="169">
        <v>45372</v>
      </c>
      <c r="D30" s="155">
        <v>42814707478</v>
      </c>
      <c r="E30" s="6" t="s">
        <v>903</v>
      </c>
      <c r="F30" s="165">
        <v>0.1</v>
      </c>
      <c r="G30" s="182"/>
      <c r="H30" s="6"/>
      <c r="I30" s="49"/>
      <c r="J30" s="165">
        <v>0.06</v>
      </c>
      <c r="K30" s="156">
        <v>7500000</v>
      </c>
      <c r="L30" s="156">
        <v>8075822</v>
      </c>
      <c r="M30" s="156">
        <v>7773717</v>
      </c>
      <c r="N30" s="438">
        <f>O30-L30</f>
        <v>39806</v>
      </c>
      <c r="O30" s="156">
        <v>8115628</v>
      </c>
      <c r="P30" s="60" t="s">
        <v>907</v>
      </c>
      <c r="Q30" s="83">
        <v>45617</v>
      </c>
      <c r="R30" s="156">
        <v>8368822</v>
      </c>
      <c r="S30" s="156">
        <v>8702494</v>
      </c>
      <c r="T30" s="35">
        <v>46347</v>
      </c>
      <c r="U30" s="165">
        <v>5.8999999999999997E-2</v>
      </c>
      <c r="V30" s="439">
        <f>R30</f>
        <v>8368822</v>
      </c>
      <c r="W30" s="3" t="s">
        <v>772</v>
      </c>
      <c r="X30" s="3" t="s">
        <v>904</v>
      </c>
    </row>
    <row r="31" spans="1:24" x14ac:dyDescent="0.25">
      <c r="A31" s="3"/>
      <c r="B31" s="6" t="s">
        <v>1</v>
      </c>
      <c r="C31" s="169">
        <v>45372</v>
      </c>
      <c r="D31" s="155">
        <v>42814707478</v>
      </c>
      <c r="E31" s="6" t="s">
        <v>903</v>
      </c>
      <c r="F31" s="31">
        <v>0.1</v>
      </c>
      <c r="G31" s="182"/>
      <c r="H31" s="6"/>
      <c r="I31" s="49"/>
      <c r="J31" s="165">
        <v>0.06</v>
      </c>
      <c r="K31" s="156">
        <v>0</v>
      </c>
      <c r="L31" s="156">
        <v>293000</v>
      </c>
      <c r="M31" s="156">
        <v>0</v>
      </c>
      <c r="N31" s="167">
        <v>0</v>
      </c>
      <c r="O31" s="156">
        <v>0</v>
      </c>
      <c r="P31" s="60" t="s">
        <v>907</v>
      </c>
      <c r="Q31" s="83">
        <v>45617</v>
      </c>
      <c r="R31" s="156">
        <v>0</v>
      </c>
      <c r="S31" s="156">
        <v>0</v>
      </c>
      <c r="T31" s="35">
        <v>46347</v>
      </c>
      <c r="U31" s="165">
        <v>5.8999999999999997E-2</v>
      </c>
      <c r="V31" s="156">
        <v>0</v>
      </c>
      <c r="W31" s="3" t="s">
        <v>772</v>
      </c>
      <c r="X31" s="3" t="s">
        <v>904</v>
      </c>
    </row>
    <row r="32" spans="1:24" x14ac:dyDescent="0.25">
      <c r="A32" s="440">
        <f>A30+1</f>
        <v>35</v>
      </c>
      <c r="B32" s="6" t="s">
        <v>1</v>
      </c>
      <c r="C32" s="169">
        <v>45372</v>
      </c>
      <c r="D32" s="155">
        <v>42815340031</v>
      </c>
      <c r="E32" s="6" t="s">
        <v>890</v>
      </c>
      <c r="F32" s="165">
        <v>1</v>
      </c>
      <c r="G32" s="182" t="s">
        <v>768</v>
      </c>
      <c r="H32" s="80" t="s">
        <v>770</v>
      </c>
      <c r="I32" s="171" t="s">
        <v>771</v>
      </c>
      <c r="J32" s="165">
        <v>6.8000000000000005E-2</v>
      </c>
      <c r="K32" s="156">
        <v>18800000</v>
      </c>
      <c r="L32" s="156">
        <v>7224000</v>
      </c>
      <c r="M32" s="156">
        <v>18800000</v>
      </c>
      <c r="N32" s="438">
        <f>O32-L32</f>
        <v>12887370</v>
      </c>
      <c r="O32" s="168">
        <v>20111370</v>
      </c>
      <c r="P32" s="60" t="s">
        <v>902</v>
      </c>
      <c r="Q32" s="83">
        <v>45737</v>
      </c>
      <c r="R32" s="156">
        <v>21234178</v>
      </c>
      <c r="S32" s="156">
        <v>22592744</v>
      </c>
      <c r="T32" s="35">
        <v>46467</v>
      </c>
      <c r="U32" s="165">
        <v>6.25E-2</v>
      </c>
      <c r="V32" s="439">
        <f>R32</f>
        <v>21234178</v>
      </c>
      <c r="W32" s="3" t="s">
        <v>772</v>
      </c>
      <c r="X32" s="3" t="s">
        <v>904</v>
      </c>
    </row>
    <row r="33" spans="1:24" x14ac:dyDescent="0.25">
      <c r="A33" s="3"/>
      <c r="B33" s="6" t="s">
        <v>1</v>
      </c>
      <c r="C33" s="169">
        <v>45372</v>
      </c>
      <c r="D33" s="155">
        <v>42815340031</v>
      </c>
      <c r="E33" s="6" t="s">
        <v>903</v>
      </c>
      <c r="F33" s="165">
        <v>0.1</v>
      </c>
      <c r="G33" s="180"/>
      <c r="H33" s="155"/>
      <c r="I33" s="49"/>
      <c r="J33" s="165">
        <v>6.8000000000000005E-2</v>
      </c>
      <c r="K33" s="38" t="s">
        <v>247</v>
      </c>
      <c r="L33" s="156">
        <v>12606054</v>
      </c>
      <c r="M33" s="156"/>
      <c r="N33" s="167"/>
      <c r="O33" s="168"/>
      <c r="P33" s="60" t="s">
        <v>902</v>
      </c>
      <c r="Q33" s="83">
        <v>45737</v>
      </c>
      <c r="R33" s="38" t="s">
        <v>247</v>
      </c>
      <c r="S33" s="38" t="s">
        <v>247</v>
      </c>
      <c r="T33" s="35" t="s">
        <v>247</v>
      </c>
      <c r="U33" s="38" t="s">
        <v>247</v>
      </c>
      <c r="V33" s="38" t="s">
        <v>247</v>
      </c>
      <c r="W33" s="3" t="s">
        <v>772</v>
      </c>
      <c r="X33" s="3" t="s">
        <v>904</v>
      </c>
    </row>
    <row r="34" spans="1:24" x14ac:dyDescent="0.25">
      <c r="A34" s="3"/>
      <c r="B34" s="6" t="s">
        <v>1</v>
      </c>
      <c r="C34" s="169">
        <v>45372</v>
      </c>
      <c r="D34" s="155">
        <v>42815340031</v>
      </c>
      <c r="E34" s="6" t="s">
        <v>903</v>
      </c>
      <c r="F34" s="165">
        <v>0.1</v>
      </c>
      <c r="G34" s="6"/>
      <c r="H34" s="6"/>
      <c r="I34" s="6"/>
      <c r="J34" s="165">
        <v>6.8000000000000005E-2</v>
      </c>
      <c r="K34" s="38" t="s">
        <v>247</v>
      </c>
      <c r="L34" s="156">
        <v>150000</v>
      </c>
      <c r="M34" s="156"/>
      <c r="N34" s="167"/>
      <c r="O34" s="168"/>
      <c r="P34" s="60" t="s">
        <v>902</v>
      </c>
      <c r="Q34" s="83">
        <v>45737</v>
      </c>
      <c r="R34" s="38" t="s">
        <v>247</v>
      </c>
      <c r="S34" s="38" t="s">
        <v>247</v>
      </c>
      <c r="T34" s="35" t="s">
        <v>247</v>
      </c>
      <c r="U34" s="38" t="s">
        <v>247</v>
      </c>
      <c r="V34" s="38" t="s">
        <v>247</v>
      </c>
      <c r="W34" s="3" t="s">
        <v>772</v>
      </c>
      <c r="X34" s="3" t="s">
        <v>904</v>
      </c>
    </row>
    <row r="35" spans="1:24" x14ac:dyDescent="0.25">
      <c r="A35" s="440">
        <f>A32+1</f>
        <v>36</v>
      </c>
      <c r="B35" s="6" t="s">
        <v>1</v>
      </c>
      <c r="C35" s="169">
        <v>45378</v>
      </c>
      <c r="D35" s="155">
        <v>42830614684</v>
      </c>
      <c r="E35" s="6" t="s">
        <v>889</v>
      </c>
      <c r="F35" s="165">
        <v>0.1</v>
      </c>
      <c r="G35" s="182" t="s">
        <v>787</v>
      </c>
      <c r="H35" s="6" t="s">
        <v>789</v>
      </c>
      <c r="I35" s="6" t="s">
        <v>789</v>
      </c>
      <c r="J35" s="165">
        <v>6.5000000000000002E-2</v>
      </c>
      <c r="K35" s="156">
        <v>18000000</v>
      </c>
      <c r="L35" s="75">
        <v>18000000</v>
      </c>
      <c r="M35" s="156">
        <v>18000000</v>
      </c>
      <c r="N35" s="438">
        <f>O35-L35</f>
        <v>12477735</v>
      </c>
      <c r="O35" s="168">
        <v>30477735</v>
      </c>
      <c r="P35" s="60" t="s">
        <v>908</v>
      </c>
      <c r="Q35" s="83">
        <v>48361</v>
      </c>
      <c r="R35" s="38" t="s">
        <v>247</v>
      </c>
      <c r="S35" s="38" t="s">
        <v>247</v>
      </c>
      <c r="T35" s="35" t="s">
        <v>247</v>
      </c>
      <c r="U35" s="38" t="s">
        <v>247</v>
      </c>
      <c r="V35" s="439">
        <f>M35</f>
        <v>18000000</v>
      </c>
      <c r="W35" s="3" t="s">
        <v>772</v>
      </c>
      <c r="X35" s="3" t="s">
        <v>904</v>
      </c>
    </row>
    <row r="36" spans="1:24" x14ac:dyDescent="0.25">
      <c r="A36" s="3"/>
      <c r="B36" s="6" t="s">
        <v>1</v>
      </c>
      <c r="C36" s="169">
        <v>45381</v>
      </c>
      <c r="D36" s="155">
        <v>42840339454</v>
      </c>
      <c r="E36" s="6" t="s">
        <v>903</v>
      </c>
      <c r="F36" s="165">
        <v>0.1</v>
      </c>
      <c r="G36" s="182"/>
      <c r="H36" s="155"/>
      <c r="I36" s="49"/>
      <c r="J36" s="165">
        <v>6.8000000000000005E-2</v>
      </c>
      <c r="K36" s="156">
        <v>3200000</v>
      </c>
      <c r="L36" s="156">
        <v>3400884</v>
      </c>
      <c r="M36" s="156" t="s">
        <v>247</v>
      </c>
      <c r="N36" s="167">
        <v>0</v>
      </c>
      <c r="O36" s="168">
        <v>0</v>
      </c>
      <c r="P36" s="60" t="s">
        <v>900</v>
      </c>
      <c r="Q36" s="83">
        <v>45746</v>
      </c>
      <c r="R36" s="156">
        <v>3614378</v>
      </c>
      <c r="S36" s="156">
        <v>3845628</v>
      </c>
      <c r="T36" s="35">
        <v>46476</v>
      </c>
      <c r="U36" s="165">
        <v>6.25E-2</v>
      </c>
      <c r="V36" s="439">
        <f>R36</f>
        <v>3614378</v>
      </c>
      <c r="W36" s="3" t="s">
        <v>772</v>
      </c>
      <c r="X36" s="3" t="s">
        <v>904</v>
      </c>
    </row>
    <row r="37" spans="1:24" x14ac:dyDescent="0.25">
      <c r="A37" s="3">
        <v>37</v>
      </c>
      <c r="B37" s="6" t="s">
        <v>1</v>
      </c>
      <c r="C37" s="169">
        <v>45386</v>
      </c>
      <c r="D37" s="155">
        <v>42855164420</v>
      </c>
      <c r="E37" s="6" t="s">
        <v>903</v>
      </c>
      <c r="F37" s="31">
        <v>0.1</v>
      </c>
      <c r="G37" s="179"/>
      <c r="H37" s="155"/>
      <c r="I37" s="171"/>
      <c r="J37" s="31">
        <v>6.8000000000000005E-2</v>
      </c>
      <c r="K37" s="38">
        <v>3600000</v>
      </c>
      <c r="L37" s="38">
        <v>3600000</v>
      </c>
      <c r="M37" s="38">
        <v>3600000</v>
      </c>
      <c r="N37" s="438">
        <f>O37-L37</f>
        <v>251113</v>
      </c>
      <c r="O37" s="77">
        <v>3851113</v>
      </c>
      <c r="P37" s="72" t="s">
        <v>900</v>
      </c>
      <c r="Q37" s="35">
        <v>45751</v>
      </c>
      <c r="R37" s="38">
        <v>4046190</v>
      </c>
      <c r="S37" s="38">
        <v>4326345</v>
      </c>
      <c r="T37" s="35">
        <v>46481</v>
      </c>
      <c r="U37" s="31">
        <v>6.25E-2</v>
      </c>
      <c r="V37" s="439">
        <f>R37</f>
        <v>4046190</v>
      </c>
      <c r="W37" s="3" t="s">
        <v>772</v>
      </c>
      <c r="X37" s="3" t="s">
        <v>904</v>
      </c>
    </row>
    <row r="38" spans="1:24" x14ac:dyDescent="0.25">
      <c r="A38" s="3">
        <v>38</v>
      </c>
      <c r="B38" s="6" t="s">
        <v>1</v>
      </c>
      <c r="C38" s="169">
        <v>45401</v>
      </c>
      <c r="D38" s="155">
        <v>42896923356</v>
      </c>
      <c r="E38" s="6" t="s">
        <v>890</v>
      </c>
      <c r="F38" s="31">
        <v>1</v>
      </c>
      <c r="G38" s="183" t="s">
        <v>768</v>
      </c>
      <c r="H38" s="39" t="s">
        <v>899</v>
      </c>
      <c r="I38" s="49" t="s">
        <v>794</v>
      </c>
      <c r="J38" s="31">
        <v>6.8000000000000005E-2</v>
      </c>
      <c r="K38" s="38">
        <v>10250000</v>
      </c>
      <c r="L38" s="38">
        <v>1048000</v>
      </c>
      <c r="M38" s="38">
        <v>10250000</v>
      </c>
      <c r="N38" s="438">
        <f>O38-L38</f>
        <v>9916976</v>
      </c>
      <c r="O38" s="77">
        <v>10964976</v>
      </c>
      <c r="P38" s="72" t="s">
        <v>900</v>
      </c>
      <c r="Q38" s="35">
        <v>45766</v>
      </c>
      <c r="R38" s="38">
        <v>10893478</v>
      </c>
      <c r="S38" s="38">
        <v>11641884</v>
      </c>
      <c r="T38" s="35">
        <v>46131</v>
      </c>
      <c r="U38" s="31">
        <v>6.7000000000000004E-2</v>
      </c>
      <c r="V38" s="439">
        <f>R38</f>
        <v>10893478</v>
      </c>
      <c r="W38" s="3" t="s">
        <v>772</v>
      </c>
      <c r="X38" s="3" t="s">
        <v>904</v>
      </c>
    </row>
    <row r="39" spans="1:24" x14ac:dyDescent="0.25">
      <c r="A39" s="3"/>
      <c r="B39" s="6" t="s">
        <v>1</v>
      </c>
      <c r="C39" s="169">
        <v>45401</v>
      </c>
      <c r="D39" s="155">
        <v>42896923356</v>
      </c>
      <c r="E39" s="6" t="s">
        <v>886</v>
      </c>
      <c r="F39" s="31">
        <v>0.1</v>
      </c>
      <c r="G39" s="18"/>
      <c r="H39" s="155"/>
      <c r="I39" s="49"/>
      <c r="J39" s="165">
        <v>6.8000000000000005E-2</v>
      </c>
      <c r="K39" s="168">
        <v>0</v>
      </c>
      <c r="L39" s="156">
        <v>9845000</v>
      </c>
      <c r="M39" s="168">
        <v>0</v>
      </c>
      <c r="N39" s="167">
        <v>0</v>
      </c>
      <c r="O39" s="168">
        <v>0</v>
      </c>
      <c r="P39" s="60" t="s">
        <v>900</v>
      </c>
      <c r="Q39" s="83">
        <v>45766</v>
      </c>
      <c r="R39" s="38" t="s">
        <v>247</v>
      </c>
      <c r="S39" s="38" t="s">
        <v>247</v>
      </c>
      <c r="T39" s="35" t="s">
        <v>247</v>
      </c>
      <c r="U39" s="38" t="s">
        <v>247</v>
      </c>
      <c r="V39" s="38" t="s">
        <v>247</v>
      </c>
      <c r="W39" s="3" t="s">
        <v>772</v>
      </c>
      <c r="X39" s="3" t="s">
        <v>904</v>
      </c>
    </row>
    <row r="40" spans="1:24" x14ac:dyDescent="0.25">
      <c r="A40" s="440">
        <f>A38+1</f>
        <v>39</v>
      </c>
      <c r="B40" s="6" t="s">
        <v>1</v>
      </c>
      <c r="C40" s="169">
        <v>45463</v>
      </c>
      <c r="D40" s="366">
        <v>43074817405</v>
      </c>
      <c r="E40" s="6" t="s">
        <v>905</v>
      </c>
      <c r="F40" s="31">
        <v>1</v>
      </c>
      <c r="G40" s="179"/>
      <c r="H40" s="49"/>
      <c r="I40" s="49"/>
      <c r="J40" s="31">
        <v>6.8000000000000005E-2</v>
      </c>
      <c r="K40" s="38">
        <v>10218189</v>
      </c>
      <c r="L40" s="38">
        <v>10218189</v>
      </c>
      <c r="M40" s="38">
        <v>10218189</v>
      </c>
      <c r="N40" s="438">
        <f>O40-L40</f>
        <v>773850</v>
      </c>
      <c r="O40" s="77">
        <v>10992039</v>
      </c>
      <c r="P40" s="72" t="s">
        <v>900</v>
      </c>
      <c r="Q40" s="35">
        <v>45858</v>
      </c>
      <c r="R40" s="38">
        <v>10913952</v>
      </c>
      <c r="S40" s="38">
        <v>11673869</v>
      </c>
      <c r="T40" s="35">
        <v>46254</v>
      </c>
      <c r="U40" s="217">
        <v>6.25E-2</v>
      </c>
      <c r="V40" s="439">
        <f>R40</f>
        <v>10913952</v>
      </c>
      <c r="W40" s="3" t="s">
        <v>772</v>
      </c>
      <c r="X40" s="3" t="s">
        <v>904</v>
      </c>
    </row>
    <row r="41" spans="1:24" x14ac:dyDescent="0.25">
      <c r="A41" s="440">
        <f>A40+1</f>
        <v>40</v>
      </c>
      <c r="B41" s="6" t="s">
        <v>1</v>
      </c>
      <c r="C41" s="169">
        <v>45497</v>
      </c>
      <c r="D41" s="155">
        <v>43183923893</v>
      </c>
      <c r="E41" s="6" t="s">
        <v>903</v>
      </c>
      <c r="F41" s="31">
        <v>0.1</v>
      </c>
      <c r="G41" s="179"/>
      <c r="H41" s="39"/>
      <c r="I41" s="171"/>
      <c r="J41" s="31">
        <v>7.2499999999999995E-2</v>
      </c>
      <c r="K41" s="38">
        <v>18900000</v>
      </c>
      <c r="L41" s="38">
        <v>14031237.83</v>
      </c>
      <c r="M41" s="38">
        <v>18900000</v>
      </c>
      <c r="N41" s="438">
        <f>O41-L41</f>
        <v>6595386.1699999999</v>
      </c>
      <c r="O41" s="77">
        <v>20626624</v>
      </c>
      <c r="P41" s="72" t="s">
        <v>909</v>
      </c>
      <c r="Q41" s="35">
        <v>45941</v>
      </c>
      <c r="R41" s="38">
        <v>20451027</v>
      </c>
      <c r="S41" s="38">
        <v>22146476</v>
      </c>
      <c r="T41" s="35">
        <v>46385</v>
      </c>
      <c r="U41" s="219">
        <v>6.6</v>
      </c>
      <c r="V41" s="439">
        <f t="shared" ref="V41" si="2">M41</f>
        <v>18900000</v>
      </c>
      <c r="W41" s="3" t="s">
        <v>772</v>
      </c>
      <c r="X41" s="3" t="s">
        <v>888</v>
      </c>
    </row>
    <row r="42" spans="1:24" x14ac:dyDescent="0.25">
      <c r="A42" s="3"/>
      <c r="B42" s="6" t="s">
        <v>1</v>
      </c>
      <c r="C42" s="169">
        <v>45497</v>
      </c>
      <c r="D42" s="155">
        <v>43183923893</v>
      </c>
      <c r="E42" s="6" t="s">
        <v>905</v>
      </c>
      <c r="F42" s="31">
        <v>0.1</v>
      </c>
      <c r="G42" s="179"/>
      <c r="H42" s="39"/>
      <c r="I42" s="171"/>
      <c r="J42" s="31">
        <v>7.2499999999999995E-2</v>
      </c>
      <c r="K42" s="38">
        <v>0</v>
      </c>
      <c r="L42" s="38">
        <v>6419789.1699999999</v>
      </c>
      <c r="M42" s="38">
        <v>0</v>
      </c>
      <c r="N42" s="76">
        <v>0</v>
      </c>
      <c r="O42" s="77">
        <v>0</v>
      </c>
      <c r="P42" s="72" t="s">
        <v>909</v>
      </c>
      <c r="Q42" s="35">
        <v>45941</v>
      </c>
      <c r="R42" s="38">
        <v>20451027</v>
      </c>
      <c r="S42" s="38">
        <v>22146476</v>
      </c>
      <c r="T42" s="35">
        <v>46385</v>
      </c>
      <c r="U42" s="219">
        <v>6.6</v>
      </c>
      <c r="V42" s="439">
        <f t="shared" ref="V42" si="3">M42</f>
        <v>0</v>
      </c>
      <c r="W42" s="3" t="s">
        <v>772</v>
      </c>
      <c r="X42" s="3" t="s">
        <v>888</v>
      </c>
    </row>
    <row r="43" spans="1:24" x14ac:dyDescent="0.25">
      <c r="A43" s="440">
        <f>A205+1</f>
        <v>42</v>
      </c>
      <c r="B43" s="6" t="s">
        <v>1</v>
      </c>
      <c r="C43" s="169">
        <v>45518</v>
      </c>
      <c r="D43" s="155">
        <v>43254910895</v>
      </c>
      <c r="E43" s="6" t="s">
        <v>890</v>
      </c>
      <c r="F43" s="31">
        <v>1</v>
      </c>
      <c r="G43" s="183" t="s">
        <v>768</v>
      </c>
      <c r="H43" s="39" t="s">
        <v>899</v>
      </c>
      <c r="I43" s="49" t="s">
        <v>792</v>
      </c>
      <c r="J43" s="31">
        <v>6.8000000000000005E-2</v>
      </c>
      <c r="K43" s="38">
        <v>1700000</v>
      </c>
      <c r="L43" s="38">
        <v>1700000</v>
      </c>
      <c r="M43" s="38">
        <v>1700000</v>
      </c>
      <c r="N43" s="438">
        <f>O43-L43</f>
        <v>118581</v>
      </c>
      <c r="O43" s="77">
        <v>1818581</v>
      </c>
      <c r="P43" s="72" t="s">
        <v>900</v>
      </c>
      <c r="Q43" s="35">
        <v>45883</v>
      </c>
      <c r="R43" s="38">
        <v>1806609</v>
      </c>
      <c r="S43" s="38">
        <v>1922196</v>
      </c>
      <c r="T43" s="35">
        <v>46248</v>
      </c>
      <c r="U43" s="217">
        <v>6.25E-2</v>
      </c>
      <c r="V43" s="439">
        <f>R43</f>
        <v>1806609</v>
      </c>
      <c r="W43" s="3" t="s">
        <v>772</v>
      </c>
      <c r="X43" s="3" t="s">
        <v>888</v>
      </c>
    </row>
    <row r="44" spans="1:24" x14ac:dyDescent="0.25">
      <c r="A44" s="3">
        <v>43</v>
      </c>
      <c r="B44" s="6" t="s">
        <v>1</v>
      </c>
      <c r="C44" s="169">
        <v>45532</v>
      </c>
      <c r="D44" s="155">
        <v>43286332815</v>
      </c>
      <c r="E44" s="6" t="s">
        <v>889</v>
      </c>
      <c r="F44" s="165">
        <v>0.1</v>
      </c>
      <c r="G44" s="18" t="s">
        <v>804</v>
      </c>
      <c r="H44" s="39" t="s">
        <v>799</v>
      </c>
      <c r="I44" s="49" t="s">
        <v>806</v>
      </c>
      <c r="J44" s="165">
        <v>6.8000000000000005E-2</v>
      </c>
      <c r="K44" s="156">
        <v>21500000</v>
      </c>
      <c r="L44" s="156">
        <v>4680000</v>
      </c>
      <c r="M44" s="156">
        <v>21500000</v>
      </c>
      <c r="N44" s="438">
        <f>O44-L44</f>
        <v>18319705</v>
      </c>
      <c r="O44" s="168">
        <v>22999705</v>
      </c>
      <c r="P44" s="60" t="s">
        <v>900</v>
      </c>
      <c r="Q44" s="83">
        <v>45896</v>
      </c>
      <c r="R44" s="156">
        <v>22848391</v>
      </c>
      <c r="S44" s="156">
        <v>24310235</v>
      </c>
      <c r="T44" s="83">
        <v>46261</v>
      </c>
      <c r="U44" s="297">
        <v>6.25E-2</v>
      </c>
      <c r="V44" s="439">
        <f>R44</f>
        <v>22848391</v>
      </c>
      <c r="W44" s="3" t="s">
        <v>772</v>
      </c>
      <c r="X44" s="3" t="s">
        <v>904</v>
      </c>
    </row>
    <row r="45" spans="1:24" x14ac:dyDescent="0.25">
      <c r="A45" s="3"/>
      <c r="B45" s="6" t="s">
        <v>1</v>
      </c>
      <c r="C45" s="169">
        <v>45532</v>
      </c>
      <c r="D45" s="155">
        <v>43286332815</v>
      </c>
      <c r="E45" s="6" t="s">
        <v>905</v>
      </c>
      <c r="F45" s="31">
        <v>0.1</v>
      </c>
      <c r="G45" s="179"/>
      <c r="H45" s="39"/>
      <c r="I45" s="49"/>
      <c r="J45" s="31">
        <v>6.8000000000000005E-2</v>
      </c>
      <c r="K45" s="38">
        <v>0</v>
      </c>
      <c r="L45" s="38">
        <v>18168391</v>
      </c>
      <c r="M45" s="38">
        <v>0</v>
      </c>
      <c r="N45" s="76">
        <v>0</v>
      </c>
      <c r="O45" s="77">
        <v>0</v>
      </c>
      <c r="P45" s="72" t="s">
        <v>900</v>
      </c>
      <c r="Q45" s="35">
        <v>45896</v>
      </c>
      <c r="R45" s="38">
        <v>0</v>
      </c>
      <c r="S45" s="38">
        <v>0</v>
      </c>
      <c r="T45" s="35">
        <v>46261</v>
      </c>
      <c r="U45" s="217">
        <v>6.25E-2</v>
      </c>
      <c r="V45" s="38">
        <v>0</v>
      </c>
      <c r="W45" s="3" t="s">
        <v>772</v>
      </c>
      <c r="X45" s="3" t="s">
        <v>904</v>
      </c>
    </row>
    <row r="46" spans="1:24" x14ac:dyDescent="0.25">
      <c r="A46" s="3">
        <v>44</v>
      </c>
      <c r="B46" s="6" t="s">
        <v>1</v>
      </c>
      <c r="C46" s="169">
        <v>45617</v>
      </c>
      <c r="D46" s="155">
        <v>43549278543</v>
      </c>
      <c r="E46" s="6" t="s">
        <v>886</v>
      </c>
      <c r="F46" s="31">
        <v>0.1</v>
      </c>
      <c r="G46" s="18"/>
      <c r="H46" s="155"/>
      <c r="I46" s="49"/>
      <c r="J46" s="31">
        <v>7.2499999999999995E-2</v>
      </c>
      <c r="K46" s="38">
        <v>10000000</v>
      </c>
      <c r="L46" s="38">
        <v>10000000</v>
      </c>
      <c r="M46" s="38">
        <v>10000000</v>
      </c>
      <c r="N46" s="438">
        <f t="shared" ref="N46:N49" si="4">O46-L46</f>
        <v>913558</v>
      </c>
      <c r="O46" s="77">
        <v>10913558</v>
      </c>
      <c r="P46" s="72" t="s">
        <v>909</v>
      </c>
      <c r="Q46" s="35">
        <v>46061</v>
      </c>
      <c r="R46" s="38" t="s">
        <v>247</v>
      </c>
      <c r="S46" s="38" t="s">
        <v>247</v>
      </c>
      <c r="T46" s="35" t="s">
        <v>247</v>
      </c>
      <c r="U46" s="214" t="s">
        <v>247</v>
      </c>
      <c r="V46" s="439">
        <f>M46</f>
        <v>10000000</v>
      </c>
      <c r="W46" s="3" t="s">
        <v>772</v>
      </c>
      <c r="X46" s="3" t="s">
        <v>904</v>
      </c>
    </row>
    <row r="47" spans="1:24" x14ac:dyDescent="0.25">
      <c r="A47" s="3">
        <v>45</v>
      </c>
      <c r="B47" s="6" t="s">
        <v>1</v>
      </c>
      <c r="C47" s="169">
        <v>45635</v>
      </c>
      <c r="D47" s="155">
        <v>43607525170</v>
      </c>
      <c r="E47" s="6" t="s">
        <v>903</v>
      </c>
      <c r="F47" s="31">
        <v>0.1</v>
      </c>
      <c r="G47" s="182"/>
      <c r="H47" s="155"/>
      <c r="I47" s="49"/>
      <c r="J47" s="165">
        <v>7.0000000000000007E-2</v>
      </c>
      <c r="K47" s="156">
        <v>50000000</v>
      </c>
      <c r="L47" s="439">
        <f>K47-L48</f>
        <v>48372095</v>
      </c>
      <c r="M47" s="156">
        <v>50000000</v>
      </c>
      <c r="N47" s="438">
        <f t="shared" si="4"/>
        <v>6032826</v>
      </c>
      <c r="O47" s="168">
        <v>54404921</v>
      </c>
      <c r="P47" s="60" t="s">
        <v>909</v>
      </c>
      <c r="Q47" s="83">
        <v>46079</v>
      </c>
      <c r="R47" s="38" t="s">
        <v>247</v>
      </c>
      <c r="S47" s="38" t="s">
        <v>247</v>
      </c>
      <c r="T47" s="35" t="s">
        <v>247</v>
      </c>
      <c r="U47" s="214" t="s">
        <v>247</v>
      </c>
      <c r="V47" s="439">
        <f t="shared" ref="V47:V59" si="5">M47</f>
        <v>50000000</v>
      </c>
      <c r="W47" s="3" t="s">
        <v>772</v>
      </c>
      <c r="X47" s="3" t="s">
        <v>904</v>
      </c>
    </row>
    <row r="48" spans="1:24" x14ac:dyDescent="0.25">
      <c r="A48" s="3"/>
      <c r="B48" s="6" t="s">
        <v>1</v>
      </c>
      <c r="C48" s="169">
        <v>45635</v>
      </c>
      <c r="D48" s="155">
        <v>43607525170</v>
      </c>
      <c r="E48" s="6" t="s">
        <v>905</v>
      </c>
      <c r="F48" s="31">
        <v>0.1</v>
      </c>
      <c r="G48" s="182"/>
      <c r="H48" s="155"/>
      <c r="I48" s="49"/>
      <c r="J48" s="165">
        <v>7.0000000000000007E-2</v>
      </c>
      <c r="K48" s="156">
        <v>0</v>
      </c>
      <c r="L48" s="439">
        <f>1627905</f>
        <v>1627905</v>
      </c>
      <c r="M48" s="156">
        <v>0</v>
      </c>
      <c r="N48" s="167">
        <v>0</v>
      </c>
      <c r="O48" s="168">
        <v>0</v>
      </c>
      <c r="P48" s="60" t="s">
        <v>909</v>
      </c>
      <c r="Q48" s="83">
        <v>46079</v>
      </c>
      <c r="R48" s="38" t="s">
        <v>247</v>
      </c>
      <c r="S48" s="38" t="s">
        <v>247</v>
      </c>
      <c r="T48" s="35" t="s">
        <v>247</v>
      </c>
      <c r="U48" s="214" t="s">
        <v>247</v>
      </c>
      <c r="V48" s="439">
        <f t="shared" ref="V48" si="6">M48</f>
        <v>0</v>
      </c>
      <c r="W48" s="3" t="s">
        <v>772</v>
      </c>
      <c r="X48" s="3" t="s">
        <v>904</v>
      </c>
    </row>
    <row r="49" spans="1:24" x14ac:dyDescent="0.25">
      <c r="A49" s="3">
        <v>46</v>
      </c>
      <c r="B49" s="6" t="s">
        <v>1</v>
      </c>
      <c r="C49" s="169">
        <v>45643</v>
      </c>
      <c r="D49" s="155">
        <v>43630359430</v>
      </c>
      <c r="E49" s="6" t="s">
        <v>903</v>
      </c>
      <c r="F49" s="31">
        <v>0.1</v>
      </c>
      <c r="G49" s="182"/>
      <c r="H49" s="155"/>
      <c r="I49" s="49"/>
      <c r="J49" s="165">
        <v>7.0000000000000007E-2</v>
      </c>
      <c r="K49" s="156">
        <v>100000000</v>
      </c>
      <c r="L49" s="156">
        <v>78433187.539999992</v>
      </c>
      <c r="M49" s="156">
        <v>100000000</v>
      </c>
      <c r="N49" s="438">
        <f t="shared" si="4"/>
        <v>30376655.460000008</v>
      </c>
      <c r="O49" s="168">
        <v>108809843</v>
      </c>
      <c r="P49" s="60" t="s">
        <v>909</v>
      </c>
      <c r="Q49" s="83">
        <v>46087</v>
      </c>
      <c r="R49" s="38" t="s">
        <v>247</v>
      </c>
      <c r="S49" s="38" t="s">
        <v>247</v>
      </c>
      <c r="T49" s="35" t="s">
        <v>247</v>
      </c>
      <c r="U49" s="214" t="s">
        <v>247</v>
      </c>
      <c r="V49" s="439">
        <f t="shared" si="5"/>
        <v>100000000</v>
      </c>
      <c r="W49" s="3" t="s">
        <v>772</v>
      </c>
      <c r="X49" s="3" t="s">
        <v>904</v>
      </c>
    </row>
    <row r="50" spans="1:24" x14ac:dyDescent="0.25">
      <c r="A50" s="3"/>
      <c r="B50" s="6" t="s">
        <v>1</v>
      </c>
      <c r="C50" s="169">
        <v>45643</v>
      </c>
      <c r="D50" s="155">
        <v>43630359430</v>
      </c>
      <c r="E50" s="6" t="s">
        <v>905</v>
      </c>
      <c r="F50" s="31">
        <v>0.1</v>
      </c>
      <c r="G50" s="182"/>
      <c r="H50" s="155"/>
      <c r="I50" s="49"/>
      <c r="J50" s="165">
        <v>7.0000000000000007E-2</v>
      </c>
      <c r="K50" s="156">
        <v>0</v>
      </c>
      <c r="L50" s="156">
        <v>30376655.460000001</v>
      </c>
      <c r="M50" s="156">
        <v>0</v>
      </c>
      <c r="N50" s="167">
        <v>0</v>
      </c>
      <c r="O50" s="168">
        <v>0</v>
      </c>
      <c r="P50" s="60" t="s">
        <v>909</v>
      </c>
      <c r="Q50" s="83">
        <v>46087</v>
      </c>
      <c r="R50" s="38" t="s">
        <v>247</v>
      </c>
      <c r="S50" s="38" t="s">
        <v>247</v>
      </c>
      <c r="T50" s="35" t="s">
        <v>247</v>
      </c>
      <c r="U50" s="214" t="s">
        <v>247</v>
      </c>
      <c r="V50" s="439">
        <f t="shared" ref="V50" si="7">M50</f>
        <v>0</v>
      </c>
      <c r="W50" s="3" t="s">
        <v>772</v>
      </c>
      <c r="X50" s="3" t="s">
        <v>904</v>
      </c>
    </row>
    <row r="51" spans="1:24" x14ac:dyDescent="0.25">
      <c r="A51" s="3">
        <v>47</v>
      </c>
      <c r="B51" s="6" t="s">
        <v>1</v>
      </c>
      <c r="C51" s="169">
        <v>45650</v>
      </c>
      <c r="D51" s="155">
        <v>43649959856</v>
      </c>
      <c r="E51" s="6" t="s">
        <v>903</v>
      </c>
      <c r="F51" s="31">
        <v>0.1</v>
      </c>
      <c r="G51" s="182"/>
      <c r="H51" s="155"/>
      <c r="I51" s="49"/>
      <c r="J51" s="165">
        <v>7.2499999999999995E-2</v>
      </c>
      <c r="K51" s="156">
        <v>25000000</v>
      </c>
      <c r="L51" s="156">
        <v>25000000</v>
      </c>
      <c r="M51" s="156">
        <v>25000000</v>
      </c>
      <c r="N51" s="167">
        <v>453125</v>
      </c>
      <c r="O51" s="168">
        <v>25000000</v>
      </c>
      <c r="P51" s="60" t="s">
        <v>909</v>
      </c>
      <c r="Q51" s="83">
        <v>46094</v>
      </c>
      <c r="R51" s="38" t="s">
        <v>247</v>
      </c>
      <c r="S51" s="38" t="s">
        <v>247</v>
      </c>
      <c r="T51" s="35" t="s">
        <v>247</v>
      </c>
      <c r="U51" s="214" t="s">
        <v>247</v>
      </c>
      <c r="V51" s="439">
        <f t="shared" si="5"/>
        <v>25000000</v>
      </c>
      <c r="W51" s="3" t="s">
        <v>772</v>
      </c>
      <c r="X51" s="3" t="s">
        <v>904</v>
      </c>
    </row>
    <row r="52" spans="1:24" x14ac:dyDescent="0.25">
      <c r="A52" s="3">
        <v>48</v>
      </c>
      <c r="B52" s="6" t="s">
        <v>1</v>
      </c>
      <c r="C52" s="169">
        <v>45650</v>
      </c>
      <c r="D52" s="155">
        <v>43650012802</v>
      </c>
      <c r="E52" s="6" t="s">
        <v>903</v>
      </c>
      <c r="F52" s="31">
        <v>0.1</v>
      </c>
      <c r="G52" s="182"/>
      <c r="H52" s="155"/>
      <c r="I52" s="49"/>
      <c r="J52" s="165">
        <v>7.2499999999999995E-2</v>
      </c>
      <c r="K52" s="156">
        <v>25000000</v>
      </c>
      <c r="L52" s="156">
        <v>25000000</v>
      </c>
      <c r="M52" s="156">
        <v>25000000</v>
      </c>
      <c r="N52" s="167">
        <v>453125</v>
      </c>
      <c r="O52" s="168">
        <v>25000000</v>
      </c>
      <c r="P52" s="60" t="s">
        <v>909</v>
      </c>
      <c r="Q52" s="83">
        <v>46094</v>
      </c>
      <c r="R52" s="38" t="s">
        <v>247</v>
      </c>
      <c r="S52" s="38" t="s">
        <v>247</v>
      </c>
      <c r="T52" s="35" t="s">
        <v>247</v>
      </c>
      <c r="U52" s="214" t="s">
        <v>247</v>
      </c>
      <c r="V52" s="439">
        <f t="shared" si="5"/>
        <v>25000000</v>
      </c>
      <c r="W52" s="3" t="s">
        <v>772</v>
      </c>
      <c r="X52" s="3" t="s">
        <v>904</v>
      </c>
    </row>
    <row r="53" spans="1:24" x14ac:dyDescent="0.25">
      <c r="A53" s="3">
        <v>49</v>
      </c>
      <c r="B53" s="6" t="s">
        <v>1</v>
      </c>
      <c r="C53" s="169">
        <v>45657</v>
      </c>
      <c r="D53" s="155">
        <v>43666245978</v>
      </c>
      <c r="E53" s="6" t="s">
        <v>910</v>
      </c>
      <c r="F53" s="34" t="s">
        <v>910</v>
      </c>
      <c r="G53" s="154" t="s">
        <v>910</v>
      </c>
      <c r="H53" s="34" t="s">
        <v>910</v>
      </c>
      <c r="I53" s="34" t="s">
        <v>911</v>
      </c>
      <c r="J53" s="31">
        <v>7.2499999999999995E-2</v>
      </c>
      <c r="K53" s="38">
        <v>25000000</v>
      </c>
      <c r="L53" s="38">
        <v>25000000</v>
      </c>
      <c r="M53" s="38">
        <v>25000000</v>
      </c>
      <c r="N53" s="76">
        <v>453125</v>
      </c>
      <c r="O53" s="77">
        <v>25000000</v>
      </c>
      <c r="P53" s="72" t="s">
        <v>909</v>
      </c>
      <c r="Q53" s="35">
        <v>46101</v>
      </c>
      <c r="R53" s="38" t="s">
        <v>247</v>
      </c>
      <c r="S53" s="38" t="s">
        <v>247</v>
      </c>
      <c r="T53" s="35" t="s">
        <v>247</v>
      </c>
      <c r="U53" s="214" t="s">
        <v>247</v>
      </c>
      <c r="V53" s="439">
        <f t="shared" si="5"/>
        <v>25000000</v>
      </c>
      <c r="W53" s="3" t="s">
        <v>772</v>
      </c>
      <c r="X53" s="3" t="s">
        <v>904</v>
      </c>
    </row>
    <row r="54" spans="1:24" x14ac:dyDescent="0.25">
      <c r="A54" s="3">
        <v>50</v>
      </c>
      <c r="B54" s="6" t="s">
        <v>1</v>
      </c>
      <c r="C54" s="169">
        <v>45657</v>
      </c>
      <c r="D54" s="155">
        <v>43666224708</v>
      </c>
      <c r="E54" s="6" t="s">
        <v>910</v>
      </c>
      <c r="F54" s="34" t="s">
        <v>910</v>
      </c>
      <c r="G54" s="154" t="s">
        <v>910</v>
      </c>
      <c r="H54" s="34" t="s">
        <v>910</v>
      </c>
      <c r="I54" s="34" t="s">
        <v>911</v>
      </c>
      <c r="J54" s="31">
        <v>7.2499999999999995E-2</v>
      </c>
      <c r="K54" s="38">
        <v>25000000</v>
      </c>
      <c r="L54" s="38">
        <v>25000000</v>
      </c>
      <c r="M54" s="38">
        <v>25000000</v>
      </c>
      <c r="N54" s="76">
        <v>453125</v>
      </c>
      <c r="O54" s="77">
        <v>25000000</v>
      </c>
      <c r="P54" s="72" t="s">
        <v>909</v>
      </c>
      <c r="Q54" s="35">
        <v>46101</v>
      </c>
      <c r="R54" s="38" t="s">
        <v>247</v>
      </c>
      <c r="S54" s="38" t="s">
        <v>247</v>
      </c>
      <c r="T54" s="35" t="s">
        <v>247</v>
      </c>
      <c r="U54" s="214" t="s">
        <v>247</v>
      </c>
      <c r="V54" s="439">
        <f t="shared" si="5"/>
        <v>25000000</v>
      </c>
      <c r="W54" s="3" t="s">
        <v>772</v>
      </c>
      <c r="X54" s="3" t="s">
        <v>904</v>
      </c>
    </row>
    <row r="55" spans="1:24" x14ac:dyDescent="0.25">
      <c r="A55" s="3">
        <v>51</v>
      </c>
      <c r="B55" s="6" t="s">
        <v>1</v>
      </c>
      <c r="C55" s="169">
        <v>45657</v>
      </c>
      <c r="D55" s="155">
        <v>43666243493</v>
      </c>
      <c r="E55" s="6" t="s">
        <v>910</v>
      </c>
      <c r="F55" s="34" t="s">
        <v>910</v>
      </c>
      <c r="G55" s="154" t="s">
        <v>910</v>
      </c>
      <c r="H55" s="34" t="s">
        <v>910</v>
      </c>
      <c r="I55" s="34" t="s">
        <v>911</v>
      </c>
      <c r="J55" s="31">
        <v>7.2499999999999995E-2</v>
      </c>
      <c r="K55" s="38">
        <v>25000000</v>
      </c>
      <c r="L55" s="38">
        <v>25000000</v>
      </c>
      <c r="M55" s="38">
        <v>25000000</v>
      </c>
      <c r="N55" s="76">
        <v>453125</v>
      </c>
      <c r="O55" s="77">
        <v>25000000</v>
      </c>
      <c r="P55" s="72" t="s">
        <v>909</v>
      </c>
      <c r="Q55" s="35">
        <v>46101</v>
      </c>
      <c r="R55" s="38" t="s">
        <v>247</v>
      </c>
      <c r="S55" s="38" t="s">
        <v>247</v>
      </c>
      <c r="T55" s="35" t="s">
        <v>247</v>
      </c>
      <c r="U55" s="214" t="s">
        <v>247</v>
      </c>
      <c r="V55" s="439">
        <f t="shared" si="5"/>
        <v>25000000</v>
      </c>
      <c r="W55" s="3" t="s">
        <v>772</v>
      </c>
      <c r="X55" s="3" t="s">
        <v>904</v>
      </c>
    </row>
    <row r="56" spans="1:24" x14ac:dyDescent="0.25">
      <c r="A56" s="3">
        <v>52</v>
      </c>
      <c r="B56" s="6" t="s">
        <v>1</v>
      </c>
      <c r="C56" s="169">
        <v>45657</v>
      </c>
      <c r="D56" s="155">
        <v>43666248833</v>
      </c>
      <c r="E56" s="6" t="s">
        <v>910</v>
      </c>
      <c r="F56" s="34" t="s">
        <v>910</v>
      </c>
      <c r="G56" s="154" t="s">
        <v>910</v>
      </c>
      <c r="H56" s="34" t="s">
        <v>910</v>
      </c>
      <c r="I56" s="34" t="s">
        <v>911</v>
      </c>
      <c r="J56" s="31">
        <v>7.2499999999999995E-2</v>
      </c>
      <c r="K56" s="38">
        <v>27400000</v>
      </c>
      <c r="L56" s="38">
        <v>27400000</v>
      </c>
      <c r="M56" s="38">
        <v>27400000</v>
      </c>
      <c r="N56" s="76">
        <v>496625</v>
      </c>
      <c r="O56" s="38">
        <v>27400000</v>
      </c>
      <c r="P56" s="72" t="s">
        <v>909</v>
      </c>
      <c r="Q56" s="35">
        <v>46101</v>
      </c>
      <c r="R56" s="38" t="s">
        <v>247</v>
      </c>
      <c r="S56" s="38" t="s">
        <v>247</v>
      </c>
      <c r="T56" s="35" t="s">
        <v>247</v>
      </c>
      <c r="U56" s="214" t="s">
        <v>247</v>
      </c>
      <c r="V56" s="439">
        <f t="shared" si="5"/>
        <v>27400000</v>
      </c>
      <c r="W56" s="3" t="s">
        <v>772</v>
      </c>
      <c r="X56" s="3" t="s">
        <v>904</v>
      </c>
    </row>
    <row r="57" spans="1:24" x14ac:dyDescent="0.25">
      <c r="A57" s="3">
        <v>53</v>
      </c>
      <c r="B57" s="6" t="s">
        <v>1</v>
      </c>
      <c r="C57" s="169">
        <v>45657</v>
      </c>
      <c r="D57" s="155">
        <v>43666225928</v>
      </c>
      <c r="E57" s="6" t="s">
        <v>910</v>
      </c>
      <c r="F57" s="34" t="s">
        <v>910</v>
      </c>
      <c r="G57" s="154" t="s">
        <v>910</v>
      </c>
      <c r="H57" s="34" t="s">
        <v>910</v>
      </c>
      <c r="I57" s="34" t="s">
        <v>911</v>
      </c>
      <c r="J57" s="31">
        <v>7.2499999999999995E-2</v>
      </c>
      <c r="K57" s="38">
        <v>25000000</v>
      </c>
      <c r="L57" s="38">
        <v>25000000</v>
      </c>
      <c r="M57" s="38">
        <v>25000000</v>
      </c>
      <c r="N57" s="76">
        <v>453125</v>
      </c>
      <c r="O57" s="38">
        <v>25000000</v>
      </c>
      <c r="P57" s="72" t="s">
        <v>909</v>
      </c>
      <c r="Q57" s="35">
        <v>46101</v>
      </c>
      <c r="R57" s="38" t="s">
        <v>247</v>
      </c>
      <c r="S57" s="38" t="s">
        <v>247</v>
      </c>
      <c r="T57" s="35" t="s">
        <v>247</v>
      </c>
      <c r="U57" s="214" t="s">
        <v>247</v>
      </c>
      <c r="V57" s="439">
        <f t="shared" si="5"/>
        <v>25000000</v>
      </c>
      <c r="W57" s="3" t="s">
        <v>772</v>
      </c>
      <c r="X57" s="3" t="s">
        <v>904</v>
      </c>
    </row>
    <row r="58" spans="1:24" x14ac:dyDescent="0.25">
      <c r="A58" s="3">
        <v>54</v>
      </c>
      <c r="B58" s="6" t="s">
        <v>1</v>
      </c>
      <c r="C58" s="169">
        <v>45667</v>
      </c>
      <c r="D58" s="155">
        <v>43707298765</v>
      </c>
      <c r="E58" s="6" t="s">
        <v>903</v>
      </c>
      <c r="F58" s="31">
        <v>0.1</v>
      </c>
      <c r="G58" s="6" t="s">
        <v>247</v>
      </c>
      <c r="H58" s="6" t="s">
        <v>247</v>
      </c>
      <c r="I58" s="6" t="s">
        <v>247</v>
      </c>
      <c r="J58" s="165">
        <v>7.2499999999999995E-2</v>
      </c>
      <c r="K58" s="156">
        <v>25000000</v>
      </c>
      <c r="L58" s="156">
        <v>25000000</v>
      </c>
      <c r="M58" s="156">
        <v>25000000</v>
      </c>
      <c r="N58" s="167">
        <v>453125</v>
      </c>
      <c r="O58" s="156">
        <v>25000000</v>
      </c>
      <c r="P58" s="60" t="s">
        <v>909</v>
      </c>
      <c r="Q58" s="83">
        <v>46111</v>
      </c>
      <c r="R58" s="38" t="s">
        <v>247</v>
      </c>
      <c r="S58" s="38" t="s">
        <v>247</v>
      </c>
      <c r="T58" s="35" t="s">
        <v>247</v>
      </c>
      <c r="U58" s="214" t="s">
        <v>247</v>
      </c>
      <c r="V58" s="439">
        <f t="shared" si="5"/>
        <v>25000000</v>
      </c>
      <c r="W58" s="3" t="s">
        <v>772</v>
      </c>
      <c r="X58" s="3" t="s">
        <v>904</v>
      </c>
    </row>
    <row r="59" spans="1:24" x14ac:dyDescent="0.25">
      <c r="A59" s="3">
        <v>57</v>
      </c>
      <c r="B59" s="6" t="s">
        <v>1</v>
      </c>
      <c r="C59" s="169">
        <v>45693</v>
      </c>
      <c r="D59" s="155">
        <v>43792161126</v>
      </c>
      <c r="E59" s="6" t="s">
        <v>903</v>
      </c>
      <c r="F59" s="165">
        <v>0.1</v>
      </c>
      <c r="G59" s="6" t="s">
        <v>247</v>
      </c>
      <c r="H59" s="6" t="s">
        <v>247</v>
      </c>
      <c r="I59" s="6" t="s">
        <v>247</v>
      </c>
      <c r="J59" s="165">
        <v>7.2499999999999995E-2</v>
      </c>
      <c r="K59" s="156">
        <v>25000000</v>
      </c>
      <c r="L59" s="156">
        <v>25000000</v>
      </c>
      <c r="M59" s="156">
        <v>25000000</v>
      </c>
      <c r="N59" s="438">
        <f t="shared" ref="N59" si="8">O59-M59</f>
        <v>2283894</v>
      </c>
      <c r="O59" s="168">
        <v>27283894</v>
      </c>
      <c r="P59" s="60" t="s">
        <v>909</v>
      </c>
      <c r="Q59" s="83">
        <v>46137</v>
      </c>
      <c r="R59" s="38" t="s">
        <v>247</v>
      </c>
      <c r="S59" s="38" t="s">
        <v>247</v>
      </c>
      <c r="T59" s="35" t="s">
        <v>247</v>
      </c>
      <c r="U59" s="214" t="s">
        <v>247</v>
      </c>
      <c r="V59" s="439">
        <f t="shared" si="5"/>
        <v>25000000</v>
      </c>
      <c r="W59" s="3" t="s">
        <v>772</v>
      </c>
      <c r="X59" s="3" t="s">
        <v>904</v>
      </c>
    </row>
    <row r="60" spans="1:24" x14ac:dyDescent="0.25">
      <c r="A60" s="3">
        <v>58</v>
      </c>
      <c r="B60" s="6" t="s">
        <v>1</v>
      </c>
      <c r="C60" s="169">
        <v>45771</v>
      </c>
      <c r="D60" s="155">
        <v>44028685576</v>
      </c>
      <c r="E60" s="6" t="s">
        <v>903</v>
      </c>
      <c r="F60" s="165">
        <v>0.1</v>
      </c>
      <c r="G60" s="6" t="s">
        <v>247</v>
      </c>
      <c r="H60" s="6" t="s">
        <v>247</v>
      </c>
      <c r="I60" s="6" t="s">
        <v>247</v>
      </c>
      <c r="J60" s="165">
        <v>7.0499999999999993E-2</v>
      </c>
      <c r="K60" s="156">
        <v>25000000</v>
      </c>
      <c r="L60" s="156">
        <v>25000000</v>
      </c>
      <c r="M60" s="156">
        <v>25000000</v>
      </c>
      <c r="N60" s="438">
        <f t="shared" ref="N60" si="9">O60-M60</f>
        <v>2218732</v>
      </c>
      <c r="O60" s="168">
        <v>27218732</v>
      </c>
      <c r="P60" s="60" t="s">
        <v>909</v>
      </c>
      <c r="Q60" s="83">
        <v>46215</v>
      </c>
      <c r="R60" s="38" t="s">
        <v>247</v>
      </c>
      <c r="S60" s="38" t="s">
        <v>247</v>
      </c>
      <c r="T60" s="35" t="s">
        <v>247</v>
      </c>
      <c r="U60" s="214" t="s">
        <v>247</v>
      </c>
      <c r="V60" s="439">
        <f t="shared" ref="V60" si="10">M60</f>
        <v>25000000</v>
      </c>
      <c r="W60" s="3" t="s">
        <v>772</v>
      </c>
      <c r="X60" s="3" t="s">
        <v>904</v>
      </c>
    </row>
    <row r="61" spans="1:24" x14ac:dyDescent="0.25">
      <c r="A61" s="3">
        <v>59</v>
      </c>
      <c r="B61" s="6" t="s">
        <v>1</v>
      </c>
      <c r="C61" s="169">
        <v>45790</v>
      </c>
      <c r="D61" s="155">
        <v>44085316349</v>
      </c>
      <c r="E61" s="6" t="s">
        <v>886</v>
      </c>
      <c r="F61" s="165">
        <v>0.1</v>
      </c>
      <c r="G61" s="182"/>
      <c r="H61" s="155"/>
      <c r="I61" s="62"/>
      <c r="J61" s="165">
        <v>6.5000000000000002E-2</v>
      </c>
      <c r="K61" s="156">
        <v>124315000</v>
      </c>
      <c r="L61" s="156">
        <v>50000000</v>
      </c>
      <c r="M61" s="156">
        <v>0</v>
      </c>
      <c r="N61" s="167">
        <v>2020118.75</v>
      </c>
      <c r="O61" s="168">
        <v>126335118.75</v>
      </c>
      <c r="P61" s="60" t="s">
        <v>912</v>
      </c>
      <c r="Q61" s="83">
        <v>46004</v>
      </c>
      <c r="R61" s="156">
        <v>124315000</v>
      </c>
      <c r="S61" s="156">
        <v>124315000</v>
      </c>
      <c r="T61" s="35">
        <v>46216</v>
      </c>
      <c r="U61" s="214">
        <v>5.6000000000000001E-2</v>
      </c>
      <c r="V61" s="156">
        <v>124315000</v>
      </c>
      <c r="W61" s="3" t="s">
        <v>772</v>
      </c>
      <c r="X61" s="3" t="s">
        <v>904</v>
      </c>
    </row>
    <row r="62" spans="1:24" x14ac:dyDescent="0.25">
      <c r="A62" s="3"/>
      <c r="B62" s="6" t="s">
        <v>1</v>
      </c>
      <c r="C62" s="169">
        <v>45790</v>
      </c>
      <c r="D62" s="155">
        <v>44085316349</v>
      </c>
      <c r="E62" s="6" t="s">
        <v>886</v>
      </c>
      <c r="F62" s="165">
        <v>0.1</v>
      </c>
      <c r="G62" s="18"/>
      <c r="H62" s="155"/>
      <c r="I62" s="49"/>
      <c r="J62" s="165">
        <v>6.5000000000000002E-2</v>
      </c>
      <c r="K62" s="156">
        <v>0</v>
      </c>
      <c r="L62" s="156">
        <v>20000000</v>
      </c>
      <c r="M62" s="156">
        <v>0</v>
      </c>
      <c r="N62" s="167">
        <v>0</v>
      </c>
      <c r="O62" s="168">
        <v>0</v>
      </c>
      <c r="P62" s="60" t="s">
        <v>912</v>
      </c>
      <c r="Q62" s="83">
        <v>46004</v>
      </c>
      <c r="R62" s="156" t="s">
        <v>247</v>
      </c>
      <c r="S62" s="156" t="s">
        <v>247</v>
      </c>
      <c r="T62" s="35" t="s">
        <v>247</v>
      </c>
      <c r="U62" s="214" t="s">
        <v>247</v>
      </c>
      <c r="V62" s="156">
        <v>0</v>
      </c>
      <c r="W62" s="3" t="s">
        <v>772</v>
      </c>
      <c r="X62" s="3" t="s">
        <v>904</v>
      </c>
    </row>
    <row r="63" spans="1:24" x14ac:dyDescent="0.25">
      <c r="A63" s="3"/>
      <c r="B63" s="6" t="s">
        <v>1</v>
      </c>
      <c r="C63" s="169">
        <v>45790</v>
      </c>
      <c r="D63" s="155">
        <v>44085316349</v>
      </c>
      <c r="E63" s="6" t="s">
        <v>903</v>
      </c>
      <c r="F63" s="165">
        <v>0.1</v>
      </c>
      <c r="G63" s="182"/>
      <c r="H63" s="155"/>
      <c r="I63" s="49"/>
      <c r="J63" s="165">
        <v>6.5000000000000002E-2</v>
      </c>
      <c r="K63" s="156">
        <v>0</v>
      </c>
      <c r="L63" s="156">
        <v>54315000</v>
      </c>
      <c r="M63" s="156">
        <v>0</v>
      </c>
      <c r="N63" s="167">
        <v>0</v>
      </c>
      <c r="O63" s="168">
        <v>0</v>
      </c>
      <c r="P63" s="60" t="s">
        <v>912</v>
      </c>
      <c r="Q63" s="83">
        <v>46004</v>
      </c>
      <c r="R63" s="156" t="s">
        <v>247</v>
      </c>
      <c r="S63" s="156" t="s">
        <v>247</v>
      </c>
      <c r="T63" s="35" t="s">
        <v>247</v>
      </c>
      <c r="U63" s="214" t="s">
        <v>247</v>
      </c>
      <c r="V63" s="156">
        <v>0</v>
      </c>
      <c r="W63" s="3" t="s">
        <v>772</v>
      </c>
      <c r="X63" s="3" t="s">
        <v>904</v>
      </c>
    </row>
    <row r="64" spans="1:24" x14ac:dyDescent="0.25">
      <c r="A64" s="3">
        <v>60</v>
      </c>
      <c r="B64" s="6" t="s">
        <v>1</v>
      </c>
      <c r="C64" s="169">
        <v>45867</v>
      </c>
      <c r="D64" s="155">
        <v>44321009525</v>
      </c>
      <c r="E64" s="6" t="s">
        <v>903</v>
      </c>
      <c r="F64" s="165">
        <v>0.1</v>
      </c>
      <c r="G64" s="6" t="s">
        <v>247</v>
      </c>
      <c r="H64" s="6" t="s">
        <v>247</v>
      </c>
      <c r="I64" s="6" t="s">
        <v>247</v>
      </c>
      <c r="J64" s="165">
        <v>6.6000000000000003E-2</v>
      </c>
      <c r="K64" s="156">
        <v>10000000</v>
      </c>
      <c r="L64" s="156">
        <v>10000000</v>
      </c>
      <c r="M64" s="156">
        <v>10000000</v>
      </c>
      <c r="N64" s="167">
        <v>165000</v>
      </c>
      <c r="O64" s="168">
        <v>10000000</v>
      </c>
      <c r="P64" s="60" t="s">
        <v>909</v>
      </c>
      <c r="Q64" s="83">
        <v>46311</v>
      </c>
      <c r="R64" s="38" t="s">
        <v>247</v>
      </c>
      <c r="S64" s="38" t="s">
        <v>247</v>
      </c>
      <c r="T64" s="35" t="s">
        <v>247</v>
      </c>
      <c r="U64" s="214" t="s">
        <v>247</v>
      </c>
      <c r="V64" s="439">
        <f t="shared" ref="V64" si="11">M64</f>
        <v>10000000</v>
      </c>
      <c r="W64" s="3" t="s">
        <v>772</v>
      </c>
      <c r="X64" s="3" t="s">
        <v>904</v>
      </c>
    </row>
    <row r="65" spans="1:24" x14ac:dyDescent="0.25">
      <c r="A65" s="3">
        <v>79</v>
      </c>
      <c r="B65" s="6" t="s">
        <v>1</v>
      </c>
      <c r="C65" s="169">
        <v>45908</v>
      </c>
      <c r="D65" s="155">
        <v>44450034472</v>
      </c>
      <c r="E65" s="6" t="s">
        <v>903</v>
      </c>
      <c r="F65" s="165">
        <v>0.1</v>
      </c>
      <c r="G65" s="6"/>
      <c r="H65" s="6" t="s">
        <v>622</v>
      </c>
      <c r="I65" s="6"/>
      <c r="J65" s="165">
        <v>4.9000000000000002E-2</v>
      </c>
      <c r="K65" s="156">
        <v>22575900</v>
      </c>
      <c r="L65" s="156">
        <v>22907766</v>
      </c>
      <c r="M65" s="156">
        <v>22575900</v>
      </c>
      <c r="N65" s="438">
        <f t="shared" ref="N65" si="12">O65-M65</f>
        <v>368740</v>
      </c>
      <c r="O65" s="168">
        <v>22944640</v>
      </c>
      <c r="P65" s="60" t="s">
        <v>914</v>
      </c>
      <c r="Q65" s="83">
        <v>46030</v>
      </c>
      <c r="R65" s="38">
        <v>22907766</v>
      </c>
      <c r="S65" s="38">
        <v>23281926</v>
      </c>
      <c r="T65" s="35">
        <v>46150</v>
      </c>
      <c r="U65" s="165">
        <v>4.9000000000000002E-2</v>
      </c>
      <c r="V65" s="439">
        <f>R65</f>
        <v>22907766</v>
      </c>
      <c r="W65" s="3" t="s">
        <v>772</v>
      </c>
      <c r="X65" s="3" t="s">
        <v>904</v>
      </c>
    </row>
    <row r="66" spans="1:24" x14ac:dyDescent="0.25">
      <c r="A66" s="3">
        <v>80</v>
      </c>
      <c r="B66" s="6" t="s">
        <v>1</v>
      </c>
      <c r="C66" s="169">
        <v>45919</v>
      </c>
      <c r="D66" s="155">
        <v>44485511084</v>
      </c>
      <c r="E66" s="6" t="s">
        <v>903</v>
      </c>
      <c r="F66" s="165">
        <v>0.1</v>
      </c>
      <c r="G66" s="6" t="s">
        <v>247</v>
      </c>
      <c r="H66" s="6" t="s">
        <v>622</v>
      </c>
      <c r="I66" s="6" t="s">
        <v>247</v>
      </c>
      <c r="J66" s="165">
        <v>5.6500000000000002E-2</v>
      </c>
      <c r="K66" s="156">
        <v>11500000</v>
      </c>
      <c r="L66" s="156">
        <v>11500000</v>
      </c>
      <c r="M66" s="156">
        <v>11500000</v>
      </c>
      <c r="N66" s="167">
        <v>165000</v>
      </c>
      <c r="O66" s="168">
        <v>11827169</v>
      </c>
      <c r="P66" s="60" t="s">
        <v>915</v>
      </c>
      <c r="Q66" s="83">
        <v>46100</v>
      </c>
      <c r="R66" s="38">
        <v>11794452</v>
      </c>
      <c r="S66" s="38">
        <v>12129998</v>
      </c>
      <c r="T66" s="35">
        <v>46284</v>
      </c>
      <c r="U66" s="165">
        <v>5.6500000000000002E-2</v>
      </c>
      <c r="V66" s="439">
        <f>R66</f>
        <v>11794452</v>
      </c>
      <c r="W66" s="3" t="s">
        <v>772</v>
      </c>
      <c r="X66" s="3" t="s">
        <v>904</v>
      </c>
    </row>
    <row r="67" spans="1:24" x14ac:dyDescent="0.25">
      <c r="A67" s="3">
        <v>85</v>
      </c>
      <c r="B67" s="6" t="s">
        <v>1</v>
      </c>
      <c r="C67" s="169">
        <v>45930</v>
      </c>
      <c r="D67" s="155">
        <v>44512020008</v>
      </c>
      <c r="E67" s="6" t="s">
        <v>910</v>
      </c>
      <c r="F67" s="34" t="s">
        <v>910</v>
      </c>
      <c r="G67" s="154" t="s">
        <v>910</v>
      </c>
      <c r="H67" s="34" t="s">
        <v>910</v>
      </c>
      <c r="I67" s="34" t="s">
        <v>916</v>
      </c>
      <c r="J67" s="165">
        <v>6.25E-2</v>
      </c>
      <c r="K67" s="156">
        <v>127600000</v>
      </c>
      <c r="L67" s="156">
        <v>127600000</v>
      </c>
      <c r="M67" s="156">
        <v>127600000</v>
      </c>
      <c r="N67" s="438">
        <f t="shared" ref="N67" si="13">O67-M67</f>
        <v>8163869</v>
      </c>
      <c r="O67" s="168">
        <v>135763869</v>
      </c>
      <c r="P67" s="60" t="s">
        <v>917</v>
      </c>
      <c r="Q67" s="83">
        <v>46295</v>
      </c>
      <c r="R67" s="38" t="s">
        <v>247</v>
      </c>
      <c r="S67" s="38" t="s">
        <v>247</v>
      </c>
      <c r="T67" s="38" t="s">
        <v>247</v>
      </c>
      <c r="U67" s="38" t="s">
        <v>247</v>
      </c>
      <c r="V67" s="439">
        <f t="shared" ref="V67" si="14">M67</f>
        <v>127600000</v>
      </c>
      <c r="W67" s="3" t="s">
        <v>772</v>
      </c>
      <c r="X67" s="3" t="s">
        <v>904</v>
      </c>
    </row>
    <row r="68" spans="1:24" x14ac:dyDescent="0.25">
      <c r="A68" s="3">
        <v>90</v>
      </c>
      <c r="B68" s="6" t="s">
        <v>1</v>
      </c>
      <c r="C68" s="169">
        <v>45986</v>
      </c>
      <c r="D68" s="155">
        <v>44674538206</v>
      </c>
      <c r="E68" s="6" t="s">
        <v>903</v>
      </c>
      <c r="F68" s="165">
        <v>0.1</v>
      </c>
      <c r="G68" s="6"/>
      <c r="H68" s="6" t="s">
        <v>622</v>
      </c>
      <c r="I68" s="6"/>
      <c r="J68" s="165">
        <v>0.05</v>
      </c>
      <c r="K68" s="156">
        <v>15800000</v>
      </c>
      <c r="L68" s="156">
        <v>15800000</v>
      </c>
      <c r="M68" s="156">
        <v>15800000</v>
      </c>
      <c r="N68" s="438">
        <f t="shared" ref="N68" si="15">O68-M68</f>
        <v>449502</v>
      </c>
      <c r="O68" s="168">
        <v>16249502</v>
      </c>
      <c r="P68" s="60" t="s">
        <v>915</v>
      </c>
      <c r="Q68" s="83">
        <v>46167</v>
      </c>
      <c r="R68" s="38" t="s">
        <v>247</v>
      </c>
      <c r="S68" s="38" t="s">
        <v>247</v>
      </c>
      <c r="T68" s="38" t="s">
        <v>247</v>
      </c>
      <c r="U68" s="38" t="s">
        <v>247</v>
      </c>
      <c r="V68" s="439">
        <f t="shared" ref="V68" si="16">M68</f>
        <v>15800000</v>
      </c>
      <c r="W68" s="3" t="s">
        <v>772</v>
      </c>
      <c r="X68" s="3" t="s">
        <v>904</v>
      </c>
    </row>
    <row r="69" spans="1:24" x14ac:dyDescent="0.25">
      <c r="A69" s="3">
        <v>91</v>
      </c>
      <c r="B69" s="6" t="s">
        <v>1</v>
      </c>
      <c r="C69" s="169">
        <v>45995</v>
      </c>
      <c r="D69" s="155">
        <v>44707855866</v>
      </c>
      <c r="E69" s="6" t="s">
        <v>903</v>
      </c>
      <c r="F69" s="165">
        <v>0.1</v>
      </c>
      <c r="G69" s="6"/>
      <c r="H69" s="6" t="s">
        <v>622</v>
      </c>
      <c r="I69" s="6"/>
      <c r="J69" s="165">
        <v>6.25E-2</v>
      </c>
      <c r="K69" s="156">
        <v>50000000</v>
      </c>
      <c r="L69" s="156">
        <v>50000000</v>
      </c>
      <c r="M69" s="156">
        <v>50000000</v>
      </c>
      <c r="N69" s="438">
        <f t="shared" ref="N69" si="17">O69-M69</f>
        <v>3918652</v>
      </c>
      <c r="O69" s="168">
        <v>53918652</v>
      </c>
      <c r="P69" s="60" t="s">
        <v>909</v>
      </c>
      <c r="Q69" s="83">
        <v>46439</v>
      </c>
      <c r="R69" s="38" t="s">
        <v>247</v>
      </c>
      <c r="S69" s="38" t="s">
        <v>247</v>
      </c>
      <c r="T69" s="38" t="s">
        <v>247</v>
      </c>
      <c r="U69" s="38" t="s">
        <v>247</v>
      </c>
      <c r="V69" s="439">
        <f t="shared" ref="V69" si="18">M69</f>
        <v>50000000</v>
      </c>
      <c r="W69" s="3" t="s">
        <v>772</v>
      </c>
      <c r="X69" s="3" t="s">
        <v>904</v>
      </c>
    </row>
    <row r="70" spans="1:24" x14ac:dyDescent="0.25">
      <c r="A70" s="3">
        <v>92</v>
      </c>
      <c r="B70" s="6" t="s">
        <v>1</v>
      </c>
      <c r="C70" s="169">
        <v>46002</v>
      </c>
      <c r="D70" s="155">
        <v>44730457174</v>
      </c>
      <c r="E70" s="6" t="s">
        <v>903</v>
      </c>
      <c r="F70" s="165">
        <v>0.1</v>
      </c>
      <c r="G70" s="6"/>
      <c r="H70" s="6" t="s">
        <v>622</v>
      </c>
      <c r="I70" s="6"/>
      <c r="J70" s="165">
        <v>6.25E-2</v>
      </c>
      <c r="K70" s="156">
        <v>120000000</v>
      </c>
      <c r="L70" s="156">
        <v>86020000</v>
      </c>
      <c r="M70" s="156">
        <v>120000000</v>
      </c>
      <c r="N70" s="438">
        <f t="shared" ref="N70:N72" si="19">O70-M70</f>
        <v>9404765</v>
      </c>
      <c r="O70" s="168">
        <v>129404765</v>
      </c>
      <c r="P70" s="60" t="s">
        <v>909</v>
      </c>
      <c r="Q70" s="83">
        <v>46446</v>
      </c>
      <c r="R70" s="38" t="s">
        <v>247</v>
      </c>
      <c r="S70" s="38" t="s">
        <v>247</v>
      </c>
      <c r="T70" s="38" t="s">
        <v>247</v>
      </c>
      <c r="U70" s="38" t="s">
        <v>247</v>
      </c>
      <c r="V70" s="439">
        <f t="shared" ref="V70:V72" si="20">M70</f>
        <v>120000000</v>
      </c>
      <c r="W70" s="3" t="s">
        <v>772</v>
      </c>
      <c r="X70" s="3" t="s">
        <v>904</v>
      </c>
    </row>
    <row r="71" spans="1:24" x14ac:dyDescent="0.25">
      <c r="A71" s="3"/>
      <c r="B71" s="6" t="s">
        <v>1</v>
      </c>
      <c r="C71" s="169">
        <v>46002</v>
      </c>
      <c r="D71" s="155">
        <v>44730457174</v>
      </c>
      <c r="E71" s="6" t="s">
        <v>903</v>
      </c>
      <c r="F71" s="165">
        <v>0.1</v>
      </c>
      <c r="G71" s="6"/>
      <c r="H71" s="6" t="s">
        <v>622</v>
      </c>
      <c r="I71" s="6"/>
      <c r="J71" s="165">
        <v>6.25E-2</v>
      </c>
      <c r="K71" s="156">
        <v>0</v>
      </c>
      <c r="L71" s="156">
        <v>33980000</v>
      </c>
      <c r="M71" s="156">
        <v>0</v>
      </c>
      <c r="N71" s="167">
        <v>0</v>
      </c>
      <c r="O71" s="168">
        <v>0</v>
      </c>
      <c r="P71" s="60" t="s">
        <v>909</v>
      </c>
      <c r="Q71" s="83">
        <v>46446</v>
      </c>
      <c r="R71" s="38" t="s">
        <v>247</v>
      </c>
      <c r="S71" s="38" t="s">
        <v>247</v>
      </c>
      <c r="T71" s="38" t="s">
        <v>247</v>
      </c>
      <c r="U71" s="38" t="s">
        <v>247</v>
      </c>
      <c r="V71" s="439">
        <f t="shared" ref="V71" si="21">M71</f>
        <v>0</v>
      </c>
      <c r="W71" s="3" t="s">
        <v>772</v>
      </c>
      <c r="X71" s="3" t="s">
        <v>904</v>
      </c>
    </row>
    <row r="72" spans="1:24" x14ac:dyDescent="0.25">
      <c r="A72" s="3">
        <v>94</v>
      </c>
      <c r="B72" s="6" t="s">
        <v>1</v>
      </c>
      <c r="C72" s="169">
        <v>46024</v>
      </c>
      <c r="D72" s="155">
        <v>44794347236</v>
      </c>
      <c r="E72" s="6" t="s">
        <v>901</v>
      </c>
      <c r="F72" s="165">
        <v>1</v>
      </c>
      <c r="G72" s="6" t="s">
        <v>918</v>
      </c>
      <c r="H72" s="6" t="s">
        <v>622</v>
      </c>
      <c r="I72" s="6" t="s">
        <v>918</v>
      </c>
      <c r="J72" s="165">
        <v>5.6000000000000001E-2</v>
      </c>
      <c r="K72" s="156">
        <v>117180000</v>
      </c>
      <c r="L72" s="156">
        <v>117180000</v>
      </c>
      <c r="M72" s="156">
        <v>117180000</v>
      </c>
      <c r="N72" s="438">
        <f t="shared" si="19"/>
        <v>6096680</v>
      </c>
      <c r="O72" s="168">
        <v>123276680</v>
      </c>
      <c r="P72" s="60" t="s">
        <v>919</v>
      </c>
      <c r="Q72" s="83">
        <v>46356</v>
      </c>
      <c r="R72" s="38" t="s">
        <v>247</v>
      </c>
      <c r="S72" s="38" t="s">
        <v>247</v>
      </c>
      <c r="T72" s="38" t="s">
        <v>247</v>
      </c>
      <c r="U72" s="38" t="s">
        <v>247</v>
      </c>
      <c r="V72" s="439">
        <f t="shared" si="20"/>
        <v>117180000</v>
      </c>
      <c r="W72" s="3" t="s">
        <v>772</v>
      </c>
      <c r="X72" s="3" t="s">
        <v>920</v>
      </c>
    </row>
    <row r="73" spans="1:24" x14ac:dyDescent="0.25">
      <c r="A73" s="3">
        <v>96</v>
      </c>
      <c r="B73" s="6" t="s">
        <v>1</v>
      </c>
      <c r="C73" s="169">
        <v>46027</v>
      </c>
      <c r="D73" s="155">
        <v>44803304283</v>
      </c>
      <c r="E73" s="6" t="s">
        <v>903</v>
      </c>
      <c r="F73" s="165">
        <v>0.1</v>
      </c>
      <c r="G73" s="6"/>
      <c r="H73" s="6" t="s">
        <v>622</v>
      </c>
      <c r="I73" s="6"/>
      <c r="J73" s="165">
        <v>6.25E-2</v>
      </c>
      <c r="K73" s="156">
        <v>100000000</v>
      </c>
      <c r="L73" s="156">
        <v>100000000</v>
      </c>
      <c r="M73" s="156">
        <v>100000000</v>
      </c>
      <c r="N73" s="438">
        <f t="shared" ref="N73" si="22">O73-M73</f>
        <v>7837304</v>
      </c>
      <c r="O73" s="168">
        <v>107837304</v>
      </c>
      <c r="P73" s="60" t="s">
        <v>909</v>
      </c>
      <c r="Q73" s="83">
        <v>46471</v>
      </c>
      <c r="R73" s="38" t="s">
        <v>247</v>
      </c>
      <c r="S73" s="38" t="s">
        <v>247</v>
      </c>
      <c r="T73" s="38" t="s">
        <v>247</v>
      </c>
      <c r="U73" s="38" t="s">
        <v>247</v>
      </c>
      <c r="V73" s="439">
        <f t="shared" ref="V73" si="23">M73</f>
        <v>100000000</v>
      </c>
      <c r="W73" s="3" t="s">
        <v>772</v>
      </c>
      <c r="X73" s="3" t="s">
        <v>904</v>
      </c>
    </row>
    <row r="74" spans="1:24" x14ac:dyDescent="0.25">
      <c r="A74" s="3">
        <v>101</v>
      </c>
      <c r="B74" s="6" t="s">
        <v>1</v>
      </c>
      <c r="C74" s="169">
        <v>46045</v>
      </c>
      <c r="D74" s="155">
        <v>44857149620</v>
      </c>
      <c r="E74" s="6" t="s">
        <v>903</v>
      </c>
      <c r="F74" s="31">
        <v>0.1</v>
      </c>
      <c r="G74" s="6"/>
      <c r="H74" s="6" t="s">
        <v>622</v>
      </c>
      <c r="I74" s="6"/>
      <c r="J74" s="165">
        <v>5.6000000000000001E-2</v>
      </c>
      <c r="K74" s="156">
        <v>31480000</v>
      </c>
      <c r="L74" s="156">
        <v>31480000</v>
      </c>
      <c r="M74" s="156">
        <v>31480000</v>
      </c>
      <c r="N74" s="438">
        <f t="shared" ref="N74" si="24">O74-M74</f>
        <v>887610</v>
      </c>
      <c r="O74" s="168">
        <v>32367610</v>
      </c>
      <c r="P74" s="60" t="s">
        <v>915</v>
      </c>
      <c r="Q74" s="83">
        <v>46226</v>
      </c>
      <c r="R74" s="38" t="s">
        <v>247</v>
      </c>
      <c r="S74" s="38" t="s">
        <v>247</v>
      </c>
      <c r="T74" s="38" t="s">
        <v>247</v>
      </c>
      <c r="U74" s="38" t="s">
        <v>247</v>
      </c>
      <c r="V74" s="439">
        <f t="shared" ref="V74" si="25">M74</f>
        <v>31480000</v>
      </c>
      <c r="W74" s="3" t="s">
        <v>772</v>
      </c>
      <c r="X74" s="3" t="s">
        <v>904</v>
      </c>
    </row>
    <row r="75" spans="1:24" x14ac:dyDescent="0.25">
      <c r="A75" s="3">
        <v>102</v>
      </c>
      <c r="B75" s="6" t="s">
        <v>2</v>
      </c>
      <c r="C75" s="169">
        <v>46042</v>
      </c>
      <c r="D75" s="155" t="s">
        <v>921</v>
      </c>
      <c r="E75" s="6" t="s">
        <v>922</v>
      </c>
      <c r="F75" s="165">
        <v>0.1</v>
      </c>
      <c r="G75" s="6"/>
      <c r="H75" s="6" t="s">
        <v>622</v>
      </c>
      <c r="I75" s="6"/>
      <c r="J75" s="165">
        <v>6.5500000000000003E-2</v>
      </c>
      <c r="K75" s="156">
        <v>24500000</v>
      </c>
      <c r="L75" s="156">
        <v>24500000</v>
      </c>
      <c r="M75" s="156">
        <v>24500000</v>
      </c>
      <c r="N75" s="438">
        <f t="shared" ref="N75" si="26">O75-M75</f>
        <v>0</v>
      </c>
      <c r="O75" s="168">
        <v>24500000</v>
      </c>
      <c r="P75" s="60" t="s">
        <v>923</v>
      </c>
      <c r="Q75" s="83">
        <v>46954</v>
      </c>
      <c r="R75" s="38" t="s">
        <v>247</v>
      </c>
      <c r="S75" s="38" t="s">
        <v>247</v>
      </c>
      <c r="T75" s="38" t="s">
        <v>247</v>
      </c>
      <c r="U75" s="38" t="s">
        <v>247</v>
      </c>
      <c r="V75" s="439">
        <f t="shared" ref="V75" si="27">M75</f>
        <v>24500000</v>
      </c>
      <c r="W75" s="3" t="s">
        <v>772</v>
      </c>
      <c r="X75" s="3" t="s">
        <v>904</v>
      </c>
    </row>
    <row r="76" spans="1:24" x14ac:dyDescent="0.25">
      <c r="A76" s="3">
        <v>103</v>
      </c>
      <c r="B76" s="6" t="s">
        <v>2</v>
      </c>
      <c r="C76" s="169">
        <v>46042</v>
      </c>
      <c r="D76" s="155" t="s">
        <v>924</v>
      </c>
      <c r="E76" s="6" t="s">
        <v>922</v>
      </c>
      <c r="F76" s="165">
        <v>0.1</v>
      </c>
      <c r="G76" s="6"/>
      <c r="H76" s="6" t="s">
        <v>622</v>
      </c>
      <c r="I76" s="6"/>
      <c r="J76" s="165">
        <v>6.5500000000000003E-2</v>
      </c>
      <c r="K76" s="156">
        <v>27500000</v>
      </c>
      <c r="L76" s="156">
        <v>27500000</v>
      </c>
      <c r="M76" s="156">
        <v>27500000</v>
      </c>
      <c r="N76" s="438">
        <f t="shared" ref="N76" si="28">O76-M76</f>
        <v>0</v>
      </c>
      <c r="O76" s="156">
        <v>27500000</v>
      </c>
      <c r="P76" s="60" t="s">
        <v>923</v>
      </c>
      <c r="Q76" s="83">
        <v>46957</v>
      </c>
      <c r="R76" s="38" t="s">
        <v>247</v>
      </c>
      <c r="S76" s="38" t="s">
        <v>247</v>
      </c>
      <c r="T76" s="38" t="s">
        <v>247</v>
      </c>
      <c r="U76" s="38" t="s">
        <v>247</v>
      </c>
      <c r="V76" s="439">
        <f t="shared" ref="V76" si="29">M76</f>
        <v>27500000</v>
      </c>
      <c r="W76" s="3" t="s">
        <v>772</v>
      </c>
      <c r="X76" s="3" t="s">
        <v>904</v>
      </c>
    </row>
    <row r="77" spans="1:24" x14ac:dyDescent="0.25">
      <c r="A77" s="3">
        <v>104</v>
      </c>
      <c r="B77" s="6" t="s">
        <v>2</v>
      </c>
      <c r="C77" s="169">
        <v>46055</v>
      </c>
      <c r="D77" s="155" t="s">
        <v>925</v>
      </c>
      <c r="E77" s="6" t="s">
        <v>922</v>
      </c>
      <c r="F77" s="165">
        <v>0.1</v>
      </c>
      <c r="G77" s="6"/>
      <c r="H77" s="6" t="s">
        <v>622</v>
      </c>
      <c r="I77" s="6"/>
      <c r="J77" s="165">
        <v>6.5500000000000003E-2</v>
      </c>
      <c r="K77" s="156">
        <v>27500000</v>
      </c>
      <c r="L77" s="156">
        <v>27500000</v>
      </c>
      <c r="M77" s="156">
        <v>27500000</v>
      </c>
      <c r="N77" s="438">
        <f>O77-M77</f>
        <v>0</v>
      </c>
      <c r="O77" s="156">
        <v>27500000</v>
      </c>
      <c r="P77" s="60" t="s">
        <v>923</v>
      </c>
      <c r="Q77" s="83">
        <v>46967</v>
      </c>
      <c r="R77" s="38" t="s">
        <v>247</v>
      </c>
      <c r="S77" s="38" t="s">
        <v>247</v>
      </c>
      <c r="T77" s="38" t="s">
        <v>247</v>
      </c>
      <c r="U77" s="38" t="s">
        <v>247</v>
      </c>
      <c r="V77" s="439">
        <f>M77</f>
        <v>27500000</v>
      </c>
      <c r="W77" s="3" t="s">
        <v>772</v>
      </c>
      <c r="X77" s="3" t="s">
        <v>904</v>
      </c>
    </row>
    <row r="78" spans="1:24" x14ac:dyDescent="0.25">
      <c r="A78" s="3">
        <v>106</v>
      </c>
      <c r="B78" s="6" t="s">
        <v>2</v>
      </c>
      <c r="C78" s="169">
        <v>46074</v>
      </c>
      <c r="D78" s="155" t="s">
        <v>926</v>
      </c>
      <c r="E78" s="6" t="s">
        <v>922</v>
      </c>
      <c r="F78" s="165">
        <v>0.1</v>
      </c>
      <c r="G78" s="6"/>
      <c r="H78" s="6" t="s">
        <v>622</v>
      </c>
      <c r="I78" s="6"/>
      <c r="J78" s="165">
        <v>6.4100000000000004E-2</v>
      </c>
      <c r="K78" s="156">
        <v>43000000</v>
      </c>
      <c r="L78" s="156">
        <v>43000000</v>
      </c>
      <c r="M78" s="156">
        <v>43000000</v>
      </c>
      <c r="N78" s="438">
        <f>O78-M78</f>
        <v>672084</v>
      </c>
      <c r="O78" s="156">
        <v>43672084</v>
      </c>
      <c r="P78" s="60" t="s">
        <v>927</v>
      </c>
      <c r="Q78" s="83">
        <v>46163</v>
      </c>
      <c r="R78" s="38" t="s">
        <v>247</v>
      </c>
      <c r="S78" s="38" t="s">
        <v>247</v>
      </c>
      <c r="T78" s="38" t="s">
        <v>247</v>
      </c>
      <c r="U78" s="38" t="s">
        <v>247</v>
      </c>
      <c r="V78" s="439">
        <f>M78</f>
        <v>43000000</v>
      </c>
      <c r="W78" s="3" t="s">
        <v>772</v>
      </c>
      <c r="X78" s="3" t="s">
        <v>904</v>
      </c>
    </row>
    <row r="79" spans="1:24" x14ac:dyDescent="0.25">
      <c r="A79" s="3">
        <v>107</v>
      </c>
      <c r="B79" s="6" t="s">
        <v>3</v>
      </c>
      <c r="C79" s="169">
        <v>46084</v>
      </c>
      <c r="D79" s="366" t="s">
        <v>928</v>
      </c>
      <c r="E79" s="6" t="s">
        <v>929</v>
      </c>
      <c r="F79" s="165">
        <v>0.1</v>
      </c>
      <c r="G79" s="6"/>
      <c r="H79" s="6" t="s">
        <v>622</v>
      </c>
      <c r="I79" s="6"/>
      <c r="J79" s="165">
        <v>6.6000000000000003E-2</v>
      </c>
      <c r="K79" s="156">
        <v>27500000</v>
      </c>
      <c r="L79" s="156">
        <v>27500000</v>
      </c>
      <c r="M79" s="156">
        <v>27500000</v>
      </c>
      <c r="N79" s="438">
        <f>O79-M79</f>
        <v>2311683</v>
      </c>
      <c r="O79" s="168">
        <v>29811683</v>
      </c>
      <c r="P79" s="60" t="s">
        <v>930</v>
      </c>
      <c r="Q79" s="83">
        <v>46534</v>
      </c>
      <c r="R79" s="38"/>
      <c r="S79" s="38"/>
      <c r="T79" s="38"/>
      <c r="U79" s="38"/>
      <c r="V79" s="439">
        <f>M79</f>
        <v>27500000</v>
      </c>
      <c r="W79" s="3" t="s">
        <v>772</v>
      </c>
      <c r="X79" s="3" t="s">
        <v>904</v>
      </c>
    </row>
    <row r="80" spans="1:24" x14ac:dyDescent="0.25">
      <c r="A80" s="3">
        <v>108</v>
      </c>
      <c r="B80" s="6" t="s">
        <v>2</v>
      </c>
      <c r="C80" s="169">
        <v>46090</v>
      </c>
      <c r="D80" s="155" t="s">
        <v>931</v>
      </c>
      <c r="E80" s="6" t="s">
        <v>922</v>
      </c>
      <c r="F80" s="165">
        <v>0.1</v>
      </c>
      <c r="G80" s="6" t="s">
        <v>797</v>
      </c>
      <c r="H80" s="6" t="s">
        <v>799</v>
      </c>
      <c r="I80" s="49" t="s">
        <v>802</v>
      </c>
      <c r="J80" s="165">
        <v>5.3499999999999999E-2</v>
      </c>
      <c r="K80" s="156">
        <v>8757000</v>
      </c>
      <c r="L80" s="156">
        <v>8757000</v>
      </c>
      <c r="M80" s="156">
        <v>8757000</v>
      </c>
      <c r="N80" s="438">
        <f>O80-M80</f>
        <v>118808</v>
      </c>
      <c r="O80" s="168">
        <v>8875808</v>
      </c>
      <c r="P80" s="60" t="s">
        <v>927</v>
      </c>
      <c r="Q80" s="83">
        <v>46182</v>
      </c>
      <c r="R80" s="38"/>
      <c r="S80" s="38"/>
      <c r="T80" s="38"/>
      <c r="U80" s="38"/>
      <c r="V80" s="439">
        <f>M80</f>
        <v>8757000</v>
      </c>
      <c r="W80" s="3" t="s">
        <v>772</v>
      </c>
      <c r="X80" s="3" t="s">
        <v>904</v>
      </c>
    </row>
    <row r="81" spans="1:24" x14ac:dyDescent="0.25">
      <c r="A81" s="3">
        <v>109</v>
      </c>
      <c r="B81" s="6" t="s">
        <v>1</v>
      </c>
      <c r="C81" s="169">
        <v>46091</v>
      </c>
      <c r="D81" s="155">
        <v>44995227852</v>
      </c>
      <c r="E81" s="6" t="s">
        <v>889</v>
      </c>
      <c r="F81" s="165">
        <v>0.1</v>
      </c>
      <c r="G81" s="6" t="s">
        <v>804</v>
      </c>
      <c r="H81" s="6" t="s">
        <v>799</v>
      </c>
      <c r="I81" s="49" t="s">
        <v>806</v>
      </c>
      <c r="J81" s="165">
        <v>5.6000000000000001E-2</v>
      </c>
      <c r="K81" s="156">
        <v>90000000</v>
      </c>
      <c r="L81" s="156">
        <v>90000000</v>
      </c>
      <c r="M81" s="156">
        <v>90000000</v>
      </c>
      <c r="N81" s="438">
        <f t="shared" ref="N81" si="30">O81-M81</f>
        <v>2537640</v>
      </c>
      <c r="O81" s="168">
        <v>92537640</v>
      </c>
      <c r="P81" s="60" t="s">
        <v>915</v>
      </c>
      <c r="Q81" s="83">
        <v>46275</v>
      </c>
      <c r="R81" s="38" t="s">
        <v>247</v>
      </c>
      <c r="S81" s="38" t="s">
        <v>247</v>
      </c>
      <c r="T81" s="38" t="s">
        <v>247</v>
      </c>
      <c r="U81" s="38" t="s">
        <v>247</v>
      </c>
      <c r="V81" s="439">
        <f t="shared" ref="V81" si="31">M81</f>
        <v>90000000</v>
      </c>
      <c r="W81" s="3" t="s">
        <v>772</v>
      </c>
      <c r="X81" s="3" t="s">
        <v>904</v>
      </c>
    </row>
    <row r="82" spans="1:24" x14ac:dyDescent="0.25">
      <c r="A82" s="3">
        <v>110</v>
      </c>
      <c r="B82" s="6" t="s">
        <v>1</v>
      </c>
      <c r="C82" s="169">
        <v>46091</v>
      </c>
      <c r="D82" s="155">
        <v>44994834618</v>
      </c>
      <c r="E82" s="6" t="s">
        <v>889</v>
      </c>
      <c r="F82" s="165">
        <v>0.1</v>
      </c>
      <c r="G82" s="6" t="s">
        <v>804</v>
      </c>
      <c r="H82" s="6" t="s">
        <v>799</v>
      </c>
      <c r="I82" s="49" t="s">
        <v>806</v>
      </c>
      <c r="J82" s="165">
        <v>5.6000000000000001E-2</v>
      </c>
      <c r="K82" s="156">
        <v>65000000</v>
      </c>
      <c r="L82" s="156">
        <v>24019322</v>
      </c>
      <c r="M82" s="156">
        <v>65000000</v>
      </c>
      <c r="N82" s="438">
        <f t="shared" ref="N82" si="32">O82-M82</f>
        <v>1832740</v>
      </c>
      <c r="O82" s="168">
        <v>66832740</v>
      </c>
      <c r="P82" s="60" t="s">
        <v>915</v>
      </c>
      <c r="Q82" s="83">
        <v>46275</v>
      </c>
      <c r="R82" s="38" t="s">
        <v>247</v>
      </c>
      <c r="S82" s="38" t="s">
        <v>247</v>
      </c>
      <c r="T82" s="38" t="s">
        <v>247</v>
      </c>
      <c r="U82" s="38" t="s">
        <v>247</v>
      </c>
      <c r="V82" s="439">
        <f t="shared" ref="V82" si="33">M82</f>
        <v>65000000</v>
      </c>
      <c r="W82" s="3" t="s">
        <v>772</v>
      </c>
      <c r="X82" s="3" t="s">
        <v>904</v>
      </c>
    </row>
    <row r="83" spans="1:24" x14ac:dyDescent="0.25">
      <c r="A83" s="3"/>
      <c r="B83" s="6" t="s">
        <v>1</v>
      </c>
      <c r="C83" s="169">
        <v>46091</v>
      </c>
      <c r="D83" s="155">
        <v>44994834618</v>
      </c>
      <c r="E83" s="6" t="s">
        <v>889</v>
      </c>
      <c r="F83" s="165">
        <v>0.1</v>
      </c>
      <c r="G83" s="6" t="s">
        <v>804</v>
      </c>
      <c r="H83" s="6" t="s">
        <v>799</v>
      </c>
      <c r="I83" s="49" t="s">
        <v>806</v>
      </c>
      <c r="J83" s="165">
        <v>5.6000000000000001E-2</v>
      </c>
      <c r="K83" s="156">
        <v>0</v>
      </c>
      <c r="L83" s="156">
        <v>40980678</v>
      </c>
      <c r="M83" s="156">
        <v>0</v>
      </c>
      <c r="N83" s="167">
        <v>0</v>
      </c>
      <c r="O83" s="168">
        <v>0</v>
      </c>
      <c r="P83" s="60" t="s">
        <v>915</v>
      </c>
      <c r="Q83" s="83">
        <v>46275</v>
      </c>
      <c r="R83" s="38" t="s">
        <v>247</v>
      </c>
      <c r="S83" s="38" t="s">
        <v>247</v>
      </c>
      <c r="T83" s="38" t="s">
        <v>247</v>
      </c>
      <c r="U83" s="38" t="s">
        <v>247</v>
      </c>
      <c r="V83" s="439">
        <f t="shared" ref="V83" si="34">M83</f>
        <v>0</v>
      </c>
      <c r="W83" s="3" t="s">
        <v>772</v>
      </c>
      <c r="X83" s="3" t="s">
        <v>904</v>
      </c>
    </row>
    <row r="84" spans="1:24" x14ac:dyDescent="0.25">
      <c r="A84" s="3">
        <v>113</v>
      </c>
      <c r="B84" s="6" t="s">
        <v>1</v>
      </c>
      <c r="C84" s="169">
        <v>46097</v>
      </c>
      <c r="D84" s="155">
        <v>45011318971</v>
      </c>
      <c r="E84" s="6" t="s">
        <v>901</v>
      </c>
      <c r="F84" s="165">
        <v>1</v>
      </c>
      <c r="G84" s="6"/>
      <c r="H84" s="6" t="s">
        <v>622</v>
      </c>
      <c r="I84" s="6"/>
      <c r="J84" s="165">
        <v>3.0499999999999999E-2</v>
      </c>
      <c r="K84" s="156">
        <v>7968000</v>
      </c>
      <c r="L84" s="156">
        <v>7968000</v>
      </c>
      <c r="M84" s="156">
        <v>7968000</v>
      </c>
      <c r="N84" s="438">
        <f t="shared" ref="N84:N85" si="35">O84-M84</f>
        <v>29962</v>
      </c>
      <c r="O84" s="168">
        <v>7997962</v>
      </c>
      <c r="P84" s="60" t="s">
        <v>932</v>
      </c>
      <c r="Q84" s="83">
        <v>46142</v>
      </c>
      <c r="R84" s="38" t="s">
        <v>247</v>
      </c>
      <c r="S84" s="38" t="s">
        <v>247</v>
      </c>
      <c r="T84" s="38" t="s">
        <v>247</v>
      </c>
      <c r="U84" s="38" t="s">
        <v>247</v>
      </c>
      <c r="V84" s="439">
        <f t="shared" ref="V84:V85" si="36">M84</f>
        <v>7968000</v>
      </c>
      <c r="W84" s="3" t="s">
        <v>772</v>
      </c>
      <c r="X84" s="3" t="s">
        <v>920</v>
      </c>
    </row>
    <row r="85" spans="1:24" x14ac:dyDescent="0.25">
      <c r="A85" s="3">
        <v>115</v>
      </c>
      <c r="B85" s="6" t="s">
        <v>1</v>
      </c>
      <c r="C85" s="169">
        <v>46097</v>
      </c>
      <c r="D85" s="155">
        <v>45011162091</v>
      </c>
      <c r="E85" s="6" t="s">
        <v>901</v>
      </c>
      <c r="F85" s="165">
        <v>1</v>
      </c>
      <c r="G85" s="6"/>
      <c r="H85" s="6" t="s">
        <v>622</v>
      </c>
      <c r="I85" s="6"/>
      <c r="J85" s="165">
        <v>3.0499999999999999E-2</v>
      </c>
      <c r="K85" s="156">
        <v>8568000</v>
      </c>
      <c r="L85" s="156">
        <v>8568000</v>
      </c>
      <c r="M85" s="156">
        <v>8568000</v>
      </c>
      <c r="N85" s="438">
        <f t="shared" si="35"/>
        <v>87417</v>
      </c>
      <c r="O85" s="168">
        <v>8655417</v>
      </c>
      <c r="P85" s="60" t="s">
        <v>932</v>
      </c>
      <c r="Q85" s="83">
        <v>46142</v>
      </c>
      <c r="R85" s="38" t="s">
        <v>247</v>
      </c>
      <c r="S85" s="38" t="s">
        <v>247</v>
      </c>
      <c r="T85" s="38" t="s">
        <v>247</v>
      </c>
      <c r="U85" s="38" t="s">
        <v>247</v>
      </c>
      <c r="V85" s="439">
        <f t="shared" si="36"/>
        <v>8568000</v>
      </c>
      <c r="W85" s="3" t="s">
        <v>772</v>
      </c>
      <c r="X85" s="3" t="s">
        <v>920</v>
      </c>
    </row>
    <row r="86" spans="1:24" x14ac:dyDescent="0.25">
      <c r="A86" s="3">
        <v>116</v>
      </c>
      <c r="B86" s="6" t="s">
        <v>3</v>
      </c>
      <c r="C86" s="169">
        <v>46098</v>
      </c>
      <c r="D86" s="366" t="s">
        <v>933</v>
      </c>
      <c r="E86" s="6" t="s">
        <v>929</v>
      </c>
      <c r="F86" s="165">
        <v>0.1</v>
      </c>
      <c r="G86" s="6"/>
      <c r="H86" s="6" t="s">
        <v>622</v>
      </c>
      <c r="I86" s="6"/>
      <c r="J86" s="165">
        <v>6.3E-2</v>
      </c>
      <c r="K86" s="156">
        <v>28500000</v>
      </c>
      <c r="L86" s="156">
        <v>28500000</v>
      </c>
      <c r="M86" s="156">
        <v>28500000</v>
      </c>
      <c r="N86" s="438">
        <f t="shared" ref="N86:N90" si="37">O86-M86</f>
        <v>2278231</v>
      </c>
      <c r="O86" s="168">
        <v>30778231</v>
      </c>
      <c r="P86" s="60" t="s">
        <v>934</v>
      </c>
      <c r="Q86" s="83">
        <v>46547</v>
      </c>
      <c r="R86" s="38"/>
      <c r="S86" s="38"/>
      <c r="T86" s="38"/>
      <c r="U86" s="38"/>
      <c r="V86" s="439">
        <f t="shared" ref="V86:V90" si="38">M86</f>
        <v>28500000</v>
      </c>
      <c r="W86" s="3" t="s">
        <v>772</v>
      </c>
      <c r="X86" s="3" t="s">
        <v>904</v>
      </c>
    </row>
    <row r="87" spans="1:24" x14ac:dyDescent="0.25">
      <c r="A87" s="3">
        <v>117</v>
      </c>
      <c r="B87" s="6" t="s">
        <v>3</v>
      </c>
      <c r="C87" s="169">
        <v>46098</v>
      </c>
      <c r="D87" s="366" t="s">
        <v>935</v>
      </c>
      <c r="E87" s="6" t="s">
        <v>929</v>
      </c>
      <c r="F87" s="165">
        <v>0.1</v>
      </c>
      <c r="G87" s="6"/>
      <c r="H87" s="6" t="s">
        <v>622</v>
      </c>
      <c r="I87" s="6"/>
      <c r="J87" s="165">
        <v>6.25E-2</v>
      </c>
      <c r="K87" s="156">
        <v>28500000</v>
      </c>
      <c r="L87" s="156">
        <v>28500000</v>
      </c>
      <c r="M87" s="156">
        <v>28500000</v>
      </c>
      <c r="N87" s="438">
        <f t="shared" si="37"/>
        <v>1823435</v>
      </c>
      <c r="O87" s="168">
        <v>30323435</v>
      </c>
      <c r="P87" s="60" t="s">
        <v>936</v>
      </c>
      <c r="Q87" s="83">
        <v>46463</v>
      </c>
      <c r="R87" s="38"/>
      <c r="S87" s="38"/>
      <c r="T87" s="38"/>
      <c r="U87" s="38"/>
      <c r="V87" s="439">
        <f t="shared" si="38"/>
        <v>28500000</v>
      </c>
      <c r="W87" s="3" t="s">
        <v>772</v>
      </c>
      <c r="X87" s="3" t="s">
        <v>904</v>
      </c>
    </row>
    <row r="88" spans="1:24" x14ac:dyDescent="0.25">
      <c r="A88" s="3">
        <v>118</v>
      </c>
      <c r="B88" s="6" t="s">
        <v>3</v>
      </c>
      <c r="C88" s="169">
        <v>46098</v>
      </c>
      <c r="D88" s="366" t="s">
        <v>937</v>
      </c>
      <c r="E88" s="6" t="s">
        <v>929</v>
      </c>
      <c r="F88" s="165">
        <v>0.1</v>
      </c>
      <c r="G88" s="6"/>
      <c r="H88" s="6" t="s">
        <v>622</v>
      </c>
      <c r="I88" s="6"/>
      <c r="J88" s="165">
        <v>6.6000000000000003E-2</v>
      </c>
      <c r="K88" s="156">
        <v>28500000</v>
      </c>
      <c r="L88" s="156">
        <v>28500000</v>
      </c>
      <c r="M88" s="156">
        <v>28500000</v>
      </c>
      <c r="N88" s="438">
        <f t="shared" si="37"/>
        <v>2395744</v>
      </c>
      <c r="O88" s="168">
        <v>30895744</v>
      </c>
      <c r="P88" s="60" t="s">
        <v>930</v>
      </c>
      <c r="Q88" s="83">
        <v>46548</v>
      </c>
      <c r="R88" s="38"/>
      <c r="S88" s="38"/>
      <c r="T88" s="38"/>
      <c r="U88" s="38"/>
      <c r="V88" s="439">
        <f t="shared" si="38"/>
        <v>28500000</v>
      </c>
      <c r="W88" s="3" t="s">
        <v>772</v>
      </c>
      <c r="X88" s="3" t="s">
        <v>904</v>
      </c>
    </row>
    <row r="89" spans="1:24" x14ac:dyDescent="0.25">
      <c r="A89" s="3">
        <v>119</v>
      </c>
      <c r="B89" s="6" t="s">
        <v>3</v>
      </c>
      <c r="C89" s="169">
        <v>46105</v>
      </c>
      <c r="D89" s="366" t="s">
        <v>938</v>
      </c>
      <c r="E89" s="6" t="s">
        <v>929</v>
      </c>
      <c r="F89" s="165">
        <v>0.1</v>
      </c>
      <c r="G89" s="6"/>
      <c r="H89" s="6" t="s">
        <v>622</v>
      </c>
      <c r="I89" s="6"/>
      <c r="J89" s="165">
        <v>6.6000000000000003E-2</v>
      </c>
      <c r="K89" s="156">
        <v>3000000</v>
      </c>
      <c r="L89" s="156">
        <v>3000000</v>
      </c>
      <c r="M89" s="156">
        <v>3000000</v>
      </c>
      <c r="N89" s="438">
        <f t="shared" si="37"/>
        <v>0</v>
      </c>
      <c r="O89" s="168">
        <v>3000000</v>
      </c>
      <c r="P89" s="60" t="s">
        <v>939</v>
      </c>
      <c r="Q89" s="83">
        <v>46234</v>
      </c>
      <c r="R89" s="38"/>
      <c r="S89" s="38"/>
      <c r="T89" s="38"/>
      <c r="U89" s="38"/>
      <c r="V89" s="439">
        <f t="shared" si="38"/>
        <v>3000000</v>
      </c>
      <c r="W89" s="3" t="s">
        <v>772</v>
      </c>
      <c r="X89" s="3" t="s">
        <v>904</v>
      </c>
    </row>
    <row r="90" spans="1:24" x14ac:dyDescent="0.25">
      <c r="A90" s="3">
        <v>120</v>
      </c>
      <c r="B90" s="6" t="s">
        <v>1</v>
      </c>
      <c r="C90" s="169">
        <v>46108</v>
      </c>
      <c r="D90" s="155">
        <v>45039415633</v>
      </c>
      <c r="E90" s="6" t="s">
        <v>889</v>
      </c>
      <c r="F90" s="165">
        <v>0.1</v>
      </c>
      <c r="G90" s="18" t="s">
        <v>808</v>
      </c>
      <c r="H90" s="6" t="s">
        <v>799</v>
      </c>
      <c r="I90" s="267" t="s">
        <v>810</v>
      </c>
      <c r="J90" s="165">
        <v>6.5000000000000002E-2</v>
      </c>
      <c r="K90" s="156">
        <v>107600000</v>
      </c>
      <c r="L90" s="75">
        <v>53798000</v>
      </c>
      <c r="M90" s="156">
        <v>107600000</v>
      </c>
      <c r="N90" s="438">
        <f t="shared" si="37"/>
        <v>7166333</v>
      </c>
      <c r="O90" s="168">
        <v>114766333</v>
      </c>
      <c r="P90" s="60" t="s">
        <v>917</v>
      </c>
      <c r="Q90" s="83">
        <v>46473</v>
      </c>
      <c r="R90" s="38" t="s">
        <v>247</v>
      </c>
      <c r="S90" s="38" t="s">
        <v>247</v>
      </c>
      <c r="T90" s="38" t="s">
        <v>247</v>
      </c>
      <c r="U90" s="38" t="s">
        <v>247</v>
      </c>
      <c r="V90" s="439">
        <f t="shared" si="38"/>
        <v>107600000</v>
      </c>
      <c r="W90" s="3" t="s">
        <v>772</v>
      </c>
      <c r="X90" s="3" t="s">
        <v>904</v>
      </c>
    </row>
    <row r="91" spans="1:24" x14ac:dyDescent="0.25">
      <c r="A91" s="3"/>
      <c r="B91" s="6" t="s">
        <v>1</v>
      </c>
      <c r="C91" s="169">
        <v>46108</v>
      </c>
      <c r="D91" s="155">
        <v>45039415633</v>
      </c>
      <c r="E91" s="6" t="s">
        <v>889</v>
      </c>
      <c r="F91" s="165">
        <v>0.1</v>
      </c>
      <c r="G91" s="18" t="s">
        <v>808</v>
      </c>
      <c r="H91" s="6" t="s">
        <v>799</v>
      </c>
      <c r="I91" s="267" t="s">
        <v>810</v>
      </c>
      <c r="J91" s="165">
        <v>6.5000000000000002E-2</v>
      </c>
      <c r="K91" s="156">
        <v>0</v>
      </c>
      <c r="L91" s="75">
        <v>7686000</v>
      </c>
      <c r="M91" s="156">
        <v>0</v>
      </c>
      <c r="N91" s="167">
        <v>0</v>
      </c>
      <c r="O91" s="168">
        <v>0</v>
      </c>
      <c r="P91" s="60" t="s">
        <v>917</v>
      </c>
      <c r="Q91" s="83">
        <v>46473</v>
      </c>
      <c r="R91" s="38" t="s">
        <v>247</v>
      </c>
      <c r="S91" s="38" t="s">
        <v>247</v>
      </c>
      <c r="T91" s="38" t="s">
        <v>247</v>
      </c>
      <c r="U91" s="38" t="s">
        <v>247</v>
      </c>
      <c r="V91" s="439">
        <f t="shared" ref="V91" si="39">M91</f>
        <v>0</v>
      </c>
      <c r="W91" s="3" t="s">
        <v>772</v>
      </c>
      <c r="X91" s="3" t="s">
        <v>904</v>
      </c>
    </row>
    <row r="92" spans="1:24" x14ac:dyDescent="0.25">
      <c r="A92" s="3"/>
      <c r="B92" s="6" t="s">
        <v>1</v>
      </c>
      <c r="C92" s="169">
        <v>46108</v>
      </c>
      <c r="D92" s="155">
        <v>45039415633</v>
      </c>
      <c r="E92" s="6" t="s">
        <v>889</v>
      </c>
      <c r="F92" s="165">
        <v>0.1</v>
      </c>
      <c r="G92" s="18" t="s">
        <v>808</v>
      </c>
      <c r="H92" s="6" t="s">
        <v>799</v>
      </c>
      <c r="I92" s="267" t="s">
        <v>810</v>
      </c>
      <c r="J92" s="165">
        <v>6.5000000000000002E-2</v>
      </c>
      <c r="K92" s="156">
        <v>0</v>
      </c>
      <c r="L92" s="75">
        <v>46112000</v>
      </c>
      <c r="M92" s="156">
        <v>0</v>
      </c>
      <c r="N92" s="167">
        <v>0</v>
      </c>
      <c r="O92" s="168">
        <v>0</v>
      </c>
      <c r="P92" s="60" t="s">
        <v>917</v>
      </c>
      <c r="Q92" s="83">
        <v>46473</v>
      </c>
      <c r="R92" s="38" t="s">
        <v>247</v>
      </c>
      <c r="S92" s="38" t="s">
        <v>247</v>
      </c>
      <c r="T92" s="38" t="s">
        <v>247</v>
      </c>
      <c r="U92" s="38" t="s">
        <v>247</v>
      </c>
      <c r="V92" s="439">
        <f t="shared" ref="V92" si="40">M92</f>
        <v>0</v>
      </c>
      <c r="W92" s="3" t="s">
        <v>772</v>
      </c>
      <c r="X92" s="3" t="s">
        <v>904</v>
      </c>
    </row>
    <row r="93" spans="1:24" x14ac:dyDescent="0.25">
      <c r="A93" s="3">
        <v>121</v>
      </c>
      <c r="B93" s="6" t="s">
        <v>3</v>
      </c>
      <c r="C93" s="169">
        <v>46108</v>
      </c>
      <c r="D93" s="366" t="s">
        <v>940</v>
      </c>
      <c r="E93" s="6" t="s">
        <v>929</v>
      </c>
      <c r="F93" s="165">
        <v>0.1</v>
      </c>
      <c r="G93" s="6"/>
      <c r="H93" s="6" t="s">
        <v>622</v>
      </c>
      <c r="I93" s="6"/>
      <c r="J93" s="165">
        <v>6.6000000000000003E-2</v>
      </c>
      <c r="K93" s="156">
        <v>23500000</v>
      </c>
      <c r="L93" s="156">
        <v>23500000</v>
      </c>
      <c r="M93" s="156">
        <v>23500000</v>
      </c>
      <c r="N93" s="438">
        <f t="shared" ref="N93:N94" si="41">O93-M93</f>
        <v>1887177</v>
      </c>
      <c r="O93" s="168">
        <v>25387177</v>
      </c>
      <c r="P93" s="60" t="s">
        <v>941</v>
      </c>
      <c r="Q93" s="83">
        <v>46559</v>
      </c>
      <c r="R93" s="38"/>
      <c r="S93" s="38"/>
      <c r="T93" s="38"/>
      <c r="U93" s="38"/>
      <c r="V93" s="439">
        <f t="shared" ref="V93:V94" si="42">M93</f>
        <v>23500000</v>
      </c>
      <c r="W93" s="3" t="s">
        <v>772</v>
      </c>
      <c r="X93" s="3" t="s">
        <v>904</v>
      </c>
    </row>
    <row r="94" spans="1:24" x14ac:dyDescent="0.25">
      <c r="A94" s="3">
        <v>119</v>
      </c>
      <c r="B94" s="6" t="s">
        <v>3</v>
      </c>
      <c r="C94" s="169">
        <v>46111</v>
      </c>
      <c r="D94" s="366" t="s">
        <v>938</v>
      </c>
      <c r="E94" s="6" t="s">
        <v>929</v>
      </c>
      <c r="F94" s="165">
        <v>0.1</v>
      </c>
      <c r="G94" s="6"/>
      <c r="H94" s="6" t="s">
        <v>622</v>
      </c>
      <c r="I94" s="6"/>
      <c r="J94" s="165">
        <v>6.6000000000000003E-2</v>
      </c>
      <c r="K94" s="156">
        <v>18500000</v>
      </c>
      <c r="L94" s="156">
        <v>18500000</v>
      </c>
      <c r="M94" s="156">
        <v>18500000</v>
      </c>
      <c r="N94" s="438">
        <f t="shared" si="41"/>
        <v>1555132</v>
      </c>
      <c r="O94" s="168">
        <v>20055132</v>
      </c>
      <c r="P94" s="60" t="s">
        <v>930</v>
      </c>
      <c r="Q94" s="83">
        <v>46561</v>
      </c>
      <c r="R94" s="38"/>
      <c r="S94" s="38"/>
      <c r="T94" s="38"/>
      <c r="U94" s="38"/>
      <c r="V94" s="439">
        <f t="shared" si="42"/>
        <v>18500000</v>
      </c>
      <c r="W94" s="3" t="s">
        <v>772</v>
      </c>
      <c r="X94" s="3" t="s">
        <v>904</v>
      </c>
    </row>
    <row r="95" spans="1:24" x14ac:dyDescent="0.25">
      <c r="A95" s="3">
        <v>120</v>
      </c>
      <c r="B95" s="6" t="s">
        <v>3</v>
      </c>
      <c r="C95" s="169">
        <v>46143</v>
      </c>
      <c r="D95" s="366" t="s">
        <v>1341</v>
      </c>
      <c r="E95" s="6" t="s">
        <v>929</v>
      </c>
      <c r="F95" s="165">
        <v>0.1</v>
      </c>
      <c r="G95" s="6"/>
      <c r="H95" s="6" t="s">
        <v>622</v>
      </c>
      <c r="I95" s="6"/>
      <c r="J95" s="165">
        <v>6.6000000000000003E-2</v>
      </c>
      <c r="K95" s="156">
        <v>15000000</v>
      </c>
      <c r="L95" s="156">
        <v>15000000</v>
      </c>
      <c r="M95" s="156">
        <v>15000000</v>
      </c>
      <c r="N95" s="438">
        <f t="shared" ref="N95" si="43">O95-M95</f>
        <v>1260918</v>
      </c>
      <c r="O95" s="168">
        <v>16260918</v>
      </c>
      <c r="P95" s="60" t="s">
        <v>930</v>
      </c>
      <c r="Q95" s="83">
        <v>46603</v>
      </c>
      <c r="R95" s="38"/>
      <c r="S95" s="38"/>
      <c r="T95" s="38"/>
      <c r="U95" s="38"/>
      <c r="V95" s="439">
        <f t="shared" ref="V95" si="44">M95</f>
        <v>15000000</v>
      </c>
      <c r="W95" s="3" t="s">
        <v>772</v>
      </c>
      <c r="X95" s="3" t="s">
        <v>904</v>
      </c>
    </row>
    <row r="96" spans="1:24" x14ac:dyDescent="0.25">
      <c r="A96" s="3">
        <v>121</v>
      </c>
      <c r="B96" s="6" t="s">
        <v>3</v>
      </c>
      <c r="C96" s="169">
        <v>46143</v>
      </c>
      <c r="D96" s="366" t="s">
        <v>1342</v>
      </c>
      <c r="E96" s="6" t="s">
        <v>929</v>
      </c>
      <c r="F96" s="165">
        <v>0.1</v>
      </c>
      <c r="G96" s="6"/>
      <c r="H96" s="6" t="s">
        <v>622</v>
      </c>
      <c r="I96" s="6"/>
      <c r="J96" s="165">
        <v>6.6000000000000003E-2</v>
      </c>
      <c r="K96" s="156">
        <v>1500000</v>
      </c>
      <c r="L96" s="156">
        <v>1500000</v>
      </c>
      <c r="M96" s="156">
        <v>1500000</v>
      </c>
      <c r="N96" s="438">
        <f t="shared" ref="N96" si="45">O96-M96</f>
        <v>0</v>
      </c>
      <c r="O96" s="168">
        <v>1500000</v>
      </c>
      <c r="P96" s="60" t="s">
        <v>961</v>
      </c>
      <c r="Q96" s="83">
        <v>46247</v>
      </c>
      <c r="R96" s="38"/>
      <c r="S96" s="38"/>
      <c r="T96" s="38"/>
      <c r="U96" s="38"/>
      <c r="V96" s="439">
        <f t="shared" ref="V96" si="46">M96</f>
        <v>1500000</v>
      </c>
      <c r="W96" s="3" t="s">
        <v>772</v>
      </c>
      <c r="X96" s="3" t="s">
        <v>904</v>
      </c>
    </row>
    <row r="97" spans="1:24" x14ac:dyDescent="0.25">
      <c r="A97" s="3"/>
      <c r="B97" s="6"/>
      <c r="C97" s="169"/>
      <c r="D97" s="155"/>
      <c r="E97" s="6"/>
      <c r="F97" s="165"/>
      <c r="G97" s="18"/>
      <c r="H97" s="6"/>
      <c r="I97" s="267"/>
      <c r="J97" s="165"/>
      <c r="K97" s="156"/>
      <c r="L97" s="75"/>
      <c r="M97" s="156"/>
      <c r="N97" s="167"/>
      <c r="O97" s="168"/>
      <c r="P97" s="60"/>
      <c r="Q97" s="83"/>
      <c r="R97" s="38"/>
      <c r="S97" s="38"/>
      <c r="T97" s="38"/>
      <c r="U97" s="38"/>
      <c r="V97" s="38"/>
      <c r="W97" s="3"/>
      <c r="X97" s="3"/>
    </row>
    <row r="98" spans="1:24" x14ac:dyDescent="0.25">
      <c r="A98" s="3"/>
      <c r="B98" s="6"/>
      <c r="C98" s="169"/>
      <c r="D98" s="155"/>
      <c r="E98" s="6"/>
      <c r="F98" s="165"/>
      <c r="G98" s="6"/>
      <c r="H98" s="6"/>
      <c r="I98" s="6"/>
      <c r="J98" s="165"/>
      <c r="K98" s="38"/>
      <c r="L98" s="156"/>
      <c r="M98" s="156"/>
      <c r="N98" s="167"/>
      <c r="O98" s="168"/>
      <c r="P98" s="60"/>
      <c r="Q98" s="83"/>
      <c r="R98" s="38"/>
      <c r="S98" s="38"/>
      <c r="T98" s="35"/>
      <c r="U98" s="38"/>
      <c r="V98" s="38"/>
      <c r="W98" s="3"/>
      <c r="X98" s="3"/>
    </row>
    <row r="99" spans="1:24" x14ac:dyDescent="0.25">
      <c r="A99" s="3"/>
      <c r="B99" s="3"/>
      <c r="C99" s="3"/>
      <c r="D99" s="9" t="s">
        <v>942</v>
      </c>
      <c r="E99" s="34"/>
      <c r="F99" s="9"/>
      <c r="G99" s="85"/>
      <c r="H99" s="9"/>
      <c r="I99" s="9"/>
      <c r="J99" s="74"/>
      <c r="K99" s="442">
        <f>SUM(K2:K98)</f>
        <v>1958154434</v>
      </c>
      <c r="L99" s="442">
        <f>SUM(L2:L98)</f>
        <v>1977303953</v>
      </c>
      <c r="M99" s="442">
        <f>SUM(M2:M98)</f>
        <v>1834050888</v>
      </c>
      <c r="N99" s="442">
        <f>SUM(N2:N98)</f>
        <v>200359046.38</v>
      </c>
      <c r="O99" s="442">
        <f>SUM(O2:O98)</f>
        <v>2088643437.75</v>
      </c>
      <c r="P99" s="3"/>
      <c r="Q99" s="3"/>
      <c r="R99" s="38"/>
      <c r="S99" s="38"/>
      <c r="T99" s="3"/>
      <c r="U99" s="74"/>
      <c r="V99" s="442">
        <f>SUM(V2:V98)</f>
        <v>1973621605</v>
      </c>
      <c r="W99" s="3"/>
      <c r="X99" s="3"/>
    </row>
    <row r="100" spans="1:24" x14ac:dyDescent="0.25">
      <c r="H100" s="64"/>
      <c r="K100" s="157"/>
      <c r="V100" s="157"/>
    </row>
    <row r="101" spans="1:24" x14ac:dyDescent="0.25">
      <c r="H101" s="64"/>
      <c r="M101" s="157"/>
      <c r="O101" s="1"/>
    </row>
    <row r="102" spans="1:24" x14ac:dyDescent="0.25">
      <c r="G102" s="154" t="s">
        <v>903</v>
      </c>
      <c r="H102" s="443">
        <f t="shared" ref="H102:H112" si="47">SUMIF($E$2:$E$99,G102,$L$2:$L$99)</f>
        <v>718870945.37</v>
      </c>
      <c r="I102" s="159"/>
      <c r="J102" s="5"/>
      <c r="K102" s="159"/>
    </row>
    <row r="103" spans="1:24" x14ac:dyDescent="0.25">
      <c r="G103" s="154" t="s">
        <v>889</v>
      </c>
      <c r="H103" s="443">
        <f t="shared" si="47"/>
        <v>285276000</v>
      </c>
      <c r="I103" s="1"/>
    </row>
    <row r="104" spans="1:24" x14ac:dyDescent="0.25">
      <c r="G104" s="154" t="s">
        <v>890</v>
      </c>
      <c r="H104" s="443">
        <f t="shared" si="47"/>
        <v>94783154</v>
      </c>
      <c r="I104" s="5"/>
    </row>
    <row r="105" spans="1:24" x14ac:dyDescent="0.25">
      <c r="G105" s="154" t="s">
        <v>893</v>
      </c>
      <c r="H105" s="443">
        <f t="shared" si="47"/>
        <v>14600000</v>
      </c>
      <c r="I105" s="5"/>
    </row>
    <row r="106" spans="1:24" x14ac:dyDescent="0.25">
      <c r="G106" s="154" t="s">
        <v>910</v>
      </c>
      <c r="H106" s="443">
        <f t="shared" si="47"/>
        <v>255000000</v>
      </c>
      <c r="I106" s="5"/>
    </row>
    <row r="107" spans="1:24" x14ac:dyDescent="0.25">
      <c r="G107" s="154" t="s">
        <v>886</v>
      </c>
      <c r="H107" s="443">
        <f t="shared" si="47"/>
        <v>101290627</v>
      </c>
      <c r="I107" s="5"/>
    </row>
    <row r="108" spans="1:24" x14ac:dyDescent="0.25">
      <c r="G108" s="154" t="s">
        <v>905</v>
      </c>
      <c r="H108" s="443">
        <f t="shared" si="47"/>
        <v>67681247.629999995</v>
      </c>
      <c r="I108" s="5"/>
    </row>
    <row r="109" spans="1:24" x14ac:dyDescent="0.25">
      <c r="G109" s="46" t="s">
        <v>901</v>
      </c>
      <c r="H109" s="443">
        <f t="shared" si="47"/>
        <v>134044979</v>
      </c>
      <c r="I109" s="5"/>
    </row>
    <row r="110" spans="1:24" x14ac:dyDescent="0.25">
      <c r="G110" s="46" t="s">
        <v>943</v>
      </c>
      <c r="H110" s="443">
        <f t="shared" si="47"/>
        <v>0</v>
      </c>
      <c r="I110" s="5"/>
    </row>
    <row r="111" spans="1:24" x14ac:dyDescent="0.25">
      <c r="G111" s="46" t="s">
        <v>922</v>
      </c>
      <c r="H111" s="443">
        <f t="shared" si="47"/>
        <v>131257000</v>
      </c>
      <c r="I111" s="5"/>
    </row>
    <row r="112" spans="1:24" x14ac:dyDescent="0.25">
      <c r="G112" s="46" t="s">
        <v>929</v>
      </c>
      <c r="H112" s="443">
        <f t="shared" si="47"/>
        <v>174500000</v>
      </c>
      <c r="I112" s="5"/>
    </row>
    <row r="113" spans="1:25" x14ac:dyDescent="0.25">
      <c r="G113" s="85" t="s">
        <v>49</v>
      </c>
      <c r="H113" s="444">
        <f>SUM(H102:H112)</f>
        <v>1977303953</v>
      </c>
      <c r="J113" s="5"/>
    </row>
    <row r="114" spans="1:25" x14ac:dyDescent="0.25">
      <c r="H114" s="5"/>
    </row>
    <row r="117" spans="1:25" x14ac:dyDescent="0.25">
      <c r="B117" s="143" t="s">
        <v>944</v>
      </c>
    </row>
    <row r="119" spans="1:25" ht="43.5" x14ac:dyDescent="0.25">
      <c r="A119" s="65" t="s">
        <v>865</v>
      </c>
      <c r="B119" s="65" t="s">
        <v>101</v>
      </c>
      <c r="C119" s="27" t="s">
        <v>866</v>
      </c>
      <c r="D119" s="365" t="s">
        <v>867</v>
      </c>
      <c r="E119" s="27" t="s">
        <v>945</v>
      </c>
      <c r="F119" s="65" t="s">
        <v>102</v>
      </c>
      <c r="G119" s="184" t="s">
        <v>616</v>
      </c>
      <c r="H119" s="151" t="s">
        <v>110</v>
      </c>
      <c r="I119" s="65" t="s">
        <v>946</v>
      </c>
      <c r="J119" s="65" t="s">
        <v>947</v>
      </c>
      <c r="K119" s="66" t="s">
        <v>948</v>
      </c>
      <c r="L119" s="66" t="s">
        <v>875</v>
      </c>
      <c r="M119" s="66" t="s">
        <v>875</v>
      </c>
      <c r="N119" s="67" t="s">
        <v>876</v>
      </c>
      <c r="O119" s="26" t="s">
        <v>949</v>
      </c>
      <c r="P119" s="27" t="s">
        <v>878</v>
      </c>
      <c r="Q119" s="27" t="s">
        <v>879</v>
      </c>
      <c r="R119" s="150" t="s">
        <v>880</v>
      </c>
      <c r="S119" s="150" t="s">
        <v>881</v>
      </c>
      <c r="T119" s="150" t="s">
        <v>882</v>
      </c>
      <c r="U119" s="150" t="s">
        <v>883</v>
      </c>
      <c r="V119" s="150" t="s">
        <v>884</v>
      </c>
      <c r="W119" s="27" t="s">
        <v>621</v>
      </c>
      <c r="X119" s="27" t="s">
        <v>885</v>
      </c>
      <c r="Y119" s="27" t="s">
        <v>950</v>
      </c>
    </row>
    <row r="120" spans="1:25" x14ac:dyDescent="0.25">
      <c r="A120" s="440">
        <f>A2+1</f>
        <v>3</v>
      </c>
      <c r="B120" s="6" t="s">
        <v>1</v>
      </c>
      <c r="C120" s="35">
        <v>45147</v>
      </c>
      <c r="D120" s="87">
        <v>42161786440</v>
      </c>
      <c r="E120" s="34" t="s">
        <v>247</v>
      </c>
      <c r="F120" s="34" t="s">
        <v>247</v>
      </c>
      <c r="G120" s="181" t="s">
        <v>894</v>
      </c>
      <c r="H120" s="55" t="s">
        <v>247</v>
      </c>
      <c r="I120" s="55" t="s">
        <v>247</v>
      </c>
      <c r="J120" s="31">
        <v>6.7500000000000004E-2</v>
      </c>
      <c r="K120" s="38">
        <v>24276000</v>
      </c>
      <c r="L120" s="38">
        <v>24276000</v>
      </c>
      <c r="M120" s="38">
        <v>24276000</v>
      </c>
      <c r="N120" s="68">
        <v>1680576</v>
      </c>
      <c r="O120" s="69">
        <v>25956576</v>
      </c>
      <c r="P120" s="34" t="s">
        <v>900</v>
      </c>
      <c r="Q120" s="35">
        <v>45513</v>
      </c>
      <c r="R120" s="38" t="s">
        <v>247</v>
      </c>
      <c r="S120" s="38" t="s">
        <v>247</v>
      </c>
      <c r="T120" s="38" t="s">
        <v>247</v>
      </c>
      <c r="U120" s="38" t="s">
        <v>247</v>
      </c>
      <c r="V120" s="38" t="s">
        <v>247</v>
      </c>
      <c r="W120" s="3" t="s">
        <v>715</v>
      </c>
      <c r="X120" s="3" t="s">
        <v>888</v>
      </c>
      <c r="Y120" s="89">
        <v>45210</v>
      </c>
    </row>
    <row r="121" spans="1:25" x14ac:dyDescent="0.25">
      <c r="A121" s="440">
        <f>A120+1</f>
        <v>4</v>
      </c>
      <c r="B121" s="6" t="s">
        <v>1</v>
      </c>
      <c r="C121" s="35">
        <v>45079</v>
      </c>
      <c r="D121" s="155">
        <v>41965816584</v>
      </c>
      <c r="E121" s="34" t="s">
        <v>893</v>
      </c>
      <c r="F121" s="31" t="s">
        <v>893</v>
      </c>
      <c r="G121" s="183" t="s">
        <v>894</v>
      </c>
      <c r="H121" s="39" t="s">
        <v>893</v>
      </c>
      <c r="I121" s="39" t="s">
        <v>247</v>
      </c>
      <c r="J121" s="31">
        <v>7.0999999999999994E-2</v>
      </c>
      <c r="K121" s="38">
        <v>8300000</v>
      </c>
      <c r="L121" s="38">
        <v>8300000</v>
      </c>
      <c r="M121" s="38">
        <v>8300000</v>
      </c>
      <c r="N121" s="438">
        <f>O121-L121</f>
        <v>664073</v>
      </c>
      <c r="O121" s="77">
        <v>8964073</v>
      </c>
      <c r="P121" s="34" t="s">
        <v>900</v>
      </c>
      <c r="Q121" s="35">
        <v>45479</v>
      </c>
      <c r="R121" s="38">
        <v>8897366</v>
      </c>
      <c r="S121" s="38">
        <v>9611090</v>
      </c>
      <c r="T121" s="35">
        <v>45879</v>
      </c>
      <c r="U121" s="31">
        <v>7.0999999999999994E-2</v>
      </c>
      <c r="V121" s="38" t="s">
        <v>247</v>
      </c>
      <c r="W121" s="3" t="s">
        <v>715</v>
      </c>
      <c r="X121" s="3" t="s">
        <v>888</v>
      </c>
      <c r="Y121" s="89">
        <v>45489</v>
      </c>
    </row>
    <row r="122" spans="1:25" x14ac:dyDescent="0.25">
      <c r="A122" s="440">
        <f>A140+1</f>
        <v>23</v>
      </c>
      <c r="B122" s="6" t="s">
        <v>1</v>
      </c>
      <c r="C122" s="73">
        <v>45259</v>
      </c>
      <c r="D122" s="87">
        <v>42475013325</v>
      </c>
      <c r="E122" s="34" t="s">
        <v>903</v>
      </c>
      <c r="F122" s="31">
        <v>0.1</v>
      </c>
      <c r="G122" s="181"/>
      <c r="H122" s="55"/>
      <c r="I122" s="55"/>
      <c r="J122" s="31">
        <v>6.8000000000000005E-2</v>
      </c>
      <c r="K122" s="38">
        <v>4200000</v>
      </c>
      <c r="L122" s="71">
        <v>4200000</v>
      </c>
      <c r="M122" s="71">
        <v>4200000</v>
      </c>
      <c r="N122" s="68">
        <v>292966</v>
      </c>
      <c r="O122" s="18">
        <v>4492966</v>
      </c>
      <c r="P122" s="72" t="s">
        <v>900</v>
      </c>
      <c r="Q122" s="73">
        <v>45625</v>
      </c>
      <c r="R122" s="38" t="s">
        <v>247</v>
      </c>
      <c r="S122" s="38" t="s">
        <v>247</v>
      </c>
      <c r="T122" s="38" t="s">
        <v>247</v>
      </c>
      <c r="U122" s="38" t="s">
        <v>247</v>
      </c>
      <c r="V122" s="38" t="s">
        <v>247</v>
      </c>
      <c r="W122" s="3" t="s">
        <v>715</v>
      </c>
      <c r="X122" s="3" t="s">
        <v>888</v>
      </c>
      <c r="Y122" s="89">
        <v>45505</v>
      </c>
    </row>
    <row r="123" spans="1:25" x14ac:dyDescent="0.25">
      <c r="A123" s="440">
        <f>A28+1</f>
        <v>34</v>
      </c>
      <c r="B123" s="6" t="s">
        <v>951</v>
      </c>
      <c r="C123" s="35">
        <v>45026</v>
      </c>
      <c r="D123" s="155">
        <v>10230005148139</v>
      </c>
      <c r="E123" s="34" t="s">
        <v>890</v>
      </c>
      <c r="F123" s="31">
        <v>1</v>
      </c>
      <c r="G123" s="183" t="s">
        <v>952</v>
      </c>
      <c r="H123" s="44" t="s">
        <v>789</v>
      </c>
      <c r="I123" s="44" t="s">
        <v>789</v>
      </c>
      <c r="J123" s="31">
        <v>0.05</v>
      </c>
      <c r="K123" s="38">
        <v>180000000</v>
      </c>
      <c r="L123" s="38">
        <v>180000000</v>
      </c>
      <c r="M123" s="38">
        <v>180000000</v>
      </c>
      <c r="N123" s="76">
        <v>102669956</v>
      </c>
      <c r="O123" s="77">
        <v>282669956</v>
      </c>
      <c r="P123" s="34" t="s">
        <v>953</v>
      </c>
      <c r="Q123" s="35">
        <v>48344</v>
      </c>
      <c r="R123" s="38" t="s">
        <v>247</v>
      </c>
      <c r="S123" s="38" t="s">
        <v>247</v>
      </c>
      <c r="T123" s="38" t="s">
        <v>247</v>
      </c>
      <c r="U123" s="38" t="s">
        <v>247</v>
      </c>
      <c r="V123" s="38" t="s">
        <v>247</v>
      </c>
      <c r="W123" s="3" t="s">
        <v>715</v>
      </c>
      <c r="X123" s="3" t="s">
        <v>888</v>
      </c>
      <c r="Y123" s="89">
        <v>45427</v>
      </c>
    </row>
    <row r="124" spans="1:25" x14ac:dyDescent="0.25">
      <c r="A124" s="440">
        <f>A123+1</f>
        <v>35</v>
      </c>
      <c r="B124" s="6" t="s">
        <v>951</v>
      </c>
      <c r="C124" s="35">
        <v>45026</v>
      </c>
      <c r="D124" s="155">
        <v>10230005161783</v>
      </c>
      <c r="E124" s="34" t="s">
        <v>890</v>
      </c>
      <c r="F124" s="31">
        <v>1</v>
      </c>
      <c r="G124" s="183" t="s">
        <v>952</v>
      </c>
      <c r="H124" s="49" t="s">
        <v>789</v>
      </c>
      <c r="I124" s="49" t="s">
        <v>789</v>
      </c>
      <c r="J124" s="31">
        <v>7.2499999999999995E-2</v>
      </c>
      <c r="K124" s="38">
        <v>520000</v>
      </c>
      <c r="L124" s="38">
        <v>520000</v>
      </c>
      <c r="M124" s="38">
        <v>520000</v>
      </c>
      <c r="N124" s="438">
        <f>O124-L124</f>
        <v>38737</v>
      </c>
      <c r="O124" s="77">
        <v>558737</v>
      </c>
      <c r="P124" s="72" t="s">
        <v>902</v>
      </c>
      <c r="Q124" s="35">
        <v>45392</v>
      </c>
      <c r="R124" s="38" t="s">
        <v>247</v>
      </c>
      <c r="S124" s="38" t="s">
        <v>247</v>
      </c>
      <c r="T124" s="38" t="s">
        <v>247</v>
      </c>
      <c r="U124" s="38" t="s">
        <v>247</v>
      </c>
      <c r="V124" s="38" t="s">
        <v>247</v>
      </c>
      <c r="W124" s="3" t="s">
        <v>715</v>
      </c>
      <c r="X124" s="3" t="s">
        <v>888</v>
      </c>
      <c r="Y124" s="89">
        <v>45507</v>
      </c>
    </row>
    <row r="125" spans="1:25" x14ac:dyDescent="0.25">
      <c r="A125" s="440">
        <f>A128+1</f>
        <v>43</v>
      </c>
      <c r="B125" s="6" t="s">
        <v>1</v>
      </c>
      <c r="C125" s="35">
        <v>45502</v>
      </c>
      <c r="D125" s="155">
        <v>43194899185</v>
      </c>
      <c r="E125" s="34" t="s">
        <v>903</v>
      </c>
      <c r="F125" s="31">
        <v>0.1</v>
      </c>
      <c r="G125" s="183"/>
      <c r="H125" s="39"/>
      <c r="I125" s="39"/>
      <c r="J125" s="31">
        <v>3.5000000000000003E-2</v>
      </c>
      <c r="K125" s="38">
        <v>25000000</v>
      </c>
      <c r="L125" s="38">
        <v>25000000</v>
      </c>
      <c r="M125" s="38">
        <v>25000000</v>
      </c>
      <c r="N125" s="438">
        <f>O125-L125</f>
        <v>74315</v>
      </c>
      <c r="O125" s="77">
        <v>25074315</v>
      </c>
      <c r="P125" s="72" t="s">
        <v>954</v>
      </c>
      <c r="Q125" s="35">
        <v>45533</v>
      </c>
      <c r="R125" s="38" t="s">
        <v>247</v>
      </c>
      <c r="S125" s="38" t="s">
        <v>247</v>
      </c>
      <c r="T125" s="38" t="s">
        <v>247</v>
      </c>
      <c r="U125" s="38" t="s">
        <v>247</v>
      </c>
      <c r="V125" s="38" t="s">
        <v>247</v>
      </c>
      <c r="W125" s="3" t="s">
        <v>715</v>
      </c>
      <c r="X125" s="3" t="s">
        <v>888</v>
      </c>
      <c r="Y125" s="89">
        <v>45503</v>
      </c>
    </row>
    <row r="126" spans="1:25" x14ac:dyDescent="0.25">
      <c r="A126" s="440">
        <f>A141+1</f>
        <v>6</v>
      </c>
      <c r="B126" s="6" t="s">
        <v>1</v>
      </c>
      <c r="C126" s="35">
        <v>45187</v>
      </c>
      <c r="D126" s="87">
        <v>42278070354</v>
      </c>
      <c r="E126" s="34" t="s">
        <v>903</v>
      </c>
      <c r="F126" s="31">
        <v>0.1</v>
      </c>
      <c r="G126" s="181"/>
      <c r="H126" s="55"/>
      <c r="I126" s="55"/>
      <c r="J126" s="31">
        <v>6.8000000000000005E-2</v>
      </c>
      <c r="K126" s="38">
        <v>2100000</v>
      </c>
      <c r="L126" s="38">
        <v>700000</v>
      </c>
      <c r="M126" s="38">
        <v>2100000</v>
      </c>
      <c r="N126" s="68">
        <v>146483</v>
      </c>
      <c r="O126" s="38">
        <v>2246483</v>
      </c>
      <c r="P126" s="34" t="s">
        <v>900</v>
      </c>
      <c r="Q126" s="35">
        <v>45553</v>
      </c>
      <c r="R126" s="38">
        <v>2231686</v>
      </c>
      <c r="S126" s="38">
        <v>2387354</v>
      </c>
      <c r="T126" s="35">
        <v>45918</v>
      </c>
      <c r="U126" s="31">
        <v>6.8000000000000005E-2</v>
      </c>
      <c r="V126" s="38" t="s">
        <v>247</v>
      </c>
      <c r="W126" s="3" t="s">
        <v>715</v>
      </c>
      <c r="X126" s="3" t="s">
        <v>904</v>
      </c>
      <c r="Y126" s="83">
        <v>45643</v>
      </c>
    </row>
    <row r="127" spans="1:25" x14ac:dyDescent="0.25">
      <c r="A127" s="440">
        <f>A126+1</f>
        <v>7</v>
      </c>
      <c r="B127" s="6" t="s">
        <v>1</v>
      </c>
      <c r="C127" s="35">
        <v>45199</v>
      </c>
      <c r="D127" s="87">
        <v>42310474579</v>
      </c>
      <c r="E127" s="34" t="s">
        <v>903</v>
      </c>
      <c r="F127" s="31">
        <v>0.1</v>
      </c>
      <c r="G127" s="181"/>
      <c r="H127" s="55"/>
      <c r="I127" s="55"/>
      <c r="J127" s="31">
        <v>6.8000000000000005E-2</v>
      </c>
      <c r="K127" s="38">
        <v>4500000</v>
      </c>
      <c r="L127" s="70">
        <v>4500000</v>
      </c>
      <c r="M127" s="70">
        <v>4500000</v>
      </c>
      <c r="N127" s="68">
        <v>313892</v>
      </c>
      <c r="O127" s="38">
        <v>4813892</v>
      </c>
      <c r="P127" s="34" t="s">
        <v>900</v>
      </c>
      <c r="Q127" s="35">
        <v>45565</v>
      </c>
      <c r="R127" s="38">
        <v>4782051</v>
      </c>
      <c r="S127" s="38">
        <v>5115617</v>
      </c>
      <c r="T127" s="35">
        <v>45930</v>
      </c>
      <c r="U127" s="31">
        <v>6.8000000000000005E-2</v>
      </c>
      <c r="V127" s="38" t="s">
        <v>247</v>
      </c>
      <c r="W127" s="3" t="s">
        <v>715</v>
      </c>
      <c r="X127" s="3" t="s">
        <v>904</v>
      </c>
      <c r="Y127" s="83">
        <v>45643</v>
      </c>
    </row>
    <row r="128" spans="1:25" x14ac:dyDescent="0.25">
      <c r="A128" s="440">
        <f>A163+1</f>
        <v>42</v>
      </c>
      <c r="B128" s="6" t="s">
        <v>1</v>
      </c>
      <c r="C128" s="35">
        <v>45497</v>
      </c>
      <c r="D128" s="155">
        <v>43183959150</v>
      </c>
      <c r="E128" s="34" t="s">
        <v>903</v>
      </c>
      <c r="F128" s="31">
        <v>0.1</v>
      </c>
      <c r="G128" s="183"/>
      <c r="H128" s="39"/>
      <c r="I128" s="39"/>
      <c r="J128" s="31">
        <v>6.8000000000000005E-2</v>
      </c>
      <c r="K128" s="38">
        <v>2900000</v>
      </c>
      <c r="L128" s="38">
        <v>2900000</v>
      </c>
      <c r="M128" s="38">
        <v>2900000</v>
      </c>
      <c r="N128" s="438">
        <f>O128-L128</f>
        <v>202286</v>
      </c>
      <c r="O128" s="77">
        <v>3102286</v>
      </c>
      <c r="P128" s="72" t="s">
        <v>900</v>
      </c>
      <c r="Q128" s="35">
        <v>45862</v>
      </c>
      <c r="R128" s="38" t="s">
        <v>247</v>
      </c>
      <c r="S128" s="38" t="s">
        <v>247</v>
      </c>
      <c r="T128" s="38" t="s">
        <v>247</v>
      </c>
      <c r="U128" s="38" t="s">
        <v>247</v>
      </c>
      <c r="V128" s="38" t="s">
        <v>247</v>
      </c>
      <c r="W128" s="3" t="s">
        <v>715</v>
      </c>
      <c r="X128" s="3" t="s">
        <v>904</v>
      </c>
      <c r="Y128" s="83">
        <v>45643</v>
      </c>
    </row>
    <row r="129" spans="1:25" x14ac:dyDescent="0.25">
      <c r="A129" s="3">
        <v>62</v>
      </c>
      <c r="B129" s="6" t="s">
        <v>1</v>
      </c>
      <c r="C129" s="35">
        <v>45645</v>
      </c>
      <c r="D129" s="155">
        <v>43636484229</v>
      </c>
      <c r="E129" s="34" t="s">
        <v>955</v>
      </c>
      <c r="F129" s="31">
        <v>0</v>
      </c>
      <c r="G129" s="179"/>
      <c r="H129" s="39" t="s">
        <v>955</v>
      </c>
      <c r="I129" s="49" t="s">
        <v>955</v>
      </c>
      <c r="J129" s="31">
        <v>5.2499999999999998E-2</v>
      </c>
      <c r="K129" s="38">
        <v>100000000</v>
      </c>
      <c r="L129" s="38">
        <v>100000000</v>
      </c>
      <c r="M129" s="38">
        <v>100000000</v>
      </c>
      <c r="N129" s="438">
        <f>O129-L129</f>
        <v>215753</v>
      </c>
      <c r="O129" s="77">
        <v>100215753</v>
      </c>
      <c r="P129" s="72" t="s">
        <v>956</v>
      </c>
      <c r="Q129" s="35">
        <v>45660</v>
      </c>
      <c r="R129" s="38">
        <v>100194117</v>
      </c>
      <c r="S129" s="38">
        <v>100410349</v>
      </c>
      <c r="T129" s="35">
        <v>45675</v>
      </c>
      <c r="U129" s="31">
        <v>5.2499999999999998E-2</v>
      </c>
      <c r="V129" s="38" t="s">
        <v>247</v>
      </c>
      <c r="W129" s="3" t="s">
        <v>715</v>
      </c>
      <c r="X129" s="3" t="s">
        <v>904</v>
      </c>
      <c r="Y129" s="83">
        <v>45664</v>
      </c>
    </row>
    <row r="130" spans="1:25" x14ac:dyDescent="0.25">
      <c r="A130" s="440">
        <f>A43+1</f>
        <v>43</v>
      </c>
      <c r="B130" s="6" t="s">
        <v>1</v>
      </c>
      <c r="C130" s="35">
        <v>45524</v>
      </c>
      <c r="D130" s="155">
        <v>43269912831</v>
      </c>
      <c r="E130" s="34" t="s">
        <v>903</v>
      </c>
      <c r="F130" s="31">
        <v>0.1</v>
      </c>
      <c r="G130" s="183"/>
      <c r="H130" s="39"/>
      <c r="I130" s="39"/>
      <c r="J130" s="31">
        <v>6.8000000000000005E-2</v>
      </c>
      <c r="K130" s="38">
        <v>2300000</v>
      </c>
      <c r="L130" s="38">
        <v>2300000</v>
      </c>
      <c r="M130" s="38">
        <v>2300000</v>
      </c>
      <c r="N130" s="438">
        <f>O130-L130</f>
        <v>160434</v>
      </c>
      <c r="O130" s="77">
        <v>2460434</v>
      </c>
      <c r="P130" s="72" t="s">
        <v>900</v>
      </c>
      <c r="Q130" s="35">
        <v>45889</v>
      </c>
      <c r="R130" s="38" t="s">
        <v>247</v>
      </c>
      <c r="S130" s="38" t="s">
        <v>247</v>
      </c>
      <c r="T130" s="38" t="s">
        <v>247</v>
      </c>
      <c r="U130" s="38" t="s">
        <v>247</v>
      </c>
      <c r="V130" s="38" t="s">
        <v>247</v>
      </c>
      <c r="W130" s="3" t="s">
        <v>715</v>
      </c>
      <c r="X130" s="3" t="s">
        <v>904</v>
      </c>
      <c r="Y130" s="83">
        <v>45666</v>
      </c>
    </row>
    <row r="131" spans="1:25" x14ac:dyDescent="0.25">
      <c r="A131" s="440">
        <f>A148+1</f>
        <v>58</v>
      </c>
      <c r="B131" s="6" t="s">
        <v>1</v>
      </c>
      <c r="C131" s="35">
        <v>45617</v>
      </c>
      <c r="D131" s="155">
        <v>43549245722</v>
      </c>
      <c r="E131" s="34" t="s">
        <v>886</v>
      </c>
      <c r="F131" s="31">
        <v>0</v>
      </c>
      <c r="G131" s="179" t="s">
        <v>957</v>
      </c>
      <c r="H131" s="39" t="s">
        <v>799</v>
      </c>
      <c r="I131" s="49" t="s">
        <v>958</v>
      </c>
      <c r="J131" s="31">
        <v>6.25E-2</v>
      </c>
      <c r="K131" s="38">
        <v>119832166</v>
      </c>
      <c r="L131" s="38">
        <v>119832166</v>
      </c>
      <c r="M131" s="38">
        <v>119832166</v>
      </c>
      <c r="N131" s="438">
        <f>O131-L131</f>
        <v>2496503</v>
      </c>
      <c r="O131" s="77">
        <v>122328669</v>
      </c>
      <c r="P131" s="72" t="s">
        <v>914</v>
      </c>
      <c r="Q131" s="35">
        <v>45737</v>
      </c>
      <c r="R131" s="38" t="s">
        <v>247</v>
      </c>
      <c r="S131" s="38" t="s">
        <v>247</v>
      </c>
      <c r="T131" s="38" t="s">
        <v>247</v>
      </c>
      <c r="U131" s="38" t="s">
        <v>247</v>
      </c>
      <c r="V131" s="38" t="s">
        <v>247</v>
      </c>
      <c r="W131" s="3" t="s">
        <v>715</v>
      </c>
      <c r="X131" s="3" t="s">
        <v>904</v>
      </c>
      <c r="Y131" s="89">
        <v>45672</v>
      </c>
    </row>
    <row r="132" spans="1:25" x14ac:dyDescent="0.25">
      <c r="A132" s="440">
        <f>A152+1</f>
        <v>26</v>
      </c>
      <c r="B132" s="6" t="s">
        <v>1</v>
      </c>
      <c r="C132" s="169">
        <v>45293</v>
      </c>
      <c r="D132" s="87">
        <v>42575323661</v>
      </c>
      <c r="E132" s="6" t="s">
        <v>903</v>
      </c>
      <c r="F132" s="165">
        <v>0.1</v>
      </c>
      <c r="G132" s="86"/>
      <c r="H132" s="87"/>
      <c r="I132" s="87"/>
      <c r="J132" s="165">
        <v>6.8000000000000005E-2</v>
      </c>
      <c r="K132" s="156">
        <v>3000000</v>
      </c>
      <c r="L132" s="164">
        <v>3000000</v>
      </c>
      <c r="M132" s="164">
        <v>3000000</v>
      </c>
      <c r="N132" s="166">
        <v>209261</v>
      </c>
      <c r="O132" s="62">
        <v>3209261</v>
      </c>
      <c r="P132" s="60" t="s">
        <v>902</v>
      </c>
      <c r="Q132" s="169">
        <v>45659</v>
      </c>
      <c r="R132" s="38" t="s">
        <v>247</v>
      </c>
      <c r="S132" s="38" t="s">
        <v>247</v>
      </c>
      <c r="T132" s="38" t="s">
        <v>247</v>
      </c>
      <c r="U132" s="38" t="s">
        <v>247</v>
      </c>
      <c r="V132" s="38" t="s">
        <v>247</v>
      </c>
      <c r="W132" s="3" t="s">
        <v>715</v>
      </c>
      <c r="X132" s="3" t="s">
        <v>904</v>
      </c>
      <c r="Y132" s="89">
        <v>45681</v>
      </c>
    </row>
    <row r="133" spans="1:25" x14ac:dyDescent="0.25">
      <c r="A133" s="440">
        <f>A35+1</f>
        <v>37</v>
      </c>
      <c r="B133" s="6" t="s">
        <v>1</v>
      </c>
      <c r="C133" s="83">
        <v>45381</v>
      </c>
      <c r="D133" s="155">
        <v>42840343416</v>
      </c>
      <c r="E133" s="6" t="s">
        <v>903</v>
      </c>
      <c r="F133" s="165">
        <v>0.1</v>
      </c>
      <c r="G133" s="180"/>
      <c r="H133" s="155"/>
      <c r="I133" s="155"/>
      <c r="J133" s="165">
        <v>6.8000000000000005E-2</v>
      </c>
      <c r="K133" s="156">
        <v>4600000</v>
      </c>
      <c r="L133" s="156">
        <v>4600000</v>
      </c>
      <c r="M133" s="156">
        <v>4600000</v>
      </c>
      <c r="N133" s="438">
        <f>O133-L133</f>
        <v>320867</v>
      </c>
      <c r="O133" s="168">
        <v>4920867</v>
      </c>
      <c r="P133" s="60" t="s">
        <v>900</v>
      </c>
      <c r="Q133" s="83">
        <v>45746</v>
      </c>
      <c r="R133" s="38" t="s">
        <v>247</v>
      </c>
      <c r="S133" s="38" t="s">
        <v>247</v>
      </c>
      <c r="T133" s="38" t="s">
        <v>247</v>
      </c>
      <c r="U133" s="38" t="s">
        <v>247</v>
      </c>
      <c r="V133" s="38" t="s">
        <v>247</v>
      </c>
      <c r="W133" s="3" t="s">
        <v>715</v>
      </c>
      <c r="X133" s="3" t="s">
        <v>904</v>
      </c>
      <c r="Y133" s="89">
        <v>45681</v>
      </c>
    </row>
    <row r="134" spans="1:25" x14ac:dyDescent="0.25">
      <c r="A134" s="440">
        <f>A150+1</f>
        <v>12</v>
      </c>
      <c r="B134" s="6" t="s">
        <v>1</v>
      </c>
      <c r="C134" s="169">
        <v>45206</v>
      </c>
      <c r="D134" s="87">
        <v>42334957015</v>
      </c>
      <c r="E134" s="6" t="s">
        <v>903</v>
      </c>
      <c r="F134" s="165">
        <v>0.1</v>
      </c>
      <c r="G134" s="86"/>
      <c r="H134" s="87"/>
      <c r="I134" s="49"/>
      <c r="J134" s="165">
        <v>6.8000000000000005E-2</v>
      </c>
      <c r="K134" s="156">
        <v>1800000</v>
      </c>
      <c r="L134" s="164">
        <v>1800000</v>
      </c>
      <c r="M134" s="156">
        <v>1912816</v>
      </c>
      <c r="N134" s="441">
        <f>O134-M134</f>
        <v>133426</v>
      </c>
      <c r="O134" s="156">
        <v>2046242</v>
      </c>
      <c r="P134" s="60" t="s">
        <v>902</v>
      </c>
      <c r="Q134" s="169">
        <v>45572</v>
      </c>
      <c r="R134" s="156">
        <v>1912816</v>
      </c>
      <c r="S134" s="156">
        <v>2046242</v>
      </c>
      <c r="T134" s="169">
        <v>45937</v>
      </c>
      <c r="U134" s="165">
        <v>6.8000000000000005E-2</v>
      </c>
      <c r="V134" s="38" t="s">
        <v>247</v>
      </c>
      <c r="W134" s="3" t="s">
        <v>715</v>
      </c>
      <c r="X134" s="3" t="s">
        <v>904</v>
      </c>
      <c r="Y134" s="89">
        <v>45681</v>
      </c>
    </row>
    <row r="135" spans="1:25" x14ac:dyDescent="0.25">
      <c r="A135" s="3">
        <v>63</v>
      </c>
      <c r="B135" s="6" t="s">
        <v>1</v>
      </c>
      <c r="C135" s="83">
        <v>45645</v>
      </c>
      <c r="D135" s="155">
        <v>43636516149</v>
      </c>
      <c r="E135" s="6" t="s">
        <v>955</v>
      </c>
      <c r="F135" s="165">
        <v>0</v>
      </c>
      <c r="G135" s="182"/>
      <c r="H135" s="155" t="s">
        <v>955</v>
      </c>
      <c r="I135" s="49" t="s">
        <v>955</v>
      </c>
      <c r="J135" s="165">
        <v>5.2499999999999998E-2</v>
      </c>
      <c r="K135" s="156">
        <v>200000000</v>
      </c>
      <c r="L135" s="156">
        <v>200000000</v>
      </c>
      <c r="M135" s="156">
        <v>200000000</v>
      </c>
      <c r="N135" s="438">
        <f>O135-L135</f>
        <v>431507</v>
      </c>
      <c r="O135" s="168">
        <v>200431507</v>
      </c>
      <c r="P135" s="60" t="s">
        <v>956</v>
      </c>
      <c r="Q135" s="83">
        <v>45660</v>
      </c>
      <c r="R135" s="156">
        <v>200388356</v>
      </c>
      <c r="S135" s="156">
        <v>20820701</v>
      </c>
      <c r="T135" s="83">
        <v>45675</v>
      </c>
      <c r="U135" s="165">
        <v>5.2499999999999998E-2</v>
      </c>
      <c r="V135" s="38" t="s">
        <v>247</v>
      </c>
      <c r="W135" s="3" t="s">
        <v>715</v>
      </c>
      <c r="X135" s="3" t="s">
        <v>904</v>
      </c>
      <c r="Y135" s="89">
        <v>45689</v>
      </c>
    </row>
    <row r="136" spans="1:25" x14ac:dyDescent="0.25">
      <c r="A136" s="440">
        <f>A15+1</f>
        <v>21</v>
      </c>
      <c r="B136" s="6" t="s">
        <v>1</v>
      </c>
      <c r="C136" s="169">
        <v>45257</v>
      </c>
      <c r="D136" s="87">
        <v>42469953027</v>
      </c>
      <c r="E136" s="6" t="s">
        <v>903</v>
      </c>
      <c r="F136" s="165">
        <v>0.1</v>
      </c>
      <c r="G136" s="86"/>
      <c r="H136" s="87"/>
      <c r="I136" s="87"/>
      <c r="J136" s="165">
        <v>4.4999999999999998E-2</v>
      </c>
      <c r="K136" s="156">
        <v>443000</v>
      </c>
      <c r="L136" s="164">
        <v>463205</v>
      </c>
      <c r="M136" s="156">
        <v>463205</v>
      </c>
      <c r="N136" s="441">
        <f>O136-M136</f>
        <v>836</v>
      </c>
      <c r="O136" s="156">
        <v>464041</v>
      </c>
      <c r="P136" s="60" t="s">
        <v>914</v>
      </c>
      <c r="Q136" s="169">
        <v>45378</v>
      </c>
      <c r="R136" s="156">
        <v>463205</v>
      </c>
      <c r="S136" s="156">
        <v>471697</v>
      </c>
      <c r="T136" s="169">
        <v>45743</v>
      </c>
      <c r="U136" s="165">
        <v>5.5E-2</v>
      </c>
      <c r="V136" s="38" t="s">
        <v>247</v>
      </c>
      <c r="W136" s="3" t="s">
        <v>715</v>
      </c>
      <c r="X136" s="3" t="s">
        <v>904</v>
      </c>
      <c r="Y136" s="89">
        <v>45691</v>
      </c>
    </row>
    <row r="137" spans="1:25" x14ac:dyDescent="0.25">
      <c r="A137" s="440">
        <f>A161+1</f>
        <v>46</v>
      </c>
      <c r="B137" s="6" t="s">
        <v>1</v>
      </c>
      <c r="C137" s="83">
        <v>45610</v>
      </c>
      <c r="D137" s="155">
        <v>43530728378</v>
      </c>
      <c r="E137" s="6" t="s">
        <v>903</v>
      </c>
      <c r="F137" s="165">
        <v>0.1</v>
      </c>
      <c r="G137" s="182"/>
      <c r="H137" s="155"/>
      <c r="I137" s="49"/>
      <c r="J137" s="165">
        <v>6.8000000000000005E-2</v>
      </c>
      <c r="K137" s="156">
        <v>7800000</v>
      </c>
      <c r="L137" s="156">
        <v>7800000</v>
      </c>
      <c r="M137" s="156">
        <v>7800000</v>
      </c>
      <c r="N137" s="438">
        <f>O137-L137</f>
        <v>544079</v>
      </c>
      <c r="O137" s="168">
        <v>8344079</v>
      </c>
      <c r="P137" s="60" t="s">
        <v>900</v>
      </c>
      <c r="Q137" s="83">
        <v>45975</v>
      </c>
      <c r="R137" s="38" t="s">
        <v>247</v>
      </c>
      <c r="S137" s="38" t="s">
        <v>247</v>
      </c>
      <c r="T137" s="38" t="s">
        <v>247</v>
      </c>
      <c r="U137" s="38" t="s">
        <v>247</v>
      </c>
      <c r="V137" s="38" t="s">
        <v>247</v>
      </c>
      <c r="W137" s="3" t="s">
        <v>715</v>
      </c>
      <c r="X137" s="3" t="s">
        <v>904</v>
      </c>
      <c r="Y137" s="89">
        <v>45691</v>
      </c>
    </row>
    <row r="138" spans="1:25" x14ac:dyDescent="0.25">
      <c r="A138" s="440">
        <f>A146+1</f>
        <v>39</v>
      </c>
      <c r="B138" s="6" t="s">
        <v>1</v>
      </c>
      <c r="C138" s="83">
        <v>45397</v>
      </c>
      <c r="D138" s="155">
        <v>42886030422</v>
      </c>
      <c r="E138" s="6" t="s">
        <v>903</v>
      </c>
      <c r="F138" s="165">
        <v>0.1</v>
      </c>
      <c r="G138" s="180"/>
      <c r="H138" s="155"/>
      <c r="I138" s="155"/>
      <c r="J138" s="165">
        <v>6.8000000000000005E-2</v>
      </c>
      <c r="K138" s="156">
        <v>300000</v>
      </c>
      <c r="L138" s="156">
        <v>300000</v>
      </c>
      <c r="M138" s="156">
        <v>300000</v>
      </c>
      <c r="N138" s="438">
        <f>O138-L138</f>
        <v>20926</v>
      </c>
      <c r="O138" s="168">
        <v>320926</v>
      </c>
      <c r="P138" s="60" t="s">
        <v>900</v>
      </c>
      <c r="Q138" s="83">
        <v>45762</v>
      </c>
      <c r="R138" s="38" t="s">
        <v>247</v>
      </c>
      <c r="S138" s="38" t="s">
        <v>247</v>
      </c>
      <c r="T138" s="38" t="s">
        <v>247</v>
      </c>
      <c r="U138" s="38" t="s">
        <v>247</v>
      </c>
      <c r="V138" s="38" t="s">
        <v>247</v>
      </c>
      <c r="W138" s="3" t="s">
        <v>715</v>
      </c>
      <c r="X138" s="3" t="s">
        <v>904</v>
      </c>
      <c r="Y138" s="89">
        <v>45692</v>
      </c>
    </row>
    <row r="139" spans="1:25" x14ac:dyDescent="0.25">
      <c r="A139" s="440">
        <f>A9+1</f>
        <v>14</v>
      </c>
      <c r="B139" s="6" t="s">
        <v>1</v>
      </c>
      <c r="C139" s="169">
        <v>45219</v>
      </c>
      <c r="D139" s="87">
        <v>42370758979</v>
      </c>
      <c r="E139" s="6" t="s">
        <v>903</v>
      </c>
      <c r="F139" s="165">
        <v>0.1</v>
      </c>
      <c r="G139" s="86"/>
      <c r="H139" s="87"/>
      <c r="I139" s="87"/>
      <c r="J139" s="165">
        <v>4.4499999999999998E-2</v>
      </c>
      <c r="K139" s="156">
        <v>700000</v>
      </c>
      <c r="L139" s="164">
        <v>731431</v>
      </c>
      <c r="M139" s="156">
        <v>731431</v>
      </c>
      <c r="N139" s="441">
        <f>O139-M139</f>
        <v>13410</v>
      </c>
      <c r="O139" s="156">
        <v>744841</v>
      </c>
      <c r="P139" s="60" t="s">
        <v>914</v>
      </c>
      <c r="Q139" s="169">
        <v>45342</v>
      </c>
      <c r="R139" s="156">
        <v>731431</v>
      </c>
      <c r="S139" s="156">
        <v>744841</v>
      </c>
      <c r="T139" s="169">
        <v>45708</v>
      </c>
      <c r="U139" s="175">
        <v>5.5E-2</v>
      </c>
      <c r="V139" s="38" t="s">
        <v>247</v>
      </c>
      <c r="W139" s="3" t="s">
        <v>715</v>
      </c>
      <c r="X139" s="3" t="s">
        <v>904</v>
      </c>
      <c r="Y139" s="89">
        <v>45692</v>
      </c>
    </row>
    <row r="140" spans="1:25" x14ac:dyDescent="0.25">
      <c r="A140" s="440">
        <f>A136+1</f>
        <v>22</v>
      </c>
      <c r="B140" s="6" t="s">
        <v>1</v>
      </c>
      <c r="C140" s="169">
        <v>45259</v>
      </c>
      <c r="D140" s="87">
        <v>42475014793</v>
      </c>
      <c r="E140" s="6" t="s">
        <v>903</v>
      </c>
      <c r="F140" s="165">
        <v>0.1</v>
      </c>
      <c r="G140" s="86"/>
      <c r="H140" s="87"/>
      <c r="I140" s="49"/>
      <c r="J140" s="165">
        <v>6.8000000000000005E-2</v>
      </c>
      <c r="K140" s="156">
        <v>900000</v>
      </c>
      <c r="L140" s="164">
        <v>900000</v>
      </c>
      <c r="M140" s="156">
        <v>956435</v>
      </c>
      <c r="N140" s="441">
        <f>O140-M140</f>
        <v>66715</v>
      </c>
      <c r="O140" s="156">
        <v>1023150</v>
      </c>
      <c r="P140" s="60" t="s">
        <v>900</v>
      </c>
      <c r="Q140" s="169">
        <v>45625</v>
      </c>
      <c r="R140" s="156">
        <v>956435</v>
      </c>
      <c r="S140" s="156">
        <v>1023150</v>
      </c>
      <c r="T140" s="169">
        <v>45990</v>
      </c>
      <c r="U140" s="165">
        <v>6.8000000000000005E-2</v>
      </c>
      <c r="V140" s="38" t="s">
        <v>247</v>
      </c>
      <c r="W140" s="3" t="s">
        <v>715</v>
      </c>
      <c r="X140" s="3" t="s">
        <v>904</v>
      </c>
      <c r="Y140" s="89">
        <v>45692</v>
      </c>
    </row>
    <row r="141" spans="1:25" x14ac:dyDescent="0.25">
      <c r="A141" s="440">
        <f>A4+1</f>
        <v>5</v>
      </c>
      <c r="B141" s="6" t="s">
        <v>1</v>
      </c>
      <c r="C141" s="83">
        <v>45187</v>
      </c>
      <c r="D141" s="87">
        <v>42278070682</v>
      </c>
      <c r="E141" s="6" t="s">
        <v>903</v>
      </c>
      <c r="F141" s="165">
        <v>0.1</v>
      </c>
      <c r="G141" s="86"/>
      <c r="H141" s="87"/>
      <c r="I141" s="49"/>
      <c r="J141" s="165">
        <v>6.8000000000000005E-2</v>
      </c>
      <c r="K141" s="156">
        <v>1300000</v>
      </c>
      <c r="L141" s="156">
        <v>1300000</v>
      </c>
      <c r="M141" s="156">
        <v>1381520</v>
      </c>
      <c r="N141" s="166">
        <v>90680</v>
      </c>
      <c r="O141" s="156">
        <v>1477886</v>
      </c>
      <c r="P141" s="6" t="s">
        <v>900</v>
      </c>
      <c r="Q141" s="83">
        <v>45553</v>
      </c>
      <c r="R141" s="156">
        <v>1381520</v>
      </c>
      <c r="S141" s="156">
        <v>1477886</v>
      </c>
      <c r="T141" s="83">
        <v>45918</v>
      </c>
      <c r="U141" s="165">
        <v>6.8000000000000005E-2</v>
      </c>
      <c r="V141" s="38" t="s">
        <v>247</v>
      </c>
      <c r="W141" s="3" t="s">
        <v>715</v>
      </c>
      <c r="X141" s="3" t="s">
        <v>904</v>
      </c>
      <c r="Y141" s="89">
        <v>45692</v>
      </c>
    </row>
    <row r="142" spans="1:25" x14ac:dyDescent="0.25">
      <c r="A142" s="440">
        <f>A44+1</f>
        <v>44</v>
      </c>
      <c r="B142" s="6" t="s">
        <v>1</v>
      </c>
      <c r="C142" s="83">
        <v>45534</v>
      </c>
      <c r="D142" s="155">
        <v>43295128605</v>
      </c>
      <c r="E142" s="6" t="s">
        <v>903</v>
      </c>
      <c r="F142" s="165">
        <v>0.1</v>
      </c>
      <c r="G142" s="180"/>
      <c r="H142" s="155"/>
      <c r="I142" s="155"/>
      <c r="J142" s="165">
        <v>6.8000000000000005E-2</v>
      </c>
      <c r="K142" s="156">
        <v>7000000</v>
      </c>
      <c r="L142" s="156">
        <v>7000000</v>
      </c>
      <c r="M142" s="156">
        <v>7000000</v>
      </c>
      <c r="N142" s="438">
        <f>O142-L142</f>
        <v>488276</v>
      </c>
      <c r="O142" s="168">
        <v>7488276</v>
      </c>
      <c r="P142" s="60" t="s">
        <v>900</v>
      </c>
      <c r="Q142" s="83">
        <v>45899</v>
      </c>
      <c r="R142" s="38" t="s">
        <v>247</v>
      </c>
      <c r="S142" s="38" t="s">
        <v>247</v>
      </c>
      <c r="T142" s="38" t="s">
        <v>247</v>
      </c>
      <c r="U142" s="38" t="s">
        <v>247</v>
      </c>
      <c r="V142" s="38" t="s">
        <v>247</v>
      </c>
      <c r="W142" s="3" t="s">
        <v>715</v>
      </c>
      <c r="X142" s="3" t="s">
        <v>904</v>
      </c>
      <c r="Y142" s="89">
        <v>45692</v>
      </c>
    </row>
    <row r="143" spans="1:25" x14ac:dyDescent="0.25">
      <c r="A143" s="440">
        <f>A10+1</f>
        <v>17</v>
      </c>
      <c r="B143" s="6" t="s">
        <v>1</v>
      </c>
      <c r="C143" s="169">
        <v>45239</v>
      </c>
      <c r="D143" s="87">
        <v>42426320855</v>
      </c>
      <c r="E143" s="6" t="s">
        <v>903</v>
      </c>
      <c r="F143" s="165">
        <v>0.1</v>
      </c>
      <c r="G143" s="86"/>
      <c r="H143" s="87"/>
      <c r="I143" s="87"/>
      <c r="J143" s="165">
        <v>4.4499999999999998E-2</v>
      </c>
      <c r="K143" s="156">
        <v>2652010</v>
      </c>
      <c r="L143" s="164">
        <v>2744797</v>
      </c>
      <c r="M143" s="156">
        <v>2744797</v>
      </c>
      <c r="N143" s="441">
        <f>O143-M143</f>
        <v>62902</v>
      </c>
      <c r="O143" s="156">
        <v>2807699</v>
      </c>
      <c r="P143" s="60" t="s">
        <v>959</v>
      </c>
      <c r="Q143" s="169">
        <v>45391</v>
      </c>
      <c r="R143" s="156">
        <v>2744797</v>
      </c>
      <c r="S143" s="156">
        <v>2807699</v>
      </c>
      <c r="T143" s="169">
        <v>45697</v>
      </c>
      <c r="U143" s="165">
        <v>5.5E-2</v>
      </c>
      <c r="V143" s="38" t="s">
        <v>247</v>
      </c>
      <c r="W143" s="3" t="s">
        <v>715</v>
      </c>
      <c r="X143" s="3" t="s">
        <v>904</v>
      </c>
      <c r="Y143" s="89">
        <v>45692</v>
      </c>
    </row>
    <row r="144" spans="1:25" x14ac:dyDescent="0.25">
      <c r="A144" s="3">
        <v>65</v>
      </c>
      <c r="B144" s="6" t="s">
        <v>1</v>
      </c>
      <c r="C144" s="83">
        <v>45645</v>
      </c>
      <c r="D144" s="155">
        <v>43636482040</v>
      </c>
      <c r="E144" s="6" t="s">
        <v>955</v>
      </c>
      <c r="F144" s="165">
        <v>0</v>
      </c>
      <c r="G144" s="182"/>
      <c r="H144" s="155" t="s">
        <v>955</v>
      </c>
      <c r="I144" s="49" t="s">
        <v>955</v>
      </c>
      <c r="J144" s="165">
        <v>5.2499999999999998E-2</v>
      </c>
      <c r="K144" s="156">
        <v>200000000</v>
      </c>
      <c r="L144" s="156">
        <v>200000000</v>
      </c>
      <c r="M144" s="156">
        <v>200000000</v>
      </c>
      <c r="N144" s="438">
        <f>O144-L144</f>
        <v>431507</v>
      </c>
      <c r="O144" s="168">
        <v>200431507</v>
      </c>
      <c r="P144" s="60" t="s">
        <v>956</v>
      </c>
      <c r="Q144" s="83">
        <v>45660</v>
      </c>
      <c r="R144" s="156">
        <v>200388356</v>
      </c>
      <c r="S144" s="156">
        <v>20820701</v>
      </c>
      <c r="T144" s="83">
        <v>45675</v>
      </c>
      <c r="U144" s="165">
        <v>5.2499999999999998E-2</v>
      </c>
      <c r="V144" s="38" t="s">
        <v>247</v>
      </c>
      <c r="W144" s="3" t="s">
        <v>715</v>
      </c>
      <c r="X144" s="3" t="s">
        <v>904</v>
      </c>
      <c r="Y144" s="89">
        <v>45694</v>
      </c>
    </row>
    <row r="145" spans="1:25" x14ac:dyDescent="0.25">
      <c r="A145" s="3">
        <v>64</v>
      </c>
      <c r="B145" s="6" t="s">
        <v>1</v>
      </c>
      <c r="C145" s="83">
        <v>45645</v>
      </c>
      <c r="D145" s="155">
        <v>43636462103</v>
      </c>
      <c r="E145" s="6" t="s">
        <v>955</v>
      </c>
      <c r="F145" s="165">
        <v>0</v>
      </c>
      <c r="G145" s="182"/>
      <c r="H145" s="155" t="s">
        <v>955</v>
      </c>
      <c r="I145" s="49" t="s">
        <v>955</v>
      </c>
      <c r="J145" s="165">
        <v>5.2499999999999998E-2</v>
      </c>
      <c r="K145" s="156">
        <v>200000000</v>
      </c>
      <c r="L145" s="156">
        <v>200000000</v>
      </c>
      <c r="M145" s="156">
        <v>200000000</v>
      </c>
      <c r="N145" s="438">
        <f>O145-L145</f>
        <v>431507</v>
      </c>
      <c r="O145" s="168">
        <v>200431507</v>
      </c>
      <c r="P145" s="60" t="s">
        <v>956</v>
      </c>
      <c r="Q145" s="83">
        <v>45660</v>
      </c>
      <c r="R145" s="156">
        <v>200388356</v>
      </c>
      <c r="S145" s="156">
        <v>20820701</v>
      </c>
      <c r="T145" s="83">
        <v>45675</v>
      </c>
      <c r="U145" s="165">
        <v>5.2499999999999998E-2</v>
      </c>
      <c r="V145" s="38" t="s">
        <v>247</v>
      </c>
      <c r="W145" s="3" t="s">
        <v>715</v>
      </c>
      <c r="X145" s="3" t="s">
        <v>904</v>
      </c>
      <c r="Y145" s="89">
        <v>45699</v>
      </c>
    </row>
    <row r="146" spans="1:25" x14ac:dyDescent="0.25">
      <c r="A146" s="440">
        <f>A37+1</f>
        <v>38</v>
      </c>
      <c r="B146" s="6" t="s">
        <v>1</v>
      </c>
      <c r="C146" s="83">
        <v>45388</v>
      </c>
      <c r="D146" s="155">
        <v>42863023138</v>
      </c>
      <c r="E146" s="34" t="s">
        <v>903</v>
      </c>
      <c r="F146" s="31">
        <v>0.1</v>
      </c>
      <c r="G146" s="180"/>
      <c r="H146" s="155"/>
      <c r="I146" s="155"/>
      <c r="J146" s="165">
        <v>6.8000000000000005E-2</v>
      </c>
      <c r="K146" s="156">
        <v>1500000</v>
      </c>
      <c r="L146" s="156">
        <v>1500000</v>
      </c>
      <c r="M146" s="156">
        <v>1500000</v>
      </c>
      <c r="N146" s="438">
        <f>O146-L146</f>
        <v>104631</v>
      </c>
      <c r="O146" s="168">
        <v>1604631</v>
      </c>
      <c r="P146" s="60" t="s">
        <v>900</v>
      </c>
      <c r="Q146" s="83">
        <v>45753</v>
      </c>
      <c r="R146" s="38" t="s">
        <v>247</v>
      </c>
      <c r="S146" s="38" t="s">
        <v>247</v>
      </c>
      <c r="T146" s="38" t="s">
        <v>247</v>
      </c>
      <c r="U146" s="38" t="s">
        <v>247</v>
      </c>
      <c r="V146" s="38" t="s">
        <v>247</v>
      </c>
      <c r="W146" s="3" t="s">
        <v>715</v>
      </c>
      <c r="X146" s="3" t="s">
        <v>888</v>
      </c>
      <c r="Y146" s="89">
        <v>45717</v>
      </c>
    </row>
    <row r="147" spans="1:25" x14ac:dyDescent="0.25">
      <c r="A147" s="440">
        <f>A138+1</f>
        <v>40</v>
      </c>
      <c r="B147" s="6" t="s">
        <v>1</v>
      </c>
      <c r="C147" s="35">
        <v>45400</v>
      </c>
      <c r="D147" s="155">
        <v>42893254252</v>
      </c>
      <c r="E147" s="34" t="s">
        <v>903</v>
      </c>
      <c r="F147" s="31">
        <v>0.1</v>
      </c>
      <c r="G147" s="183"/>
      <c r="H147" s="39"/>
      <c r="I147" s="39"/>
      <c r="J147" s="31">
        <v>6.8000000000000005E-2</v>
      </c>
      <c r="K147" s="38">
        <v>1700000</v>
      </c>
      <c r="L147" s="38">
        <v>1700000</v>
      </c>
      <c r="M147" s="38">
        <v>1700000</v>
      </c>
      <c r="N147" s="438">
        <f>O147-L147</f>
        <v>118581</v>
      </c>
      <c r="O147" s="77">
        <v>1818581</v>
      </c>
      <c r="P147" s="72" t="s">
        <v>900</v>
      </c>
      <c r="Q147" s="35">
        <v>45765</v>
      </c>
      <c r="R147" s="38" t="s">
        <v>247</v>
      </c>
      <c r="S147" s="38" t="s">
        <v>247</v>
      </c>
      <c r="T147" s="38" t="s">
        <v>247</v>
      </c>
      <c r="U147" s="38" t="s">
        <v>247</v>
      </c>
      <c r="V147" s="38" t="s">
        <v>247</v>
      </c>
      <c r="W147" s="3" t="s">
        <v>715</v>
      </c>
      <c r="X147" s="3" t="s">
        <v>888</v>
      </c>
      <c r="Y147" s="89">
        <v>45717</v>
      </c>
    </row>
    <row r="148" spans="1:25" x14ac:dyDescent="0.25">
      <c r="A148" s="3">
        <v>57</v>
      </c>
      <c r="B148" s="6" t="s">
        <v>1</v>
      </c>
      <c r="C148" s="35">
        <v>45610</v>
      </c>
      <c r="D148" s="155">
        <v>43546172888</v>
      </c>
      <c r="E148" s="34" t="s">
        <v>903</v>
      </c>
      <c r="F148" s="31">
        <v>0.1</v>
      </c>
      <c r="G148" s="179"/>
      <c r="H148" s="39"/>
      <c r="I148" s="49"/>
      <c r="J148" s="31">
        <v>7.2499999999999995E-2</v>
      </c>
      <c r="K148" s="38">
        <v>9500000</v>
      </c>
      <c r="L148" s="38">
        <v>9500000</v>
      </c>
      <c r="M148" s="38">
        <v>9500000</v>
      </c>
      <c r="N148" s="438">
        <f>O148-L148</f>
        <v>867880</v>
      </c>
      <c r="O148" s="77">
        <v>10367880</v>
      </c>
      <c r="P148" s="72" t="s">
        <v>909</v>
      </c>
      <c r="Q148" s="35">
        <v>46060</v>
      </c>
      <c r="R148" s="38" t="s">
        <v>247</v>
      </c>
      <c r="S148" s="38" t="s">
        <v>247</v>
      </c>
      <c r="T148" s="38" t="s">
        <v>247</v>
      </c>
      <c r="U148" s="38" t="s">
        <v>247</v>
      </c>
      <c r="V148" s="38" t="s">
        <v>247</v>
      </c>
      <c r="W148" s="3" t="s">
        <v>715</v>
      </c>
      <c r="X148" s="3" t="s">
        <v>888</v>
      </c>
      <c r="Y148" s="89">
        <v>45717</v>
      </c>
    </row>
    <row r="149" spans="1:25" x14ac:dyDescent="0.25">
      <c r="A149" s="440">
        <f>A139+1</f>
        <v>15</v>
      </c>
      <c r="B149" s="6" t="s">
        <v>1</v>
      </c>
      <c r="C149" s="73">
        <v>45229</v>
      </c>
      <c r="D149" s="87">
        <v>42393142581</v>
      </c>
      <c r="E149" s="34" t="s">
        <v>903</v>
      </c>
      <c r="F149" s="31">
        <v>0.1</v>
      </c>
      <c r="G149" s="181"/>
      <c r="H149" s="55"/>
      <c r="I149" s="55"/>
      <c r="J149" s="31">
        <v>4.4499999999999998E-2</v>
      </c>
      <c r="K149" s="38">
        <v>300000</v>
      </c>
      <c r="L149" s="71">
        <v>313470</v>
      </c>
      <c r="M149" s="38">
        <v>313470</v>
      </c>
      <c r="N149" s="441">
        <f>O149-M149</f>
        <v>5747</v>
      </c>
      <c r="O149" s="38">
        <v>319217</v>
      </c>
      <c r="P149" s="72" t="s">
        <v>914</v>
      </c>
      <c r="Q149" s="73">
        <v>45351</v>
      </c>
      <c r="R149" s="38">
        <v>313470</v>
      </c>
      <c r="S149" s="38">
        <v>319217</v>
      </c>
      <c r="T149" s="73">
        <v>45716</v>
      </c>
      <c r="U149" s="31">
        <v>5.5E-2</v>
      </c>
      <c r="V149" s="38" t="s">
        <v>247</v>
      </c>
      <c r="W149" s="3" t="s">
        <v>715</v>
      </c>
      <c r="X149" s="3" t="s">
        <v>888</v>
      </c>
      <c r="Y149" s="89">
        <v>45717</v>
      </c>
    </row>
    <row r="150" spans="1:25" x14ac:dyDescent="0.25">
      <c r="A150" s="440">
        <f>A7+1</f>
        <v>11</v>
      </c>
      <c r="B150" s="6" t="s">
        <v>1</v>
      </c>
      <c r="C150" s="73">
        <v>45203</v>
      </c>
      <c r="D150" s="87">
        <v>42322029524</v>
      </c>
      <c r="E150" s="34" t="s">
        <v>903</v>
      </c>
      <c r="F150" s="31">
        <v>0.1</v>
      </c>
      <c r="G150" s="181"/>
      <c r="H150" s="55"/>
      <c r="I150" s="55"/>
      <c r="J150" s="172">
        <v>4.4999999999999998E-2</v>
      </c>
      <c r="K150" s="38">
        <v>1127000</v>
      </c>
      <c r="L150" s="70">
        <v>1177604</v>
      </c>
      <c r="M150" s="38">
        <v>1177604</v>
      </c>
      <c r="N150" s="441">
        <f>O150-M150</f>
        <v>21589</v>
      </c>
      <c r="O150" s="38">
        <v>1199193</v>
      </c>
      <c r="P150" s="72" t="s">
        <v>914</v>
      </c>
      <c r="Q150" s="73">
        <v>45326</v>
      </c>
      <c r="R150" s="38">
        <v>1177604</v>
      </c>
      <c r="S150" s="38">
        <v>1199193</v>
      </c>
      <c r="T150" s="73">
        <v>45692</v>
      </c>
      <c r="U150" s="172">
        <v>5.5E-2</v>
      </c>
      <c r="V150" s="38" t="s">
        <v>247</v>
      </c>
      <c r="W150" s="3" t="s">
        <v>715</v>
      </c>
      <c r="X150" s="3" t="s">
        <v>888</v>
      </c>
      <c r="Y150" s="89">
        <v>45717</v>
      </c>
    </row>
    <row r="151" spans="1:25" x14ac:dyDescent="0.25">
      <c r="A151" s="440">
        <f>A140+1</f>
        <v>23</v>
      </c>
      <c r="B151" s="6" t="s">
        <v>1</v>
      </c>
      <c r="C151" s="73">
        <v>45259</v>
      </c>
      <c r="D151" s="87">
        <v>42475096039</v>
      </c>
      <c r="E151" s="34" t="s">
        <v>903</v>
      </c>
      <c r="F151" s="31">
        <v>0.1</v>
      </c>
      <c r="G151" s="181"/>
      <c r="H151" s="55"/>
      <c r="I151" s="55"/>
      <c r="J151" s="31">
        <v>6.8000000000000005E-2</v>
      </c>
      <c r="K151" s="38">
        <v>1200000</v>
      </c>
      <c r="L151" s="71">
        <v>1275247</v>
      </c>
      <c r="M151" s="38">
        <v>1275247</v>
      </c>
      <c r="N151" s="441">
        <f>O151-M151</f>
        <v>88953</v>
      </c>
      <c r="O151" s="38">
        <v>1364200</v>
      </c>
      <c r="P151" s="72" t="s">
        <v>900</v>
      </c>
      <c r="Q151" s="73">
        <v>45625</v>
      </c>
      <c r="R151" s="38">
        <v>1275247</v>
      </c>
      <c r="S151" s="38">
        <v>1364200</v>
      </c>
      <c r="T151" s="73">
        <v>45990</v>
      </c>
      <c r="U151" s="31">
        <v>6.8000000000000005E-2</v>
      </c>
      <c r="V151" s="38" t="s">
        <v>247</v>
      </c>
      <c r="W151" s="3" t="s">
        <v>715</v>
      </c>
      <c r="X151" s="3" t="s">
        <v>888</v>
      </c>
      <c r="Y151" s="89">
        <v>45717</v>
      </c>
    </row>
    <row r="152" spans="1:25" x14ac:dyDescent="0.25">
      <c r="A152" s="440">
        <f>A17+1</f>
        <v>25</v>
      </c>
      <c r="B152" s="6" t="s">
        <v>1</v>
      </c>
      <c r="C152" s="73">
        <v>45289</v>
      </c>
      <c r="D152" s="87">
        <v>42563442673</v>
      </c>
      <c r="E152" s="34" t="s">
        <v>903</v>
      </c>
      <c r="F152" s="31">
        <v>0.1</v>
      </c>
      <c r="G152" s="181"/>
      <c r="H152" s="55"/>
      <c r="I152" s="55"/>
      <c r="J152" s="31">
        <v>6.8000000000000005E-2</v>
      </c>
      <c r="K152" s="38">
        <v>4500000</v>
      </c>
      <c r="L152" s="71">
        <v>4500000</v>
      </c>
      <c r="M152" s="71">
        <v>4500000</v>
      </c>
      <c r="N152" s="68">
        <v>313892</v>
      </c>
      <c r="O152" s="18">
        <v>4813892</v>
      </c>
      <c r="P152" s="72" t="s">
        <v>900</v>
      </c>
      <c r="Q152" s="73">
        <v>45655</v>
      </c>
      <c r="R152" s="38">
        <v>4782176</v>
      </c>
      <c r="S152" s="38">
        <v>5115751</v>
      </c>
      <c r="T152" s="73">
        <v>46020</v>
      </c>
      <c r="U152" s="31">
        <v>6.8000000000000005E-2</v>
      </c>
      <c r="V152" s="38" t="s">
        <v>247</v>
      </c>
      <c r="W152" s="3" t="s">
        <v>715</v>
      </c>
      <c r="X152" s="3" t="s">
        <v>888</v>
      </c>
      <c r="Y152" s="89">
        <v>45717</v>
      </c>
    </row>
    <row r="153" spans="1:25" x14ac:dyDescent="0.25">
      <c r="A153" s="440">
        <f>A133+1</f>
        <v>38</v>
      </c>
      <c r="B153" s="6" t="s">
        <v>1</v>
      </c>
      <c r="C153" s="35">
        <v>45381</v>
      </c>
      <c r="D153" s="155">
        <v>42840341044</v>
      </c>
      <c r="E153" s="6" t="s">
        <v>903</v>
      </c>
      <c r="F153" s="165">
        <v>0.1</v>
      </c>
      <c r="G153" s="183"/>
      <c r="H153" s="39"/>
      <c r="I153" s="39"/>
      <c r="J153" s="31">
        <v>6.8000000000000005E-2</v>
      </c>
      <c r="K153" s="38">
        <v>9790000</v>
      </c>
      <c r="L153" s="38">
        <v>9790000</v>
      </c>
      <c r="M153" s="38">
        <v>9790000</v>
      </c>
      <c r="N153" s="438">
        <f>O153-L153</f>
        <v>682889</v>
      </c>
      <c r="O153" s="77">
        <v>10472889</v>
      </c>
      <c r="P153" s="72" t="s">
        <v>900</v>
      </c>
      <c r="Q153" s="35">
        <v>45746</v>
      </c>
      <c r="R153" s="38" t="s">
        <v>247</v>
      </c>
      <c r="S153" s="38" t="s">
        <v>247</v>
      </c>
      <c r="T153" s="38" t="s">
        <v>247</v>
      </c>
      <c r="U153" s="38" t="s">
        <v>247</v>
      </c>
      <c r="V153" s="38" t="s">
        <v>247</v>
      </c>
      <c r="W153" s="3" t="s">
        <v>715</v>
      </c>
      <c r="X153" s="3" t="s">
        <v>888</v>
      </c>
      <c r="Y153" s="89">
        <v>45717</v>
      </c>
    </row>
    <row r="154" spans="1:25" x14ac:dyDescent="0.25">
      <c r="A154" s="440">
        <f>A153+1</f>
        <v>39</v>
      </c>
      <c r="B154" s="6" t="s">
        <v>1</v>
      </c>
      <c r="C154" s="35">
        <v>45381</v>
      </c>
      <c r="D154" s="155">
        <v>42840342468</v>
      </c>
      <c r="E154" s="6" t="s">
        <v>903</v>
      </c>
      <c r="F154" s="165">
        <v>0.1</v>
      </c>
      <c r="G154" s="183"/>
      <c r="H154" s="39"/>
      <c r="I154" s="39"/>
      <c r="J154" s="31">
        <v>6.8000000000000005E-2</v>
      </c>
      <c r="K154" s="38">
        <v>6525000</v>
      </c>
      <c r="L154" s="38">
        <v>6525000</v>
      </c>
      <c r="M154" s="38">
        <v>6525000</v>
      </c>
      <c r="N154" s="438">
        <f>O154-L154</f>
        <v>455143</v>
      </c>
      <c r="O154" s="77">
        <v>6980143</v>
      </c>
      <c r="P154" s="72" t="s">
        <v>900</v>
      </c>
      <c r="Q154" s="35">
        <v>45746</v>
      </c>
      <c r="R154" s="38" t="s">
        <v>247</v>
      </c>
      <c r="S154" s="38" t="s">
        <v>247</v>
      </c>
      <c r="T154" s="38" t="s">
        <v>247</v>
      </c>
      <c r="U154" s="38" t="s">
        <v>247</v>
      </c>
      <c r="V154" s="38" t="s">
        <v>247</v>
      </c>
      <c r="W154" s="3" t="s">
        <v>715</v>
      </c>
      <c r="X154" s="3" t="s">
        <v>888</v>
      </c>
      <c r="Y154" s="89">
        <v>45717</v>
      </c>
    </row>
    <row r="155" spans="1:25" x14ac:dyDescent="0.25">
      <c r="A155" s="3">
        <v>78</v>
      </c>
      <c r="B155" s="6" t="s">
        <v>1</v>
      </c>
      <c r="C155" s="83">
        <v>45737</v>
      </c>
      <c r="D155" s="155">
        <v>43934252040</v>
      </c>
      <c r="E155" s="6" t="s">
        <v>955</v>
      </c>
      <c r="F155" s="6" t="s">
        <v>955</v>
      </c>
      <c r="G155" s="46"/>
      <c r="H155" s="6"/>
      <c r="I155" s="6"/>
      <c r="J155" s="165">
        <v>6.25E-2</v>
      </c>
      <c r="K155" s="156">
        <v>200000000</v>
      </c>
      <c r="L155" s="156">
        <v>200000000</v>
      </c>
      <c r="M155" s="156">
        <v>200000000</v>
      </c>
      <c r="N155" s="438">
        <f t="shared" ref="N155:N160" si="48">O155-M155</f>
        <v>1575342</v>
      </c>
      <c r="O155" s="156">
        <v>201575342</v>
      </c>
      <c r="P155" s="60" t="s">
        <v>960</v>
      </c>
      <c r="Q155" s="83">
        <v>45783</v>
      </c>
      <c r="R155" s="38" t="s">
        <v>247</v>
      </c>
      <c r="S155" s="38" t="s">
        <v>247</v>
      </c>
      <c r="T155" s="38" t="s">
        <v>247</v>
      </c>
      <c r="U155" s="38" t="s">
        <v>247</v>
      </c>
      <c r="V155" s="38" t="s">
        <v>247</v>
      </c>
      <c r="W155" s="3" t="s">
        <v>715</v>
      </c>
      <c r="X155" s="3" t="s">
        <v>904</v>
      </c>
      <c r="Y155" s="89">
        <v>45768</v>
      </c>
    </row>
    <row r="156" spans="1:25" x14ac:dyDescent="0.25">
      <c r="A156" s="3">
        <v>79</v>
      </c>
      <c r="B156" s="6" t="s">
        <v>1</v>
      </c>
      <c r="C156" s="83">
        <v>45737</v>
      </c>
      <c r="D156" s="155">
        <v>43934252776</v>
      </c>
      <c r="E156" s="6" t="s">
        <v>955</v>
      </c>
      <c r="F156" s="6" t="s">
        <v>955</v>
      </c>
      <c r="G156" s="46"/>
      <c r="H156" s="6"/>
      <c r="I156" s="6"/>
      <c r="J156" s="165">
        <v>6.25E-2</v>
      </c>
      <c r="K156" s="156">
        <v>200000000</v>
      </c>
      <c r="L156" s="156">
        <v>200000000</v>
      </c>
      <c r="M156" s="156">
        <v>200000000</v>
      </c>
      <c r="N156" s="438">
        <f t="shared" si="48"/>
        <v>1575342</v>
      </c>
      <c r="O156" s="156">
        <v>201575342</v>
      </c>
      <c r="P156" s="60" t="s">
        <v>960</v>
      </c>
      <c r="Q156" s="83">
        <v>45783</v>
      </c>
      <c r="R156" s="38" t="s">
        <v>247</v>
      </c>
      <c r="S156" s="38" t="s">
        <v>247</v>
      </c>
      <c r="T156" s="38" t="s">
        <v>247</v>
      </c>
      <c r="U156" s="38" t="s">
        <v>247</v>
      </c>
      <c r="V156" s="38" t="s">
        <v>247</v>
      </c>
      <c r="W156" s="3" t="s">
        <v>715</v>
      </c>
      <c r="X156" s="3" t="s">
        <v>904</v>
      </c>
      <c r="Y156" s="89">
        <v>45768</v>
      </c>
    </row>
    <row r="157" spans="1:25" x14ac:dyDescent="0.25">
      <c r="A157" s="3">
        <v>80</v>
      </c>
      <c r="B157" s="6" t="s">
        <v>1</v>
      </c>
      <c r="C157" s="83">
        <v>45737</v>
      </c>
      <c r="D157" s="155">
        <v>43934265843</v>
      </c>
      <c r="E157" s="6" t="s">
        <v>955</v>
      </c>
      <c r="F157" s="6" t="s">
        <v>955</v>
      </c>
      <c r="G157" s="46"/>
      <c r="H157" s="6"/>
      <c r="I157" s="6"/>
      <c r="J157" s="165">
        <v>6.25E-2</v>
      </c>
      <c r="K157" s="156">
        <v>200000000</v>
      </c>
      <c r="L157" s="156">
        <v>200000000</v>
      </c>
      <c r="M157" s="156">
        <v>200000000</v>
      </c>
      <c r="N157" s="438">
        <f t="shared" si="48"/>
        <v>1575342</v>
      </c>
      <c r="O157" s="156">
        <v>201575342</v>
      </c>
      <c r="P157" s="60" t="s">
        <v>960</v>
      </c>
      <c r="Q157" s="83">
        <v>45783</v>
      </c>
      <c r="R157" s="38" t="s">
        <v>247</v>
      </c>
      <c r="S157" s="38" t="s">
        <v>247</v>
      </c>
      <c r="T157" s="38" t="s">
        <v>247</v>
      </c>
      <c r="U157" s="38" t="s">
        <v>247</v>
      </c>
      <c r="V157" s="38" t="s">
        <v>247</v>
      </c>
      <c r="W157" s="3" t="s">
        <v>715</v>
      </c>
      <c r="X157" s="3" t="s">
        <v>904</v>
      </c>
      <c r="Y157" s="89">
        <v>45768</v>
      </c>
    </row>
    <row r="158" spans="1:25" x14ac:dyDescent="0.25">
      <c r="A158" s="3">
        <v>81</v>
      </c>
      <c r="B158" s="6" t="s">
        <v>1</v>
      </c>
      <c r="C158" s="83">
        <v>45737</v>
      </c>
      <c r="D158" s="155">
        <v>43934253076</v>
      </c>
      <c r="E158" s="6" t="s">
        <v>955</v>
      </c>
      <c r="F158" s="6" t="s">
        <v>955</v>
      </c>
      <c r="G158" s="46"/>
      <c r="H158" s="6"/>
      <c r="I158" s="6"/>
      <c r="J158" s="165">
        <v>6.25E-2</v>
      </c>
      <c r="K158" s="156">
        <v>200000000</v>
      </c>
      <c r="L158" s="156">
        <v>200000000</v>
      </c>
      <c r="M158" s="156">
        <v>200000000</v>
      </c>
      <c r="N158" s="438">
        <f t="shared" si="48"/>
        <v>1575342</v>
      </c>
      <c r="O158" s="156">
        <v>201575342</v>
      </c>
      <c r="P158" s="60" t="s">
        <v>960</v>
      </c>
      <c r="Q158" s="83">
        <v>45783</v>
      </c>
      <c r="R158" s="38" t="s">
        <v>247</v>
      </c>
      <c r="S158" s="38" t="s">
        <v>247</v>
      </c>
      <c r="T158" s="38" t="s">
        <v>247</v>
      </c>
      <c r="U158" s="38" t="s">
        <v>247</v>
      </c>
      <c r="V158" s="38" t="s">
        <v>247</v>
      </c>
      <c r="W158" s="3" t="s">
        <v>715</v>
      </c>
      <c r="X158" s="3" t="s">
        <v>904</v>
      </c>
      <c r="Y158" s="89">
        <v>45768</v>
      </c>
    </row>
    <row r="159" spans="1:25" x14ac:dyDescent="0.25">
      <c r="A159" s="3">
        <v>82</v>
      </c>
      <c r="B159" s="6" t="s">
        <v>1</v>
      </c>
      <c r="C159" s="83">
        <v>45737</v>
      </c>
      <c r="D159" s="155">
        <v>43934252437</v>
      </c>
      <c r="E159" s="6" t="s">
        <v>955</v>
      </c>
      <c r="F159" s="6" t="s">
        <v>955</v>
      </c>
      <c r="G159" s="46"/>
      <c r="H159" s="6"/>
      <c r="I159" s="6"/>
      <c r="J159" s="165">
        <v>6.25E-2</v>
      </c>
      <c r="K159" s="156">
        <v>200000000</v>
      </c>
      <c r="L159" s="156">
        <v>200000000</v>
      </c>
      <c r="M159" s="156">
        <v>200000000</v>
      </c>
      <c r="N159" s="438">
        <f t="shared" si="48"/>
        <v>1575342</v>
      </c>
      <c r="O159" s="156">
        <v>201575342</v>
      </c>
      <c r="P159" s="60" t="s">
        <v>960</v>
      </c>
      <c r="Q159" s="83">
        <v>45783</v>
      </c>
      <c r="R159" s="38" t="s">
        <v>247</v>
      </c>
      <c r="S159" s="38" t="s">
        <v>247</v>
      </c>
      <c r="T159" s="38" t="s">
        <v>247</v>
      </c>
      <c r="U159" s="38" t="s">
        <v>247</v>
      </c>
      <c r="V159" s="38" t="s">
        <v>247</v>
      </c>
      <c r="W159" s="3" t="s">
        <v>715</v>
      </c>
      <c r="X159" s="3" t="s">
        <v>904</v>
      </c>
      <c r="Y159" s="89">
        <v>45768</v>
      </c>
    </row>
    <row r="160" spans="1:25" x14ac:dyDescent="0.25">
      <c r="A160" s="440">
        <f>A208+1</f>
        <v>57</v>
      </c>
      <c r="B160" s="6" t="s">
        <v>1</v>
      </c>
      <c r="C160" s="83">
        <v>45681</v>
      </c>
      <c r="D160" s="155">
        <v>43749543130</v>
      </c>
      <c r="E160" s="6" t="s">
        <v>890</v>
      </c>
      <c r="F160" s="165">
        <v>1</v>
      </c>
      <c r="G160" s="182" t="s">
        <v>832</v>
      </c>
      <c r="H160" s="6" t="s">
        <v>799</v>
      </c>
      <c r="I160" s="49" t="s">
        <v>834</v>
      </c>
      <c r="J160" s="165">
        <v>6.25E-2</v>
      </c>
      <c r="K160" s="156">
        <v>139236457</v>
      </c>
      <c r="L160" s="156">
        <v>139236457</v>
      </c>
      <c r="M160" s="156">
        <v>139236457</v>
      </c>
      <c r="N160" s="438">
        <f t="shared" si="48"/>
        <v>2145767</v>
      </c>
      <c r="O160" s="168">
        <v>141382224</v>
      </c>
      <c r="P160" s="60" t="s">
        <v>961</v>
      </c>
      <c r="Q160" s="83">
        <v>45771</v>
      </c>
      <c r="R160" s="156" t="s">
        <v>247</v>
      </c>
      <c r="S160" s="156" t="s">
        <v>247</v>
      </c>
      <c r="T160" s="156" t="s">
        <v>247</v>
      </c>
      <c r="U160" s="156" t="s">
        <v>247</v>
      </c>
      <c r="V160" s="156" t="s">
        <v>247</v>
      </c>
      <c r="W160" s="3" t="s">
        <v>715</v>
      </c>
      <c r="X160" s="3" t="s">
        <v>904</v>
      </c>
      <c r="Y160" s="89">
        <v>45771</v>
      </c>
    </row>
    <row r="161" spans="1:26" x14ac:dyDescent="0.25">
      <c r="A161" s="440">
        <f>A142+1</f>
        <v>45</v>
      </c>
      <c r="B161" s="6" t="s">
        <v>1</v>
      </c>
      <c r="C161" s="83">
        <v>45561</v>
      </c>
      <c r="D161" s="155">
        <v>43381644996</v>
      </c>
      <c r="E161" s="6" t="s">
        <v>889</v>
      </c>
      <c r="F161" s="165">
        <v>0.1</v>
      </c>
      <c r="G161" s="182" t="s">
        <v>957</v>
      </c>
      <c r="H161" s="6" t="s">
        <v>799</v>
      </c>
      <c r="I161" s="171" t="s">
        <v>836</v>
      </c>
      <c r="J161" s="165">
        <v>5.5E-2</v>
      </c>
      <c r="K161" s="156">
        <v>2500000</v>
      </c>
      <c r="L161" s="156">
        <v>2500000</v>
      </c>
      <c r="M161" s="156">
        <v>2500000</v>
      </c>
      <c r="N161" s="438">
        <f>O161-L161</f>
        <v>45833</v>
      </c>
      <c r="O161" s="168">
        <v>2545833</v>
      </c>
      <c r="P161" s="60" t="s">
        <v>914</v>
      </c>
      <c r="Q161" s="83">
        <v>45683</v>
      </c>
      <c r="R161" s="156">
        <v>2541249</v>
      </c>
      <c r="S161" s="156">
        <v>2587849</v>
      </c>
      <c r="T161" s="83">
        <v>45803</v>
      </c>
      <c r="U161" s="165">
        <v>5.5E-2</v>
      </c>
      <c r="V161" s="439">
        <f>R161</f>
        <v>2541249</v>
      </c>
      <c r="W161" s="3" t="s">
        <v>715</v>
      </c>
      <c r="X161" s="3" t="s">
        <v>904</v>
      </c>
      <c r="Y161" s="89">
        <v>45772</v>
      </c>
    </row>
    <row r="162" spans="1:26" x14ac:dyDescent="0.25">
      <c r="A162" s="440">
        <f>A13+1</f>
        <v>19</v>
      </c>
      <c r="B162" s="6" t="s">
        <v>1</v>
      </c>
      <c r="C162" s="169">
        <v>45253</v>
      </c>
      <c r="D162" s="87">
        <v>42461935379</v>
      </c>
      <c r="E162" s="6" t="s">
        <v>889</v>
      </c>
      <c r="F162" s="165">
        <v>0.1</v>
      </c>
      <c r="G162" s="86" t="s">
        <v>957</v>
      </c>
      <c r="H162" s="87" t="s">
        <v>799</v>
      </c>
      <c r="I162" s="171" t="s">
        <v>836</v>
      </c>
      <c r="J162" s="165">
        <v>6.8000000000000005E-2</v>
      </c>
      <c r="K162" s="156">
        <v>3560000</v>
      </c>
      <c r="L162" s="164">
        <v>3560000</v>
      </c>
      <c r="M162" s="156">
        <v>3783224</v>
      </c>
      <c r="N162" s="441">
        <f>O162-M162</f>
        <v>263894</v>
      </c>
      <c r="O162" s="156">
        <v>4047118</v>
      </c>
      <c r="P162" s="60" t="s">
        <v>900</v>
      </c>
      <c r="Q162" s="83">
        <v>45619</v>
      </c>
      <c r="R162" s="156">
        <v>3783224</v>
      </c>
      <c r="S162" s="156">
        <v>4047118</v>
      </c>
      <c r="T162" s="83">
        <v>45984</v>
      </c>
      <c r="U162" s="165">
        <v>6.8000000000000005E-2</v>
      </c>
      <c r="V162" s="439">
        <f>R162</f>
        <v>3783224</v>
      </c>
      <c r="W162" s="3" t="s">
        <v>715</v>
      </c>
      <c r="X162" s="3" t="s">
        <v>904</v>
      </c>
      <c r="Y162" s="89">
        <v>45772</v>
      </c>
    </row>
    <row r="163" spans="1:26" x14ac:dyDescent="0.25">
      <c r="A163" s="440">
        <f>A41+1</f>
        <v>41</v>
      </c>
      <c r="B163" s="6" t="s">
        <v>1</v>
      </c>
      <c r="C163" s="83">
        <v>45497</v>
      </c>
      <c r="D163" s="155">
        <v>43183927865</v>
      </c>
      <c r="E163" s="6" t="s">
        <v>889</v>
      </c>
      <c r="F163" s="165">
        <v>0.1</v>
      </c>
      <c r="G163" s="182" t="s">
        <v>957</v>
      </c>
      <c r="H163" s="6" t="s">
        <v>799</v>
      </c>
      <c r="I163" s="171" t="s">
        <v>836</v>
      </c>
      <c r="J163" s="165">
        <v>6.8000000000000005E-2</v>
      </c>
      <c r="K163" s="156">
        <v>4700000</v>
      </c>
      <c r="L163" s="156">
        <v>4700000</v>
      </c>
      <c r="M163" s="156">
        <v>4700000</v>
      </c>
      <c r="N163" s="438">
        <f>O163-L163</f>
        <v>327843</v>
      </c>
      <c r="O163" s="168">
        <v>5027843</v>
      </c>
      <c r="P163" s="60" t="s">
        <v>900</v>
      </c>
      <c r="Q163" s="83">
        <v>45862</v>
      </c>
      <c r="R163" s="156" t="s">
        <v>247</v>
      </c>
      <c r="S163" s="156" t="s">
        <v>247</v>
      </c>
      <c r="T163" s="156" t="s">
        <v>247</v>
      </c>
      <c r="U163" s="156" t="s">
        <v>247</v>
      </c>
      <c r="V163" s="439">
        <f>M163</f>
        <v>4700000</v>
      </c>
      <c r="W163" s="3" t="s">
        <v>715</v>
      </c>
      <c r="X163" s="3" t="s">
        <v>904</v>
      </c>
      <c r="Y163" s="89">
        <v>45772</v>
      </c>
    </row>
    <row r="164" spans="1:26" x14ac:dyDescent="0.25">
      <c r="A164" s="3">
        <v>80</v>
      </c>
      <c r="B164" s="6" t="s">
        <v>1</v>
      </c>
      <c r="C164" s="83">
        <v>45811</v>
      </c>
      <c r="D164" s="155">
        <v>44150055369</v>
      </c>
      <c r="E164" s="6" t="s">
        <v>943</v>
      </c>
      <c r="F164" s="165">
        <v>1.1000000000000001</v>
      </c>
      <c r="G164" s="46" t="s">
        <v>962</v>
      </c>
      <c r="H164" s="6" t="s">
        <v>622</v>
      </c>
      <c r="I164" s="6" t="s">
        <v>962</v>
      </c>
      <c r="J164" s="165">
        <v>6.0299999999999999E-2</v>
      </c>
      <c r="K164" s="156">
        <v>94643385</v>
      </c>
      <c r="L164" s="156">
        <v>94643385</v>
      </c>
      <c r="M164" s="156">
        <v>94643385</v>
      </c>
      <c r="N164" s="438">
        <f t="shared" ref="N164" si="49">O164-M164</f>
        <v>2860596</v>
      </c>
      <c r="O164" s="168">
        <v>97503981</v>
      </c>
      <c r="P164" s="60" t="s">
        <v>915</v>
      </c>
      <c r="Q164" s="83">
        <v>45994</v>
      </c>
      <c r="R164" s="38" t="s">
        <v>247</v>
      </c>
      <c r="S164" s="38" t="s">
        <v>247</v>
      </c>
      <c r="T164" s="38" t="s">
        <v>247</v>
      </c>
      <c r="U164" s="38" t="s">
        <v>247</v>
      </c>
      <c r="V164" s="439">
        <f t="shared" ref="V164" si="50">M164</f>
        <v>94643385</v>
      </c>
      <c r="W164" s="3" t="s">
        <v>715</v>
      </c>
      <c r="X164" s="3" t="s">
        <v>888</v>
      </c>
      <c r="Y164" s="89">
        <v>45894</v>
      </c>
      <c r="Z164" t="s">
        <v>963</v>
      </c>
    </row>
    <row r="165" spans="1:26" x14ac:dyDescent="0.25">
      <c r="A165" s="3">
        <v>88</v>
      </c>
      <c r="B165" s="6" t="s">
        <v>1</v>
      </c>
      <c r="C165" s="83">
        <v>45887</v>
      </c>
      <c r="D165" s="155">
        <v>44385268076</v>
      </c>
      <c r="E165" s="34" t="s">
        <v>890</v>
      </c>
      <c r="F165" s="31">
        <v>1</v>
      </c>
      <c r="G165" s="18" t="s">
        <v>858</v>
      </c>
      <c r="H165" s="6" t="s">
        <v>799</v>
      </c>
      <c r="I165" s="49" t="s">
        <v>862</v>
      </c>
      <c r="J165" s="165">
        <v>5.6000000000000001E-2</v>
      </c>
      <c r="K165" s="156">
        <v>200000000</v>
      </c>
      <c r="L165" s="156">
        <v>200000000</v>
      </c>
      <c r="M165" s="156">
        <v>200000000</v>
      </c>
      <c r="N165" s="438">
        <f t="shared" ref="N165" si="51">O165-M165</f>
        <v>6522603</v>
      </c>
      <c r="O165" s="168">
        <v>206522603</v>
      </c>
      <c r="P165" s="60" t="s">
        <v>912</v>
      </c>
      <c r="Q165" s="83">
        <v>46099</v>
      </c>
      <c r="R165" s="38" t="s">
        <v>247</v>
      </c>
      <c r="S165" s="38" t="s">
        <v>247</v>
      </c>
      <c r="T165" s="38" t="s">
        <v>247</v>
      </c>
      <c r="U165" s="38" t="s">
        <v>247</v>
      </c>
      <c r="V165" s="439">
        <f t="shared" ref="V165" si="52">M165</f>
        <v>200000000</v>
      </c>
      <c r="W165" s="3" t="s">
        <v>715</v>
      </c>
      <c r="X165" s="3" t="s">
        <v>904</v>
      </c>
      <c r="Y165" s="89">
        <v>45903</v>
      </c>
    </row>
    <row r="166" spans="1:26" x14ac:dyDescent="0.25">
      <c r="A166" s="3">
        <v>89</v>
      </c>
      <c r="B166" s="6" t="s">
        <v>1</v>
      </c>
      <c r="C166" s="83">
        <v>45894</v>
      </c>
      <c r="D166" s="155">
        <v>44403110362</v>
      </c>
      <c r="E166" s="6" t="s">
        <v>943</v>
      </c>
      <c r="F166" s="165">
        <v>1.1000000000000001</v>
      </c>
      <c r="G166" s="6" t="s">
        <v>962</v>
      </c>
      <c r="H166" s="6" t="s">
        <v>622</v>
      </c>
      <c r="I166" s="6" t="s">
        <v>962</v>
      </c>
      <c r="J166" s="165">
        <v>5.0999999999999997E-2</v>
      </c>
      <c r="K166" s="156">
        <v>87505000</v>
      </c>
      <c r="L166" s="156">
        <v>87505000</v>
      </c>
      <c r="M166" s="156">
        <v>87505000</v>
      </c>
      <c r="N166" s="438">
        <f t="shared" ref="N166" si="53">O166-M166</f>
        <v>1213503</v>
      </c>
      <c r="O166" s="168">
        <v>88718503</v>
      </c>
      <c r="P166" s="60" t="s">
        <v>964</v>
      </c>
      <c r="Q166" s="83">
        <v>45994</v>
      </c>
      <c r="R166" s="38" t="s">
        <v>247</v>
      </c>
      <c r="S166" s="38" t="s">
        <v>247</v>
      </c>
      <c r="T166" s="38" t="s">
        <v>247</v>
      </c>
      <c r="U166" s="38" t="s">
        <v>247</v>
      </c>
      <c r="V166" s="439">
        <f t="shared" ref="V166" si="54">M166</f>
        <v>87505000</v>
      </c>
      <c r="W166" s="3" t="s">
        <v>715</v>
      </c>
      <c r="X166" s="3" t="s">
        <v>904</v>
      </c>
      <c r="Y166" s="89">
        <v>45917</v>
      </c>
    </row>
    <row r="167" spans="1:26" x14ac:dyDescent="0.25">
      <c r="A167" s="3">
        <v>63</v>
      </c>
      <c r="B167" s="6" t="s">
        <v>1</v>
      </c>
      <c r="C167" s="83">
        <v>45869</v>
      </c>
      <c r="D167" s="155">
        <v>44329545139</v>
      </c>
      <c r="E167" s="6" t="s">
        <v>943</v>
      </c>
      <c r="F167" s="165">
        <v>1.1000000000000001</v>
      </c>
      <c r="G167" s="6"/>
      <c r="H167" s="6" t="s">
        <v>622</v>
      </c>
      <c r="I167" s="6"/>
      <c r="J167" s="165">
        <v>5.0999999999999997E-2</v>
      </c>
      <c r="K167" s="156">
        <v>74000000</v>
      </c>
      <c r="L167" s="156">
        <v>74000000</v>
      </c>
      <c r="M167" s="156">
        <v>74000000</v>
      </c>
      <c r="N167" s="438">
        <f t="shared" ref="N167" si="55">O167-M167</f>
        <v>630723</v>
      </c>
      <c r="O167" s="168">
        <v>74630723</v>
      </c>
      <c r="P167" s="60" t="s">
        <v>965</v>
      </c>
      <c r="Q167" s="83">
        <v>45930</v>
      </c>
      <c r="R167" s="38" t="s">
        <v>247</v>
      </c>
      <c r="S167" s="38" t="s">
        <v>247</v>
      </c>
      <c r="T167" s="35" t="s">
        <v>247</v>
      </c>
      <c r="U167" s="214" t="s">
        <v>247</v>
      </c>
      <c r="V167" s="38">
        <v>74567650</v>
      </c>
      <c r="W167" s="3" t="s">
        <v>715</v>
      </c>
      <c r="X167" s="3" t="s">
        <v>904</v>
      </c>
      <c r="Y167" s="89">
        <v>45948</v>
      </c>
    </row>
    <row r="168" spans="1:26" x14ac:dyDescent="0.25">
      <c r="A168" s="3">
        <v>65</v>
      </c>
      <c r="B168" s="6" t="s">
        <v>1</v>
      </c>
      <c r="C168" s="83">
        <v>45869</v>
      </c>
      <c r="D168" s="155">
        <v>44329543255</v>
      </c>
      <c r="E168" s="6" t="s">
        <v>943</v>
      </c>
      <c r="F168" s="165">
        <v>1.1000000000000001</v>
      </c>
      <c r="G168" s="6"/>
      <c r="H168" s="6" t="s">
        <v>622</v>
      </c>
      <c r="I168" s="6"/>
      <c r="J168" s="165">
        <v>5.0999999999999997E-2</v>
      </c>
      <c r="K168" s="156">
        <v>39700000</v>
      </c>
      <c r="L168" s="156">
        <v>39700000</v>
      </c>
      <c r="M168" s="156">
        <v>39700000</v>
      </c>
      <c r="N168" s="438">
        <f t="shared" ref="N168" si="56">O168-M168</f>
        <v>338375</v>
      </c>
      <c r="O168" s="168">
        <v>40038375</v>
      </c>
      <c r="P168" s="60" t="s">
        <v>965</v>
      </c>
      <c r="Q168" s="83">
        <v>45930</v>
      </c>
      <c r="R168" s="38" t="s">
        <v>247</v>
      </c>
      <c r="S168" s="38" t="s">
        <v>247</v>
      </c>
      <c r="T168" s="35" t="s">
        <v>247</v>
      </c>
      <c r="U168" s="214" t="s">
        <v>247</v>
      </c>
      <c r="V168" s="38">
        <v>40004537</v>
      </c>
      <c r="W168" s="3" t="s">
        <v>715</v>
      </c>
      <c r="X168" s="3" t="s">
        <v>904</v>
      </c>
      <c r="Y168" s="89">
        <v>45948</v>
      </c>
    </row>
    <row r="169" spans="1:26" x14ac:dyDescent="0.25">
      <c r="A169" s="3">
        <v>66</v>
      </c>
      <c r="B169" s="6" t="s">
        <v>1</v>
      </c>
      <c r="C169" s="83">
        <v>45869</v>
      </c>
      <c r="D169" s="155">
        <v>44329544180</v>
      </c>
      <c r="E169" s="6" t="s">
        <v>943</v>
      </c>
      <c r="F169" s="165">
        <v>1.1000000000000001</v>
      </c>
      <c r="G169" s="6"/>
      <c r="H169" s="6" t="s">
        <v>622</v>
      </c>
      <c r="I169" s="6"/>
      <c r="J169" s="165">
        <v>5.0999999999999997E-2</v>
      </c>
      <c r="K169" s="156">
        <v>99000000</v>
      </c>
      <c r="L169" s="156">
        <v>99000000</v>
      </c>
      <c r="M169" s="156">
        <v>99000000</v>
      </c>
      <c r="N169" s="438">
        <f t="shared" ref="N169" si="57">O169-M169</f>
        <v>843805</v>
      </c>
      <c r="O169" s="168">
        <v>99843805</v>
      </c>
      <c r="P169" s="60" t="s">
        <v>965</v>
      </c>
      <c r="Q169" s="83">
        <v>45930</v>
      </c>
      <c r="R169" s="38" t="s">
        <v>247</v>
      </c>
      <c r="S169" s="38" t="s">
        <v>247</v>
      </c>
      <c r="T169" s="35" t="s">
        <v>247</v>
      </c>
      <c r="U169" s="214" t="s">
        <v>247</v>
      </c>
      <c r="V169" s="38">
        <v>99759424</v>
      </c>
      <c r="W169" s="3" t="s">
        <v>715</v>
      </c>
      <c r="X169" s="3" t="s">
        <v>904</v>
      </c>
      <c r="Y169" s="89">
        <v>45948</v>
      </c>
    </row>
    <row r="170" spans="1:26" x14ac:dyDescent="0.25">
      <c r="A170" s="3">
        <v>64</v>
      </c>
      <c r="B170" s="6" t="s">
        <v>1</v>
      </c>
      <c r="C170" s="83">
        <v>45869</v>
      </c>
      <c r="D170" s="155">
        <v>44329542150</v>
      </c>
      <c r="E170" s="6" t="s">
        <v>943</v>
      </c>
      <c r="F170" s="165">
        <v>1.1000000000000001</v>
      </c>
      <c r="G170" s="6"/>
      <c r="H170" s="6" t="s">
        <v>622</v>
      </c>
      <c r="I170" s="6"/>
      <c r="J170" s="165">
        <v>5.0999999999999997E-2</v>
      </c>
      <c r="K170" s="156">
        <v>80500000</v>
      </c>
      <c r="L170" s="156">
        <v>80500000</v>
      </c>
      <c r="M170" s="156">
        <v>80500000</v>
      </c>
      <c r="N170" s="438">
        <f t="shared" ref="N170" si="58">O170-M170</f>
        <v>686125</v>
      </c>
      <c r="O170" s="168">
        <v>81186125</v>
      </c>
      <c r="P170" s="60" t="s">
        <v>965</v>
      </c>
      <c r="Q170" s="83">
        <v>45930</v>
      </c>
      <c r="R170" s="38" t="s">
        <v>247</v>
      </c>
      <c r="S170" s="38" t="s">
        <v>247</v>
      </c>
      <c r="T170" s="35" t="s">
        <v>247</v>
      </c>
      <c r="U170" s="214" t="s">
        <v>247</v>
      </c>
      <c r="V170" s="38">
        <v>81117512</v>
      </c>
      <c r="W170" s="3" t="s">
        <v>715</v>
      </c>
      <c r="X170" s="3" t="s">
        <v>904</v>
      </c>
      <c r="Y170" s="89">
        <v>45948</v>
      </c>
    </row>
    <row r="171" spans="1:26" x14ac:dyDescent="0.25">
      <c r="A171" s="3">
        <v>73</v>
      </c>
      <c r="B171" s="6" t="s">
        <v>1</v>
      </c>
      <c r="C171" s="83">
        <v>45898</v>
      </c>
      <c r="D171" s="155">
        <v>44416424364</v>
      </c>
      <c r="E171" s="6" t="s">
        <v>943</v>
      </c>
      <c r="F171" s="165">
        <v>1.1000000000000001</v>
      </c>
      <c r="G171" s="6"/>
      <c r="H171" s="6" t="s">
        <v>622</v>
      </c>
      <c r="I171" s="6"/>
      <c r="J171" s="165">
        <v>5.0999999999999997E-2</v>
      </c>
      <c r="K171" s="156">
        <v>100806000</v>
      </c>
      <c r="L171" s="156">
        <v>100806000</v>
      </c>
      <c r="M171" s="156">
        <v>100806000</v>
      </c>
      <c r="N171" s="438">
        <f t="shared" ref="N171" si="59">O171-M171</f>
        <v>859199</v>
      </c>
      <c r="O171" s="168">
        <v>101665199</v>
      </c>
      <c r="P171" s="60" t="s">
        <v>965</v>
      </c>
      <c r="Q171" s="83">
        <v>45959</v>
      </c>
      <c r="R171" s="38" t="s">
        <v>247</v>
      </c>
      <c r="S171" s="38" t="s">
        <v>247</v>
      </c>
      <c r="T171" s="35" t="s">
        <v>247</v>
      </c>
      <c r="U171" s="38" t="s">
        <v>247</v>
      </c>
      <c r="V171" s="439">
        <f t="shared" ref="V171" si="60">M171</f>
        <v>100806000</v>
      </c>
      <c r="W171" s="3" t="s">
        <v>715</v>
      </c>
      <c r="X171" s="3" t="s">
        <v>904</v>
      </c>
      <c r="Y171" s="89">
        <v>45958</v>
      </c>
    </row>
    <row r="172" spans="1:26" x14ac:dyDescent="0.25">
      <c r="A172" s="3">
        <v>76</v>
      </c>
      <c r="B172" s="6" t="s">
        <v>1</v>
      </c>
      <c r="C172" s="83">
        <v>45908</v>
      </c>
      <c r="D172" s="155">
        <v>44450021622</v>
      </c>
      <c r="E172" s="6" t="s">
        <v>943</v>
      </c>
      <c r="F172" s="165">
        <v>1.1000000000000001</v>
      </c>
      <c r="G172" s="6"/>
      <c r="H172" s="6" t="s">
        <v>622</v>
      </c>
      <c r="I172" s="6"/>
      <c r="J172" s="165">
        <v>5.0999999999999997E-2</v>
      </c>
      <c r="K172" s="156">
        <v>107105000</v>
      </c>
      <c r="L172" s="156">
        <v>107105000</v>
      </c>
      <c r="M172" s="156">
        <v>107105000</v>
      </c>
      <c r="N172" s="438">
        <f t="shared" ref="N172" si="61">O172-M172</f>
        <v>912887</v>
      </c>
      <c r="O172" s="168">
        <v>108017887</v>
      </c>
      <c r="P172" s="60" t="s">
        <v>965</v>
      </c>
      <c r="Q172" s="83">
        <v>45969</v>
      </c>
      <c r="R172" s="38" t="s">
        <v>247</v>
      </c>
      <c r="S172" s="38" t="s">
        <v>247</v>
      </c>
      <c r="T172" s="38" t="s">
        <v>247</v>
      </c>
      <c r="U172" s="38" t="s">
        <v>247</v>
      </c>
      <c r="V172" s="439">
        <f t="shared" ref="V172" si="62">M172</f>
        <v>107105000</v>
      </c>
      <c r="W172" s="3" t="s">
        <v>715</v>
      </c>
      <c r="X172" s="3" t="s">
        <v>904</v>
      </c>
      <c r="Y172" s="89">
        <v>45958</v>
      </c>
    </row>
    <row r="173" spans="1:26" x14ac:dyDescent="0.25">
      <c r="A173" s="3">
        <v>77</v>
      </c>
      <c r="B173" s="6" t="s">
        <v>1</v>
      </c>
      <c r="C173" s="83">
        <v>45908</v>
      </c>
      <c r="D173" s="155">
        <v>44450025923</v>
      </c>
      <c r="E173" s="6" t="s">
        <v>943</v>
      </c>
      <c r="F173" s="165">
        <v>1.1000000000000001</v>
      </c>
      <c r="G173" s="6"/>
      <c r="H173" s="6" t="s">
        <v>622</v>
      </c>
      <c r="I173" s="6"/>
      <c r="J173" s="165">
        <v>5.0999999999999997E-2</v>
      </c>
      <c r="K173" s="156">
        <v>50876000</v>
      </c>
      <c r="L173" s="156">
        <v>50876000</v>
      </c>
      <c r="M173" s="156">
        <v>50876000</v>
      </c>
      <c r="N173" s="438">
        <f t="shared" ref="N173" si="63">O173-M173</f>
        <v>433631</v>
      </c>
      <c r="O173" s="168">
        <v>51309631</v>
      </c>
      <c r="P173" s="60" t="s">
        <v>965</v>
      </c>
      <c r="Q173" s="83">
        <v>45969</v>
      </c>
      <c r="R173" s="38" t="s">
        <v>247</v>
      </c>
      <c r="S173" s="38" t="s">
        <v>247</v>
      </c>
      <c r="T173" s="38" t="s">
        <v>247</v>
      </c>
      <c r="U173" s="38" t="s">
        <v>247</v>
      </c>
      <c r="V173" s="439">
        <f t="shared" ref="V173" si="64">M173</f>
        <v>50876000</v>
      </c>
      <c r="W173" s="3" t="s">
        <v>715</v>
      </c>
      <c r="X173" s="3" t="s">
        <v>904</v>
      </c>
      <c r="Y173" s="89">
        <v>45958</v>
      </c>
    </row>
    <row r="174" spans="1:26" x14ac:dyDescent="0.25">
      <c r="A174" s="3">
        <v>75</v>
      </c>
      <c r="B174" s="6" t="s">
        <v>1</v>
      </c>
      <c r="C174" s="83">
        <v>45908</v>
      </c>
      <c r="D174" s="155">
        <v>44449971000</v>
      </c>
      <c r="E174" s="6" t="s">
        <v>943</v>
      </c>
      <c r="F174" s="165">
        <v>1.1000000000000001</v>
      </c>
      <c r="G174" s="6"/>
      <c r="H174" s="6" t="s">
        <v>622</v>
      </c>
      <c r="I174" s="6"/>
      <c r="J174" s="165">
        <v>4.9000000000000002E-2</v>
      </c>
      <c r="K174" s="156">
        <v>25061000</v>
      </c>
      <c r="L174" s="156">
        <v>25061000</v>
      </c>
      <c r="M174" s="156">
        <v>25061000</v>
      </c>
      <c r="N174" s="438">
        <f t="shared" ref="N174" si="65">O174-M174</f>
        <v>205226</v>
      </c>
      <c r="O174" s="168">
        <v>25266226</v>
      </c>
      <c r="P174" s="60" t="s">
        <v>965</v>
      </c>
      <c r="Q174" s="83">
        <v>45969</v>
      </c>
      <c r="R174" s="38" t="s">
        <v>247</v>
      </c>
      <c r="S174" s="38" t="s">
        <v>247</v>
      </c>
      <c r="T174" s="38" t="s">
        <v>247</v>
      </c>
      <c r="U174" s="38" t="s">
        <v>247</v>
      </c>
      <c r="V174" s="439">
        <f t="shared" ref="V174" si="66">M174</f>
        <v>25061000</v>
      </c>
      <c r="W174" s="3" t="s">
        <v>715</v>
      </c>
      <c r="X174" s="3" t="s">
        <v>904</v>
      </c>
      <c r="Y174" s="89">
        <v>45958</v>
      </c>
    </row>
    <row r="175" spans="1:26" x14ac:dyDescent="0.25">
      <c r="A175" s="3">
        <v>82</v>
      </c>
      <c r="B175" s="6" t="s">
        <v>1</v>
      </c>
      <c r="C175" s="83">
        <v>45922</v>
      </c>
      <c r="D175" s="155">
        <v>44491018782</v>
      </c>
      <c r="E175" s="6" t="s">
        <v>943</v>
      </c>
      <c r="F175" s="165">
        <v>1.1000000000000001</v>
      </c>
      <c r="G175" s="6"/>
      <c r="H175" s="6" t="s">
        <v>622</v>
      </c>
      <c r="I175" s="6"/>
      <c r="J175" s="165">
        <v>5.0999999999999997E-2</v>
      </c>
      <c r="K175" s="156">
        <v>106800000</v>
      </c>
      <c r="L175" s="156">
        <v>106800000</v>
      </c>
      <c r="M175" s="156">
        <v>106800000</v>
      </c>
      <c r="N175" s="438">
        <f t="shared" ref="N175" si="67">O175-M175</f>
        <v>910287</v>
      </c>
      <c r="O175" s="168">
        <v>107710287</v>
      </c>
      <c r="P175" s="60" t="s">
        <v>965</v>
      </c>
      <c r="Q175" s="83">
        <v>45983</v>
      </c>
      <c r="R175" s="38" t="s">
        <v>247</v>
      </c>
      <c r="S175" s="38" t="s">
        <v>247</v>
      </c>
      <c r="T175" s="38" t="s">
        <v>247</v>
      </c>
      <c r="U175" s="38" t="s">
        <v>247</v>
      </c>
      <c r="V175" s="439">
        <f t="shared" ref="V175" si="68">M175</f>
        <v>106800000</v>
      </c>
      <c r="W175" s="3" t="s">
        <v>715</v>
      </c>
      <c r="X175" s="3" t="s">
        <v>904</v>
      </c>
      <c r="Y175" s="89">
        <v>45958</v>
      </c>
    </row>
    <row r="176" spans="1:26" x14ac:dyDescent="0.25">
      <c r="A176" s="3">
        <v>62</v>
      </c>
      <c r="B176" s="6" t="s">
        <v>1</v>
      </c>
      <c r="C176" s="83">
        <v>45869</v>
      </c>
      <c r="D176" s="155">
        <v>44329545956</v>
      </c>
      <c r="E176" s="6" t="s">
        <v>943</v>
      </c>
      <c r="F176" s="165">
        <v>1.1000000000000001</v>
      </c>
      <c r="G176" s="6"/>
      <c r="H176" s="6" t="s">
        <v>622</v>
      </c>
      <c r="I176" s="6"/>
      <c r="J176" s="165">
        <v>5.0999999999999997E-2</v>
      </c>
      <c r="K176" s="156">
        <v>30000000</v>
      </c>
      <c r="L176" s="156">
        <v>30000000</v>
      </c>
      <c r="M176" s="156">
        <v>30000000</v>
      </c>
      <c r="N176" s="438">
        <f t="shared" ref="N176" si="69">O176-M176</f>
        <v>510000</v>
      </c>
      <c r="O176" s="168">
        <v>30510000</v>
      </c>
      <c r="P176" s="60" t="s">
        <v>914</v>
      </c>
      <c r="Q176" s="83">
        <v>45991</v>
      </c>
      <c r="R176" s="38" t="s">
        <v>247</v>
      </c>
      <c r="S176" s="38" t="s">
        <v>247</v>
      </c>
      <c r="T176" s="35" t="s">
        <v>247</v>
      </c>
      <c r="U176" s="214" t="s">
        <v>247</v>
      </c>
      <c r="V176" s="439">
        <f t="shared" ref="V176" si="70">M176</f>
        <v>30000000</v>
      </c>
      <c r="W176" s="3" t="s">
        <v>715</v>
      </c>
      <c r="X176" s="3" t="s">
        <v>904</v>
      </c>
      <c r="Y176" s="89">
        <v>45967</v>
      </c>
    </row>
    <row r="177" spans="1:25" x14ac:dyDescent="0.25">
      <c r="A177" s="3">
        <v>68</v>
      </c>
      <c r="B177" s="6" t="s">
        <v>1</v>
      </c>
      <c r="C177" s="83">
        <v>45898</v>
      </c>
      <c r="D177" s="155">
        <v>44416421181</v>
      </c>
      <c r="E177" s="6" t="s">
        <v>943</v>
      </c>
      <c r="F177" s="165">
        <v>1.1000000000000001</v>
      </c>
      <c r="G177" s="6"/>
      <c r="H177" s="6" t="s">
        <v>622</v>
      </c>
      <c r="I177" s="6"/>
      <c r="J177" s="165">
        <v>4.9000000000000002E-2</v>
      </c>
      <c r="K177" s="156">
        <v>29358000</v>
      </c>
      <c r="L177" s="156">
        <v>29358000</v>
      </c>
      <c r="M177" s="156">
        <v>29358000</v>
      </c>
      <c r="N177" s="438">
        <f t="shared" ref="N177" si="71">O177-M177</f>
        <v>240414</v>
      </c>
      <c r="O177" s="168">
        <v>29598414</v>
      </c>
      <c r="P177" s="60" t="s">
        <v>965</v>
      </c>
      <c r="Q177" s="83">
        <v>45959</v>
      </c>
      <c r="R177" s="38">
        <v>29574372</v>
      </c>
      <c r="S177" s="38">
        <v>29816558</v>
      </c>
      <c r="T177" s="35">
        <v>46020</v>
      </c>
      <c r="U177" s="219">
        <v>4.9000000000000004</v>
      </c>
      <c r="V177" s="439">
        <f t="shared" ref="V177" si="72">M177</f>
        <v>29358000</v>
      </c>
      <c r="W177" s="3" t="s">
        <v>715</v>
      </c>
      <c r="X177" s="3" t="s">
        <v>904</v>
      </c>
      <c r="Y177" s="89">
        <v>45971</v>
      </c>
    </row>
    <row r="178" spans="1:25" x14ac:dyDescent="0.25">
      <c r="A178" s="3">
        <v>69</v>
      </c>
      <c r="B178" s="6" t="s">
        <v>1</v>
      </c>
      <c r="C178" s="83">
        <v>45898</v>
      </c>
      <c r="D178" s="155">
        <v>44416448910</v>
      </c>
      <c r="E178" s="6" t="s">
        <v>943</v>
      </c>
      <c r="F178" s="165">
        <v>1.1000000000000001</v>
      </c>
      <c r="G178" s="6"/>
      <c r="H178" s="6" t="s">
        <v>622</v>
      </c>
      <c r="I178" s="6"/>
      <c r="J178" s="165">
        <v>5.0999999999999997E-2</v>
      </c>
      <c r="K178" s="156">
        <v>30250000</v>
      </c>
      <c r="L178" s="156">
        <v>30250000</v>
      </c>
      <c r="M178" s="156">
        <v>30250000</v>
      </c>
      <c r="N178" s="438">
        <f t="shared" ref="N178" si="73">O178-M178</f>
        <v>257829</v>
      </c>
      <c r="O178" s="168">
        <v>30507829</v>
      </c>
      <c r="P178" s="60" t="s">
        <v>965</v>
      </c>
      <c r="Q178" s="83">
        <v>45959</v>
      </c>
      <c r="R178" s="38">
        <v>30482046</v>
      </c>
      <c r="S178" s="38">
        <v>30741853</v>
      </c>
      <c r="T178" s="35">
        <v>46020</v>
      </c>
      <c r="U178" s="219">
        <v>5.0999999999999996</v>
      </c>
      <c r="V178" s="439">
        <f t="shared" ref="V178" si="74">M178</f>
        <v>30250000</v>
      </c>
      <c r="W178" s="3" t="s">
        <v>715</v>
      </c>
      <c r="X178" s="3" t="s">
        <v>904</v>
      </c>
      <c r="Y178" s="89">
        <v>45971</v>
      </c>
    </row>
    <row r="179" spans="1:25" x14ac:dyDescent="0.25">
      <c r="A179" s="3">
        <v>71</v>
      </c>
      <c r="B179" s="6" t="s">
        <v>1</v>
      </c>
      <c r="C179" s="83">
        <v>45898</v>
      </c>
      <c r="D179" s="155">
        <v>44416423075</v>
      </c>
      <c r="E179" s="6" t="s">
        <v>943</v>
      </c>
      <c r="F179" s="165">
        <v>1.1000000000000001</v>
      </c>
      <c r="G179" s="6"/>
      <c r="H179" s="6" t="s">
        <v>622</v>
      </c>
      <c r="I179" s="6"/>
      <c r="J179" s="165">
        <v>5.0999999999999997E-2</v>
      </c>
      <c r="K179" s="156">
        <v>72980000</v>
      </c>
      <c r="L179" s="156">
        <v>72980000</v>
      </c>
      <c r="M179" s="156">
        <v>72980000</v>
      </c>
      <c r="N179" s="438">
        <f t="shared" ref="N179" si="75">O179-M179</f>
        <v>622030</v>
      </c>
      <c r="O179" s="168">
        <v>73602030</v>
      </c>
      <c r="P179" s="60" t="s">
        <v>965</v>
      </c>
      <c r="Q179" s="83">
        <v>45959</v>
      </c>
      <c r="R179" s="38">
        <v>73539827</v>
      </c>
      <c r="S179" s="38">
        <v>74166628</v>
      </c>
      <c r="T179" s="35">
        <v>46020</v>
      </c>
      <c r="U179" s="219">
        <v>5.0999999999999996</v>
      </c>
      <c r="V179" s="439">
        <f t="shared" ref="V179" si="76">M179</f>
        <v>72980000</v>
      </c>
      <c r="W179" s="3" t="s">
        <v>715</v>
      </c>
      <c r="X179" s="3" t="s">
        <v>904</v>
      </c>
      <c r="Y179" s="89">
        <v>45978</v>
      </c>
    </row>
    <row r="180" spans="1:25" x14ac:dyDescent="0.25">
      <c r="A180" s="3">
        <v>81</v>
      </c>
      <c r="B180" s="6" t="s">
        <v>1</v>
      </c>
      <c r="C180" s="83">
        <v>45922</v>
      </c>
      <c r="D180" s="155">
        <v>44491011367</v>
      </c>
      <c r="E180" s="6" t="s">
        <v>943</v>
      </c>
      <c r="F180" s="165">
        <v>1.1000000000000001</v>
      </c>
      <c r="G180" s="6"/>
      <c r="H180" s="6" t="s">
        <v>622</v>
      </c>
      <c r="I180" s="6"/>
      <c r="J180" s="165">
        <v>5.6500000000000002E-2</v>
      </c>
      <c r="K180" s="156">
        <v>10700000</v>
      </c>
      <c r="L180" s="156">
        <v>10700000</v>
      </c>
      <c r="M180" s="156">
        <v>10700000</v>
      </c>
      <c r="N180" s="438">
        <f t="shared" ref="N180" si="77">O180-M180</f>
        <v>304410</v>
      </c>
      <c r="O180" s="168">
        <v>11004410</v>
      </c>
      <c r="P180" s="60" t="s">
        <v>915</v>
      </c>
      <c r="Q180" s="83">
        <v>46103</v>
      </c>
      <c r="R180" s="38" t="s">
        <v>247</v>
      </c>
      <c r="S180" s="38" t="s">
        <v>247</v>
      </c>
      <c r="T180" s="38" t="s">
        <v>247</v>
      </c>
      <c r="U180" s="38" t="s">
        <v>247</v>
      </c>
      <c r="V180" s="439">
        <f t="shared" ref="V180" si="78">M180</f>
        <v>10700000</v>
      </c>
      <c r="W180" s="3" t="s">
        <v>715</v>
      </c>
      <c r="X180" s="3" t="s">
        <v>904</v>
      </c>
      <c r="Y180" s="89">
        <v>45987</v>
      </c>
    </row>
    <row r="181" spans="1:25" x14ac:dyDescent="0.25">
      <c r="A181" s="3">
        <v>84</v>
      </c>
      <c r="B181" s="6" t="s">
        <v>1</v>
      </c>
      <c r="C181" s="83">
        <v>45926</v>
      </c>
      <c r="D181" s="155">
        <v>44504583561</v>
      </c>
      <c r="E181" s="6" t="s">
        <v>901</v>
      </c>
      <c r="F181" s="165">
        <v>1</v>
      </c>
      <c r="G181" s="6" t="s">
        <v>966</v>
      </c>
      <c r="H181" s="6" t="s">
        <v>622</v>
      </c>
      <c r="I181" s="6" t="s">
        <v>966</v>
      </c>
      <c r="J181" s="165">
        <v>4.9000000000000002E-2</v>
      </c>
      <c r="K181" s="156">
        <v>21000000</v>
      </c>
      <c r="L181" s="156">
        <v>21000000</v>
      </c>
      <c r="M181" s="156">
        <v>21000000</v>
      </c>
      <c r="N181" s="438">
        <f t="shared" ref="N181" si="79">O181-M181</f>
        <v>140959</v>
      </c>
      <c r="O181" s="168">
        <v>21140959</v>
      </c>
      <c r="P181" s="60" t="s">
        <v>967</v>
      </c>
      <c r="Q181" s="83">
        <v>45976</v>
      </c>
      <c r="R181" s="38" t="s">
        <v>247</v>
      </c>
      <c r="S181" s="38" t="s">
        <v>247</v>
      </c>
      <c r="T181" s="38" t="s">
        <v>247</v>
      </c>
      <c r="U181" s="38" t="s">
        <v>247</v>
      </c>
      <c r="V181" s="439">
        <f t="shared" ref="V181" si="80">M181</f>
        <v>21000000</v>
      </c>
      <c r="W181" s="3" t="s">
        <v>715</v>
      </c>
      <c r="X181" s="3" t="s">
        <v>920</v>
      </c>
      <c r="Y181" s="89">
        <v>45989</v>
      </c>
    </row>
    <row r="182" spans="1:25" x14ac:dyDescent="0.25">
      <c r="A182" s="3">
        <v>78</v>
      </c>
      <c r="B182" s="6" t="s">
        <v>1</v>
      </c>
      <c r="C182" s="83">
        <v>45908</v>
      </c>
      <c r="D182" s="155">
        <v>44449974158</v>
      </c>
      <c r="E182" s="6" t="s">
        <v>943</v>
      </c>
      <c r="F182" s="165">
        <v>1.1000000000000001</v>
      </c>
      <c r="G182" s="6"/>
      <c r="H182" s="6" t="s">
        <v>622</v>
      </c>
      <c r="I182" s="6"/>
      <c r="J182" s="165">
        <v>5.0999999999999997E-2</v>
      </c>
      <c r="K182" s="156">
        <v>42717000</v>
      </c>
      <c r="L182" s="156">
        <v>42717000</v>
      </c>
      <c r="M182" s="156">
        <v>42717000</v>
      </c>
      <c r="N182" s="438">
        <f t="shared" ref="N182" si="81">O182-M182</f>
        <v>364089</v>
      </c>
      <c r="O182" s="168">
        <v>43081089</v>
      </c>
      <c r="P182" s="60" t="s">
        <v>965</v>
      </c>
      <c r="Q182" s="83">
        <v>45969</v>
      </c>
      <c r="R182" s="38" t="s">
        <v>247</v>
      </c>
      <c r="S182" s="38" t="s">
        <v>247</v>
      </c>
      <c r="T182" s="38" t="s">
        <v>247</v>
      </c>
      <c r="U182" s="38" t="s">
        <v>247</v>
      </c>
      <c r="V182" s="439">
        <f t="shared" ref="V182" si="82">M182</f>
        <v>42717000</v>
      </c>
      <c r="W182" s="3" t="s">
        <v>715</v>
      </c>
      <c r="X182" s="3" t="s">
        <v>904</v>
      </c>
      <c r="Y182" s="89">
        <v>45989</v>
      </c>
    </row>
    <row r="183" spans="1:25" x14ac:dyDescent="0.25">
      <c r="A183" s="3">
        <v>83</v>
      </c>
      <c r="B183" s="6" t="s">
        <v>1</v>
      </c>
      <c r="C183" s="83">
        <v>45926</v>
      </c>
      <c r="D183" s="155">
        <v>44504582455</v>
      </c>
      <c r="E183" s="6" t="s">
        <v>901</v>
      </c>
      <c r="F183" s="165">
        <v>1</v>
      </c>
      <c r="G183" s="6" t="s">
        <v>968</v>
      </c>
      <c r="H183" s="6" t="s">
        <v>622</v>
      </c>
      <c r="I183" s="6" t="s">
        <v>968</v>
      </c>
      <c r="J183" s="165">
        <v>5.0999999999999997E-2</v>
      </c>
      <c r="K183" s="156">
        <v>94950000</v>
      </c>
      <c r="L183" s="156">
        <v>94950000</v>
      </c>
      <c r="M183" s="156">
        <v>94950000</v>
      </c>
      <c r="N183" s="438">
        <f t="shared" ref="N183" si="83">O183-M183</f>
        <v>663349</v>
      </c>
      <c r="O183" s="168">
        <v>95613349</v>
      </c>
      <c r="P183" s="60" t="s">
        <v>967</v>
      </c>
      <c r="Q183" s="83">
        <v>45976</v>
      </c>
      <c r="R183" s="38" t="s">
        <v>247</v>
      </c>
      <c r="S183" s="38" t="s">
        <v>247</v>
      </c>
      <c r="T183" s="38" t="s">
        <v>247</v>
      </c>
      <c r="U183" s="38" t="s">
        <v>247</v>
      </c>
      <c r="V183" s="439">
        <f t="shared" ref="V183" si="84">M183</f>
        <v>94950000</v>
      </c>
      <c r="W183" s="3" t="s">
        <v>715</v>
      </c>
      <c r="X183" s="3" t="s">
        <v>904</v>
      </c>
      <c r="Y183" s="89">
        <v>45992</v>
      </c>
    </row>
    <row r="184" spans="1:25" x14ac:dyDescent="0.25">
      <c r="A184" s="3">
        <v>72</v>
      </c>
      <c r="B184" s="6" t="s">
        <v>1</v>
      </c>
      <c r="C184" s="83">
        <v>45898</v>
      </c>
      <c r="D184" s="155">
        <v>44416459466</v>
      </c>
      <c r="E184" s="6" t="s">
        <v>943</v>
      </c>
      <c r="F184" s="165">
        <v>1.1000000000000001</v>
      </c>
      <c r="G184" s="6"/>
      <c r="H184" s="6" t="s">
        <v>622</v>
      </c>
      <c r="I184" s="6"/>
      <c r="J184" s="165">
        <v>5.0999999999999997E-2</v>
      </c>
      <c r="K184" s="156">
        <v>79406000</v>
      </c>
      <c r="L184" s="156">
        <v>79406000</v>
      </c>
      <c r="M184" s="156">
        <v>79406000</v>
      </c>
      <c r="N184" s="438">
        <f t="shared" ref="N184" si="85">O184-M184</f>
        <v>676800</v>
      </c>
      <c r="O184" s="168">
        <v>80082800</v>
      </c>
      <c r="P184" s="60" t="s">
        <v>965</v>
      </c>
      <c r="Q184" s="83">
        <v>45959</v>
      </c>
      <c r="R184" s="38">
        <v>80015119</v>
      </c>
      <c r="S184" s="38">
        <v>80697111</v>
      </c>
      <c r="T184" s="35">
        <v>46020</v>
      </c>
      <c r="U184" s="219">
        <v>5.0999999999999996</v>
      </c>
      <c r="V184" s="439">
        <f t="shared" ref="V184" si="86">M184</f>
        <v>79406000</v>
      </c>
      <c r="W184" s="3" t="s">
        <v>715</v>
      </c>
      <c r="X184" s="3" t="s">
        <v>904</v>
      </c>
      <c r="Y184" s="89">
        <v>46001</v>
      </c>
    </row>
    <row r="185" spans="1:25" x14ac:dyDescent="0.25">
      <c r="A185" s="3">
        <v>88</v>
      </c>
      <c r="B185" s="6" t="s">
        <v>1</v>
      </c>
      <c r="C185" s="83">
        <v>45986</v>
      </c>
      <c r="D185" s="155">
        <v>44674629853</v>
      </c>
      <c r="E185" s="6" t="s">
        <v>943</v>
      </c>
      <c r="F185" s="165">
        <v>1.1000000000000001</v>
      </c>
      <c r="G185" s="6"/>
      <c r="H185" s="6" t="s">
        <v>622</v>
      </c>
      <c r="I185" s="6"/>
      <c r="J185" s="165">
        <v>0.05</v>
      </c>
      <c r="K185" s="156">
        <v>79100000</v>
      </c>
      <c r="L185" s="156">
        <v>79100000</v>
      </c>
      <c r="M185" s="156">
        <v>79100000</v>
      </c>
      <c r="N185" s="438">
        <f t="shared" ref="N185" si="87">O185-M185</f>
        <v>325068</v>
      </c>
      <c r="O185" s="168">
        <v>79425068</v>
      </c>
      <c r="P185" s="60" t="s">
        <v>954</v>
      </c>
      <c r="Q185" s="83" t="s">
        <v>969</v>
      </c>
      <c r="R185" s="38" t="s">
        <v>247</v>
      </c>
      <c r="S185" s="38" t="s">
        <v>247</v>
      </c>
      <c r="T185" s="38" t="s">
        <v>247</v>
      </c>
      <c r="U185" s="38" t="s">
        <v>247</v>
      </c>
      <c r="V185" s="439">
        <f t="shared" ref="V185" si="88">M185</f>
        <v>79100000</v>
      </c>
      <c r="W185" s="3" t="s">
        <v>715</v>
      </c>
      <c r="X185" s="3" t="s">
        <v>904</v>
      </c>
      <c r="Y185" s="89">
        <v>46001</v>
      </c>
    </row>
    <row r="186" spans="1:25" x14ac:dyDescent="0.25">
      <c r="A186" s="3">
        <v>89</v>
      </c>
      <c r="B186" s="6" t="s">
        <v>1</v>
      </c>
      <c r="C186" s="83">
        <v>45986</v>
      </c>
      <c r="D186" s="155">
        <v>44674593971</v>
      </c>
      <c r="E186" s="6" t="s">
        <v>943</v>
      </c>
      <c r="F186" s="165">
        <v>1.1000000000000001</v>
      </c>
      <c r="G186" s="6"/>
      <c r="H186" s="6" t="s">
        <v>622</v>
      </c>
      <c r="I186" s="6"/>
      <c r="J186" s="165">
        <v>0.05</v>
      </c>
      <c r="K186" s="156">
        <v>79100000</v>
      </c>
      <c r="L186" s="156">
        <v>79100000</v>
      </c>
      <c r="M186" s="156">
        <v>79100000</v>
      </c>
      <c r="N186" s="438">
        <f t="shared" ref="N186" si="89">O186-M186</f>
        <v>325068</v>
      </c>
      <c r="O186" s="168">
        <v>79425068</v>
      </c>
      <c r="P186" s="60" t="s">
        <v>954</v>
      </c>
      <c r="Q186" s="83" t="s">
        <v>969</v>
      </c>
      <c r="R186" s="38" t="s">
        <v>247</v>
      </c>
      <c r="S186" s="38" t="s">
        <v>247</v>
      </c>
      <c r="T186" s="38" t="s">
        <v>247</v>
      </c>
      <c r="U186" s="38" t="s">
        <v>247</v>
      </c>
      <c r="V186" s="439">
        <f t="shared" ref="V186" si="90">M186</f>
        <v>79100000</v>
      </c>
      <c r="W186" s="3" t="s">
        <v>715</v>
      </c>
      <c r="X186" s="3" t="s">
        <v>904</v>
      </c>
      <c r="Y186" s="89">
        <v>46001</v>
      </c>
    </row>
    <row r="187" spans="1:25" x14ac:dyDescent="0.25">
      <c r="A187" s="3">
        <v>70</v>
      </c>
      <c r="B187" s="6" t="s">
        <v>1</v>
      </c>
      <c r="C187" s="83">
        <v>45898</v>
      </c>
      <c r="D187" s="155">
        <v>44416421817</v>
      </c>
      <c r="E187" s="6" t="s">
        <v>943</v>
      </c>
      <c r="F187" s="165">
        <v>1.1000000000000001</v>
      </c>
      <c r="G187" s="6"/>
      <c r="H187" s="6" t="s">
        <v>622</v>
      </c>
      <c r="I187" s="6"/>
      <c r="J187" s="165">
        <v>4.9000000000000002E-2</v>
      </c>
      <c r="K187" s="156">
        <v>19590000</v>
      </c>
      <c r="L187" s="156">
        <v>19590000</v>
      </c>
      <c r="M187" s="156">
        <v>19590000</v>
      </c>
      <c r="N187" s="438">
        <f t="shared" ref="N187:N189" si="91">O187-M187</f>
        <v>160423</v>
      </c>
      <c r="O187" s="168">
        <v>19750423</v>
      </c>
      <c r="P187" s="60" t="s">
        <v>965</v>
      </c>
      <c r="Q187" s="83">
        <v>45959</v>
      </c>
      <c r="R187" s="38">
        <v>19734380</v>
      </c>
      <c r="S187" s="38">
        <v>19895986</v>
      </c>
      <c r="T187" s="35">
        <v>46020</v>
      </c>
      <c r="U187" s="219">
        <v>4.9000000000000004</v>
      </c>
      <c r="V187" s="439">
        <f t="shared" ref="V187:V189" si="92">M187</f>
        <v>19590000</v>
      </c>
      <c r="W187" s="3" t="s">
        <v>715</v>
      </c>
      <c r="X187" s="3" t="s">
        <v>904</v>
      </c>
      <c r="Y187" s="89">
        <v>46001</v>
      </c>
    </row>
    <row r="188" spans="1:25" x14ac:dyDescent="0.25">
      <c r="A188" s="3">
        <v>87</v>
      </c>
      <c r="B188" s="6" t="s">
        <v>1</v>
      </c>
      <c r="C188" s="169">
        <v>45967</v>
      </c>
      <c r="D188" s="155">
        <v>44619984177</v>
      </c>
      <c r="E188" s="6" t="s">
        <v>901</v>
      </c>
      <c r="F188" s="165">
        <v>1</v>
      </c>
      <c r="G188" s="6" t="s">
        <v>970</v>
      </c>
      <c r="H188" s="6" t="s">
        <v>622</v>
      </c>
      <c r="I188" s="6" t="s">
        <v>970</v>
      </c>
      <c r="J188" s="165">
        <v>5.6000000000000001E-2</v>
      </c>
      <c r="K188" s="156">
        <v>32060000</v>
      </c>
      <c r="L188" s="156">
        <v>32060000</v>
      </c>
      <c r="M188" s="156">
        <v>32060000</v>
      </c>
      <c r="N188" s="438">
        <f>O188-M188</f>
        <v>295655</v>
      </c>
      <c r="O188" s="168">
        <v>32355655</v>
      </c>
      <c r="P188" s="60" t="s">
        <v>971</v>
      </c>
      <c r="Q188" s="83">
        <v>46087</v>
      </c>
      <c r="R188" s="38" t="s">
        <v>247</v>
      </c>
      <c r="S188" s="38" t="s">
        <v>247</v>
      </c>
      <c r="T188" s="38" t="s">
        <v>247</v>
      </c>
      <c r="U188" s="38" t="s">
        <v>247</v>
      </c>
      <c r="V188" s="439">
        <f t="shared" ref="V188" si="93">M188</f>
        <v>32060000</v>
      </c>
      <c r="W188" s="3" t="s">
        <v>715</v>
      </c>
      <c r="X188" s="3" t="s">
        <v>920</v>
      </c>
      <c r="Y188" s="58">
        <v>46063</v>
      </c>
    </row>
    <row r="189" spans="1:25" x14ac:dyDescent="0.25">
      <c r="A189" s="3">
        <v>93</v>
      </c>
      <c r="B189" s="6" t="s">
        <v>1</v>
      </c>
      <c r="C189" s="169">
        <v>46024</v>
      </c>
      <c r="D189" s="155">
        <v>44794345669</v>
      </c>
      <c r="E189" s="6" t="s">
        <v>901</v>
      </c>
      <c r="F189" s="165">
        <v>1</v>
      </c>
      <c r="G189" s="6" t="s">
        <v>972</v>
      </c>
      <c r="H189" s="6" t="s">
        <v>622</v>
      </c>
      <c r="I189" s="6" t="s">
        <v>972</v>
      </c>
      <c r="J189" s="165">
        <v>5.0999999999999997E-2</v>
      </c>
      <c r="K189" s="156">
        <v>159751494</v>
      </c>
      <c r="L189" s="156">
        <v>159751494</v>
      </c>
      <c r="M189" s="156">
        <v>159751494</v>
      </c>
      <c r="N189" s="438">
        <f t="shared" si="91"/>
        <v>1964287</v>
      </c>
      <c r="O189" s="168">
        <v>161715781</v>
      </c>
      <c r="P189" s="60" t="s">
        <v>973</v>
      </c>
      <c r="Q189" s="83">
        <v>46112</v>
      </c>
      <c r="R189" s="38" t="s">
        <v>247</v>
      </c>
      <c r="S189" s="38" t="s">
        <v>247</v>
      </c>
      <c r="T189" s="38" t="s">
        <v>247</v>
      </c>
      <c r="U189" s="38" t="s">
        <v>247</v>
      </c>
      <c r="V189" s="439">
        <f t="shared" si="92"/>
        <v>159751494</v>
      </c>
      <c r="W189" s="3" t="s">
        <v>715</v>
      </c>
      <c r="X189" s="3" t="s">
        <v>920</v>
      </c>
      <c r="Y189" s="58">
        <v>46062</v>
      </c>
    </row>
    <row r="190" spans="1:25" x14ac:dyDescent="0.25">
      <c r="A190" s="3">
        <v>95</v>
      </c>
      <c r="B190" s="6" t="s">
        <v>1</v>
      </c>
      <c r="C190" s="169">
        <v>46025</v>
      </c>
      <c r="D190" s="155">
        <v>44798045638</v>
      </c>
      <c r="E190" s="6" t="s">
        <v>901</v>
      </c>
      <c r="F190" s="165">
        <v>1</v>
      </c>
      <c r="G190" s="6" t="s">
        <v>972</v>
      </c>
      <c r="H190" s="6" t="s">
        <v>622</v>
      </c>
      <c r="I190" s="6" t="s">
        <v>918</v>
      </c>
      <c r="J190" s="165">
        <v>5.0999999999999997E-2</v>
      </c>
      <c r="K190" s="156">
        <v>332847047</v>
      </c>
      <c r="L190" s="156">
        <v>332847047</v>
      </c>
      <c r="M190" s="156">
        <v>332847047</v>
      </c>
      <c r="N190" s="438">
        <f t="shared" ref="N190" si="94">O190-M190</f>
        <v>4051143</v>
      </c>
      <c r="O190" s="168">
        <v>336898190</v>
      </c>
      <c r="P190" s="60" t="s">
        <v>974</v>
      </c>
      <c r="Q190" s="83">
        <v>46112</v>
      </c>
      <c r="R190" s="38" t="s">
        <v>247</v>
      </c>
      <c r="S190" s="38" t="s">
        <v>247</v>
      </c>
      <c r="T190" s="38" t="s">
        <v>247</v>
      </c>
      <c r="U190" s="38" t="s">
        <v>247</v>
      </c>
      <c r="V190" s="439">
        <f t="shared" ref="V190" si="95">M190</f>
        <v>332847047</v>
      </c>
      <c r="W190" s="3" t="s">
        <v>715</v>
      </c>
      <c r="X190" s="3" t="s">
        <v>920</v>
      </c>
      <c r="Y190" s="58">
        <v>46066</v>
      </c>
    </row>
    <row r="191" spans="1:25" x14ac:dyDescent="0.25">
      <c r="A191" s="3">
        <v>97</v>
      </c>
      <c r="B191" s="6" t="s">
        <v>1</v>
      </c>
      <c r="C191" s="169">
        <v>46045</v>
      </c>
      <c r="D191" s="155">
        <v>44856997570</v>
      </c>
      <c r="E191" s="6" t="s">
        <v>943</v>
      </c>
      <c r="F191" s="165">
        <v>1.1000000000000001</v>
      </c>
      <c r="G191" s="6"/>
      <c r="H191" s="6" t="s">
        <v>622</v>
      </c>
      <c r="I191" s="6"/>
      <c r="J191" s="165">
        <v>5.0999999999999997E-2</v>
      </c>
      <c r="K191" s="156">
        <v>123860000</v>
      </c>
      <c r="L191" s="156">
        <v>123860000</v>
      </c>
      <c r="M191" s="156">
        <v>123860000</v>
      </c>
      <c r="N191" s="438">
        <f t="shared" ref="N191" si="96">O191-M191</f>
        <v>1021081</v>
      </c>
      <c r="O191" s="168">
        <v>124881081</v>
      </c>
      <c r="P191" s="60" t="s">
        <v>965</v>
      </c>
      <c r="Q191" s="83">
        <v>46104</v>
      </c>
      <c r="R191" s="38" t="s">
        <v>247</v>
      </c>
      <c r="S191" s="38" t="s">
        <v>247</v>
      </c>
      <c r="T191" s="38" t="s">
        <v>247</v>
      </c>
      <c r="U191" s="38" t="s">
        <v>247</v>
      </c>
      <c r="V191" s="439">
        <f t="shared" ref="V191" si="97">M191</f>
        <v>123860000</v>
      </c>
      <c r="W191" s="3" t="s">
        <v>715</v>
      </c>
      <c r="X191" s="3" t="s">
        <v>904</v>
      </c>
      <c r="Y191" s="58">
        <v>46072</v>
      </c>
    </row>
    <row r="192" spans="1:25" x14ac:dyDescent="0.25">
      <c r="A192" s="3">
        <v>98</v>
      </c>
      <c r="B192" s="6" t="s">
        <v>1</v>
      </c>
      <c r="C192" s="169">
        <v>46045</v>
      </c>
      <c r="D192" s="155">
        <v>44857037993</v>
      </c>
      <c r="E192" s="6" t="s">
        <v>943</v>
      </c>
      <c r="F192" s="165">
        <v>1.1000000000000001</v>
      </c>
      <c r="G192" s="6"/>
      <c r="H192" s="6" t="s">
        <v>622</v>
      </c>
      <c r="I192" s="6"/>
      <c r="J192" s="165">
        <v>5.0999999999999997E-2</v>
      </c>
      <c r="K192" s="156">
        <v>92800000</v>
      </c>
      <c r="L192" s="156">
        <v>92800000</v>
      </c>
      <c r="M192" s="156">
        <v>92800000</v>
      </c>
      <c r="N192" s="438">
        <f t="shared" ref="N192" si="98">O192-M192</f>
        <v>765028</v>
      </c>
      <c r="O192" s="168">
        <v>93565028</v>
      </c>
      <c r="P192" s="60" t="s">
        <v>965</v>
      </c>
      <c r="Q192" s="83">
        <v>46104</v>
      </c>
      <c r="R192" s="38" t="s">
        <v>247</v>
      </c>
      <c r="S192" s="38" t="s">
        <v>247</v>
      </c>
      <c r="T192" s="38" t="s">
        <v>247</v>
      </c>
      <c r="U192" s="38" t="s">
        <v>247</v>
      </c>
      <c r="V192" s="439">
        <f t="shared" ref="V192" si="99">M192</f>
        <v>92800000</v>
      </c>
      <c r="W192" s="3" t="s">
        <v>715</v>
      </c>
      <c r="X192" s="3" t="s">
        <v>904</v>
      </c>
      <c r="Y192" s="58">
        <v>46072</v>
      </c>
    </row>
    <row r="193" spans="1:25" x14ac:dyDescent="0.25">
      <c r="A193" s="3">
        <v>99</v>
      </c>
      <c r="B193" s="6" t="s">
        <v>1</v>
      </c>
      <c r="C193" s="169">
        <v>46045</v>
      </c>
      <c r="D193" s="155">
        <v>44857149132</v>
      </c>
      <c r="E193" s="6" t="s">
        <v>943</v>
      </c>
      <c r="F193" s="165">
        <v>1.1000000000000001</v>
      </c>
      <c r="G193" s="6"/>
      <c r="H193" s="6" t="s">
        <v>622</v>
      </c>
      <c r="I193" s="6"/>
      <c r="J193" s="165">
        <v>5.0999999999999997E-2</v>
      </c>
      <c r="K193" s="156">
        <v>97910000</v>
      </c>
      <c r="L193" s="156">
        <v>97910000</v>
      </c>
      <c r="M193" s="156">
        <v>97910000</v>
      </c>
      <c r="N193" s="438">
        <f t="shared" ref="N193" si="100">O193-M193</f>
        <v>807154</v>
      </c>
      <c r="O193" s="168">
        <v>98717154</v>
      </c>
      <c r="P193" s="60" t="s">
        <v>965</v>
      </c>
      <c r="Q193" s="83">
        <v>46104</v>
      </c>
      <c r="R193" s="38" t="s">
        <v>247</v>
      </c>
      <c r="S193" s="38" t="s">
        <v>247</v>
      </c>
      <c r="T193" s="38" t="s">
        <v>247</v>
      </c>
      <c r="U193" s="38" t="s">
        <v>247</v>
      </c>
      <c r="V193" s="439">
        <f t="shared" ref="V193" si="101">M193</f>
        <v>97910000</v>
      </c>
      <c r="W193" s="3" t="s">
        <v>715</v>
      </c>
      <c r="X193" s="3" t="s">
        <v>904</v>
      </c>
      <c r="Y193" s="58">
        <v>46072</v>
      </c>
    </row>
    <row r="194" spans="1:25" x14ac:dyDescent="0.25">
      <c r="A194" s="3">
        <v>105</v>
      </c>
      <c r="B194" s="6" t="s">
        <v>1</v>
      </c>
      <c r="C194" s="169">
        <v>46062</v>
      </c>
      <c r="D194" s="155">
        <v>44907439780</v>
      </c>
      <c r="E194" s="6" t="s">
        <v>901</v>
      </c>
      <c r="F194" s="165">
        <v>1</v>
      </c>
      <c r="G194" s="6" t="s">
        <v>972</v>
      </c>
      <c r="H194" s="6" t="s">
        <v>622</v>
      </c>
      <c r="I194" s="6" t="s">
        <v>972</v>
      </c>
      <c r="J194" s="165">
        <v>6.25E-2</v>
      </c>
      <c r="K194" s="156">
        <v>155646890</v>
      </c>
      <c r="L194" s="156">
        <v>155646890</v>
      </c>
      <c r="M194" s="156">
        <v>155646890</v>
      </c>
      <c r="N194" s="438">
        <f t="shared" ref="N194:N199" si="102">O194-M194</f>
        <v>9958313</v>
      </c>
      <c r="O194" s="168">
        <v>165605203</v>
      </c>
      <c r="P194" s="60" t="s">
        <v>900</v>
      </c>
      <c r="Q194" s="83">
        <v>46427</v>
      </c>
      <c r="R194" s="38" t="s">
        <v>247</v>
      </c>
      <c r="S194" s="38" t="s">
        <v>247</v>
      </c>
      <c r="T194" s="38" t="s">
        <v>247</v>
      </c>
      <c r="U194" s="38" t="s">
        <v>247</v>
      </c>
      <c r="V194" s="439">
        <f t="shared" ref="V194:V199" si="103">M194</f>
        <v>155646890</v>
      </c>
      <c r="W194" s="3" t="s">
        <v>715</v>
      </c>
      <c r="X194" s="3" t="s">
        <v>920</v>
      </c>
      <c r="Y194" s="58">
        <v>46077</v>
      </c>
    </row>
    <row r="195" spans="1:25" x14ac:dyDescent="0.25">
      <c r="A195" s="3">
        <v>86</v>
      </c>
      <c r="B195" s="6" t="s">
        <v>1</v>
      </c>
      <c r="C195" s="169">
        <v>45946</v>
      </c>
      <c r="D195" s="155">
        <v>44561506022</v>
      </c>
      <c r="E195" s="6" t="s">
        <v>901</v>
      </c>
      <c r="F195" s="165">
        <v>1</v>
      </c>
      <c r="G195" s="6" t="s">
        <v>975</v>
      </c>
      <c r="H195" s="6" t="s">
        <v>622</v>
      </c>
      <c r="I195" s="6" t="s">
        <v>976</v>
      </c>
      <c r="J195" s="165">
        <v>5.6000000000000001E-2</v>
      </c>
      <c r="K195" s="156">
        <v>1800000000</v>
      </c>
      <c r="L195" s="156">
        <v>1800000000</v>
      </c>
      <c r="M195" s="156">
        <v>1800000000</v>
      </c>
      <c r="N195" s="438">
        <f t="shared" si="102"/>
        <v>54728116</v>
      </c>
      <c r="O195" s="168">
        <v>1854728116</v>
      </c>
      <c r="P195" s="60" t="s">
        <v>977</v>
      </c>
      <c r="Q195" s="83">
        <v>46142</v>
      </c>
      <c r="R195" s="38" t="s">
        <v>247</v>
      </c>
      <c r="S195" s="38" t="s">
        <v>247</v>
      </c>
      <c r="T195" s="38" t="s">
        <v>247</v>
      </c>
      <c r="U195" s="38" t="s">
        <v>247</v>
      </c>
      <c r="V195" s="439">
        <f t="shared" si="103"/>
        <v>1800000000</v>
      </c>
      <c r="W195" s="3" t="s">
        <v>715</v>
      </c>
      <c r="X195" s="3" t="s">
        <v>920</v>
      </c>
      <c r="Y195" s="58">
        <v>46080</v>
      </c>
    </row>
    <row r="196" spans="1:25" x14ac:dyDescent="0.25">
      <c r="A196" s="3">
        <v>100</v>
      </c>
      <c r="B196" s="6" t="s">
        <v>1</v>
      </c>
      <c r="C196" s="169">
        <v>46044</v>
      </c>
      <c r="D196" s="155">
        <v>44852962926</v>
      </c>
      <c r="E196" s="6" t="s">
        <v>901</v>
      </c>
      <c r="F196" s="165">
        <v>1</v>
      </c>
      <c r="G196" s="6" t="s">
        <v>978</v>
      </c>
      <c r="H196" s="6" t="s">
        <v>622</v>
      </c>
      <c r="I196" s="6"/>
      <c r="J196" s="165">
        <v>4.9000000000000002E-2</v>
      </c>
      <c r="K196" s="156">
        <v>6027000</v>
      </c>
      <c r="L196" s="156">
        <v>6027000</v>
      </c>
      <c r="M196" s="156">
        <v>6027000</v>
      </c>
      <c r="N196" s="438">
        <f t="shared" si="102"/>
        <v>80304</v>
      </c>
      <c r="O196" s="168">
        <v>6107304</v>
      </c>
      <c r="P196" s="60" t="s">
        <v>979</v>
      </c>
      <c r="Q196" s="83">
        <v>46142</v>
      </c>
      <c r="R196" s="38" t="s">
        <v>247</v>
      </c>
      <c r="S196" s="38" t="s">
        <v>247</v>
      </c>
      <c r="T196" s="38" t="s">
        <v>247</v>
      </c>
      <c r="U196" s="38" t="s">
        <v>247</v>
      </c>
      <c r="V196" s="439">
        <f t="shared" si="103"/>
        <v>6027000</v>
      </c>
      <c r="W196" s="3" t="s">
        <v>715</v>
      </c>
      <c r="X196" s="3" t="s">
        <v>920</v>
      </c>
      <c r="Y196" s="58">
        <v>46104</v>
      </c>
    </row>
    <row r="197" spans="1:25" x14ac:dyDescent="0.25">
      <c r="A197" s="3">
        <v>111</v>
      </c>
      <c r="B197" s="6" t="s">
        <v>1</v>
      </c>
      <c r="C197" s="169">
        <v>46097</v>
      </c>
      <c r="D197" s="155">
        <v>45011161451</v>
      </c>
      <c r="E197" s="6" t="s">
        <v>901</v>
      </c>
      <c r="F197" s="165">
        <v>1</v>
      </c>
      <c r="G197" s="81" t="s">
        <v>385</v>
      </c>
      <c r="H197" s="6" t="s">
        <v>622</v>
      </c>
      <c r="I197" s="6"/>
      <c r="J197" s="165">
        <v>3.0499999999999999E-2</v>
      </c>
      <c r="K197" s="156">
        <v>29600000</v>
      </c>
      <c r="L197" s="156">
        <v>29600000</v>
      </c>
      <c r="M197" s="156">
        <v>29600000</v>
      </c>
      <c r="N197" s="438">
        <f t="shared" si="102"/>
        <v>111304</v>
      </c>
      <c r="O197" s="168">
        <v>29711304</v>
      </c>
      <c r="P197" s="60" t="s">
        <v>932</v>
      </c>
      <c r="Q197" s="83">
        <v>46142</v>
      </c>
      <c r="R197" s="38" t="s">
        <v>247</v>
      </c>
      <c r="S197" s="38" t="s">
        <v>247</v>
      </c>
      <c r="T197" s="38" t="s">
        <v>247</v>
      </c>
      <c r="U197" s="38" t="s">
        <v>247</v>
      </c>
      <c r="V197" s="439">
        <f t="shared" si="103"/>
        <v>29600000</v>
      </c>
      <c r="W197" s="3" t="s">
        <v>715</v>
      </c>
      <c r="X197" s="3" t="s">
        <v>920</v>
      </c>
      <c r="Y197" s="58">
        <v>46147</v>
      </c>
    </row>
    <row r="198" spans="1:25" x14ac:dyDescent="0.25">
      <c r="A198" s="3">
        <v>114</v>
      </c>
      <c r="B198" s="6" t="s">
        <v>1</v>
      </c>
      <c r="C198" s="169">
        <v>46097</v>
      </c>
      <c r="D198" s="155">
        <v>45011160322</v>
      </c>
      <c r="E198" s="6" t="s">
        <v>901</v>
      </c>
      <c r="F198" s="165">
        <v>1</v>
      </c>
      <c r="G198" s="81" t="s">
        <v>291</v>
      </c>
      <c r="H198" s="6" t="s">
        <v>622</v>
      </c>
      <c r="I198" s="6"/>
      <c r="J198" s="165">
        <v>3.0499999999999999E-2</v>
      </c>
      <c r="K198" s="156">
        <v>4578000</v>
      </c>
      <c r="L198" s="156">
        <v>4578000</v>
      </c>
      <c r="M198" s="156">
        <v>4578000</v>
      </c>
      <c r="N198" s="438">
        <f t="shared" si="102"/>
        <v>17215</v>
      </c>
      <c r="O198" s="168">
        <v>4595215</v>
      </c>
      <c r="P198" s="60" t="s">
        <v>932</v>
      </c>
      <c r="Q198" s="83">
        <v>46142</v>
      </c>
      <c r="R198" s="38" t="s">
        <v>247</v>
      </c>
      <c r="S198" s="38" t="s">
        <v>247</v>
      </c>
      <c r="T198" s="38" t="s">
        <v>247</v>
      </c>
      <c r="U198" s="38" t="s">
        <v>247</v>
      </c>
      <c r="V198" s="439">
        <f t="shared" si="103"/>
        <v>4578000</v>
      </c>
      <c r="W198" s="3" t="s">
        <v>715</v>
      </c>
      <c r="X198" s="3" t="s">
        <v>920</v>
      </c>
      <c r="Y198" s="58">
        <v>46149</v>
      </c>
    </row>
    <row r="199" spans="1:25" x14ac:dyDescent="0.25">
      <c r="A199" s="3">
        <v>112</v>
      </c>
      <c r="B199" s="6" t="s">
        <v>1</v>
      </c>
      <c r="C199" s="169">
        <v>46097</v>
      </c>
      <c r="D199" s="155">
        <v>45011108066</v>
      </c>
      <c r="E199" s="6" t="s">
        <v>901</v>
      </c>
      <c r="F199" s="165">
        <v>1</v>
      </c>
      <c r="G199" s="81" t="s">
        <v>391</v>
      </c>
      <c r="H199" s="6" t="s">
        <v>622</v>
      </c>
      <c r="I199" s="6"/>
      <c r="J199" s="165">
        <v>3.0499999999999999E-2</v>
      </c>
      <c r="K199" s="156">
        <v>2363000</v>
      </c>
      <c r="L199" s="156">
        <v>2363000</v>
      </c>
      <c r="M199" s="156">
        <v>2363000</v>
      </c>
      <c r="N199" s="438">
        <f t="shared" si="102"/>
        <v>8886</v>
      </c>
      <c r="O199" s="168">
        <v>2371886</v>
      </c>
      <c r="P199" s="60" t="s">
        <v>932</v>
      </c>
      <c r="Q199" s="83">
        <v>46142</v>
      </c>
      <c r="R199" s="38" t="s">
        <v>247</v>
      </c>
      <c r="S199" s="38" t="s">
        <v>247</v>
      </c>
      <c r="T199" s="38" t="s">
        <v>247</v>
      </c>
      <c r="U199" s="38" t="s">
        <v>247</v>
      </c>
      <c r="V199" s="439">
        <f t="shared" si="103"/>
        <v>2363000</v>
      </c>
      <c r="W199" s="3" t="s">
        <v>715</v>
      </c>
      <c r="X199" s="3" t="s">
        <v>920</v>
      </c>
      <c r="Y199" s="58">
        <v>46149</v>
      </c>
    </row>
    <row r="200" spans="1:25" x14ac:dyDescent="0.25">
      <c r="A200" s="3">
        <v>67</v>
      </c>
      <c r="B200" s="6" t="s">
        <v>1</v>
      </c>
      <c r="C200" s="169">
        <v>45877</v>
      </c>
      <c r="D200" s="155">
        <v>44361399732</v>
      </c>
      <c r="E200" s="6" t="s">
        <v>886</v>
      </c>
      <c r="F200" s="165">
        <v>0.1</v>
      </c>
      <c r="G200" s="18"/>
      <c r="H200" s="6"/>
      <c r="I200" s="49"/>
      <c r="J200" s="165">
        <v>5.6000000000000001E-2</v>
      </c>
      <c r="K200" s="156">
        <v>71500000</v>
      </c>
      <c r="L200" s="439">
        <f>S200-L201-L202</f>
        <v>3627638</v>
      </c>
      <c r="M200" s="156">
        <v>71500000</v>
      </c>
      <c r="N200" s="438">
        <f t="shared" ref="N200" si="104">O200-M200</f>
        <v>2241597</v>
      </c>
      <c r="O200" s="168">
        <v>73741597</v>
      </c>
      <c r="P200" s="60" t="s">
        <v>913</v>
      </c>
      <c r="Q200" s="83">
        <v>46081</v>
      </c>
      <c r="R200" s="38">
        <v>73517437</v>
      </c>
      <c r="S200" s="38">
        <v>75857075</v>
      </c>
      <c r="T200" s="35">
        <v>46285</v>
      </c>
      <c r="U200" s="165">
        <v>5.6000000000000001E-2</v>
      </c>
      <c r="V200" s="439">
        <f>R200</f>
        <v>73517437</v>
      </c>
      <c r="W200" s="3" t="s">
        <v>715</v>
      </c>
      <c r="X200" s="3" t="s">
        <v>904</v>
      </c>
      <c r="Y200" s="58">
        <v>46164</v>
      </c>
    </row>
    <row r="201" spans="1:25" x14ac:dyDescent="0.25">
      <c r="A201" s="3"/>
      <c r="B201" s="6" t="s">
        <v>1</v>
      </c>
      <c r="C201" s="169">
        <v>45877</v>
      </c>
      <c r="D201" s="155">
        <v>44361399732</v>
      </c>
      <c r="E201" s="6" t="s">
        <v>889</v>
      </c>
      <c r="F201" s="165">
        <v>0.1</v>
      </c>
      <c r="G201" s="18" t="s">
        <v>804</v>
      </c>
      <c r="H201" s="6" t="s">
        <v>799</v>
      </c>
      <c r="I201" s="49" t="s">
        <v>806</v>
      </c>
      <c r="J201" s="165">
        <v>5.6000000000000001E-2</v>
      </c>
      <c r="K201" s="168">
        <v>0</v>
      </c>
      <c r="L201" s="156">
        <v>59584437</v>
      </c>
      <c r="M201" s="168">
        <v>0</v>
      </c>
      <c r="N201" s="168">
        <v>0</v>
      </c>
      <c r="O201" s="168">
        <v>0</v>
      </c>
      <c r="P201" s="60" t="s">
        <v>913</v>
      </c>
      <c r="Q201" s="83">
        <v>46081</v>
      </c>
      <c r="R201" s="38" t="s">
        <v>247</v>
      </c>
      <c r="S201" s="38" t="s">
        <v>247</v>
      </c>
      <c r="T201" s="35" t="s">
        <v>247</v>
      </c>
      <c r="U201" s="38" t="s">
        <v>247</v>
      </c>
      <c r="V201" s="439">
        <f t="shared" ref="V201" si="105">M201</f>
        <v>0</v>
      </c>
      <c r="W201" s="3" t="s">
        <v>715</v>
      </c>
      <c r="X201" s="3" t="s">
        <v>904</v>
      </c>
      <c r="Y201" s="58">
        <v>46164</v>
      </c>
    </row>
    <row r="202" spans="1:25" x14ac:dyDescent="0.25">
      <c r="A202" s="3"/>
      <c r="B202" s="6" t="s">
        <v>1</v>
      </c>
      <c r="C202" s="169">
        <v>45877</v>
      </c>
      <c r="D202" s="155">
        <v>44361399732</v>
      </c>
      <c r="E202" s="6" t="s">
        <v>886</v>
      </c>
      <c r="F202" s="165">
        <v>0.1</v>
      </c>
      <c r="G202" s="18"/>
      <c r="H202" s="6"/>
      <c r="I202" s="49"/>
      <c r="J202" s="165">
        <v>5.6000000000000001E-2</v>
      </c>
      <c r="K202" s="168">
        <v>0</v>
      </c>
      <c r="L202" s="156">
        <v>12645000</v>
      </c>
      <c r="M202" s="168">
        <v>0</v>
      </c>
      <c r="N202" s="168">
        <v>0</v>
      </c>
      <c r="O202" s="168">
        <v>0</v>
      </c>
      <c r="P202" s="60" t="s">
        <v>913</v>
      </c>
      <c r="Q202" s="83">
        <v>46081</v>
      </c>
      <c r="R202" s="38" t="s">
        <v>247</v>
      </c>
      <c r="S202" s="38" t="s">
        <v>247</v>
      </c>
      <c r="T202" s="35" t="s">
        <v>247</v>
      </c>
      <c r="U202" s="38" t="s">
        <v>247</v>
      </c>
      <c r="V202" s="439">
        <f t="shared" ref="V202" si="106">M202</f>
        <v>0</v>
      </c>
      <c r="W202" s="3" t="s">
        <v>715</v>
      </c>
      <c r="X202" s="3" t="s">
        <v>904</v>
      </c>
      <c r="Y202" s="58">
        <v>46164</v>
      </c>
    </row>
    <row r="203" spans="1:25" x14ac:dyDescent="0.25">
      <c r="A203" s="3">
        <v>1</v>
      </c>
      <c r="B203" s="6" t="s">
        <v>1</v>
      </c>
      <c r="C203" s="73">
        <v>45107</v>
      </c>
      <c r="D203" s="87">
        <v>42039487699</v>
      </c>
      <c r="E203" s="6" t="s">
        <v>886</v>
      </c>
      <c r="F203" s="31">
        <v>0.1</v>
      </c>
      <c r="G203" s="179"/>
      <c r="H203" s="55"/>
      <c r="I203" s="49"/>
      <c r="J203" s="31">
        <v>0.06</v>
      </c>
      <c r="K203" s="38">
        <v>22734500</v>
      </c>
      <c r="L203" s="439">
        <f>K203-L204</f>
        <v>834500</v>
      </c>
      <c r="M203" s="38">
        <v>22734500</v>
      </c>
      <c r="N203" s="68">
        <v>9924801</v>
      </c>
      <c r="O203" s="69">
        <v>32659301</v>
      </c>
      <c r="P203" s="34" t="s">
        <v>887</v>
      </c>
      <c r="Q203" s="35">
        <v>47329</v>
      </c>
      <c r="R203" s="38" t="s">
        <v>247</v>
      </c>
      <c r="S203" s="38" t="s">
        <v>247</v>
      </c>
      <c r="T203" s="38" t="s">
        <v>247</v>
      </c>
      <c r="U203" s="38" t="s">
        <v>247</v>
      </c>
      <c r="V203" s="38">
        <v>22734500</v>
      </c>
      <c r="W203" s="3" t="s">
        <v>715</v>
      </c>
      <c r="X203" s="3" t="s">
        <v>904</v>
      </c>
      <c r="Y203" s="58">
        <v>46164</v>
      </c>
    </row>
    <row r="204" spans="1:25" x14ac:dyDescent="0.25">
      <c r="A204" s="3"/>
      <c r="B204" s="6" t="s">
        <v>1</v>
      </c>
      <c r="C204" s="73">
        <v>45107</v>
      </c>
      <c r="D204" s="87">
        <v>42039487699</v>
      </c>
      <c r="E204" s="6" t="s">
        <v>889</v>
      </c>
      <c r="F204" s="31">
        <v>0.1</v>
      </c>
      <c r="G204" s="18" t="s">
        <v>804</v>
      </c>
      <c r="H204" s="55" t="s">
        <v>799</v>
      </c>
      <c r="I204" s="49" t="s">
        <v>806</v>
      </c>
      <c r="J204" s="31">
        <v>0.06</v>
      </c>
      <c r="K204" s="38" t="s">
        <v>247</v>
      </c>
      <c r="L204" s="38">
        <v>21900000</v>
      </c>
      <c r="M204" s="38" t="s">
        <v>247</v>
      </c>
      <c r="N204" s="38" t="s">
        <v>247</v>
      </c>
      <c r="O204" s="38" t="s">
        <v>247</v>
      </c>
      <c r="P204" s="34" t="s">
        <v>887</v>
      </c>
      <c r="Q204" s="35">
        <v>47329</v>
      </c>
      <c r="R204" s="38" t="s">
        <v>247</v>
      </c>
      <c r="S204" s="38" t="s">
        <v>247</v>
      </c>
      <c r="T204" s="38" t="s">
        <v>247</v>
      </c>
      <c r="U204" s="38" t="s">
        <v>247</v>
      </c>
      <c r="V204" s="38" t="s">
        <v>247</v>
      </c>
      <c r="W204" s="3" t="s">
        <v>715</v>
      </c>
      <c r="X204" s="3" t="s">
        <v>904</v>
      </c>
      <c r="Y204" s="58">
        <v>46164</v>
      </c>
    </row>
    <row r="205" spans="1:25" x14ac:dyDescent="0.25">
      <c r="A205" s="3">
        <v>41</v>
      </c>
      <c r="B205" s="6" t="s">
        <v>1</v>
      </c>
      <c r="C205" s="169">
        <v>45503</v>
      </c>
      <c r="D205" s="155">
        <v>43199860436</v>
      </c>
      <c r="E205" s="6" t="s">
        <v>889</v>
      </c>
      <c r="F205" s="31">
        <v>0.1</v>
      </c>
      <c r="G205" s="18" t="s">
        <v>804</v>
      </c>
      <c r="H205" s="39" t="s">
        <v>799</v>
      </c>
      <c r="I205" s="49" t="s">
        <v>806</v>
      </c>
      <c r="J205" s="31">
        <v>6.8000000000000005E-2</v>
      </c>
      <c r="K205" s="38">
        <v>29100000</v>
      </c>
      <c r="L205" s="156">
        <v>30996241</v>
      </c>
      <c r="M205" s="38">
        <v>29100000</v>
      </c>
      <c r="N205" s="438">
        <f>O205-M205</f>
        <v>2029834</v>
      </c>
      <c r="O205" s="77">
        <v>31129834</v>
      </c>
      <c r="P205" s="72" t="s">
        <v>900</v>
      </c>
      <c r="Q205" s="35">
        <v>45868</v>
      </c>
      <c r="R205" s="38">
        <v>30924792</v>
      </c>
      <c r="S205" s="38">
        <v>31705190</v>
      </c>
      <c r="T205" s="35">
        <v>46233</v>
      </c>
      <c r="U205" s="217">
        <v>2.5000000000000001E-2</v>
      </c>
      <c r="V205" s="439">
        <f>R205</f>
        <v>30924792</v>
      </c>
      <c r="W205" s="3" t="s">
        <v>715</v>
      </c>
      <c r="X205" s="3" t="s">
        <v>904</v>
      </c>
      <c r="Y205" s="58">
        <v>46164</v>
      </c>
    </row>
    <row r="206" spans="1:25" x14ac:dyDescent="0.25">
      <c r="A206" s="3">
        <v>55</v>
      </c>
      <c r="B206" s="6" t="s">
        <v>1</v>
      </c>
      <c r="C206" s="169">
        <v>45675</v>
      </c>
      <c r="D206" s="155">
        <v>43730175696</v>
      </c>
      <c r="E206" s="6" t="s">
        <v>903</v>
      </c>
      <c r="F206" s="165">
        <v>0.1</v>
      </c>
      <c r="G206" s="6" t="s">
        <v>247</v>
      </c>
      <c r="H206" s="6" t="s">
        <v>247</v>
      </c>
      <c r="I206" s="6" t="s">
        <v>247</v>
      </c>
      <c r="J206" s="165">
        <v>7.2499999999999995E-2</v>
      </c>
      <c r="K206" s="156">
        <v>25000000</v>
      </c>
      <c r="L206" s="156">
        <v>25000000</v>
      </c>
      <c r="M206" s="156">
        <v>25000000</v>
      </c>
      <c r="N206" s="167">
        <v>453125</v>
      </c>
      <c r="O206" s="156">
        <v>25000000</v>
      </c>
      <c r="P206" s="60" t="s">
        <v>909</v>
      </c>
      <c r="Q206" s="83">
        <v>46119</v>
      </c>
      <c r="R206" s="38" t="s">
        <v>247</v>
      </c>
      <c r="S206" s="38" t="s">
        <v>247</v>
      </c>
      <c r="T206" s="35" t="s">
        <v>247</v>
      </c>
      <c r="U206" s="214" t="s">
        <v>247</v>
      </c>
      <c r="V206" s="439">
        <f>M206</f>
        <v>25000000</v>
      </c>
      <c r="W206" s="3" t="s">
        <v>715</v>
      </c>
      <c r="X206" s="3" t="s">
        <v>904</v>
      </c>
      <c r="Y206" s="58">
        <v>46167</v>
      </c>
    </row>
    <row r="207" spans="1:25" x14ac:dyDescent="0.25">
      <c r="A207" s="3">
        <v>74</v>
      </c>
      <c r="B207" s="6" t="s">
        <v>1</v>
      </c>
      <c r="C207" s="169">
        <v>45898</v>
      </c>
      <c r="D207" s="155">
        <v>44416414800</v>
      </c>
      <c r="E207" s="6" t="s">
        <v>903</v>
      </c>
      <c r="F207" s="165">
        <v>0.1</v>
      </c>
      <c r="G207" s="6"/>
      <c r="H207" s="6" t="s">
        <v>622</v>
      </c>
      <c r="I207" s="6"/>
      <c r="J207" s="165">
        <v>5.0999999999999997E-2</v>
      </c>
      <c r="K207" s="156">
        <v>33244000</v>
      </c>
      <c r="L207" s="156">
        <v>33752633</v>
      </c>
      <c r="M207" s="156">
        <v>33244000</v>
      </c>
      <c r="N207" s="438">
        <f t="shared" ref="N207" si="107">O207-M207</f>
        <v>565148</v>
      </c>
      <c r="O207" s="168">
        <v>33809148</v>
      </c>
      <c r="P207" s="60" t="s">
        <v>914</v>
      </c>
      <c r="Q207" s="83">
        <v>46020</v>
      </c>
      <c r="R207" s="38">
        <v>33752633</v>
      </c>
      <c r="S207" s="38">
        <v>34326428</v>
      </c>
      <c r="T207" s="35">
        <v>46141</v>
      </c>
      <c r="U207" s="31">
        <v>5.0999999999999997E-2</v>
      </c>
      <c r="V207" s="439">
        <f>R207</f>
        <v>33752633</v>
      </c>
      <c r="W207" s="3" t="s">
        <v>715</v>
      </c>
      <c r="X207" s="3" t="s">
        <v>904</v>
      </c>
      <c r="Y207" s="58">
        <v>46167</v>
      </c>
    </row>
    <row r="208" spans="1:25" x14ac:dyDescent="0.25">
      <c r="A208" s="3">
        <v>56</v>
      </c>
      <c r="B208" s="6" t="s">
        <v>1</v>
      </c>
      <c r="C208" s="169">
        <v>45681</v>
      </c>
      <c r="D208" s="155">
        <v>43749450461</v>
      </c>
      <c r="E208" s="6" t="s">
        <v>903</v>
      </c>
      <c r="F208" s="165">
        <v>0.1</v>
      </c>
      <c r="G208" s="6" t="s">
        <v>247</v>
      </c>
      <c r="H208" s="6" t="s">
        <v>247</v>
      </c>
      <c r="I208" s="6" t="s">
        <v>247</v>
      </c>
      <c r="J208" s="165">
        <v>7.2499999999999995E-2</v>
      </c>
      <c r="K208" s="156">
        <v>5000000</v>
      </c>
      <c r="L208" s="156">
        <v>5000000</v>
      </c>
      <c r="M208" s="156">
        <v>5000000</v>
      </c>
      <c r="N208" s="167">
        <v>90625</v>
      </c>
      <c r="O208" s="156">
        <v>5000000</v>
      </c>
      <c r="P208" s="60" t="s">
        <v>909</v>
      </c>
      <c r="Q208" s="83">
        <v>46125</v>
      </c>
      <c r="R208" s="38" t="s">
        <v>247</v>
      </c>
      <c r="S208" s="38" t="s">
        <v>247</v>
      </c>
      <c r="T208" s="35" t="s">
        <v>247</v>
      </c>
      <c r="U208" s="214" t="s">
        <v>247</v>
      </c>
      <c r="V208" s="439">
        <f>M208</f>
        <v>5000000</v>
      </c>
      <c r="W208" s="3" t="s">
        <v>715</v>
      </c>
      <c r="X208" s="3" t="s">
        <v>904</v>
      </c>
      <c r="Y208" s="58">
        <v>46172</v>
      </c>
    </row>
    <row r="209" spans="1:25" x14ac:dyDescent="0.25">
      <c r="A209" s="3">
        <v>61</v>
      </c>
      <c r="B209" s="6" t="s">
        <v>1</v>
      </c>
      <c r="C209" s="169">
        <v>45868</v>
      </c>
      <c r="D209" s="155">
        <v>44325393960</v>
      </c>
      <c r="E209" s="6" t="s">
        <v>903</v>
      </c>
      <c r="F209" s="165">
        <v>0.1</v>
      </c>
      <c r="G209" s="6" t="s">
        <v>247</v>
      </c>
      <c r="H209" s="6" t="s">
        <v>247</v>
      </c>
      <c r="I209" s="6" t="s">
        <v>247</v>
      </c>
      <c r="J209" s="165">
        <v>6.6000000000000003E-2</v>
      </c>
      <c r="K209" s="156">
        <v>12500000</v>
      </c>
      <c r="L209" s="156">
        <v>12500000</v>
      </c>
      <c r="M209" s="156">
        <v>10000000</v>
      </c>
      <c r="N209" s="167">
        <v>206250</v>
      </c>
      <c r="O209" s="168">
        <v>12500000</v>
      </c>
      <c r="P209" s="60" t="s">
        <v>909</v>
      </c>
      <c r="Q209" s="83">
        <v>46312</v>
      </c>
      <c r="R209" s="38" t="s">
        <v>247</v>
      </c>
      <c r="S209" s="38" t="s">
        <v>247</v>
      </c>
      <c r="T209" s="35" t="s">
        <v>247</v>
      </c>
      <c r="U209" s="214" t="s">
        <v>247</v>
      </c>
      <c r="V209" s="38">
        <v>12500000</v>
      </c>
      <c r="W209" s="3" t="s">
        <v>715</v>
      </c>
      <c r="X209" s="3" t="s">
        <v>904</v>
      </c>
      <c r="Y209" s="58">
        <v>46176</v>
      </c>
    </row>
  </sheetData>
  <autoFilter ref="A1:X99" xr:uid="{15A464F3-F060-4A61-ABFA-5D9728DC1E64}"/>
  <pageMargins left="0.70866141732283472" right="0.70866141732283472" top="0.74803149606299213" bottom="0.74803149606299213" header="0.31496062992125984" footer="0.31496062992125984"/>
  <pageSetup paperSize="9" scale="21" orientation="portrait" r:id="rId1"/>
  <ignoredErrors>
    <ignoredError sqref="D75:D80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6A38-228F-41E0-8C7F-E14DBCBC1917}">
  <dimension ref="B1:Z16"/>
  <sheetViews>
    <sheetView topLeftCell="B1" workbookViewId="0">
      <selection activeCell="B1" sqref="B1:B2"/>
    </sheetView>
  </sheetViews>
  <sheetFormatPr defaultRowHeight="15" x14ac:dyDescent="0.25"/>
  <cols>
    <col min="1" max="1" width="2.140625" customWidth="1"/>
    <col min="2" max="2" width="7.5703125" bestFit="1" customWidth="1"/>
    <col min="3" max="3" width="5.28515625" bestFit="1" customWidth="1"/>
    <col min="4" max="4" width="45.42578125" bestFit="1" customWidth="1"/>
    <col min="5" max="5" width="10.42578125" bestFit="1" customWidth="1"/>
    <col min="7" max="7" width="8" bestFit="1" customWidth="1"/>
    <col min="8" max="8" width="10.42578125" bestFit="1" customWidth="1"/>
    <col min="9" max="9" width="11.5703125" bestFit="1" customWidth="1"/>
    <col min="10" max="10" width="8.140625" bestFit="1" customWidth="1"/>
    <col min="11" max="11" width="8.5703125" bestFit="1" customWidth="1"/>
    <col min="12" max="12" width="11.5703125" bestFit="1" customWidth="1"/>
    <col min="13" max="13" width="15.7109375" bestFit="1" customWidth="1"/>
    <col min="14" max="14" width="15.5703125" bestFit="1" customWidth="1"/>
    <col min="15" max="15" width="18.140625" bestFit="1" customWidth="1"/>
    <col min="16" max="16" width="12.85546875" bestFit="1" customWidth="1"/>
    <col min="17" max="17" width="8.7109375" bestFit="1" customWidth="1"/>
    <col min="18" max="18" width="14" bestFit="1" customWidth="1"/>
    <col min="19" max="19" width="5" bestFit="1" customWidth="1"/>
    <col min="20" max="20" width="16.85546875" bestFit="1" customWidth="1"/>
    <col min="21" max="21" width="10.42578125" bestFit="1" customWidth="1"/>
    <col min="22" max="22" width="15.85546875" bestFit="1" customWidth="1"/>
    <col min="23" max="23" width="20.140625" bestFit="1" customWidth="1"/>
    <col min="24" max="24" width="18.140625" bestFit="1" customWidth="1"/>
    <col min="25" max="25" width="9.5703125" bestFit="1" customWidth="1"/>
    <col min="26" max="26" width="19.42578125" bestFit="1" customWidth="1"/>
  </cols>
  <sheetData>
    <row r="1" spans="2:26" ht="15.75" thickBot="1" x14ac:dyDescent="0.3">
      <c r="B1" s="679" t="s">
        <v>980</v>
      </c>
      <c r="C1" s="679" t="s">
        <v>637</v>
      </c>
      <c r="D1" s="679" t="s">
        <v>981</v>
      </c>
      <c r="E1" s="675" t="s">
        <v>982</v>
      </c>
      <c r="F1" s="673"/>
      <c r="G1" s="673"/>
      <c r="H1" s="673"/>
      <c r="I1" s="673"/>
      <c r="J1" s="673"/>
      <c r="K1" s="674"/>
      <c r="L1" s="93"/>
      <c r="M1" s="673" t="s">
        <v>983</v>
      </c>
      <c r="N1" s="673"/>
      <c r="O1" s="674"/>
      <c r="P1" s="675" t="s">
        <v>984</v>
      </c>
      <c r="Q1" s="681"/>
      <c r="R1" s="672" t="s">
        <v>985</v>
      </c>
      <c r="S1" s="673"/>
      <c r="T1" s="673"/>
      <c r="U1" s="674"/>
      <c r="V1" s="675" t="s">
        <v>986</v>
      </c>
      <c r="W1" s="673"/>
      <c r="X1" s="673"/>
      <c r="Y1" s="673"/>
      <c r="Z1" s="674"/>
    </row>
    <row r="2" spans="2:26" ht="15" customHeight="1" x14ac:dyDescent="0.25">
      <c r="B2" s="680"/>
      <c r="C2" s="680"/>
      <c r="D2" s="680"/>
      <c r="E2" s="105" t="s">
        <v>987</v>
      </c>
      <c r="F2" s="105" t="s">
        <v>988</v>
      </c>
      <c r="G2" s="105" t="s">
        <v>989</v>
      </c>
      <c r="H2" s="105" t="s">
        <v>990</v>
      </c>
      <c r="I2" s="105" t="s">
        <v>991</v>
      </c>
      <c r="J2" s="105" t="s">
        <v>992</v>
      </c>
      <c r="K2" s="105" t="s">
        <v>993</v>
      </c>
      <c r="L2" s="105" t="s">
        <v>994</v>
      </c>
      <c r="M2" s="99" t="s">
        <v>995</v>
      </c>
      <c r="N2" s="99" t="s">
        <v>996</v>
      </c>
      <c r="O2" s="94" t="s">
        <v>997</v>
      </c>
      <c r="P2" s="94" t="s">
        <v>998</v>
      </c>
      <c r="Q2" s="105" t="s">
        <v>999</v>
      </c>
      <c r="R2" s="94" t="s">
        <v>1000</v>
      </c>
      <c r="S2" s="99" t="s">
        <v>476</v>
      </c>
      <c r="T2" s="95" t="s">
        <v>1001</v>
      </c>
      <c r="U2" s="105" t="s">
        <v>1002</v>
      </c>
      <c r="V2" s="94" t="s">
        <v>1003</v>
      </c>
      <c r="W2" s="94" t="s">
        <v>1004</v>
      </c>
      <c r="X2" s="94" t="s">
        <v>1005</v>
      </c>
      <c r="Y2" s="105" t="s">
        <v>1006</v>
      </c>
      <c r="Z2" s="94" t="s">
        <v>993</v>
      </c>
    </row>
    <row r="3" spans="2:26" x14ac:dyDescent="0.25">
      <c r="B3" s="96">
        <v>1</v>
      </c>
      <c r="C3" s="96" t="s">
        <v>1</v>
      </c>
      <c r="D3" s="97" t="s">
        <v>1007</v>
      </c>
      <c r="E3" s="83">
        <v>45723</v>
      </c>
      <c r="F3" s="6">
        <v>880000</v>
      </c>
      <c r="G3" s="428">
        <f>F3-H3</f>
        <v>9</v>
      </c>
      <c r="H3" s="6">
        <v>879991</v>
      </c>
      <c r="I3" s="84">
        <v>879991</v>
      </c>
      <c r="J3" s="84">
        <v>0</v>
      </c>
      <c r="K3" s="96" t="s">
        <v>17</v>
      </c>
      <c r="L3" s="433">
        <f t="shared" ref="L3:L9" si="0">I3</f>
        <v>879991</v>
      </c>
      <c r="M3" s="98">
        <v>45728</v>
      </c>
      <c r="N3" s="103">
        <v>87.114902999999998</v>
      </c>
      <c r="O3" s="435">
        <f>L3*N3-0.01</f>
        <v>76660330.595872998</v>
      </c>
      <c r="P3" s="98">
        <v>45728</v>
      </c>
      <c r="Q3" s="6">
        <v>11440</v>
      </c>
      <c r="R3" s="96">
        <v>72000</v>
      </c>
      <c r="S3" s="96">
        <v>1389</v>
      </c>
      <c r="T3" s="435">
        <f t="shared" ref="T3:T9" si="1">R3*S3</f>
        <v>100008000</v>
      </c>
      <c r="U3" s="83">
        <v>45729</v>
      </c>
      <c r="V3" s="83">
        <v>45741</v>
      </c>
      <c r="W3" s="84">
        <v>3039.44</v>
      </c>
      <c r="X3" s="84">
        <v>0</v>
      </c>
      <c r="Y3" s="433">
        <f t="shared" ref="Y3" si="2">W3-X3</f>
        <v>3039.44</v>
      </c>
      <c r="Z3" s="6" t="s">
        <v>17</v>
      </c>
    </row>
    <row r="4" spans="2:26" x14ac:dyDescent="0.25">
      <c r="B4" s="96">
        <v>2</v>
      </c>
      <c r="C4" s="96" t="s">
        <v>1</v>
      </c>
      <c r="D4" s="97" t="s">
        <v>1008</v>
      </c>
      <c r="E4" s="83">
        <v>45723</v>
      </c>
      <c r="F4" s="6">
        <v>1155000</v>
      </c>
      <c r="G4" s="6">
        <v>0</v>
      </c>
      <c r="H4" s="6">
        <v>1155000</v>
      </c>
      <c r="I4" s="84">
        <v>1155000</v>
      </c>
      <c r="J4" s="84">
        <v>0</v>
      </c>
      <c r="K4" s="96" t="s">
        <v>17</v>
      </c>
      <c r="L4" s="433">
        <f t="shared" si="0"/>
        <v>1155000</v>
      </c>
      <c r="M4" s="98">
        <v>45728</v>
      </c>
      <c r="N4" s="103">
        <v>87.114902999999998</v>
      </c>
      <c r="O4" s="435">
        <f>L4*N4-0.01</f>
        <v>100617712.955</v>
      </c>
      <c r="P4" s="98">
        <v>45728</v>
      </c>
      <c r="Q4" s="6">
        <v>11440</v>
      </c>
      <c r="R4" s="96">
        <v>55003</v>
      </c>
      <c r="S4" s="96">
        <v>1389</v>
      </c>
      <c r="T4" s="435">
        <f t="shared" si="1"/>
        <v>76399167</v>
      </c>
      <c r="U4" s="83">
        <v>45729</v>
      </c>
      <c r="V4" s="83">
        <v>45741</v>
      </c>
      <c r="W4" s="84">
        <v>7097.19</v>
      </c>
      <c r="X4" s="84">
        <v>0</v>
      </c>
      <c r="Y4" s="433">
        <f t="shared" ref="Y4" si="3">W4-X4</f>
        <v>7097.19</v>
      </c>
      <c r="Z4" s="6" t="s">
        <v>17</v>
      </c>
    </row>
    <row r="5" spans="2:26" x14ac:dyDescent="0.25">
      <c r="B5" s="96"/>
      <c r="C5" s="96"/>
      <c r="D5" s="97"/>
      <c r="E5" s="83"/>
      <c r="F5" s="6"/>
      <c r="G5" s="6"/>
      <c r="H5" s="6"/>
      <c r="I5" s="84"/>
      <c r="J5" s="84"/>
      <c r="K5" s="96"/>
      <c r="L5" s="84"/>
      <c r="M5" s="98"/>
      <c r="N5" s="103"/>
      <c r="O5" s="82"/>
      <c r="P5" s="98"/>
      <c r="Q5" s="6"/>
      <c r="R5" s="96"/>
      <c r="S5" s="96"/>
      <c r="T5" s="82"/>
      <c r="U5" s="83"/>
      <c r="V5" s="83"/>
      <c r="W5" s="84"/>
      <c r="X5" s="84"/>
      <c r="Y5" s="84"/>
      <c r="Z5" s="6"/>
    </row>
    <row r="6" spans="2:26" x14ac:dyDescent="0.25">
      <c r="B6" s="96"/>
      <c r="C6" s="96"/>
      <c r="D6" s="97"/>
      <c r="E6" s="83"/>
      <c r="F6" s="6"/>
      <c r="G6" s="6"/>
      <c r="H6" s="6"/>
      <c r="I6" s="84"/>
      <c r="J6" s="84"/>
      <c r="K6" s="96"/>
      <c r="L6" s="84"/>
      <c r="M6" s="98"/>
      <c r="N6" s="103"/>
      <c r="O6" s="82"/>
      <c r="P6" s="98"/>
      <c r="Q6" s="6"/>
      <c r="R6" s="96"/>
      <c r="S6" s="96"/>
      <c r="T6" s="82"/>
      <c r="U6" s="83"/>
      <c r="V6" s="83"/>
      <c r="W6" s="84"/>
      <c r="X6" s="84"/>
      <c r="Y6" s="84"/>
      <c r="Z6" s="6"/>
    </row>
    <row r="7" spans="2:26" x14ac:dyDescent="0.25">
      <c r="B7" s="96">
        <v>3</v>
      </c>
      <c r="C7" s="96" t="s">
        <v>1</v>
      </c>
      <c r="D7" s="97" t="s">
        <v>1009</v>
      </c>
      <c r="E7" s="83">
        <v>46034</v>
      </c>
      <c r="F7" s="6">
        <v>12480000</v>
      </c>
      <c r="G7" s="6">
        <v>50</v>
      </c>
      <c r="H7" s="6">
        <v>12479950</v>
      </c>
      <c r="I7" s="84">
        <v>12479950</v>
      </c>
      <c r="J7" s="84">
        <v>0</v>
      </c>
      <c r="K7" s="96" t="s">
        <v>17</v>
      </c>
      <c r="L7" s="433">
        <f t="shared" si="0"/>
        <v>12479950</v>
      </c>
      <c r="M7" s="98">
        <v>46042</v>
      </c>
      <c r="N7" s="103">
        <v>90.970192999999995</v>
      </c>
      <c r="O7" s="435">
        <f>L7*N7-2.13</f>
        <v>1135303458.0003498</v>
      </c>
      <c r="P7" s="98">
        <v>46042</v>
      </c>
      <c r="Q7" s="6">
        <v>11440</v>
      </c>
      <c r="R7" s="96">
        <v>1896336</v>
      </c>
      <c r="S7" s="96">
        <v>593.25</v>
      </c>
      <c r="T7" s="435">
        <f t="shared" si="1"/>
        <v>1125001332</v>
      </c>
      <c r="U7" s="83">
        <v>46023</v>
      </c>
      <c r="V7" s="83">
        <v>46055</v>
      </c>
      <c r="W7" s="84">
        <v>111967.46</v>
      </c>
      <c r="X7" s="84">
        <v>0</v>
      </c>
      <c r="Y7" s="433">
        <f t="shared" ref="Y7" si="4">W7-X7</f>
        <v>111967.46</v>
      </c>
      <c r="Z7" s="6" t="s">
        <v>17</v>
      </c>
    </row>
    <row r="8" spans="2:26" x14ac:dyDescent="0.25">
      <c r="B8" s="96">
        <v>4</v>
      </c>
      <c r="C8" s="96" t="s">
        <v>1</v>
      </c>
      <c r="D8" s="97" t="s">
        <v>1010</v>
      </c>
      <c r="E8" s="83">
        <v>46035</v>
      </c>
      <c r="F8" s="6">
        <v>12500000</v>
      </c>
      <c r="G8" s="6">
        <v>50</v>
      </c>
      <c r="H8" s="6">
        <v>12499950</v>
      </c>
      <c r="I8" s="84">
        <v>12499950</v>
      </c>
      <c r="J8" s="84">
        <v>0</v>
      </c>
      <c r="K8" s="96" t="s">
        <v>17</v>
      </c>
      <c r="L8" s="433">
        <f t="shared" si="0"/>
        <v>12499950</v>
      </c>
      <c r="M8" s="98">
        <v>46042</v>
      </c>
      <c r="N8" s="103">
        <v>90.971299999999999</v>
      </c>
      <c r="O8" s="435">
        <f>L8*N8+0.56</f>
        <v>1137136701.9949999</v>
      </c>
      <c r="P8" s="98">
        <v>46042</v>
      </c>
      <c r="Q8" s="6">
        <v>11440</v>
      </c>
      <c r="R8" s="96">
        <v>1896336</v>
      </c>
      <c r="S8" s="96">
        <v>593.25</v>
      </c>
      <c r="T8" s="435">
        <f t="shared" si="1"/>
        <v>1125001332</v>
      </c>
      <c r="U8" s="83">
        <v>46023</v>
      </c>
      <c r="V8" s="83">
        <v>46052</v>
      </c>
      <c r="W8" s="84">
        <v>131891.85999999999</v>
      </c>
      <c r="X8" s="84">
        <v>0</v>
      </c>
      <c r="Y8" s="433">
        <f t="shared" ref="Y8" si="5">W8-X8</f>
        <v>131891.85999999999</v>
      </c>
      <c r="Z8" s="6" t="s">
        <v>17</v>
      </c>
    </row>
    <row r="9" spans="2:26" x14ac:dyDescent="0.25">
      <c r="B9" s="96">
        <v>5</v>
      </c>
      <c r="C9" s="96" t="s">
        <v>1</v>
      </c>
      <c r="D9" s="97" t="s">
        <v>1011</v>
      </c>
      <c r="E9" s="83">
        <v>46034</v>
      </c>
      <c r="F9" s="6">
        <v>4210000</v>
      </c>
      <c r="G9" s="6">
        <v>50</v>
      </c>
      <c r="H9" s="6">
        <v>4209950</v>
      </c>
      <c r="I9" s="84">
        <v>4209950</v>
      </c>
      <c r="J9" s="84">
        <v>0</v>
      </c>
      <c r="K9" s="96" t="s">
        <v>17</v>
      </c>
      <c r="L9" s="433">
        <f t="shared" si="0"/>
        <v>4209950</v>
      </c>
      <c r="M9" s="98">
        <v>46042</v>
      </c>
      <c r="N9" s="103">
        <v>90.99</v>
      </c>
      <c r="O9" s="435">
        <f>L9*N9+0.5</f>
        <v>383063351</v>
      </c>
      <c r="P9" s="98">
        <v>46042</v>
      </c>
      <c r="Q9" s="6">
        <v>11440</v>
      </c>
      <c r="R9" s="96">
        <v>632112</v>
      </c>
      <c r="S9" s="96">
        <v>593.25</v>
      </c>
      <c r="T9" s="435">
        <f t="shared" si="1"/>
        <v>375000444</v>
      </c>
      <c r="U9" s="83">
        <v>46023</v>
      </c>
      <c r="V9" s="83">
        <v>46052</v>
      </c>
      <c r="W9" s="84">
        <v>87630.77</v>
      </c>
      <c r="X9" s="84">
        <v>0</v>
      </c>
      <c r="Y9" s="433">
        <f t="shared" ref="Y9" si="6">W9-X9</f>
        <v>87630.77</v>
      </c>
      <c r="Z9" s="6" t="s">
        <v>17</v>
      </c>
    </row>
    <row r="10" spans="2:26" x14ac:dyDescent="0.25">
      <c r="B10" s="96">
        <v>6</v>
      </c>
      <c r="C10" s="96" t="s">
        <v>1</v>
      </c>
      <c r="D10" s="97" t="s">
        <v>1012</v>
      </c>
      <c r="E10" s="83">
        <v>45883</v>
      </c>
      <c r="F10" s="6">
        <v>2500000</v>
      </c>
      <c r="G10" s="6">
        <v>0</v>
      </c>
      <c r="H10" s="6">
        <v>2500000</v>
      </c>
      <c r="I10" s="84">
        <v>2500000</v>
      </c>
      <c r="J10" s="84">
        <v>0</v>
      </c>
      <c r="K10" s="96" t="s">
        <v>17</v>
      </c>
      <c r="L10" s="433">
        <f>I10</f>
        <v>2500000</v>
      </c>
      <c r="M10" s="98">
        <v>45887</v>
      </c>
      <c r="N10" s="103">
        <v>87.281499999999994</v>
      </c>
      <c r="O10" s="435">
        <f t="shared" ref="O10:O16" si="7">L10*N10-0.01</f>
        <v>218203749.99000001</v>
      </c>
      <c r="P10" s="98"/>
      <c r="Q10" s="6"/>
      <c r="R10" s="682">
        <v>618777</v>
      </c>
      <c r="S10" s="685">
        <v>1406</v>
      </c>
      <c r="T10" s="688">
        <f>R10*S10</f>
        <v>870000462</v>
      </c>
      <c r="U10" s="676">
        <v>45888</v>
      </c>
      <c r="V10" s="676">
        <v>46111</v>
      </c>
      <c r="W10" s="669">
        <v>289934.61</v>
      </c>
      <c r="X10" s="669">
        <v>18142</v>
      </c>
      <c r="Y10" s="669">
        <v>289934.61</v>
      </c>
      <c r="Z10" s="6" t="s">
        <v>17</v>
      </c>
    </row>
    <row r="11" spans="2:26" x14ac:dyDescent="0.25">
      <c r="B11" s="96">
        <v>7</v>
      </c>
      <c r="C11" s="96" t="s">
        <v>1</v>
      </c>
      <c r="D11" s="97" t="s">
        <v>1012</v>
      </c>
      <c r="E11" s="83">
        <v>46079</v>
      </c>
      <c r="F11" s="6">
        <v>1000000</v>
      </c>
      <c r="G11" s="6">
        <v>0</v>
      </c>
      <c r="H11" s="6">
        <v>1000000</v>
      </c>
      <c r="I11" s="84">
        <v>1000000</v>
      </c>
      <c r="J11" s="84">
        <v>0</v>
      </c>
      <c r="K11" s="96" t="s">
        <v>17</v>
      </c>
      <c r="L11" s="433">
        <f t="shared" ref="L11" si="8">I11</f>
        <v>1000000</v>
      </c>
      <c r="M11" s="98">
        <v>46087</v>
      </c>
      <c r="N11" s="103">
        <v>91.635000000000005</v>
      </c>
      <c r="O11" s="435">
        <f t="shared" si="7"/>
        <v>91634999.989999995</v>
      </c>
      <c r="P11" s="98"/>
      <c r="Q11" s="6"/>
      <c r="R11" s="683"/>
      <c r="S11" s="686"/>
      <c r="T11" s="689"/>
      <c r="U11" s="677"/>
      <c r="V11" s="677"/>
      <c r="W11" s="670"/>
      <c r="X11" s="670"/>
      <c r="Y11" s="670"/>
      <c r="Z11" s="6" t="s">
        <v>17</v>
      </c>
    </row>
    <row r="12" spans="2:26" x14ac:dyDescent="0.25">
      <c r="B12" s="96">
        <v>8</v>
      </c>
      <c r="C12" s="96" t="s">
        <v>1</v>
      </c>
      <c r="D12" s="97" t="s">
        <v>1012</v>
      </c>
      <c r="E12" s="83">
        <v>46083</v>
      </c>
      <c r="F12" s="6">
        <v>510000</v>
      </c>
      <c r="G12" s="6">
        <v>0</v>
      </c>
      <c r="H12" s="6">
        <v>510000</v>
      </c>
      <c r="I12" s="84">
        <v>510000</v>
      </c>
      <c r="J12" s="84">
        <v>0</v>
      </c>
      <c r="K12" s="96" t="s">
        <v>17</v>
      </c>
      <c r="L12" s="433">
        <f t="shared" ref="L12" si="9">I12</f>
        <v>510000</v>
      </c>
      <c r="M12" s="98">
        <v>46091</v>
      </c>
      <c r="N12" s="103">
        <v>91.972499999999997</v>
      </c>
      <c r="O12" s="435">
        <f t="shared" si="7"/>
        <v>46905974.990000002</v>
      </c>
      <c r="P12" s="98"/>
      <c r="Q12" s="6"/>
      <c r="R12" s="683"/>
      <c r="S12" s="686"/>
      <c r="T12" s="689"/>
      <c r="U12" s="677"/>
      <c r="V12" s="677"/>
      <c r="W12" s="670"/>
      <c r="X12" s="670"/>
      <c r="Y12" s="670"/>
      <c r="Z12" s="6" t="s">
        <v>17</v>
      </c>
    </row>
    <row r="13" spans="2:26" x14ac:dyDescent="0.25">
      <c r="B13" s="96">
        <v>9</v>
      </c>
      <c r="C13" s="96" t="s">
        <v>1</v>
      </c>
      <c r="D13" s="97" t="s">
        <v>1012</v>
      </c>
      <c r="E13" s="83">
        <v>46087</v>
      </c>
      <c r="F13" s="6">
        <v>1950000</v>
      </c>
      <c r="G13" s="6">
        <v>0</v>
      </c>
      <c r="H13" s="6">
        <v>1950000</v>
      </c>
      <c r="I13" s="84">
        <v>1950000</v>
      </c>
      <c r="J13" s="84">
        <v>0</v>
      </c>
      <c r="K13" s="96" t="s">
        <v>17</v>
      </c>
      <c r="L13" s="433">
        <f t="shared" ref="L13:L15" si="10">I13</f>
        <v>1950000</v>
      </c>
      <c r="M13" s="98">
        <v>46097</v>
      </c>
      <c r="N13" s="103">
        <v>92.35</v>
      </c>
      <c r="O13" s="435">
        <f t="shared" si="7"/>
        <v>180082499.99000001</v>
      </c>
      <c r="P13" s="98"/>
      <c r="Q13" s="6"/>
      <c r="R13" s="683"/>
      <c r="S13" s="686"/>
      <c r="T13" s="689"/>
      <c r="U13" s="677"/>
      <c r="V13" s="677"/>
      <c r="W13" s="670"/>
      <c r="X13" s="670"/>
      <c r="Y13" s="670"/>
      <c r="Z13" s="6" t="s">
        <v>17</v>
      </c>
    </row>
    <row r="14" spans="2:26" x14ac:dyDescent="0.25">
      <c r="B14" s="96">
        <v>10</v>
      </c>
      <c r="C14" s="96" t="s">
        <v>1</v>
      </c>
      <c r="D14" s="97" t="s">
        <v>1012</v>
      </c>
      <c r="E14" s="83">
        <v>46092</v>
      </c>
      <c r="F14" s="6">
        <v>700000</v>
      </c>
      <c r="G14" s="6">
        <v>0</v>
      </c>
      <c r="H14" s="6">
        <v>700000</v>
      </c>
      <c r="I14" s="84">
        <v>700000</v>
      </c>
      <c r="J14" s="84">
        <v>0</v>
      </c>
      <c r="K14" s="96" t="s">
        <v>17</v>
      </c>
      <c r="L14" s="433">
        <f t="shared" ref="L14" si="11">I14</f>
        <v>700000</v>
      </c>
      <c r="M14" s="98">
        <v>46098</v>
      </c>
      <c r="N14" s="103">
        <v>92.364999999999995</v>
      </c>
      <c r="O14" s="435">
        <f t="shared" si="7"/>
        <v>64655499.990000002</v>
      </c>
      <c r="P14" s="98"/>
      <c r="Q14" s="6"/>
      <c r="R14" s="683"/>
      <c r="S14" s="686"/>
      <c r="T14" s="689"/>
      <c r="U14" s="677"/>
      <c r="V14" s="677"/>
      <c r="W14" s="670"/>
      <c r="X14" s="670"/>
      <c r="Y14" s="670"/>
      <c r="Z14" s="6" t="s">
        <v>17</v>
      </c>
    </row>
    <row r="15" spans="2:26" x14ac:dyDescent="0.25">
      <c r="B15" s="96">
        <v>11</v>
      </c>
      <c r="C15" s="96" t="s">
        <v>1</v>
      </c>
      <c r="D15" s="97" t="s">
        <v>1012</v>
      </c>
      <c r="E15" s="83">
        <v>46093</v>
      </c>
      <c r="F15" s="6">
        <v>1000000</v>
      </c>
      <c r="G15" s="6">
        <v>0</v>
      </c>
      <c r="H15" s="6">
        <v>1000000</v>
      </c>
      <c r="I15" s="84">
        <v>1000000</v>
      </c>
      <c r="J15" s="84">
        <v>0</v>
      </c>
      <c r="K15" s="96" t="s">
        <v>17</v>
      </c>
      <c r="L15" s="433">
        <f t="shared" si="10"/>
        <v>1000000</v>
      </c>
      <c r="M15" s="98">
        <v>46098</v>
      </c>
      <c r="N15" s="103">
        <v>92.364999999999995</v>
      </c>
      <c r="O15" s="435">
        <f t="shared" si="7"/>
        <v>92364999.989999995</v>
      </c>
      <c r="P15" s="98"/>
      <c r="Q15" s="6"/>
      <c r="R15" s="683"/>
      <c r="S15" s="686"/>
      <c r="T15" s="689"/>
      <c r="U15" s="677"/>
      <c r="V15" s="677"/>
      <c r="W15" s="670"/>
      <c r="X15" s="670"/>
      <c r="Y15" s="670"/>
      <c r="Z15" s="6" t="s">
        <v>17</v>
      </c>
    </row>
    <row r="16" spans="2:26" x14ac:dyDescent="0.25">
      <c r="B16" s="96">
        <v>12</v>
      </c>
      <c r="C16" s="96" t="s">
        <v>1</v>
      </c>
      <c r="D16" s="97" t="s">
        <v>1012</v>
      </c>
      <c r="E16" s="83">
        <v>46097</v>
      </c>
      <c r="F16" s="6">
        <v>2200000</v>
      </c>
      <c r="G16" s="6">
        <v>0</v>
      </c>
      <c r="H16" s="6">
        <v>2200000</v>
      </c>
      <c r="I16" s="84">
        <v>2200000</v>
      </c>
      <c r="J16" s="84">
        <v>0</v>
      </c>
      <c r="K16" s="96" t="s">
        <v>17</v>
      </c>
      <c r="L16" s="433">
        <f t="shared" ref="L16" si="12">I16</f>
        <v>2200000</v>
      </c>
      <c r="M16" s="98">
        <v>46099</v>
      </c>
      <c r="N16" s="103">
        <v>92.553021000000001</v>
      </c>
      <c r="O16" s="435">
        <f t="shared" si="7"/>
        <v>203616646.19</v>
      </c>
      <c r="P16" s="98"/>
      <c r="Q16" s="6"/>
      <c r="R16" s="684"/>
      <c r="S16" s="687"/>
      <c r="T16" s="690"/>
      <c r="U16" s="678"/>
      <c r="V16" s="678"/>
      <c r="W16" s="671"/>
      <c r="X16" s="671"/>
      <c r="Y16" s="671"/>
      <c r="Z16" s="6" t="s">
        <v>17</v>
      </c>
    </row>
  </sheetData>
  <mergeCells count="16">
    <mergeCell ref="P1:Q1"/>
    <mergeCell ref="R10:R16"/>
    <mergeCell ref="S10:S16"/>
    <mergeCell ref="T10:T16"/>
    <mergeCell ref="U10:U16"/>
    <mergeCell ref="B1:B2"/>
    <mergeCell ref="C1:C2"/>
    <mergeCell ref="D1:D2"/>
    <mergeCell ref="E1:K1"/>
    <mergeCell ref="M1:O1"/>
    <mergeCell ref="W10:W16"/>
    <mergeCell ref="X10:X16"/>
    <mergeCell ref="Y10:Y16"/>
    <mergeCell ref="R1:U1"/>
    <mergeCell ref="V1:Z1"/>
    <mergeCell ref="V10:V1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EAC13-AD94-46AB-965C-E661571A11BA}">
  <dimension ref="A1:Y12"/>
  <sheetViews>
    <sheetView workbookViewId="0">
      <selection sqref="A1:A2"/>
    </sheetView>
  </sheetViews>
  <sheetFormatPr defaultRowHeight="15" x14ac:dyDescent="0.25"/>
  <cols>
    <col min="1" max="1" width="7.5703125" bestFit="1" customWidth="1"/>
    <col min="2" max="2" width="7.5703125" customWidth="1"/>
    <col min="3" max="3" width="15.42578125" bestFit="1" customWidth="1"/>
    <col min="4" max="4" width="16" customWidth="1"/>
    <col min="5" max="5" width="19.85546875" bestFit="1" customWidth="1"/>
    <col min="6" max="6" width="14.85546875" bestFit="1" customWidth="1"/>
    <col min="7" max="8" width="19.85546875" customWidth="1"/>
    <col min="9" max="9" width="15.5703125" bestFit="1" customWidth="1"/>
    <col min="10" max="10" width="10.42578125" bestFit="1" customWidth="1"/>
    <col min="11" max="11" width="13.85546875" bestFit="1" customWidth="1"/>
    <col min="12" max="12" width="15.7109375" bestFit="1" customWidth="1"/>
    <col min="13" max="13" width="15.5703125" bestFit="1" customWidth="1"/>
    <col min="14" max="14" width="18.140625" bestFit="1" customWidth="1"/>
    <col min="15" max="15" width="12.85546875" bestFit="1" customWidth="1"/>
    <col min="16" max="16" width="12.5703125" bestFit="1" customWidth="1"/>
    <col min="17" max="17" width="14" bestFit="1" customWidth="1"/>
    <col min="18" max="18" width="5" bestFit="1" customWidth="1"/>
    <col min="19" max="19" width="15.28515625" bestFit="1" customWidth="1"/>
    <col min="20" max="20" width="10.7109375" bestFit="1" customWidth="1"/>
    <col min="21" max="21" width="15.85546875" bestFit="1" customWidth="1"/>
    <col min="22" max="22" width="20.140625" bestFit="1" customWidth="1"/>
    <col min="23" max="23" width="18.5703125" customWidth="1"/>
    <col min="24" max="24" width="15.140625" customWidth="1"/>
    <col min="25" max="25" width="20.85546875" bestFit="1" customWidth="1"/>
  </cols>
  <sheetData>
    <row r="1" spans="1:25" ht="15.75" thickBot="1" x14ac:dyDescent="0.3">
      <c r="A1" s="679" t="s">
        <v>980</v>
      </c>
      <c r="B1" s="679" t="s">
        <v>637</v>
      </c>
      <c r="C1" s="679" t="s">
        <v>981</v>
      </c>
      <c r="D1" s="675" t="s">
        <v>982</v>
      </c>
      <c r="E1" s="673"/>
      <c r="F1" s="673"/>
      <c r="G1" s="673"/>
      <c r="H1" s="673"/>
      <c r="I1" s="673"/>
      <c r="J1" s="674"/>
      <c r="K1" s="93"/>
      <c r="L1" s="673" t="s">
        <v>983</v>
      </c>
      <c r="M1" s="673"/>
      <c r="N1" s="674"/>
      <c r="O1" s="675" t="s">
        <v>984</v>
      </c>
      <c r="P1" s="681"/>
      <c r="Q1" s="672" t="s">
        <v>985</v>
      </c>
      <c r="R1" s="673"/>
      <c r="S1" s="673"/>
      <c r="T1" s="674"/>
      <c r="U1" s="675" t="s">
        <v>986</v>
      </c>
      <c r="V1" s="673"/>
      <c r="W1" s="673"/>
      <c r="X1" s="673"/>
      <c r="Y1" s="674"/>
    </row>
    <row r="2" spans="1:25" ht="30" x14ac:dyDescent="0.25">
      <c r="A2" s="680"/>
      <c r="B2" s="680"/>
      <c r="C2" s="680"/>
      <c r="D2" s="105" t="s">
        <v>987</v>
      </c>
      <c r="E2" s="105" t="s">
        <v>988</v>
      </c>
      <c r="F2" s="105" t="s">
        <v>989</v>
      </c>
      <c r="G2" s="105" t="s">
        <v>990</v>
      </c>
      <c r="H2" s="105" t="s">
        <v>991</v>
      </c>
      <c r="I2" s="105" t="s">
        <v>992</v>
      </c>
      <c r="J2" s="105" t="s">
        <v>993</v>
      </c>
      <c r="K2" s="105" t="s">
        <v>994</v>
      </c>
      <c r="L2" s="99" t="s">
        <v>995</v>
      </c>
      <c r="M2" s="99" t="s">
        <v>996</v>
      </c>
      <c r="N2" s="94" t="s">
        <v>997</v>
      </c>
      <c r="O2" s="94" t="s">
        <v>998</v>
      </c>
      <c r="P2" s="105" t="s">
        <v>999</v>
      </c>
      <c r="Q2" s="94" t="s">
        <v>1000</v>
      </c>
      <c r="R2" s="99" t="s">
        <v>476</v>
      </c>
      <c r="S2" s="95" t="s">
        <v>1001</v>
      </c>
      <c r="T2" s="105" t="s">
        <v>1002</v>
      </c>
      <c r="U2" s="94" t="s">
        <v>1003</v>
      </c>
      <c r="V2" s="94" t="s">
        <v>1004</v>
      </c>
      <c r="W2" s="94" t="s">
        <v>1005</v>
      </c>
      <c r="X2" s="105" t="s">
        <v>1006</v>
      </c>
      <c r="Y2" s="94" t="s">
        <v>993</v>
      </c>
    </row>
    <row r="3" spans="1:25" x14ac:dyDescent="0.25">
      <c r="A3" s="96">
        <v>1</v>
      </c>
      <c r="B3" s="96" t="s">
        <v>677</v>
      </c>
      <c r="C3" s="97" t="s">
        <v>1013</v>
      </c>
      <c r="D3" s="83">
        <v>44951</v>
      </c>
      <c r="E3" s="6">
        <v>2455000</v>
      </c>
      <c r="F3" s="6">
        <v>15</v>
      </c>
      <c r="G3" s="428">
        <f t="shared" ref="G3:G8" si="0">E3-F3</f>
        <v>2454985</v>
      </c>
      <c r="H3" s="84">
        <v>2448642.7000000002</v>
      </c>
      <c r="I3" s="84">
        <v>6342.3</v>
      </c>
      <c r="J3" s="96" t="s">
        <v>17</v>
      </c>
      <c r="K3" s="433">
        <f>H3</f>
        <v>2448642.7000000002</v>
      </c>
      <c r="L3" s="98">
        <v>44960</v>
      </c>
      <c r="M3" s="103">
        <v>81.78</v>
      </c>
      <c r="N3" s="435">
        <f>K3*M3-0.01</f>
        <v>200249999.99600002</v>
      </c>
      <c r="O3" s="98">
        <v>44960</v>
      </c>
      <c r="P3" s="6">
        <v>10800</v>
      </c>
      <c r="Q3" s="96">
        <v>1335000</v>
      </c>
      <c r="R3" s="96">
        <v>150</v>
      </c>
      <c r="S3" s="435">
        <f>Q3*R3</f>
        <v>200250000</v>
      </c>
      <c r="T3" s="83">
        <v>44965</v>
      </c>
      <c r="U3" s="83">
        <v>44965</v>
      </c>
      <c r="V3" s="433">
        <f>I3</f>
        <v>6342.3</v>
      </c>
      <c r="W3" s="84">
        <v>25</v>
      </c>
      <c r="X3" s="433">
        <f t="shared" ref="X3:X8" si="1">V3-W3</f>
        <v>6317.3</v>
      </c>
      <c r="Y3" s="6" t="s">
        <v>17</v>
      </c>
    </row>
    <row r="4" spans="1:25" x14ac:dyDescent="0.25">
      <c r="A4" s="434">
        <f>A3+1</f>
        <v>2</v>
      </c>
      <c r="B4" s="96" t="s">
        <v>677</v>
      </c>
      <c r="C4" s="97" t="s">
        <v>1013</v>
      </c>
      <c r="D4" s="100">
        <v>45056</v>
      </c>
      <c r="E4" s="6">
        <v>1000000</v>
      </c>
      <c r="F4" s="6">
        <v>15</v>
      </c>
      <c r="G4" s="428">
        <f t="shared" si="0"/>
        <v>999985</v>
      </c>
      <c r="H4" s="84">
        <v>992647.06</v>
      </c>
      <c r="I4" s="6">
        <v>7337.94</v>
      </c>
      <c r="J4" s="96" t="s">
        <v>17</v>
      </c>
      <c r="K4" s="433">
        <f t="shared" ref="K4:K8" si="2">H4</f>
        <v>992647.06</v>
      </c>
      <c r="L4" s="98">
        <v>45057</v>
      </c>
      <c r="M4" s="103">
        <v>81.5999999</v>
      </c>
      <c r="N4" s="435">
        <f>K4*M4</f>
        <v>80999999.996735305</v>
      </c>
      <c r="O4" s="98">
        <v>45057</v>
      </c>
      <c r="P4" s="6">
        <v>10800</v>
      </c>
      <c r="Q4" s="96">
        <v>540000</v>
      </c>
      <c r="R4" s="96">
        <v>150</v>
      </c>
      <c r="S4" s="435">
        <f t="shared" ref="S4:S8" si="3">Q4*R4</f>
        <v>81000000</v>
      </c>
      <c r="T4" s="83">
        <v>45058</v>
      </c>
      <c r="U4" s="83">
        <v>45058</v>
      </c>
      <c r="V4" s="433">
        <f t="shared" ref="V4:V8" si="4">I4</f>
        <v>7337.94</v>
      </c>
      <c r="W4" s="84">
        <v>25</v>
      </c>
      <c r="X4" s="433">
        <f t="shared" si="1"/>
        <v>7312.94</v>
      </c>
      <c r="Y4" s="6" t="s">
        <v>17</v>
      </c>
    </row>
    <row r="5" spans="1:25" x14ac:dyDescent="0.25">
      <c r="A5" s="434">
        <f t="shared" ref="A5:A11" si="5">A4+1</f>
        <v>3</v>
      </c>
      <c r="B5" s="96" t="s">
        <v>677</v>
      </c>
      <c r="C5" s="97" t="s">
        <v>1013</v>
      </c>
      <c r="D5" s="100">
        <v>45063</v>
      </c>
      <c r="E5" s="6">
        <v>1000000</v>
      </c>
      <c r="F5" s="6">
        <v>15</v>
      </c>
      <c r="G5" s="428">
        <f t="shared" si="0"/>
        <v>999985</v>
      </c>
      <c r="H5" s="6">
        <v>995736.91</v>
      </c>
      <c r="I5" s="6">
        <v>4248.09</v>
      </c>
      <c r="J5" s="96" t="s">
        <v>17</v>
      </c>
      <c r="K5" s="433">
        <f t="shared" si="2"/>
        <v>995736.91</v>
      </c>
      <c r="L5" s="98">
        <v>45065</v>
      </c>
      <c r="M5" s="103">
        <v>82.1</v>
      </c>
      <c r="N5" s="435">
        <f>K5*M5-0.31</f>
        <v>81750000.001000002</v>
      </c>
      <c r="O5" s="98">
        <v>45065</v>
      </c>
      <c r="P5" s="6">
        <v>10800</v>
      </c>
      <c r="Q5" s="96">
        <v>545000</v>
      </c>
      <c r="R5" s="96">
        <v>150</v>
      </c>
      <c r="S5" s="435">
        <f t="shared" si="3"/>
        <v>81750000</v>
      </c>
      <c r="T5" s="83">
        <v>45066</v>
      </c>
      <c r="U5" s="83">
        <v>45063</v>
      </c>
      <c r="V5" s="433">
        <f t="shared" si="4"/>
        <v>4248.09</v>
      </c>
      <c r="W5" s="84">
        <v>25</v>
      </c>
      <c r="X5" s="433">
        <f t="shared" si="1"/>
        <v>4223.09</v>
      </c>
      <c r="Y5" s="6" t="s">
        <v>17</v>
      </c>
    </row>
    <row r="6" spans="1:25" x14ac:dyDescent="0.25">
      <c r="A6" s="434">
        <f t="shared" si="5"/>
        <v>4</v>
      </c>
      <c r="B6" s="96" t="s">
        <v>677</v>
      </c>
      <c r="C6" s="97" t="s">
        <v>1013</v>
      </c>
      <c r="D6" s="100">
        <v>45070</v>
      </c>
      <c r="E6" s="106">
        <v>770000</v>
      </c>
      <c r="F6" s="6">
        <v>15</v>
      </c>
      <c r="G6" s="432">
        <f t="shared" si="0"/>
        <v>769985</v>
      </c>
      <c r="H6" s="84">
        <v>757760.2</v>
      </c>
      <c r="I6" s="101">
        <v>12224.8</v>
      </c>
      <c r="J6" s="96" t="s">
        <v>17</v>
      </c>
      <c r="K6" s="433">
        <f t="shared" si="2"/>
        <v>757760.2</v>
      </c>
      <c r="L6" s="98">
        <v>45076</v>
      </c>
      <c r="M6" s="104">
        <v>82.15</v>
      </c>
      <c r="N6" s="436">
        <f>K6*M6-0.43</f>
        <v>62250000</v>
      </c>
      <c r="O6" s="98">
        <v>45076</v>
      </c>
      <c r="P6" s="96">
        <v>10800</v>
      </c>
      <c r="Q6" s="96">
        <v>415000</v>
      </c>
      <c r="R6" s="96">
        <v>150</v>
      </c>
      <c r="S6" s="435">
        <f t="shared" si="3"/>
        <v>62250000</v>
      </c>
      <c r="T6" s="102">
        <v>45077</v>
      </c>
      <c r="U6" s="100">
        <v>45077</v>
      </c>
      <c r="V6" s="433">
        <f t="shared" si="4"/>
        <v>12224.8</v>
      </c>
      <c r="W6" s="84">
        <v>25</v>
      </c>
      <c r="X6" s="433">
        <f t="shared" si="1"/>
        <v>12199.8</v>
      </c>
      <c r="Y6" s="96" t="s">
        <v>17</v>
      </c>
    </row>
    <row r="7" spans="1:25" x14ac:dyDescent="0.25">
      <c r="A7" s="434">
        <f t="shared" si="5"/>
        <v>5</v>
      </c>
      <c r="B7" s="96" t="s">
        <v>677</v>
      </c>
      <c r="C7" s="97" t="s">
        <v>1013</v>
      </c>
      <c r="D7" s="100">
        <v>45315</v>
      </c>
      <c r="E7" s="96">
        <v>2000000</v>
      </c>
      <c r="F7" s="6">
        <v>9</v>
      </c>
      <c r="G7" s="432">
        <f t="shared" si="0"/>
        <v>1999991</v>
      </c>
      <c r="H7" s="84">
        <v>1996967.68</v>
      </c>
      <c r="I7" s="96">
        <v>3023.32</v>
      </c>
      <c r="J7" s="96" t="s">
        <v>17</v>
      </c>
      <c r="K7" s="433">
        <f t="shared" si="2"/>
        <v>1996967.68</v>
      </c>
      <c r="L7" s="98">
        <v>45321</v>
      </c>
      <c r="M7" s="96">
        <v>82.444999999999993</v>
      </c>
      <c r="N7" s="436">
        <f>K7*M7-0.38</f>
        <v>164639999.99759999</v>
      </c>
      <c r="O7" s="98">
        <v>45321</v>
      </c>
      <c r="P7" s="96">
        <v>10800</v>
      </c>
      <c r="Q7" s="96">
        <v>980000</v>
      </c>
      <c r="R7" s="96">
        <v>168</v>
      </c>
      <c r="S7" s="435">
        <f t="shared" si="3"/>
        <v>164640000</v>
      </c>
      <c r="T7" s="102">
        <v>45322</v>
      </c>
      <c r="U7" s="100">
        <v>45323</v>
      </c>
      <c r="V7" s="433">
        <f t="shared" si="4"/>
        <v>3023.32</v>
      </c>
      <c r="W7" s="84">
        <v>25</v>
      </c>
      <c r="X7" s="433">
        <f t="shared" si="1"/>
        <v>2998.32</v>
      </c>
      <c r="Y7" s="96" t="s">
        <v>17</v>
      </c>
    </row>
    <row r="8" spans="1:25" x14ac:dyDescent="0.25">
      <c r="A8" s="434">
        <f t="shared" si="5"/>
        <v>6</v>
      </c>
      <c r="B8" s="96" t="s">
        <v>677</v>
      </c>
      <c r="C8" s="97" t="s">
        <v>1014</v>
      </c>
      <c r="D8" s="100">
        <v>45316</v>
      </c>
      <c r="E8" s="96">
        <v>2500000</v>
      </c>
      <c r="F8" s="6">
        <v>15</v>
      </c>
      <c r="G8" s="432">
        <f t="shared" si="0"/>
        <v>2499985</v>
      </c>
      <c r="H8" s="84">
        <v>2445266.5499999998</v>
      </c>
      <c r="I8" s="96">
        <v>54718.45</v>
      </c>
      <c r="J8" s="96" t="s">
        <v>17</v>
      </c>
      <c r="K8" s="433">
        <f t="shared" si="2"/>
        <v>2445266.5499999998</v>
      </c>
      <c r="L8" s="98">
        <v>45321</v>
      </c>
      <c r="M8" s="96">
        <v>82.444999999999993</v>
      </c>
      <c r="N8" s="436">
        <f>K8*M8-0.71</f>
        <v>201600000.00474995</v>
      </c>
      <c r="O8" s="98">
        <v>45321</v>
      </c>
      <c r="P8" s="96">
        <v>10800</v>
      </c>
      <c r="Q8" s="96">
        <v>1200000</v>
      </c>
      <c r="R8" s="96">
        <v>168</v>
      </c>
      <c r="S8" s="435">
        <f t="shared" si="3"/>
        <v>201600000</v>
      </c>
      <c r="T8" s="102">
        <v>45321</v>
      </c>
      <c r="U8" s="100">
        <v>45323</v>
      </c>
      <c r="V8" s="433">
        <f t="shared" si="4"/>
        <v>54718.45</v>
      </c>
      <c r="W8" s="84">
        <v>25</v>
      </c>
      <c r="X8" s="433">
        <f t="shared" si="1"/>
        <v>54693.45</v>
      </c>
      <c r="Y8" s="96" t="s">
        <v>17</v>
      </c>
    </row>
    <row r="9" spans="1:25" x14ac:dyDescent="0.25">
      <c r="A9" s="434">
        <f t="shared" si="5"/>
        <v>7</v>
      </c>
      <c r="B9" s="96" t="s">
        <v>1015</v>
      </c>
      <c r="C9" s="97" t="s">
        <v>1013</v>
      </c>
      <c r="D9" s="100">
        <v>45365</v>
      </c>
      <c r="E9" s="96">
        <v>1000000</v>
      </c>
      <c r="F9" s="6">
        <v>9</v>
      </c>
      <c r="G9" s="432">
        <f t="shared" ref="G9" si="6">E9-F9</f>
        <v>999991</v>
      </c>
      <c r="H9" s="433">
        <f>G9</f>
        <v>999991</v>
      </c>
      <c r="I9" s="669">
        <v>19233.169999999998</v>
      </c>
      <c r="J9" s="96" t="s">
        <v>17</v>
      </c>
      <c r="K9" s="433">
        <f t="shared" ref="K9" si="7">H9</f>
        <v>999991</v>
      </c>
      <c r="L9" s="98">
        <v>45369</v>
      </c>
      <c r="M9" s="96">
        <v>82.855500000000006</v>
      </c>
      <c r="N9" s="436">
        <f>K9*M9-0.3</f>
        <v>82854754.000500008</v>
      </c>
      <c r="O9" s="98">
        <v>45369</v>
      </c>
      <c r="P9" s="96">
        <v>10800</v>
      </c>
      <c r="Q9" s="685">
        <v>1470000</v>
      </c>
      <c r="R9" s="685">
        <v>168</v>
      </c>
      <c r="S9" s="688">
        <f t="shared" ref="S9:S11" si="8">Q9*R9</f>
        <v>246960000</v>
      </c>
      <c r="T9" s="691">
        <v>45370</v>
      </c>
      <c r="U9" s="693">
        <v>45379</v>
      </c>
      <c r="V9" s="669">
        <v>19233.169999999998</v>
      </c>
      <c r="W9" s="669">
        <v>10</v>
      </c>
      <c r="X9" s="669">
        <v>19233.169999999998</v>
      </c>
      <c r="Y9" s="685" t="s">
        <v>17</v>
      </c>
    </row>
    <row r="10" spans="1:25" x14ac:dyDescent="0.25">
      <c r="A10" s="434">
        <f t="shared" si="5"/>
        <v>8</v>
      </c>
      <c r="B10" s="96" t="s">
        <v>1015</v>
      </c>
      <c r="C10" s="97" t="s">
        <v>1013</v>
      </c>
      <c r="D10" s="100">
        <v>45366</v>
      </c>
      <c r="E10" s="96">
        <v>2000000</v>
      </c>
      <c r="F10" s="6">
        <v>9</v>
      </c>
      <c r="G10" s="432">
        <f t="shared" ref="G10" si="9">E10-F10</f>
        <v>1999991</v>
      </c>
      <c r="H10" s="433">
        <f>G10</f>
        <v>1999991</v>
      </c>
      <c r="I10" s="671"/>
      <c r="J10" s="96" t="s">
        <v>17</v>
      </c>
      <c r="K10" s="433">
        <f t="shared" ref="K10" si="10">H10</f>
        <v>1999991</v>
      </c>
      <c r="L10" s="98">
        <v>45369</v>
      </c>
      <c r="M10" s="96">
        <v>82.855500000000006</v>
      </c>
      <c r="N10" s="436">
        <f>K10*M10-0.3</f>
        <v>165710254.00049999</v>
      </c>
      <c r="O10" s="98">
        <v>45369</v>
      </c>
      <c r="P10" s="96">
        <v>10800</v>
      </c>
      <c r="Q10" s="687"/>
      <c r="R10" s="687"/>
      <c r="S10" s="690"/>
      <c r="T10" s="692"/>
      <c r="U10" s="694"/>
      <c r="V10" s="671"/>
      <c r="W10" s="671"/>
      <c r="X10" s="671"/>
      <c r="Y10" s="687"/>
    </row>
    <row r="11" spans="1:25" x14ac:dyDescent="0.25">
      <c r="A11" s="434">
        <f t="shared" si="5"/>
        <v>9</v>
      </c>
      <c r="B11" s="96" t="s">
        <v>1015</v>
      </c>
      <c r="C11" s="97" t="s">
        <v>1013</v>
      </c>
      <c r="D11" s="100">
        <v>45463</v>
      </c>
      <c r="E11" s="96">
        <v>1400000</v>
      </c>
      <c r="F11" s="6">
        <v>0</v>
      </c>
      <c r="G11" s="432">
        <f t="shared" ref="G11" si="11">E11-F11</f>
        <v>1400000</v>
      </c>
      <c r="H11" s="433">
        <f>G11</f>
        <v>1400000</v>
      </c>
      <c r="I11" s="96">
        <v>5681.95</v>
      </c>
      <c r="J11" s="96" t="s">
        <v>17</v>
      </c>
      <c r="K11" s="84">
        <v>1400000</v>
      </c>
      <c r="L11" s="98">
        <v>45372</v>
      </c>
      <c r="M11" s="96">
        <v>83.43</v>
      </c>
      <c r="N11" s="436">
        <f>K11*M11-0.3</f>
        <v>116801999.70000002</v>
      </c>
      <c r="O11" s="98">
        <v>45469</v>
      </c>
      <c r="P11" s="96">
        <v>1699</v>
      </c>
      <c r="Q11" s="6">
        <v>880000</v>
      </c>
      <c r="R11" s="3">
        <v>235</v>
      </c>
      <c r="S11" s="437">
        <f t="shared" si="8"/>
        <v>206800000</v>
      </c>
      <c r="T11" s="3"/>
      <c r="U11" s="83">
        <v>45469</v>
      </c>
      <c r="V11" s="6">
        <v>5681.95</v>
      </c>
      <c r="W11" s="6" t="s">
        <v>247</v>
      </c>
      <c r="X11" s="6">
        <v>5681.95</v>
      </c>
      <c r="Y11" s="96" t="s">
        <v>17</v>
      </c>
    </row>
    <row r="12" spans="1:25" x14ac:dyDescent="0.25">
      <c r="G12" s="146"/>
    </row>
  </sheetData>
  <mergeCells count="18">
    <mergeCell ref="I9:I10"/>
    <mergeCell ref="Y9:Y10"/>
    <mergeCell ref="V9:V10"/>
    <mergeCell ref="X9:X10"/>
    <mergeCell ref="U1:Y1"/>
    <mergeCell ref="Q1:T1"/>
    <mergeCell ref="Q9:Q10"/>
    <mergeCell ref="R9:R10"/>
    <mergeCell ref="S9:S10"/>
    <mergeCell ref="T9:T10"/>
    <mergeCell ref="U9:U10"/>
    <mergeCell ref="W9:W10"/>
    <mergeCell ref="A1:A2"/>
    <mergeCell ref="C1:C2"/>
    <mergeCell ref="D1:J1"/>
    <mergeCell ref="L1:N1"/>
    <mergeCell ref="O1:P1"/>
    <mergeCell ref="B1:B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6695F-CAC3-4D3A-A08B-D4AFB5F402B9}">
  <sheetPr>
    <pageSetUpPr fitToPage="1"/>
  </sheetPr>
  <dimension ref="A1:AB114"/>
  <sheetViews>
    <sheetView workbookViewId="0">
      <pane ySplit="4" topLeftCell="A101" activePane="bottomLeft" state="frozen"/>
      <selection pane="bottomLeft" activeCell="A114" sqref="A114"/>
    </sheetView>
  </sheetViews>
  <sheetFormatPr defaultRowHeight="15" x14ac:dyDescent="0.25"/>
  <cols>
    <col min="1" max="1" width="12.140625" bestFit="1" customWidth="1"/>
    <col min="2" max="3" width="15.28515625" bestFit="1" customWidth="1"/>
    <col min="4" max="4" width="16.85546875" bestFit="1" customWidth="1"/>
    <col min="6" max="6" width="24.140625" bestFit="1" customWidth="1"/>
    <col min="7" max="7" width="18.28515625" bestFit="1" customWidth="1"/>
    <col min="8" max="8" width="10.7109375" bestFit="1" customWidth="1"/>
    <col min="9" max="9" width="11.140625" bestFit="1" customWidth="1"/>
    <col min="10" max="10" width="15.28515625" bestFit="1" customWidth="1"/>
    <col min="11" max="11" width="18.7109375" bestFit="1" customWidth="1"/>
    <col min="12" max="12" width="15.28515625" bestFit="1" customWidth="1"/>
    <col min="13" max="13" width="16.5703125" bestFit="1" customWidth="1"/>
    <col min="14" max="14" width="15.85546875" bestFit="1" customWidth="1"/>
    <col min="15" max="16" width="18.5703125" bestFit="1" customWidth="1"/>
    <col min="17" max="17" width="13.28515625" bestFit="1" customWidth="1"/>
    <col min="18" max="18" width="20.42578125" bestFit="1" customWidth="1"/>
    <col min="19" max="19" width="19.85546875" bestFit="1" customWidth="1"/>
    <col min="20" max="20" width="22.42578125" style="159" bestFit="1" customWidth="1"/>
    <col min="21" max="21" width="63.85546875" bestFit="1" customWidth="1"/>
    <col min="22" max="22" width="19.140625" bestFit="1" customWidth="1"/>
    <col min="23" max="23" width="30.28515625" bestFit="1" customWidth="1"/>
    <col min="24" max="24" width="38.28515625" bestFit="1" customWidth="1"/>
    <col min="25" max="25" width="21.85546875" bestFit="1" customWidth="1"/>
    <col min="26" max="26" width="12.42578125" bestFit="1" customWidth="1"/>
    <col min="27" max="27" width="19.7109375" bestFit="1" customWidth="1"/>
    <col min="28" max="28" width="15.42578125" bestFit="1" customWidth="1"/>
    <col min="30" max="30" width="12" bestFit="1" customWidth="1"/>
  </cols>
  <sheetData>
    <row r="1" spans="1:28" x14ac:dyDescent="0.25">
      <c r="U1" s="58"/>
      <c r="V1" s="58"/>
      <c r="W1" s="58"/>
    </row>
    <row r="2" spans="1:28" x14ac:dyDescent="0.25">
      <c r="A2" s="143" t="s">
        <v>1016</v>
      </c>
      <c r="U2" s="1"/>
      <c r="V2" s="1"/>
    </row>
    <row r="3" spans="1:28" x14ac:dyDescent="0.25">
      <c r="A3" s="143"/>
    </row>
    <row r="4" spans="1:28" x14ac:dyDescent="0.25">
      <c r="A4" s="114" t="s">
        <v>101</v>
      </c>
      <c r="B4" s="114" t="s">
        <v>1017</v>
      </c>
      <c r="C4" s="114" t="s">
        <v>1018</v>
      </c>
      <c r="D4" s="114" t="s">
        <v>1019</v>
      </c>
      <c r="F4" s="74" t="s">
        <v>103</v>
      </c>
      <c r="G4" s="74" t="s">
        <v>1020</v>
      </c>
      <c r="H4" s="74" t="s">
        <v>1021</v>
      </c>
      <c r="I4" s="74" t="s">
        <v>104</v>
      </c>
      <c r="J4" s="74" t="s">
        <v>1022</v>
      </c>
      <c r="K4" s="74" t="s">
        <v>1023</v>
      </c>
      <c r="L4" s="74" t="s">
        <v>1024</v>
      </c>
      <c r="M4" s="74" t="s">
        <v>1025</v>
      </c>
      <c r="N4" s="74" t="s">
        <v>1026</v>
      </c>
      <c r="O4" s="74" t="s">
        <v>1027</v>
      </c>
      <c r="P4" s="160" t="s">
        <v>1028</v>
      </c>
      <c r="Q4" s="74" t="s">
        <v>1029</v>
      </c>
      <c r="R4" s="74" t="s">
        <v>1030</v>
      </c>
      <c r="S4" s="74" t="s">
        <v>1031</v>
      </c>
      <c r="T4" s="144" t="s">
        <v>1032</v>
      </c>
      <c r="U4" s="74" t="s">
        <v>1033</v>
      </c>
      <c r="V4" s="74" t="s">
        <v>1034</v>
      </c>
      <c r="W4" s="74" t="s">
        <v>1035</v>
      </c>
      <c r="X4" s="74" t="s">
        <v>1036</v>
      </c>
      <c r="Y4" s="74" t="s">
        <v>1037</v>
      </c>
      <c r="Z4" s="74" t="s">
        <v>1038</v>
      </c>
      <c r="AA4" s="74" t="s">
        <v>1039</v>
      </c>
      <c r="AB4" s="74" t="s">
        <v>1040</v>
      </c>
    </row>
    <row r="5" spans="1:28" x14ac:dyDescent="0.25">
      <c r="A5" s="74"/>
      <c r="B5" s="74"/>
      <c r="C5" s="74"/>
      <c r="D5" s="74"/>
      <c r="F5" s="3" t="s">
        <v>1041</v>
      </c>
      <c r="G5" s="3" t="s">
        <v>1042</v>
      </c>
      <c r="H5" s="89">
        <v>45370</v>
      </c>
      <c r="I5" s="83" t="s">
        <v>1043</v>
      </c>
      <c r="J5" s="109">
        <v>50000000</v>
      </c>
      <c r="K5" s="109">
        <v>154352777.03999999</v>
      </c>
      <c r="L5" s="109">
        <v>154352777.03999999</v>
      </c>
      <c r="M5" s="6" t="s">
        <v>1044</v>
      </c>
      <c r="N5" s="6" t="s">
        <v>1045</v>
      </c>
      <c r="O5" s="6" t="s">
        <v>1046</v>
      </c>
      <c r="P5" s="83">
        <v>45422</v>
      </c>
      <c r="Q5" s="89">
        <v>45442</v>
      </c>
      <c r="R5" s="3">
        <v>1</v>
      </c>
      <c r="S5" s="6" t="s">
        <v>1047</v>
      </c>
      <c r="T5" s="109">
        <v>41777028.219999999</v>
      </c>
      <c r="U5" s="3" t="s">
        <v>1048</v>
      </c>
      <c r="V5" s="83" t="s">
        <v>247</v>
      </c>
      <c r="W5" s="83">
        <v>45407</v>
      </c>
      <c r="X5" s="83" t="s">
        <v>247</v>
      </c>
      <c r="Y5" s="83">
        <v>45415</v>
      </c>
      <c r="Z5" s="83">
        <v>45472</v>
      </c>
      <c r="AA5" s="6" t="s">
        <v>247</v>
      </c>
      <c r="AB5" s="3"/>
    </row>
    <row r="6" spans="1:28" x14ac:dyDescent="0.25">
      <c r="A6" s="74" t="s">
        <v>1046</v>
      </c>
      <c r="B6" s="3">
        <v>250000000</v>
      </c>
      <c r="C6" s="52">
        <f>$L$5+$L$11-L5-L11</f>
        <v>0</v>
      </c>
      <c r="D6" s="52">
        <f>B6-C6</f>
        <v>250000000</v>
      </c>
      <c r="F6" s="3" t="s">
        <v>1041</v>
      </c>
      <c r="G6" s="3" t="s">
        <v>1042</v>
      </c>
      <c r="H6" s="89">
        <v>45370</v>
      </c>
      <c r="I6" s="83" t="s">
        <v>1043</v>
      </c>
      <c r="J6" s="6" t="s">
        <v>247</v>
      </c>
      <c r="K6" s="6" t="s">
        <v>247</v>
      </c>
      <c r="L6" s="6" t="s">
        <v>247</v>
      </c>
      <c r="M6" s="6" t="s">
        <v>1044</v>
      </c>
      <c r="N6" s="6" t="s">
        <v>1045</v>
      </c>
      <c r="O6" s="6" t="s">
        <v>1046</v>
      </c>
      <c r="P6" s="83">
        <v>45422</v>
      </c>
      <c r="Q6" s="89">
        <v>45442</v>
      </c>
      <c r="R6" s="3">
        <v>2</v>
      </c>
      <c r="S6" s="6" t="s">
        <v>1049</v>
      </c>
      <c r="T6" s="109">
        <v>67260589.620000005</v>
      </c>
      <c r="U6" s="3" t="s">
        <v>1048</v>
      </c>
      <c r="V6" s="83" t="s">
        <v>247</v>
      </c>
      <c r="W6" s="83">
        <v>45407</v>
      </c>
      <c r="X6" s="83" t="s">
        <v>247</v>
      </c>
      <c r="Y6" s="83">
        <v>45415</v>
      </c>
      <c r="Z6" s="83">
        <v>45483</v>
      </c>
      <c r="AA6" s="6" t="s">
        <v>247</v>
      </c>
      <c r="AB6" s="3"/>
    </row>
    <row r="7" spans="1:28" x14ac:dyDescent="0.25">
      <c r="A7" s="74" t="s">
        <v>1050</v>
      </c>
      <c r="B7" s="3">
        <v>250000000</v>
      </c>
      <c r="C7" s="52">
        <v>0</v>
      </c>
      <c r="D7" s="52">
        <f>B7-C7</f>
        <v>250000000</v>
      </c>
      <c r="F7" s="3" t="s">
        <v>1041</v>
      </c>
      <c r="G7" s="3" t="s">
        <v>1042</v>
      </c>
      <c r="H7" s="89">
        <v>45370</v>
      </c>
      <c r="I7" s="83" t="s">
        <v>1043</v>
      </c>
      <c r="J7" s="6" t="s">
        <v>247</v>
      </c>
      <c r="K7" s="6" t="s">
        <v>247</v>
      </c>
      <c r="L7" s="6" t="s">
        <v>247</v>
      </c>
      <c r="M7" s="6" t="s">
        <v>1044</v>
      </c>
      <c r="N7" s="6" t="s">
        <v>1045</v>
      </c>
      <c r="O7" s="6" t="s">
        <v>1046</v>
      </c>
      <c r="P7" s="83">
        <v>45422</v>
      </c>
      <c r="Q7" s="89">
        <v>45442</v>
      </c>
      <c r="R7" s="3">
        <v>3</v>
      </c>
      <c r="S7" s="6" t="s">
        <v>1051</v>
      </c>
      <c r="T7" s="109">
        <v>12610423.630000001</v>
      </c>
      <c r="U7" s="3" t="s">
        <v>1048</v>
      </c>
      <c r="V7" s="83" t="s">
        <v>247</v>
      </c>
      <c r="W7" s="83">
        <v>45407</v>
      </c>
      <c r="X7" s="83" t="s">
        <v>247</v>
      </c>
      <c r="Y7" s="83">
        <v>45415</v>
      </c>
      <c r="Z7" s="83">
        <v>45488</v>
      </c>
      <c r="AA7" s="6" t="s">
        <v>247</v>
      </c>
      <c r="AB7" s="3"/>
    </row>
    <row r="8" spans="1:28" x14ac:dyDescent="0.25">
      <c r="A8" s="74" t="s">
        <v>1052</v>
      </c>
      <c r="B8" s="3">
        <v>750000000</v>
      </c>
      <c r="C8" s="3"/>
      <c r="D8" s="52">
        <v>750000000</v>
      </c>
      <c r="F8" s="3" t="s">
        <v>1041</v>
      </c>
      <c r="G8" s="3" t="s">
        <v>1042</v>
      </c>
      <c r="H8" s="89">
        <v>45370</v>
      </c>
      <c r="I8" s="83" t="s">
        <v>1043</v>
      </c>
      <c r="J8" s="6" t="s">
        <v>247</v>
      </c>
      <c r="K8" s="6" t="s">
        <v>247</v>
      </c>
      <c r="L8" s="6" t="s">
        <v>247</v>
      </c>
      <c r="M8" s="6" t="s">
        <v>1044</v>
      </c>
      <c r="N8" s="6" t="s">
        <v>1045</v>
      </c>
      <c r="O8" s="6" t="s">
        <v>1046</v>
      </c>
      <c r="P8" s="83">
        <v>45422</v>
      </c>
      <c r="Q8" s="89">
        <v>45442</v>
      </c>
      <c r="R8" s="3">
        <v>4</v>
      </c>
      <c r="S8" s="6" t="s">
        <v>1053</v>
      </c>
      <c r="T8" s="109">
        <v>21475932.640000001</v>
      </c>
      <c r="U8" s="3" t="s">
        <v>1048</v>
      </c>
      <c r="V8" s="83" t="s">
        <v>247</v>
      </c>
      <c r="W8" s="83">
        <v>45416</v>
      </c>
      <c r="X8" s="83" t="s">
        <v>247</v>
      </c>
      <c r="Y8" s="83">
        <v>45426</v>
      </c>
      <c r="Z8" s="83">
        <v>45496</v>
      </c>
      <c r="AA8" s="6" t="s">
        <v>247</v>
      </c>
      <c r="AB8" s="3"/>
    </row>
    <row r="9" spans="1:28" x14ac:dyDescent="0.25">
      <c r="A9" s="74" t="s">
        <v>1</v>
      </c>
      <c r="B9" s="3">
        <v>1000000000</v>
      </c>
      <c r="C9" s="52">
        <v>0</v>
      </c>
      <c r="D9" s="52">
        <f>B9-C9</f>
        <v>1000000000</v>
      </c>
      <c r="F9" s="3" t="s">
        <v>1041</v>
      </c>
      <c r="G9" s="3" t="s">
        <v>1042</v>
      </c>
      <c r="H9" s="89">
        <v>45370</v>
      </c>
      <c r="I9" s="83" t="s">
        <v>1043</v>
      </c>
      <c r="J9" s="6" t="s">
        <v>247</v>
      </c>
      <c r="K9" s="6" t="s">
        <v>247</v>
      </c>
      <c r="L9" s="6" t="s">
        <v>247</v>
      </c>
      <c r="M9" s="6" t="s">
        <v>1044</v>
      </c>
      <c r="N9" s="6" t="s">
        <v>1045</v>
      </c>
      <c r="O9" s="6" t="s">
        <v>1046</v>
      </c>
      <c r="P9" s="83">
        <v>45422</v>
      </c>
      <c r="Q9" s="89">
        <v>45442</v>
      </c>
      <c r="R9" s="3">
        <v>5</v>
      </c>
      <c r="S9" s="6" t="s">
        <v>1054</v>
      </c>
      <c r="T9" s="109">
        <v>4201087.68</v>
      </c>
      <c r="U9" s="3" t="s">
        <v>1048</v>
      </c>
      <c r="V9" s="83" t="s">
        <v>247</v>
      </c>
      <c r="W9" s="83">
        <v>45422</v>
      </c>
      <c r="X9" s="83" t="s">
        <v>247</v>
      </c>
      <c r="Y9" s="83">
        <v>45435</v>
      </c>
      <c r="Z9" s="83">
        <v>45502</v>
      </c>
      <c r="AA9" s="6" t="s">
        <v>247</v>
      </c>
      <c r="AB9" s="52">
        <f>$L$5-$T$5-$T$6-$T$7-$T$8-$T$9-$T$10</f>
        <v>2824241.7099999851</v>
      </c>
    </row>
    <row r="10" spans="1:28" x14ac:dyDescent="0.25">
      <c r="A10" s="3"/>
      <c r="B10" s="3"/>
      <c r="C10" s="52"/>
      <c r="D10" s="52"/>
      <c r="F10" s="3" t="s">
        <v>1041</v>
      </c>
      <c r="G10" s="3" t="s">
        <v>1042</v>
      </c>
      <c r="H10" s="89">
        <v>45370</v>
      </c>
      <c r="I10" s="83" t="s">
        <v>1043</v>
      </c>
      <c r="J10" s="6" t="s">
        <v>247</v>
      </c>
      <c r="K10" s="6" t="s">
        <v>247</v>
      </c>
      <c r="L10" s="6" t="s">
        <v>247</v>
      </c>
      <c r="M10" s="6" t="s">
        <v>1044</v>
      </c>
      <c r="N10" s="6" t="s">
        <v>1045</v>
      </c>
      <c r="O10" s="6" t="s">
        <v>1046</v>
      </c>
      <c r="P10" s="83">
        <v>45422</v>
      </c>
      <c r="Q10" s="89">
        <v>45442</v>
      </c>
      <c r="R10" s="3">
        <v>6</v>
      </c>
      <c r="S10" s="6" t="s">
        <v>1055</v>
      </c>
      <c r="T10" s="109">
        <v>4203473.54</v>
      </c>
      <c r="U10" s="3" t="s">
        <v>1048</v>
      </c>
      <c r="V10" s="83" t="s">
        <v>247</v>
      </c>
      <c r="W10" s="83">
        <v>45427</v>
      </c>
      <c r="X10" s="83" t="s">
        <v>247</v>
      </c>
      <c r="Y10" s="83">
        <v>45435</v>
      </c>
      <c r="Z10" s="83">
        <v>45492</v>
      </c>
      <c r="AB10" s="52"/>
    </row>
    <row r="11" spans="1:28" x14ac:dyDescent="0.25">
      <c r="F11" s="3" t="s">
        <v>1041</v>
      </c>
      <c r="G11" s="3" t="s">
        <v>1056</v>
      </c>
      <c r="H11" s="89">
        <v>45412</v>
      </c>
      <c r="I11" s="83" t="s">
        <v>1043</v>
      </c>
      <c r="J11" s="109">
        <v>40897060</v>
      </c>
      <c r="K11" s="109">
        <v>81794120</v>
      </c>
      <c r="L11" s="52">
        <v>81794120</v>
      </c>
      <c r="M11" s="6" t="s">
        <v>1057</v>
      </c>
      <c r="N11" s="6" t="s">
        <v>1046</v>
      </c>
      <c r="O11" s="6" t="s">
        <v>1046</v>
      </c>
      <c r="P11" s="83">
        <v>45432</v>
      </c>
      <c r="Q11" s="83">
        <v>45453</v>
      </c>
      <c r="R11" s="3">
        <v>7</v>
      </c>
      <c r="S11" s="6" t="s">
        <v>247</v>
      </c>
      <c r="T11" s="109">
        <v>21111278.800000001</v>
      </c>
      <c r="U11" s="3" t="s">
        <v>1048</v>
      </c>
      <c r="V11" s="83" t="s">
        <v>247</v>
      </c>
      <c r="W11" s="83">
        <v>45430</v>
      </c>
      <c r="X11" s="83">
        <v>45432</v>
      </c>
      <c r="Y11" s="83">
        <v>45442</v>
      </c>
      <c r="Z11" s="83">
        <v>45506</v>
      </c>
      <c r="AA11" s="147" t="s">
        <v>247</v>
      </c>
      <c r="AB11" s="3"/>
    </row>
    <row r="12" spans="1:28" x14ac:dyDescent="0.25">
      <c r="F12" s="3" t="s">
        <v>1041</v>
      </c>
      <c r="G12" s="3" t="s">
        <v>1056</v>
      </c>
      <c r="H12" s="89">
        <v>45412</v>
      </c>
      <c r="I12" s="83" t="s">
        <v>1043</v>
      </c>
      <c r="J12" s="148" t="s">
        <v>247</v>
      </c>
      <c r="K12" s="148" t="s">
        <v>247</v>
      </c>
      <c r="L12" s="147" t="s">
        <v>247</v>
      </c>
      <c r="M12" s="6" t="s">
        <v>1057</v>
      </c>
      <c r="N12" s="6" t="s">
        <v>1046</v>
      </c>
      <c r="O12" s="6" t="s">
        <v>1046</v>
      </c>
      <c r="P12" s="83">
        <v>45432</v>
      </c>
      <c r="Q12" s="83">
        <v>45453</v>
      </c>
      <c r="R12" s="3">
        <v>8</v>
      </c>
      <c r="S12" s="6" t="s">
        <v>247</v>
      </c>
      <c r="T12" s="109">
        <v>21111278.800000001</v>
      </c>
      <c r="U12" s="3" t="s">
        <v>1048</v>
      </c>
      <c r="V12" s="83" t="s">
        <v>247</v>
      </c>
      <c r="W12" s="83">
        <v>45430</v>
      </c>
      <c r="X12" s="83">
        <v>45432</v>
      </c>
      <c r="Y12" s="83">
        <v>45442</v>
      </c>
      <c r="Z12" s="83">
        <v>45510</v>
      </c>
      <c r="AA12" s="147" t="s">
        <v>247</v>
      </c>
      <c r="AB12" s="3"/>
    </row>
    <row r="13" spans="1:28" x14ac:dyDescent="0.25">
      <c r="F13" s="3" t="s">
        <v>1041</v>
      </c>
      <c r="G13" s="3" t="s">
        <v>1056</v>
      </c>
      <c r="H13" s="89">
        <v>45412</v>
      </c>
      <c r="I13" s="83" t="s">
        <v>1043</v>
      </c>
      <c r="J13" s="148" t="s">
        <v>247</v>
      </c>
      <c r="K13" s="148" t="s">
        <v>247</v>
      </c>
      <c r="L13" s="147" t="s">
        <v>247</v>
      </c>
      <c r="M13" s="6" t="s">
        <v>1057</v>
      </c>
      <c r="N13" s="6" t="s">
        <v>1046</v>
      </c>
      <c r="O13" s="6" t="s">
        <v>1046</v>
      </c>
      <c r="P13" s="83">
        <v>45432</v>
      </c>
      <c r="Q13" s="83">
        <v>45453</v>
      </c>
      <c r="R13" s="3">
        <v>9</v>
      </c>
      <c r="S13" s="6" t="s">
        <v>247</v>
      </c>
      <c r="T13" s="109">
        <v>4222255.76</v>
      </c>
      <c r="U13" s="3" t="s">
        <v>1048</v>
      </c>
      <c r="V13" s="83" t="s">
        <v>247</v>
      </c>
      <c r="W13" s="83">
        <v>45429</v>
      </c>
      <c r="X13" s="83">
        <v>45432</v>
      </c>
      <c r="Y13" s="83">
        <v>45442</v>
      </c>
      <c r="Z13" s="83">
        <v>45504</v>
      </c>
      <c r="AA13" s="147">
        <v>0</v>
      </c>
      <c r="AB13" s="3"/>
    </row>
    <row r="14" spans="1:28" x14ac:dyDescent="0.25">
      <c r="F14" s="3" t="s">
        <v>1041</v>
      </c>
      <c r="G14" s="3" t="s">
        <v>1056</v>
      </c>
      <c r="H14" s="89">
        <v>45412</v>
      </c>
      <c r="I14" s="83" t="s">
        <v>1043</v>
      </c>
      <c r="J14" s="148" t="s">
        <v>247</v>
      </c>
      <c r="K14" s="148" t="s">
        <v>247</v>
      </c>
      <c r="L14" s="147" t="s">
        <v>247</v>
      </c>
      <c r="M14" s="6" t="s">
        <v>1057</v>
      </c>
      <c r="N14" s="6" t="s">
        <v>1046</v>
      </c>
      <c r="O14" s="6" t="s">
        <v>1046</v>
      </c>
      <c r="P14" s="83">
        <v>45432</v>
      </c>
      <c r="Q14" s="83">
        <v>45453</v>
      </c>
      <c r="R14" s="3">
        <v>10</v>
      </c>
      <c r="S14" s="6" t="s">
        <v>247</v>
      </c>
      <c r="T14" s="109">
        <v>13577136.470000001</v>
      </c>
      <c r="U14" s="3" t="s">
        <v>1048</v>
      </c>
      <c r="V14" s="83" t="s">
        <v>247</v>
      </c>
      <c r="W14" s="83">
        <v>45436</v>
      </c>
      <c r="X14" s="83">
        <v>45442</v>
      </c>
      <c r="Y14" s="83">
        <v>45449</v>
      </c>
      <c r="Z14" s="83">
        <v>45514</v>
      </c>
      <c r="AA14" s="147">
        <v>0</v>
      </c>
      <c r="AB14" s="3"/>
    </row>
    <row r="15" spans="1:28" x14ac:dyDescent="0.25">
      <c r="F15" s="3" t="s">
        <v>1041</v>
      </c>
      <c r="G15" s="3" t="s">
        <v>1056</v>
      </c>
      <c r="H15" s="89">
        <v>45412</v>
      </c>
      <c r="I15" s="83" t="s">
        <v>1043</v>
      </c>
      <c r="J15" s="148" t="s">
        <v>247</v>
      </c>
      <c r="K15" s="148" t="s">
        <v>247</v>
      </c>
      <c r="L15" s="147" t="s">
        <v>247</v>
      </c>
      <c r="M15" s="6" t="s">
        <v>1057</v>
      </c>
      <c r="N15" s="6" t="s">
        <v>1046</v>
      </c>
      <c r="O15" s="6" t="s">
        <v>1046</v>
      </c>
      <c r="P15" s="83">
        <v>45432</v>
      </c>
      <c r="Q15" s="83">
        <v>45453</v>
      </c>
      <c r="R15" s="3">
        <v>11</v>
      </c>
      <c r="S15" s="6" t="s">
        <v>247</v>
      </c>
      <c r="T15" s="109">
        <v>21723418.370000001</v>
      </c>
      <c r="U15" s="3" t="s">
        <v>1048</v>
      </c>
      <c r="V15" s="83" t="s">
        <v>247</v>
      </c>
      <c r="W15" s="83">
        <v>45439</v>
      </c>
      <c r="X15" s="83">
        <v>45442</v>
      </c>
      <c r="Y15" s="83">
        <v>45455</v>
      </c>
      <c r="Z15" s="83">
        <v>45520</v>
      </c>
      <c r="AA15" s="147">
        <f>$L$11-$T$12-$T$13-$T$14-$T$15-$T$11</f>
        <v>48751.80000000447</v>
      </c>
      <c r="AB15" s="3"/>
    </row>
    <row r="16" spans="1:28" x14ac:dyDescent="0.25">
      <c r="F16" s="3" t="s">
        <v>1041</v>
      </c>
      <c r="G16" s="3" t="s">
        <v>1058</v>
      </c>
      <c r="H16" s="89">
        <v>45432</v>
      </c>
      <c r="I16" s="83" t="s">
        <v>1043</v>
      </c>
      <c r="J16" s="109">
        <v>47345025.840000004</v>
      </c>
      <c r="K16" s="109">
        <v>0</v>
      </c>
      <c r="L16" s="52">
        <f>J16+K16</f>
        <v>47345025.840000004</v>
      </c>
      <c r="M16" s="6" t="s">
        <v>1059</v>
      </c>
      <c r="N16" s="6" t="s">
        <v>1060</v>
      </c>
      <c r="O16" s="6" t="s">
        <v>1060</v>
      </c>
      <c r="P16" s="83">
        <v>45458</v>
      </c>
      <c r="Q16" s="83">
        <v>45479</v>
      </c>
      <c r="R16" s="3">
        <v>12</v>
      </c>
      <c r="S16" s="6" t="s">
        <v>247</v>
      </c>
      <c r="T16" s="109">
        <v>11979826.289999999</v>
      </c>
      <c r="U16" s="3" t="s">
        <v>1048</v>
      </c>
      <c r="V16" s="83" t="s">
        <v>247</v>
      </c>
      <c r="W16" s="83">
        <v>45454</v>
      </c>
      <c r="X16" s="83">
        <v>45456</v>
      </c>
      <c r="Y16" s="83">
        <v>45463</v>
      </c>
      <c r="Z16" s="83">
        <v>45531</v>
      </c>
      <c r="AA16" s="147" t="s">
        <v>247</v>
      </c>
      <c r="AB16" s="3"/>
    </row>
    <row r="17" spans="6:28" x14ac:dyDescent="0.25">
      <c r="F17" s="3" t="s">
        <v>1041</v>
      </c>
      <c r="G17" s="3" t="s">
        <v>1058</v>
      </c>
      <c r="H17" s="89">
        <v>45432</v>
      </c>
      <c r="I17" s="83" t="s">
        <v>1043</v>
      </c>
      <c r="J17" s="109" t="s">
        <v>247</v>
      </c>
      <c r="K17" s="109" t="s">
        <v>247</v>
      </c>
      <c r="L17" s="109" t="s">
        <v>247</v>
      </c>
      <c r="M17" s="6" t="s">
        <v>1059</v>
      </c>
      <c r="N17" s="6" t="s">
        <v>1060</v>
      </c>
      <c r="O17" s="6" t="s">
        <v>1060</v>
      </c>
      <c r="P17" s="83">
        <v>45458</v>
      </c>
      <c r="Q17" s="83">
        <v>45479</v>
      </c>
      <c r="R17" s="3">
        <v>13</v>
      </c>
      <c r="S17" s="6" t="s">
        <v>247</v>
      </c>
      <c r="T17" s="109">
        <v>12778481.380000001</v>
      </c>
      <c r="U17" s="3" t="s">
        <v>1048</v>
      </c>
      <c r="V17" s="83" t="s">
        <v>247</v>
      </c>
      <c r="W17" s="83">
        <v>45454</v>
      </c>
      <c r="X17" s="83">
        <v>45456</v>
      </c>
      <c r="Y17" s="83">
        <v>45463</v>
      </c>
      <c r="Z17" s="83">
        <v>45533</v>
      </c>
      <c r="AA17" s="147" t="s">
        <v>247</v>
      </c>
      <c r="AB17" s="3"/>
    </row>
    <row r="18" spans="6:28" x14ac:dyDescent="0.25">
      <c r="F18" s="3" t="s">
        <v>1041</v>
      </c>
      <c r="G18" s="3" t="s">
        <v>1058</v>
      </c>
      <c r="H18" s="89">
        <v>45432</v>
      </c>
      <c r="I18" s="83" t="s">
        <v>1043</v>
      </c>
      <c r="J18" s="109" t="s">
        <v>247</v>
      </c>
      <c r="K18" s="109" t="s">
        <v>247</v>
      </c>
      <c r="L18" s="109" t="s">
        <v>247</v>
      </c>
      <c r="M18" s="6" t="s">
        <v>1059</v>
      </c>
      <c r="N18" s="6" t="s">
        <v>1060</v>
      </c>
      <c r="O18" s="6" t="s">
        <v>1060</v>
      </c>
      <c r="P18" s="83">
        <v>45458</v>
      </c>
      <c r="Q18" s="83">
        <v>45479</v>
      </c>
      <c r="R18" s="3">
        <v>14</v>
      </c>
      <c r="S18" s="6" t="s">
        <v>247</v>
      </c>
      <c r="T18" s="109">
        <v>10222785.1</v>
      </c>
      <c r="U18" s="3" t="s">
        <v>1048</v>
      </c>
      <c r="V18" s="83" t="s">
        <v>247</v>
      </c>
      <c r="W18" s="83">
        <v>45454</v>
      </c>
      <c r="X18" s="83">
        <v>45456</v>
      </c>
      <c r="Y18" s="83">
        <v>45463</v>
      </c>
      <c r="Z18" s="83">
        <v>45536</v>
      </c>
      <c r="AA18" s="147"/>
      <c r="AB18" s="3"/>
    </row>
    <row r="19" spans="6:28" x14ac:dyDescent="0.25">
      <c r="F19" s="3" t="s">
        <v>1041</v>
      </c>
      <c r="G19" s="3" t="s">
        <v>1058</v>
      </c>
      <c r="H19" s="89">
        <v>45432</v>
      </c>
      <c r="I19" s="83" t="s">
        <v>1043</v>
      </c>
      <c r="J19" s="109" t="s">
        <v>247</v>
      </c>
      <c r="K19" s="109" t="s">
        <v>247</v>
      </c>
      <c r="L19" s="109" t="s">
        <v>247</v>
      </c>
      <c r="M19" s="6" t="s">
        <v>1059</v>
      </c>
      <c r="N19" s="6" t="s">
        <v>1060</v>
      </c>
      <c r="O19" s="6" t="s">
        <v>1060</v>
      </c>
      <c r="P19" s="83">
        <v>45458</v>
      </c>
      <c r="Q19" s="83">
        <v>45479</v>
      </c>
      <c r="R19" s="3">
        <v>15</v>
      </c>
      <c r="S19" s="6" t="s">
        <v>247</v>
      </c>
      <c r="T19" s="109">
        <v>11181171.210000001</v>
      </c>
      <c r="U19" s="3" t="s">
        <v>1048</v>
      </c>
      <c r="V19" s="83" t="s">
        <v>247</v>
      </c>
      <c r="W19" s="83">
        <v>45461</v>
      </c>
      <c r="X19" s="83">
        <v>45463</v>
      </c>
      <c r="Y19" s="83">
        <v>45470</v>
      </c>
      <c r="Z19" s="83">
        <v>45537</v>
      </c>
      <c r="AA19" s="147">
        <f>$L$16-$T$16-$T$17-$T$18-$T$19</f>
        <v>1182761.8600000013</v>
      </c>
      <c r="AB19" s="3"/>
    </row>
    <row r="20" spans="6:28" x14ac:dyDescent="0.25">
      <c r="F20" s="3" t="s">
        <v>1041</v>
      </c>
      <c r="G20" s="3" t="s">
        <v>1061</v>
      </c>
      <c r="H20" s="89">
        <v>45448</v>
      </c>
      <c r="I20" s="83" t="s">
        <v>1043</v>
      </c>
      <c r="J20" s="109">
        <v>60235257</v>
      </c>
      <c r="K20" s="109">
        <v>0</v>
      </c>
      <c r="L20" s="52">
        <f t="shared" ref="L20:L26" si="0">J20+K20</f>
        <v>60235257</v>
      </c>
      <c r="M20" s="6" t="s">
        <v>1044</v>
      </c>
      <c r="N20" s="6" t="s">
        <v>1060</v>
      </c>
      <c r="O20" s="6" t="s">
        <v>1060</v>
      </c>
      <c r="P20" s="83">
        <v>45473</v>
      </c>
      <c r="Q20" s="83">
        <v>45494</v>
      </c>
      <c r="R20" s="3">
        <v>16</v>
      </c>
      <c r="S20" s="6" t="s">
        <v>247</v>
      </c>
      <c r="T20" s="109">
        <v>13255787.810000001</v>
      </c>
      <c r="U20" s="3" t="s">
        <v>1048</v>
      </c>
      <c r="V20" s="83" t="s">
        <v>247</v>
      </c>
      <c r="W20" s="83">
        <v>45467</v>
      </c>
      <c r="X20" s="83">
        <v>45470</v>
      </c>
      <c r="Y20" s="83">
        <v>45503</v>
      </c>
      <c r="Z20" s="83">
        <v>45539</v>
      </c>
      <c r="AA20" s="147" t="s">
        <v>247</v>
      </c>
      <c r="AB20" s="3"/>
    </row>
    <row r="21" spans="6:28" x14ac:dyDescent="0.25">
      <c r="F21" s="3" t="s">
        <v>1041</v>
      </c>
      <c r="G21" s="3" t="s">
        <v>1061</v>
      </c>
      <c r="H21" s="89">
        <v>45448</v>
      </c>
      <c r="I21" s="83" t="s">
        <v>1043</v>
      </c>
      <c r="J21" s="109">
        <v>0</v>
      </c>
      <c r="K21" s="109">
        <v>0</v>
      </c>
      <c r="L21" s="52">
        <f t="shared" si="0"/>
        <v>0</v>
      </c>
      <c r="M21" s="6" t="s">
        <v>1044</v>
      </c>
      <c r="N21" s="6" t="s">
        <v>1060</v>
      </c>
      <c r="O21" s="6" t="s">
        <v>1060</v>
      </c>
      <c r="P21" s="83">
        <v>45473</v>
      </c>
      <c r="Q21" s="83">
        <v>45494</v>
      </c>
      <c r="R21" s="3">
        <v>17</v>
      </c>
      <c r="S21" s="6" t="s">
        <v>247</v>
      </c>
      <c r="T21" s="109">
        <v>16612025.800000001</v>
      </c>
      <c r="U21" s="3" t="s">
        <v>1048</v>
      </c>
      <c r="V21" s="83" t="s">
        <v>247</v>
      </c>
      <c r="W21" s="83">
        <v>45467</v>
      </c>
      <c r="X21" s="83">
        <v>45470</v>
      </c>
      <c r="Y21" s="83">
        <v>45479</v>
      </c>
      <c r="Z21" s="83">
        <v>45549</v>
      </c>
      <c r="AA21" s="147" t="s">
        <v>247</v>
      </c>
      <c r="AB21" s="3"/>
    </row>
    <row r="22" spans="6:28" x14ac:dyDescent="0.25">
      <c r="F22" s="3" t="s">
        <v>1041</v>
      </c>
      <c r="G22" s="3" t="s">
        <v>1061</v>
      </c>
      <c r="H22" s="89">
        <v>45448</v>
      </c>
      <c r="I22" s="83" t="s">
        <v>1043</v>
      </c>
      <c r="J22" s="109">
        <v>0</v>
      </c>
      <c r="K22" s="109">
        <v>0</v>
      </c>
      <c r="L22" s="52">
        <f t="shared" si="0"/>
        <v>0</v>
      </c>
      <c r="M22" s="6" t="s">
        <v>1044</v>
      </c>
      <c r="N22" s="6" t="s">
        <v>1060</v>
      </c>
      <c r="O22" s="6" t="s">
        <v>1060</v>
      </c>
      <c r="P22" s="83">
        <v>45473</v>
      </c>
      <c r="Q22" s="83">
        <v>45494</v>
      </c>
      <c r="R22" s="3">
        <v>18</v>
      </c>
      <c r="S22" s="6" t="s">
        <v>247</v>
      </c>
      <c r="T22" s="109">
        <v>11500633.24</v>
      </c>
      <c r="U22" s="3" t="s">
        <v>1048</v>
      </c>
      <c r="V22" s="83" t="s">
        <v>247</v>
      </c>
      <c r="W22" s="83">
        <v>45476</v>
      </c>
      <c r="X22" s="83">
        <v>45479</v>
      </c>
      <c r="Y22" s="83">
        <v>45483</v>
      </c>
      <c r="Z22" s="83">
        <v>45553</v>
      </c>
      <c r="AA22" s="147"/>
      <c r="AB22" s="3"/>
    </row>
    <row r="23" spans="6:28" x14ac:dyDescent="0.25">
      <c r="F23" s="3" t="s">
        <v>1041</v>
      </c>
      <c r="G23" s="3" t="s">
        <v>1061</v>
      </c>
      <c r="H23" s="89">
        <v>45448</v>
      </c>
      <c r="I23" s="83" t="s">
        <v>1043</v>
      </c>
      <c r="J23" s="109">
        <v>0</v>
      </c>
      <c r="K23" s="109">
        <v>0</v>
      </c>
      <c r="L23" s="52">
        <f t="shared" si="0"/>
        <v>0</v>
      </c>
      <c r="M23" s="6" t="s">
        <v>1044</v>
      </c>
      <c r="N23" s="6" t="s">
        <v>1060</v>
      </c>
      <c r="O23" s="6" t="s">
        <v>1060</v>
      </c>
      <c r="P23" s="83">
        <v>45473</v>
      </c>
      <c r="Q23" s="83">
        <v>45494</v>
      </c>
      <c r="R23" s="3">
        <v>19</v>
      </c>
      <c r="S23" s="6" t="s">
        <v>247</v>
      </c>
      <c r="T23" s="109">
        <v>7213658.8399999999</v>
      </c>
      <c r="U23" s="3" t="s">
        <v>1048</v>
      </c>
      <c r="V23" s="83" t="s">
        <v>247</v>
      </c>
      <c r="W23" s="83">
        <v>45483</v>
      </c>
      <c r="X23" s="83">
        <v>45484</v>
      </c>
      <c r="Y23" s="83">
        <v>45493</v>
      </c>
      <c r="Z23" s="83">
        <v>45558</v>
      </c>
      <c r="AA23" s="147"/>
      <c r="AB23" s="3"/>
    </row>
    <row r="24" spans="6:28" x14ac:dyDescent="0.25">
      <c r="F24" s="3" t="s">
        <v>1041</v>
      </c>
      <c r="G24" s="3" t="s">
        <v>1061</v>
      </c>
      <c r="H24" s="89">
        <v>45448</v>
      </c>
      <c r="I24" s="83" t="s">
        <v>1043</v>
      </c>
      <c r="J24" s="109">
        <v>0</v>
      </c>
      <c r="K24" s="109">
        <v>0</v>
      </c>
      <c r="L24" s="52">
        <f t="shared" si="0"/>
        <v>0</v>
      </c>
      <c r="M24" s="6" t="s">
        <v>1044</v>
      </c>
      <c r="N24" s="6" t="s">
        <v>1060</v>
      </c>
      <c r="O24" s="6" t="s">
        <v>1060</v>
      </c>
      <c r="P24" s="83">
        <v>45473</v>
      </c>
      <c r="Q24" s="83">
        <v>45494</v>
      </c>
      <c r="R24" s="3">
        <v>20</v>
      </c>
      <c r="S24" s="6" t="s">
        <v>247</v>
      </c>
      <c r="T24" s="109">
        <v>1279734.76</v>
      </c>
      <c r="U24" s="3" t="s">
        <v>1048</v>
      </c>
      <c r="V24" s="83" t="s">
        <v>247</v>
      </c>
      <c r="W24" s="83">
        <v>45511</v>
      </c>
      <c r="X24" s="83">
        <v>45511</v>
      </c>
      <c r="Y24" s="83">
        <v>45524</v>
      </c>
      <c r="Z24" s="83">
        <v>45540</v>
      </c>
      <c r="AA24" s="147">
        <f>$L$20-$T$20-$T$21-$T$22-$T$24-T23</f>
        <v>10373416.549999997</v>
      </c>
      <c r="AB24" s="3"/>
    </row>
    <row r="25" spans="6:28" x14ac:dyDescent="0.25">
      <c r="F25" s="3" t="s">
        <v>1062</v>
      </c>
      <c r="G25" s="3" t="s">
        <v>1063</v>
      </c>
      <c r="H25" s="89">
        <v>45458</v>
      </c>
      <c r="I25" s="83" t="s">
        <v>1043</v>
      </c>
      <c r="J25" s="109">
        <v>10397094.4</v>
      </c>
      <c r="K25" s="109">
        <v>0</v>
      </c>
      <c r="L25" s="52">
        <f t="shared" si="0"/>
        <v>10397094.4</v>
      </c>
      <c r="M25" s="6" t="s">
        <v>1064</v>
      </c>
      <c r="N25" s="6" t="s">
        <v>1060</v>
      </c>
      <c r="O25" s="6" t="s">
        <v>1060</v>
      </c>
      <c r="P25" s="83">
        <v>45468</v>
      </c>
      <c r="Q25" s="83">
        <v>45488</v>
      </c>
      <c r="R25" s="107" t="s">
        <v>1065</v>
      </c>
      <c r="S25" s="6" t="s">
        <v>247</v>
      </c>
      <c r="T25" s="109">
        <v>10387810.880000001</v>
      </c>
      <c r="U25" s="3" t="s">
        <v>1048</v>
      </c>
      <c r="V25" s="83" t="s">
        <v>247</v>
      </c>
      <c r="W25" s="83">
        <v>45468</v>
      </c>
      <c r="X25" s="83">
        <v>45470</v>
      </c>
      <c r="Y25" s="83">
        <v>45478</v>
      </c>
      <c r="Z25" s="83">
        <v>45520</v>
      </c>
      <c r="AA25" s="147">
        <f>$L$25-T25</f>
        <v>9283.519999999553</v>
      </c>
      <c r="AB25" s="3"/>
    </row>
    <row r="26" spans="6:28" x14ac:dyDescent="0.25">
      <c r="F26" s="3" t="s">
        <v>1066</v>
      </c>
      <c r="G26" s="3" t="s">
        <v>1067</v>
      </c>
      <c r="H26" s="89">
        <v>45491</v>
      </c>
      <c r="I26" s="83" t="s">
        <v>1043</v>
      </c>
      <c r="J26" s="8">
        <v>116208715</v>
      </c>
      <c r="K26" s="8">
        <v>0</v>
      </c>
      <c r="L26" s="52">
        <f t="shared" si="0"/>
        <v>116208715</v>
      </c>
      <c r="M26" s="6" t="s">
        <v>1068</v>
      </c>
      <c r="N26" s="6" t="s">
        <v>1045</v>
      </c>
      <c r="O26" s="6" t="s">
        <v>1</v>
      </c>
      <c r="P26" s="83">
        <v>45550</v>
      </c>
      <c r="Q26" s="83">
        <v>45595</v>
      </c>
      <c r="R26" s="107" t="s">
        <v>1069</v>
      </c>
      <c r="S26" s="6" t="s">
        <v>247</v>
      </c>
      <c r="T26" s="8">
        <v>34685010.270000003</v>
      </c>
      <c r="U26" s="3" t="s">
        <v>1048</v>
      </c>
      <c r="V26" s="83" t="s">
        <v>247</v>
      </c>
      <c r="W26" s="83">
        <v>45565</v>
      </c>
      <c r="X26" s="83">
        <v>45569</v>
      </c>
      <c r="Y26" s="83">
        <v>45574</v>
      </c>
      <c r="Z26" s="83">
        <v>45579</v>
      </c>
      <c r="AA26" s="147"/>
      <c r="AB26" s="3"/>
    </row>
    <row r="27" spans="6:28" x14ac:dyDescent="0.25">
      <c r="F27" s="3" t="s">
        <v>1066</v>
      </c>
      <c r="G27" s="3" t="s">
        <v>1067</v>
      </c>
      <c r="H27" s="89">
        <v>45491</v>
      </c>
      <c r="I27" s="83" t="s">
        <v>1043</v>
      </c>
      <c r="J27" s="8"/>
      <c r="K27" s="8"/>
      <c r="L27" s="52"/>
      <c r="M27" s="6" t="s">
        <v>1068</v>
      </c>
      <c r="N27" s="6" t="s">
        <v>1045</v>
      </c>
      <c r="O27" s="6" t="s">
        <v>1</v>
      </c>
      <c r="P27" s="83">
        <v>45550</v>
      </c>
      <c r="Q27" s="83">
        <v>45595</v>
      </c>
      <c r="R27" s="107" t="s">
        <v>1070</v>
      </c>
      <c r="S27" s="6" t="s">
        <v>247</v>
      </c>
      <c r="T27" s="8">
        <v>34796119.049999997</v>
      </c>
      <c r="U27" s="3" t="s">
        <v>1048</v>
      </c>
      <c r="V27" s="83" t="s">
        <v>247</v>
      </c>
      <c r="W27" s="83">
        <v>45565</v>
      </c>
      <c r="X27" s="83">
        <v>45569</v>
      </c>
      <c r="Y27" s="83">
        <v>45574</v>
      </c>
      <c r="Z27" s="83">
        <v>45579</v>
      </c>
      <c r="AA27" s="147"/>
      <c r="AB27" s="3"/>
    </row>
    <row r="28" spans="6:28" x14ac:dyDescent="0.25">
      <c r="F28" s="3" t="s">
        <v>1066</v>
      </c>
      <c r="G28" s="3" t="s">
        <v>1067</v>
      </c>
      <c r="H28" s="89">
        <v>45491</v>
      </c>
      <c r="I28" s="83" t="s">
        <v>1043</v>
      </c>
      <c r="J28" s="8"/>
      <c r="K28" s="8"/>
      <c r="L28" s="52"/>
      <c r="M28" s="6" t="s">
        <v>1068</v>
      </c>
      <c r="N28" s="6" t="s">
        <v>1045</v>
      </c>
      <c r="O28" s="6" t="s">
        <v>1</v>
      </c>
      <c r="P28" s="83">
        <v>45550</v>
      </c>
      <c r="Q28" s="83">
        <v>45595</v>
      </c>
      <c r="R28" s="107" t="s">
        <v>1071</v>
      </c>
      <c r="S28" s="6" t="s">
        <v>247</v>
      </c>
      <c r="T28" s="8">
        <v>13918447.619999999</v>
      </c>
      <c r="U28" s="3" t="s">
        <v>1048</v>
      </c>
      <c r="V28" s="83" t="s">
        <v>247</v>
      </c>
      <c r="W28" s="83">
        <v>45565</v>
      </c>
      <c r="X28" s="83">
        <v>45569</v>
      </c>
      <c r="Y28" s="83">
        <v>45574</v>
      </c>
      <c r="Z28" s="83">
        <v>45579</v>
      </c>
      <c r="AA28" s="147"/>
      <c r="AB28" s="3"/>
    </row>
    <row r="29" spans="6:28" x14ac:dyDescent="0.25">
      <c r="F29" s="3" t="s">
        <v>1066</v>
      </c>
      <c r="G29" s="3" t="s">
        <v>1067</v>
      </c>
      <c r="H29" s="89">
        <v>45491</v>
      </c>
      <c r="I29" s="83" t="s">
        <v>1043</v>
      </c>
      <c r="J29" s="8"/>
      <c r="K29" s="8"/>
      <c r="L29" s="52"/>
      <c r="M29" s="6" t="s">
        <v>1068</v>
      </c>
      <c r="N29" s="6" t="s">
        <v>1045</v>
      </c>
      <c r="O29" s="6" t="s">
        <v>1</v>
      </c>
      <c r="P29" s="83">
        <v>45550</v>
      </c>
      <c r="Q29" s="83">
        <v>45595</v>
      </c>
      <c r="R29" s="107" t="s">
        <v>1072</v>
      </c>
      <c r="S29" s="6" t="s">
        <v>247</v>
      </c>
      <c r="T29" s="8">
        <v>20254446.280000001</v>
      </c>
      <c r="U29" s="3" t="s">
        <v>1048</v>
      </c>
      <c r="V29" s="83" t="s">
        <v>247</v>
      </c>
      <c r="W29" s="83">
        <v>45565</v>
      </c>
      <c r="X29" s="83">
        <v>45569</v>
      </c>
      <c r="Y29" s="83">
        <v>45574</v>
      </c>
      <c r="Z29" s="83">
        <v>45579</v>
      </c>
      <c r="AA29" s="147"/>
      <c r="AB29" s="3"/>
    </row>
    <row r="30" spans="6:28" x14ac:dyDescent="0.25">
      <c r="F30" s="3" t="s">
        <v>1066</v>
      </c>
      <c r="G30" s="3" t="s">
        <v>1067</v>
      </c>
      <c r="H30" s="89">
        <v>45491</v>
      </c>
      <c r="I30" s="83" t="s">
        <v>1043</v>
      </c>
      <c r="J30" s="8"/>
      <c r="K30" s="8"/>
      <c r="L30" s="52"/>
      <c r="M30" s="6" t="s">
        <v>1068</v>
      </c>
      <c r="N30" s="6" t="s">
        <v>1045</v>
      </c>
      <c r="O30" s="6" t="s">
        <v>1</v>
      </c>
      <c r="P30" s="83">
        <v>45550</v>
      </c>
      <c r="Q30" s="83">
        <v>45595</v>
      </c>
      <c r="R30" s="107" t="s">
        <v>1073</v>
      </c>
      <c r="S30" s="6" t="s">
        <v>247</v>
      </c>
      <c r="T30" s="8">
        <v>4166368</v>
      </c>
      <c r="U30" s="3" t="s">
        <v>1048</v>
      </c>
      <c r="V30" s="83" t="s">
        <v>247</v>
      </c>
      <c r="W30" s="83">
        <v>45570</v>
      </c>
      <c r="X30" s="83">
        <v>45572</v>
      </c>
      <c r="Y30" s="83">
        <v>45593</v>
      </c>
      <c r="Z30" s="83">
        <v>45578</v>
      </c>
      <c r="AA30" s="147"/>
      <c r="AB30" s="3"/>
    </row>
    <row r="31" spans="6:28" x14ac:dyDescent="0.25">
      <c r="F31" s="3" t="s">
        <v>1066</v>
      </c>
      <c r="G31" s="3" t="s">
        <v>1067</v>
      </c>
      <c r="H31" s="89">
        <v>45491</v>
      </c>
      <c r="I31" s="83" t="s">
        <v>1043</v>
      </c>
      <c r="J31" s="8"/>
      <c r="K31" s="8"/>
      <c r="L31" s="52"/>
      <c r="M31" s="6" t="s">
        <v>1068</v>
      </c>
      <c r="N31" s="6" t="s">
        <v>1045</v>
      </c>
      <c r="O31" s="6" t="s">
        <v>1</v>
      </c>
      <c r="P31" s="83">
        <v>45550</v>
      </c>
      <c r="Q31" s="83">
        <v>45595</v>
      </c>
      <c r="R31" s="107" t="s">
        <v>1074</v>
      </c>
      <c r="S31" s="6" t="s">
        <v>247</v>
      </c>
      <c r="T31" s="8">
        <v>4179715</v>
      </c>
      <c r="U31" s="3" t="s">
        <v>1048</v>
      </c>
      <c r="V31" s="83" t="s">
        <v>247</v>
      </c>
      <c r="W31" s="83">
        <v>45570</v>
      </c>
      <c r="X31" s="83">
        <v>45572</v>
      </c>
      <c r="Y31" s="83">
        <v>45593</v>
      </c>
      <c r="Z31" s="83">
        <v>45578</v>
      </c>
      <c r="AA31" s="147"/>
      <c r="AB31" s="3"/>
    </row>
    <row r="32" spans="6:28" x14ac:dyDescent="0.25">
      <c r="F32" s="3" t="s">
        <v>1066</v>
      </c>
      <c r="G32" s="3" t="s">
        <v>1067</v>
      </c>
      <c r="H32" s="89">
        <v>45491</v>
      </c>
      <c r="I32" s="83" t="s">
        <v>1043</v>
      </c>
      <c r="J32" s="8"/>
      <c r="K32" s="8"/>
      <c r="L32" s="52"/>
      <c r="M32" s="6" t="s">
        <v>1068</v>
      </c>
      <c r="N32" s="6" t="s">
        <v>1045</v>
      </c>
      <c r="O32" s="6" t="s">
        <v>1</v>
      </c>
      <c r="P32" s="83">
        <v>45550</v>
      </c>
      <c r="Q32" s="83">
        <v>45595</v>
      </c>
      <c r="R32" s="107" t="s">
        <v>1075</v>
      </c>
      <c r="S32" s="6" t="s">
        <v>247</v>
      </c>
      <c r="T32" s="8">
        <v>2432967</v>
      </c>
      <c r="U32" s="3" t="s">
        <v>1048</v>
      </c>
      <c r="V32" s="83" t="s">
        <v>247</v>
      </c>
      <c r="W32" s="83">
        <v>45570</v>
      </c>
      <c r="X32" s="83">
        <v>45572</v>
      </c>
      <c r="Y32" s="83">
        <v>45593</v>
      </c>
      <c r="Z32" s="83">
        <v>45578</v>
      </c>
      <c r="AA32" s="147"/>
      <c r="AB32" s="3"/>
    </row>
    <row r="33" spans="1:28" x14ac:dyDescent="0.25">
      <c r="F33" s="3" t="s">
        <v>1066</v>
      </c>
      <c r="G33" s="3" t="s">
        <v>1067</v>
      </c>
      <c r="H33" s="89">
        <v>45491</v>
      </c>
      <c r="I33" s="83" t="s">
        <v>1043</v>
      </c>
      <c r="J33" s="8"/>
      <c r="K33" s="8"/>
      <c r="L33" s="52"/>
      <c r="M33" s="6" t="s">
        <v>1068</v>
      </c>
      <c r="N33" s="6" t="s">
        <v>1045</v>
      </c>
      <c r="O33" s="6" t="s">
        <v>1</v>
      </c>
      <c r="P33" s="83">
        <v>45550</v>
      </c>
      <c r="Q33" s="83">
        <v>45595</v>
      </c>
      <c r="R33" s="107" t="s">
        <v>1076</v>
      </c>
      <c r="S33" s="6" t="s">
        <v>247</v>
      </c>
      <c r="T33" s="8">
        <v>1671886</v>
      </c>
      <c r="U33" s="3" t="s">
        <v>1048</v>
      </c>
      <c r="V33" s="83" t="s">
        <v>247</v>
      </c>
      <c r="W33" s="83">
        <v>45570</v>
      </c>
      <c r="X33" s="83">
        <v>45572</v>
      </c>
      <c r="Y33" s="83">
        <v>45593</v>
      </c>
      <c r="Z33" s="83">
        <v>45578</v>
      </c>
      <c r="AA33" s="147">
        <f>$L$26-$T$26-$T$27-$T$28-$T$29-$T$30-$T$31-$T$32-$T$33</f>
        <v>103755.77999999374</v>
      </c>
      <c r="AB33" s="3"/>
    </row>
    <row r="34" spans="1:28" x14ac:dyDescent="0.25">
      <c r="F34" s="3" t="s">
        <v>1041</v>
      </c>
      <c r="G34" s="3" t="s">
        <v>1077</v>
      </c>
      <c r="H34" s="89">
        <v>45497</v>
      </c>
      <c r="I34" s="83" t="s">
        <v>1043</v>
      </c>
      <c r="J34" s="8">
        <v>47461067.57</v>
      </c>
      <c r="K34" s="8">
        <v>0</v>
      </c>
      <c r="L34" s="52">
        <f t="shared" ref="L34:L91" si="1">J34+K34</f>
        <v>47461067.57</v>
      </c>
      <c r="M34" s="6" t="s">
        <v>1044</v>
      </c>
      <c r="N34" s="6" t="s">
        <v>1050</v>
      </c>
      <c r="O34" s="6" t="s">
        <v>1050</v>
      </c>
      <c r="P34" s="83">
        <v>45519</v>
      </c>
      <c r="Q34" s="83">
        <v>45540</v>
      </c>
      <c r="R34" s="107">
        <v>21</v>
      </c>
      <c r="S34" s="6" t="s">
        <v>247</v>
      </c>
      <c r="T34" s="8">
        <v>23224421.379999999</v>
      </c>
      <c r="U34" s="3" t="s">
        <v>1048</v>
      </c>
      <c r="V34" s="83" t="s">
        <v>247</v>
      </c>
      <c r="W34" s="83">
        <v>45512</v>
      </c>
      <c r="X34" s="83">
        <v>45513</v>
      </c>
      <c r="Y34" s="83">
        <v>45531</v>
      </c>
      <c r="Z34" s="83">
        <v>45590</v>
      </c>
      <c r="AA34" s="147"/>
      <c r="AB34" s="3"/>
    </row>
    <row r="35" spans="1:28" x14ac:dyDescent="0.25">
      <c r="F35" s="3" t="s">
        <v>1041</v>
      </c>
      <c r="G35" s="3" t="s">
        <v>1077</v>
      </c>
      <c r="H35" s="89">
        <v>45497</v>
      </c>
      <c r="I35" s="83" t="s">
        <v>1043</v>
      </c>
      <c r="J35" s="8">
        <v>0</v>
      </c>
      <c r="K35" s="8">
        <v>0</v>
      </c>
      <c r="L35" s="52">
        <f t="shared" si="1"/>
        <v>0</v>
      </c>
      <c r="M35" s="6" t="s">
        <v>1044</v>
      </c>
      <c r="N35" s="6" t="s">
        <v>1050</v>
      </c>
      <c r="O35" s="6" t="s">
        <v>1050</v>
      </c>
      <c r="P35" s="83">
        <v>45519</v>
      </c>
      <c r="Q35" s="83">
        <v>45540</v>
      </c>
      <c r="R35" s="107">
        <v>22</v>
      </c>
      <c r="S35" s="6" t="s">
        <v>247</v>
      </c>
      <c r="T35" s="8">
        <v>23236742.969999999</v>
      </c>
      <c r="U35" s="3" t="s">
        <v>1048</v>
      </c>
      <c r="V35" s="83" t="s">
        <v>247</v>
      </c>
      <c r="W35" s="83">
        <v>45521</v>
      </c>
      <c r="X35" s="83">
        <v>45523</v>
      </c>
      <c r="Y35" s="83">
        <v>45532</v>
      </c>
      <c r="Z35" s="83">
        <v>45600</v>
      </c>
      <c r="AA35" s="147">
        <f>$L$34-T35-T34</f>
        <v>999903.22000000253</v>
      </c>
      <c r="AB35" s="3"/>
    </row>
    <row r="36" spans="1:28" x14ac:dyDescent="0.25">
      <c r="F36" s="3" t="s">
        <v>1041</v>
      </c>
      <c r="G36" s="3" t="s">
        <v>1078</v>
      </c>
      <c r="H36" s="89">
        <v>45504</v>
      </c>
      <c r="I36" s="83" t="s">
        <v>1043</v>
      </c>
      <c r="J36" s="8">
        <v>24203756.43</v>
      </c>
      <c r="K36" s="8">
        <v>0</v>
      </c>
      <c r="L36" s="52">
        <f t="shared" si="1"/>
        <v>24203756.43</v>
      </c>
      <c r="M36" s="6" t="s">
        <v>1044</v>
      </c>
      <c r="N36" s="6" t="s">
        <v>1050</v>
      </c>
      <c r="O36" s="6" t="s">
        <v>1050</v>
      </c>
      <c r="P36" s="83">
        <v>45535</v>
      </c>
      <c r="Q36" s="83">
        <v>45556</v>
      </c>
      <c r="R36" s="107">
        <v>23</v>
      </c>
      <c r="S36" s="6" t="s">
        <v>247</v>
      </c>
      <c r="T36" s="8">
        <v>24192105.699999999</v>
      </c>
      <c r="U36" s="3" t="s">
        <v>1048</v>
      </c>
      <c r="V36" s="83" t="s">
        <v>247</v>
      </c>
      <c r="W36" s="83">
        <v>45521</v>
      </c>
      <c r="X36" s="83">
        <v>45523</v>
      </c>
      <c r="Y36" s="83">
        <v>45532</v>
      </c>
      <c r="Z36" s="83">
        <v>45600</v>
      </c>
      <c r="AA36" s="147">
        <f>$L$36-T36</f>
        <v>11650.730000000447</v>
      </c>
      <c r="AB36" s="3"/>
    </row>
    <row r="37" spans="1:28" x14ac:dyDescent="0.25">
      <c r="F37" s="3" t="s">
        <v>1079</v>
      </c>
      <c r="G37" s="3" t="s">
        <v>1080</v>
      </c>
      <c r="H37" s="89">
        <v>45540</v>
      </c>
      <c r="I37" s="83" t="s">
        <v>1043</v>
      </c>
      <c r="J37" s="8">
        <v>13446048</v>
      </c>
      <c r="K37" s="8">
        <v>0</v>
      </c>
      <c r="L37" s="52">
        <f t="shared" si="1"/>
        <v>13446048</v>
      </c>
      <c r="M37" s="6" t="s">
        <v>704</v>
      </c>
      <c r="N37" s="6" t="s">
        <v>1045</v>
      </c>
      <c r="O37" s="6" t="s">
        <v>1</v>
      </c>
      <c r="P37" s="83">
        <v>45611</v>
      </c>
      <c r="Q37" s="83">
        <v>45632</v>
      </c>
      <c r="R37" s="107" t="s">
        <v>1081</v>
      </c>
      <c r="S37" s="6" t="s">
        <v>247</v>
      </c>
      <c r="T37" s="8">
        <v>5499648</v>
      </c>
      <c r="U37" s="3" t="s">
        <v>1048</v>
      </c>
      <c r="V37" s="83" t="s">
        <v>247</v>
      </c>
      <c r="W37" s="83">
        <v>45554</v>
      </c>
      <c r="X37" s="83">
        <v>45556</v>
      </c>
      <c r="Y37" s="83">
        <v>45562</v>
      </c>
      <c r="Z37" s="83">
        <v>45608</v>
      </c>
      <c r="AA37" s="147">
        <f>$L$37-T37</f>
        <v>7946400</v>
      </c>
      <c r="AB37" s="3" t="s">
        <v>1082</v>
      </c>
    </row>
    <row r="38" spans="1:28" x14ac:dyDescent="0.25">
      <c r="F38" s="3" t="s">
        <v>1083</v>
      </c>
      <c r="G38" s="3" t="s">
        <v>1084</v>
      </c>
      <c r="H38" s="89">
        <v>45575</v>
      </c>
      <c r="I38" s="83" t="s">
        <v>1043</v>
      </c>
      <c r="J38" s="8">
        <v>577665871</v>
      </c>
      <c r="K38" s="8">
        <v>0</v>
      </c>
      <c r="L38" s="52">
        <f t="shared" si="1"/>
        <v>577665871</v>
      </c>
      <c r="M38" s="6" t="s">
        <v>1085</v>
      </c>
      <c r="N38" s="6" t="s">
        <v>1045</v>
      </c>
      <c r="O38" s="6" t="s">
        <v>1086</v>
      </c>
      <c r="P38" s="83">
        <v>45626</v>
      </c>
      <c r="Q38" s="83">
        <v>45647</v>
      </c>
      <c r="R38" s="107" t="s">
        <v>1087</v>
      </c>
      <c r="S38" s="6" t="s">
        <v>247</v>
      </c>
      <c r="T38" s="8">
        <v>21617797</v>
      </c>
      <c r="U38" s="3" t="s">
        <v>1048</v>
      </c>
      <c r="V38" s="83" t="s">
        <v>247</v>
      </c>
      <c r="W38" s="83">
        <v>45586</v>
      </c>
      <c r="X38" s="83">
        <v>45588</v>
      </c>
      <c r="Y38" s="83">
        <v>45600</v>
      </c>
      <c r="Z38" s="83" t="s">
        <v>1088</v>
      </c>
      <c r="AA38" s="147"/>
      <c r="AB38" s="3"/>
    </row>
    <row r="39" spans="1:28" x14ac:dyDescent="0.25">
      <c r="A39" t="s">
        <v>92</v>
      </c>
      <c r="F39" s="3" t="s">
        <v>1083</v>
      </c>
      <c r="G39" s="3" t="s">
        <v>1084</v>
      </c>
      <c r="H39" s="89">
        <v>45575</v>
      </c>
      <c r="I39" s="83" t="s">
        <v>1043</v>
      </c>
      <c r="J39" s="8">
        <v>0</v>
      </c>
      <c r="K39" s="8">
        <v>0</v>
      </c>
      <c r="L39" s="52">
        <f t="shared" si="1"/>
        <v>0</v>
      </c>
      <c r="M39" s="6" t="s">
        <v>1085</v>
      </c>
      <c r="N39" s="6" t="s">
        <v>1045</v>
      </c>
      <c r="O39" s="6" t="s">
        <v>1086</v>
      </c>
      <c r="P39" s="83">
        <v>45626</v>
      </c>
      <c r="Q39" s="83">
        <v>45647</v>
      </c>
      <c r="R39" s="107" t="s">
        <v>1089</v>
      </c>
      <c r="S39" s="6" t="s">
        <v>247</v>
      </c>
      <c r="T39" s="8">
        <v>26883671</v>
      </c>
      <c r="U39" s="3" t="s">
        <v>1048</v>
      </c>
      <c r="V39" s="83" t="s">
        <v>247</v>
      </c>
      <c r="W39" s="83">
        <v>45586</v>
      </c>
      <c r="X39" s="83">
        <v>45588</v>
      </c>
      <c r="Y39" s="83">
        <v>45600</v>
      </c>
      <c r="Z39" s="83" t="s">
        <v>1088</v>
      </c>
      <c r="AA39" s="147"/>
      <c r="AB39" s="3"/>
    </row>
    <row r="40" spans="1:28" x14ac:dyDescent="0.25">
      <c r="A40" t="s">
        <v>92</v>
      </c>
      <c r="F40" s="3" t="s">
        <v>1083</v>
      </c>
      <c r="G40" s="3" t="s">
        <v>1084</v>
      </c>
      <c r="H40" s="89">
        <v>45575</v>
      </c>
      <c r="I40" s="83" t="s">
        <v>1043</v>
      </c>
      <c r="J40" s="8">
        <v>0</v>
      </c>
      <c r="K40" s="8">
        <v>0</v>
      </c>
      <c r="L40" s="52">
        <f t="shared" si="1"/>
        <v>0</v>
      </c>
      <c r="M40" s="6" t="s">
        <v>1085</v>
      </c>
      <c r="N40" s="6" t="s">
        <v>1045</v>
      </c>
      <c r="O40" s="6" t="s">
        <v>1086</v>
      </c>
      <c r="P40" s="83">
        <v>45626</v>
      </c>
      <c r="Q40" s="83">
        <v>45647</v>
      </c>
      <c r="R40" s="107" t="s">
        <v>1090</v>
      </c>
      <c r="S40" s="6" t="s">
        <v>247</v>
      </c>
      <c r="T40" s="8">
        <v>21617797</v>
      </c>
      <c r="U40" s="3" t="s">
        <v>1048</v>
      </c>
      <c r="V40" s="83" t="s">
        <v>247</v>
      </c>
      <c r="W40" s="83">
        <v>45586</v>
      </c>
      <c r="X40" s="83">
        <v>45588</v>
      </c>
      <c r="Y40" s="83">
        <v>45600</v>
      </c>
      <c r="Z40" s="83" t="s">
        <v>1088</v>
      </c>
      <c r="AA40" s="147"/>
      <c r="AB40" s="3"/>
    </row>
    <row r="41" spans="1:28" x14ac:dyDescent="0.25">
      <c r="A41" t="s">
        <v>92</v>
      </c>
      <c r="F41" s="3" t="s">
        <v>1083</v>
      </c>
      <c r="G41" s="3" t="s">
        <v>1084</v>
      </c>
      <c r="H41" s="89">
        <v>45575</v>
      </c>
      <c r="I41" s="83" t="s">
        <v>1043</v>
      </c>
      <c r="J41" s="8">
        <v>0</v>
      </c>
      <c r="K41" s="8">
        <v>0</v>
      </c>
      <c r="L41" s="52">
        <f t="shared" si="1"/>
        <v>0</v>
      </c>
      <c r="M41" s="6" t="s">
        <v>1085</v>
      </c>
      <c r="N41" s="6" t="s">
        <v>1045</v>
      </c>
      <c r="O41" s="6" t="s">
        <v>1086</v>
      </c>
      <c r="P41" s="83">
        <v>45626</v>
      </c>
      <c r="Q41" s="83">
        <v>45647</v>
      </c>
      <c r="R41" s="107" t="s">
        <v>1091</v>
      </c>
      <c r="S41" s="6" t="s">
        <v>247</v>
      </c>
      <c r="T41" s="8">
        <v>21433030</v>
      </c>
      <c r="U41" s="3" t="s">
        <v>1048</v>
      </c>
      <c r="V41" s="83" t="s">
        <v>247</v>
      </c>
      <c r="W41" s="83">
        <v>45586</v>
      </c>
      <c r="X41" s="83">
        <v>45587</v>
      </c>
      <c r="Y41" s="83">
        <v>45600</v>
      </c>
      <c r="Z41" s="83" t="s">
        <v>1088</v>
      </c>
      <c r="AA41" s="147"/>
      <c r="AB41" s="3"/>
    </row>
    <row r="42" spans="1:28" x14ac:dyDescent="0.25">
      <c r="A42" t="s">
        <v>92</v>
      </c>
      <c r="F42" s="3" t="s">
        <v>1083</v>
      </c>
      <c r="G42" s="3" t="s">
        <v>1084</v>
      </c>
      <c r="H42" s="89">
        <v>45575</v>
      </c>
      <c r="I42" s="83" t="s">
        <v>1043</v>
      </c>
      <c r="J42" s="8">
        <v>0</v>
      </c>
      <c r="K42" s="8">
        <v>0</v>
      </c>
      <c r="L42" s="52">
        <f t="shared" si="1"/>
        <v>0</v>
      </c>
      <c r="M42" s="6" t="s">
        <v>1085</v>
      </c>
      <c r="N42" s="6" t="s">
        <v>1045</v>
      </c>
      <c r="O42" s="6" t="s">
        <v>1086</v>
      </c>
      <c r="P42" s="83">
        <v>45626</v>
      </c>
      <c r="Q42" s="83">
        <v>45647</v>
      </c>
      <c r="R42" s="107" t="s">
        <v>1092</v>
      </c>
      <c r="S42" s="6" t="s">
        <v>247</v>
      </c>
      <c r="T42" s="8">
        <v>37646378</v>
      </c>
      <c r="U42" s="3" t="s">
        <v>1048</v>
      </c>
      <c r="V42" s="83" t="s">
        <v>247</v>
      </c>
      <c r="W42" s="83">
        <v>45586</v>
      </c>
      <c r="X42" s="83">
        <v>45587</v>
      </c>
      <c r="Y42" s="83">
        <v>45600</v>
      </c>
      <c r="Z42" s="83" t="s">
        <v>1088</v>
      </c>
      <c r="AA42" s="147"/>
      <c r="AB42" s="3"/>
    </row>
    <row r="43" spans="1:28" x14ac:dyDescent="0.25">
      <c r="A43" t="s">
        <v>92</v>
      </c>
      <c r="F43" s="3" t="s">
        <v>1083</v>
      </c>
      <c r="G43" s="3" t="s">
        <v>1084</v>
      </c>
      <c r="H43" s="89">
        <v>45575</v>
      </c>
      <c r="I43" s="83" t="s">
        <v>1043</v>
      </c>
      <c r="J43" s="8">
        <v>0</v>
      </c>
      <c r="K43" s="8">
        <v>0</v>
      </c>
      <c r="L43" s="52">
        <f t="shared" si="1"/>
        <v>0</v>
      </c>
      <c r="M43" s="6" t="s">
        <v>1085</v>
      </c>
      <c r="N43" s="6" t="s">
        <v>1045</v>
      </c>
      <c r="O43" s="6" t="s">
        <v>1086</v>
      </c>
      <c r="P43" s="83">
        <v>45626</v>
      </c>
      <c r="Q43" s="83">
        <v>45647</v>
      </c>
      <c r="R43" s="107" t="s">
        <v>1093</v>
      </c>
      <c r="S43" s="6" t="s">
        <v>247</v>
      </c>
      <c r="T43" s="8">
        <v>48270343</v>
      </c>
      <c r="U43" s="3" t="s">
        <v>1048</v>
      </c>
      <c r="V43" s="83" t="s">
        <v>247</v>
      </c>
      <c r="W43" s="83">
        <v>45587</v>
      </c>
      <c r="X43" s="83">
        <v>45587</v>
      </c>
      <c r="Y43" s="83">
        <v>45600</v>
      </c>
      <c r="Z43" s="83" t="s">
        <v>1088</v>
      </c>
      <c r="AA43" s="147"/>
      <c r="AB43" s="3"/>
    </row>
    <row r="44" spans="1:28" x14ac:dyDescent="0.25">
      <c r="A44" t="s">
        <v>92</v>
      </c>
      <c r="F44" s="3" t="s">
        <v>1083</v>
      </c>
      <c r="G44" s="3" t="s">
        <v>1084</v>
      </c>
      <c r="H44" s="89">
        <v>45575</v>
      </c>
      <c r="I44" s="83" t="s">
        <v>1043</v>
      </c>
      <c r="J44" s="8">
        <v>0</v>
      </c>
      <c r="K44" s="8">
        <v>0</v>
      </c>
      <c r="L44" s="52">
        <f t="shared" si="1"/>
        <v>0</v>
      </c>
      <c r="M44" s="6" t="s">
        <v>1085</v>
      </c>
      <c r="N44" s="6" t="s">
        <v>1045</v>
      </c>
      <c r="O44" s="6" t="s">
        <v>1086</v>
      </c>
      <c r="P44" s="83">
        <v>45626</v>
      </c>
      <c r="Q44" s="83">
        <v>45647</v>
      </c>
      <c r="R44" s="107" t="s">
        <v>1094</v>
      </c>
      <c r="S44" s="6" t="s">
        <v>247</v>
      </c>
      <c r="T44" s="8">
        <v>30474864</v>
      </c>
      <c r="U44" s="3" t="s">
        <v>1048</v>
      </c>
      <c r="V44" s="83" t="s">
        <v>247</v>
      </c>
      <c r="W44" s="83">
        <v>45593</v>
      </c>
      <c r="X44" s="83">
        <v>45595</v>
      </c>
      <c r="Y44" s="83">
        <v>45615</v>
      </c>
      <c r="Z44" s="83" t="s">
        <v>1088</v>
      </c>
      <c r="AA44" s="147"/>
      <c r="AB44" s="3"/>
    </row>
    <row r="45" spans="1:28" x14ac:dyDescent="0.25">
      <c r="A45" t="s">
        <v>92</v>
      </c>
      <c r="F45" s="3" t="s">
        <v>1083</v>
      </c>
      <c r="G45" s="3" t="s">
        <v>1084</v>
      </c>
      <c r="H45" s="89">
        <v>45575</v>
      </c>
      <c r="I45" s="83" t="s">
        <v>1043</v>
      </c>
      <c r="J45" s="8">
        <v>0</v>
      </c>
      <c r="K45" s="8">
        <v>0</v>
      </c>
      <c r="L45" s="52">
        <f t="shared" si="1"/>
        <v>0</v>
      </c>
      <c r="M45" s="6" t="s">
        <v>1085</v>
      </c>
      <c r="N45" s="6" t="s">
        <v>1045</v>
      </c>
      <c r="O45" s="6" t="s">
        <v>1086</v>
      </c>
      <c r="P45" s="83">
        <v>45626</v>
      </c>
      <c r="Q45" s="83">
        <v>45647</v>
      </c>
      <c r="R45" s="107" t="s">
        <v>1095</v>
      </c>
      <c r="S45" s="6" t="s">
        <v>247</v>
      </c>
      <c r="T45" s="8">
        <v>26791288</v>
      </c>
      <c r="U45" s="3" t="s">
        <v>1048</v>
      </c>
      <c r="V45" s="83" t="s">
        <v>247</v>
      </c>
      <c r="W45" s="83">
        <v>45595</v>
      </c>
      <c r="X45" s="83">
        <v>45597</v>
      </c>
      <c r="Y45" s="83">
        <v>45615</v>
      </c>
      <c r="Z45" s="83" t="s">
        <v>1088</v>
      </c>
      <c r="AA45" s="147"/>
      <c r="AB45" s="3"/>
    </row>
    <row r="46" spans="1:28" x14ac:dyDescent="0.25">
      <c r="A46" t="s">
        <v>92</v>
      </c>
      <c r="F46" s="3" t="s">
        <v>1083</v>
      </c>
      <c r="G46" s="3" t="s">
        <v>1084</v>
      </c>
      <c r="H46" s="89">
        <v>45575</v>
      </c>
      <c r="I46" s="83" t="s">
        <v>1043</v>
      </c>
      <c r="J46" s="8">
        <v>0</v>
      </c>
      <c r="K46" s="8">
        <v>0</v>
      </c>
      <c r="L46" s="52">
        <f t="shared" si="1"/>
        <v>0</v>
      </c>
      <c r="M46" s="6" t="s">
        <v>1085</v>
      </c>
      <c r="N46" s="6" t="s">
        <v>1045</v>
      </c>
      <c r="O46" s="6" t="s">
        <v>1086</v>
      </c>
      <c r="P46" s="83">
        <v>45626</v>
      </c>
      <c r="Q46" s="83">
        <v>45647</v>
      </c>
      <c r="R46" s="107" t="s">
        <v>1096</v>
      </c>
      <c r="S46" s="6" t="s">
        <v>247</v>
      </c>
      <c r="T46" s="8">
        <v>21433030</v>
      </c>
      <c r="U46" s="3" t="s">
        <v>1048</v>
      </c>
      <c r="V46" s="83" t="s">
        <v>247</v>
      </c>
      <c r="W46" s="83">
        <v>45595</v>
      </c>
      <c r="X46" s="83">
        <v>45597</v>
      </c>
      <c r="Y46" s="83">
        <v>45615</v>
      </c>
      <c r="Z46" s="83" t="s">
        <v>1088</v>
      </c>
      <c r="AA46" s="147"/>
      <c r="AB46" s="3"/>
    </row>
    <row r="47" spans="1:28" x14ac:dyDescent="0.25">
      <c r="A47" t="s">
        <v>92</v>
      </c>
      <c r="F47" s="3" t="s">
        <v>1083</v>
      </c>
      <c r="G47" s="3" t="s">
        <v>1084</v>
      </c>
      <c r="H47" s="89">
        <v>45575</v>
      </c>
      <c r="I47" s="83" t="s">
        <v>1043</v>
      </c>
      <c r="J47" s="8">
        <v>0</v>
      </c>
      <c r="K47" s="8">
        <v>0</v>
      </c>
      <c r="L47" s="52">
        <f t="shared" si="1"/>
        <v>0</v>
      </c>
      <c r="M47" s="6" t="s">
        <v>1085</v>
      </c>
      <c r="N47" s="6" t="s">
        <v>1045</v>
      </c>
      <c r="O47" s="6" t="s">
        <v>1086</v>
      </c>
      <c r="P47" s="83">
        <v>45626</v>
      </c>
      <c r="Q47" s="83">
        <v>45647</v>
      </c>
      <c r="R47" s="107" t="s">
        <v>1097</v>
      </c>
      <c r="S47" s="6" t="s">
        <v>247</v>
      </c>
      <c r="T47" s="8">
        <v>10716515</v>
      </c>
      <c r="U47" s="3" t="s">
        <v>1048</v>
      </c>
      <c r="V47" s="83" t="s">
        <v>247</v>
      </c>
      <c r="W47" s="83">
        <v>45595</v>
      </c>
      <c r="X47" s="83">
        <v>45597</v>
      </c>
      <c r="Y47" s="83">
        <v>45615</v>
      </c>
      <c r="Z47" s="83" t="s">
        <v>1088</v>
      </c>
      <c r="AA47" s="147"/>
      <c r="AB47" s="3"/>
    </row>
    <row r="48" spans="1:28" x14ac:dyDescent="0.25">
      <c r="A48" t="s">
        <v>92</v>
      </c>
      <c r="F48" s="3" t="s">
        <v>1083</v>
      </c>
      <c r="G48" s="3" t="s">
        <v>1084</v>
      </c>
      <c r="H48" s="89">
        <v>45575</v>
      </c>
      <c r="I48" s="83" t="s">
        <v>1043</v>
      </c>
      <c r="J48" s="8">
        <v>0</v>
      </c>
      <c r="K48" s="8">
        <v>0</v>
      </c>
      <c r="L48" s="52">
        <f t="shared" si="1"/>
        <v>0</v>
      </c>
      <c r="M48" s="6" t="s">
        <v>1085</v>
      </c>
      <c r="N48" s="6" t="s">
        <v>1045</v>
      </c>
      <c r="O48" s="6" t="s">
        <v>1086</v>
      </c>
      <c r="P48" s="83">
        <v>45626</v>
      </c>
      <c r="Q48" s="83">
        <v>45647</v>
      </c>
      <c r="R48" s="107" t="s">
        <v>1098</v>
      </c>
      <c r="S48" s="6" t="s">
        <v>247</v>
      </c>
      <c r="T48" s="158">
        <v>26791288</v>
      </c>
      <c r="U48" s="3" t="s">
        <v>1048</v>
      </c>
      <c r="V48" s="83" t="s">
        <v>247</v>
      </c>
      <c r="W48" s="83">
        <v>45609</v>
      </c>
      <c r="X48" s="83">
        <v>45610</v>
      </c>
      <c r="Y48" s="83">
        <v>45630</v>
      </c>
      <c r="Z48" s="83" t="s">
        <v>1088</v>
      </c>
      <c r="AA48" s="147"/>
      <c r="AB48" s="3"/>
    </row>
    <row r="49" spans="1:28" x14ac:dyDescent="0.25">
      <c r="A49" t="s">
        <v>92</v>
      </c>
      <c r="F49" s="3" t="s">
        <v>1083</v>
      </c>
      <c r="G49" s="3" t="s">
        <v>1084</v>
      </c>
      <c r="H49" s="89">
        <v>45575</v>
      </c>
      <c r="I49" s="83" t="s">
        <v>1043</v>
      </c>
      <c r="J49" s="8">
        <v>0</v>
      </c>
      <c r="K49" s="8">
        <v>0</v>
      </c>
      <c r="L49" s="52">
        <f t="shared" si="1"/>
        <v>0</v>
      </c>
      <c r="M49" s="6" t="s">
        <v>1085</v>
      </c>
      <c r="N49" s="6" t="s">
        <v>1045</v>
      </c>
      <c r="O49" s="6" t="s">
        <v>1086</v>
      </c>
      <c r="P49" s="83">
        <v>45626</v>
      </c>
      <c r="Q49" s="83">
        <v>45647</v>
      </c>
      <c r="R49" s="107" t="s">
        <v>1099</v>
      </c>
      <c r="S49" s="6" t="s">
        <v>247</v>
      </c>
      <c r="T49" s="158">
        <v>26837480</v>
      </c>
      <c r="U49" s="3" t="s">
        <v>1048</v>
      </c>
      <c r="V49" s="83" t="s">
        <v>247</v>
      </c>
      <c r="W49" s="83">
        <v>45611</v>
      </c>
      <c r="X49" s="83">
        <v>45614</v>
      </c>
      <c r="Y49" s="83">
        <v>45630</v>
      </c>
      <c r="Z49" s="83" t="s">
        <v>1088</v>
      </c>
      <c r="AA49" s="147"/>
      <c r="AB49" s="3"/>
    </row>
    <row r="50" spans="1:28" x14ac:dyDescent="0.25">
      <c r="A50" t="s">
        <v>92</v>
      </c>
      <c r="F50" s="3" t="s">
        <v>1083</v>
      </c>
      <c r="G50" s="3" t="s">
        <v>1084</v>
      </c>
      <c r="H50" s="89">
        <v>45575</v>
      </c>
      <c r="I50" s="83" t="s">
        <v>1043</v>
      </c>
      <c r="J50" s="8">
        <v>0</v>
      </c>
      <c r="K50" s="8">
        <v>0</v>
      </c>
      <c r="L50" s="52">
        <f t="shared" si="1"/>
        <v>0</v>
      </c>
      <c r="M50" s="6" t="s">
        <v>1085</v>
      </c>
      <c r="N50" s="6" t="s">
        <v>1045</v>
      </c>
      <c r="O50" s="6" t="s">
        <v>1086</v>
      </c>
      <c r="P50" s="83">
        <v>45626</v>
      </c>
      <c r="Q50" s="83">
        <v>45647</v>
      </c>
      <c r="R50" s="107" t="s">
        <v>1100</v>
      </c>
      <c r="S50" s="6" t="s">
        <v>247</v>
      </c>
      <c r="T50" s="158">
        <v>37738762</v>
      </c>
      <c r="U50" s="3" t="s">
        <v>1048</v>
      </c>
      <c r="V50" s="83" t="s">
        <v>247</v>
      </c>
      <c r="W50" s="83">
        <v>45611</v>
      </c>
      <c r="X50" s="83">
        <v>45612</v>
      </c>
      <c r="Y50" s="83">
        <v>45630</v>
      </c>
      <c r="Z50" s="83" t="s">
        <v>1088</v>
      </c>
      <c r="AA50" s="147"/>
      <c r="AB50" s="3"/>
    </row>
    <row r="51" spans="1:28" x14ac:dyDescent="0.25">
      <c r="A51" t="s">
        <v>92</v>
      </c>
      <c r="F51" s="3" t="s">
        <v>1083</v>
      </c>
      <c r="G51" s="3" t="s">
        <v>1084</v>
      </c>
      <c r="H51" s="89">
        <v>45575</v>
      </c>
      <c r="I51" s="83" t="s">
        <v>1043</v>
      </c>
      <c r="J51" s="8">
        <v>0</v>
      </c>
      <c r="K51" s="8">
        <v>0</v>
      </c>
      <c r="L51" s="52">
        <f t="shared" si="1"/>
        <v>0</v>
      </c>
      <c r="M51" s="6" t="s">
        <v>1085</v>
      </c>
      <c r="N51" s="6" t="s">
        <v>1045</v>
      </c>
      <c r="O51" s="6" t="s">
        <v>1086</v>
      </c>
      <c r="P51" s="83">
        <v>45626</v>
      </c>
      <c r="Q51" s="83">
        <v>45647</v>
      </c>
      <c r="R51" s="107" t="s">
        <v>1101</v>
      </c>
      <c r="S51" s="6" t="s">
        <v>247</v>
      </c>
      <c r="T51" s="158">
        <v>32149545</v>
      </c>
      <c r="U51" s="3" t="s">
        <v>1048</v>
      </c>
      <c r="V51" s="83" t="s">
        <v>247</v>
      </c>
      <c r="W51" s="83">
        <v>45609</v>
      </c>
      <c r="X51" s="83">
        <v>45610</v>
      </c>
      <c r="Y51" s="83">
        <v>45630</v>
      </c>
      <c r="Z51" s="83" t="s">
        <v>1088</v>
      </c>
      <c r="AA51" s="147"/>
      <c r="AB51" s="3"/>
    </row>
    <row r="52" spans="1:28" x14ac:dyDescent="0.25">
      <c r="A52" t="s">
        <v>92</v>
      </c>
      <c r="F52" s="3" t="s">
        <v>1083</v>
      </c>
      <c r="G52" s="3" t="s">
        <v>1084</v>
      </c>
      <c r="H52" s="89">
        <v>45575</v>
      </c>
      <c r="I52" s="83" t="s">
        <v>1043</v>
      </c>
      <c r="J52" s="8">
        <v>0</v>
      </c>
      <c r="K52" s="8">
        <v>0</v>
      </c>
      <c r="L52" s="52">
        <f t="shared" si="1"/>
        <v>0</v>
      </c>
      <c r="M52" s="6" t="s">
        <v>1085</v>
      </c>
      <c r="N52" s="6" t="s">
        <v>1045</v>
      </c>
      <c r="O52" s="6" t="s">
        <v>1086</v>
      </c>
      <c r="P52" s="83">
        <v>45626</v>
      </c>
      <c r="Q52" s="83">
        <v>45647</v>
      </c>
      <c r="R52" s="107" t="s">
        <v>1102</v>
      </c>
      <c r="S52" s="6" t="s">
        <v>247</v>
      </c>
      <c r="T52" s="158">
        <v>21433030</v>
      </c>
      <c r="U52" s="3" t="s">
        <v>1048</v>
      </c>
      <c r="V52" s="83" t="s">
        <v>247</v>
      </c>
      <c r="W52" s="83">
        <v>45610</v>
      </c>
      <c r="X52" s="83">
        <v>45612</v>
      </c>
      <c r="Y52" s="83">
        <v>45630</v>
      </c>
      <c r="Z52" s="83" t="s">
        <v>1088</v>
      </c>
      <c r="AA52" s="147"/>
      <c r="AB52" s="3"/>
    </row>
    <row r="53" spans="1:28" x14ac:dyDescent="0.25">
      <c r="A53" t="s">
        <v>92</v>
      </c>
      <c r="F53" s="3" t="s">
        <v>1083</v>
      </c>
      <c r="G53" s="3" t="s">
        <v>1084</v>
      </c>
      <c r="H53" s="89">
        <v>45575</v>
      </c>
      <c r="I53" s="83" t="s">
        <v>1043</v>
      </c>
      <c r="J53" s="8">
        <v>0</v>
      </c>
      <c r="K53" s="8">
        <v>0</v>
      </c>
      <c r="L53" s="52">
        <f t="shared" si="1"/>
        <v>0</v>
      </c>
      <c r="M53" s="6" t="s">
        <v>1085</v>
      </c>
      <c r="N53" s="6" t="s">
        <v>1045</v>
      </c>
      <c r="O53" s="6" t="s">
        <v>1086</v>
      </c>
      <c r="P53" s="83">
        <v>45626</v>
      </c>
      <c r="Q53" s="83">
        <v>45647</v>
      </c>
      <c r="R53" s="107" t="s">
        <v>1103</v>
      </c>
      <c r="S53" s="6" t="s">
        <v>247</v>
      </c>
      <c r="T53" s="158">
        <v>26837480</v>
      </c>
      <c r="U53" s="3" t="s">
        <v>1048</v>
      </c>
      <c r="V53" s="83" t="s">
        <v>247</v>
      </c>
      <c r="W53" s="83">
        <v>45612</v>
      </c>
      <c r="X53" s="83">
        <v>45614</v>
      </c>
      <c r="Y53" s="83">
        <v>45630</v>
      </c>
      <c r="Z53" s="83" t="s">
        <v>1088</v>
      </c>
      <c r="AA53" s="147"/>
      <c r="AB53" s="3"/>
    </row>
    <row r="54" spans="1:28" x14ac:dyDescent="0.25">
      <c r="A54" t="s">
        <v>92</v>
      </c>
      <c r="F54" s="3" t="s">
        <v>1083</v>
      </c>
      <c r="G54" s="3" t="s">
        <v>1084</v>
      </c>
      <c r="H54" s="89">
        <v>45575</v>
      </c>
      <c r="I54" s="83" t="s">
        <v>1043</v>
      </c>
      <c r="J54" s="8">
        <v>0</v>
      </c>
      <c r="K54" s="8">
        <v>0</v>
      </c>
      <c r="L54" s="52">
        <f t="shared" si="1"/>
        <v>0</v>
      </c>
      <c r="M54" s="6" t="s">
        <v>1085</v>
      </c>
      <c r="N54" s="6" t="s">
        <v>1045</v>
      </c>
      <c r="O54" s="6" t="s">
        <v>1086</v>
      </c>
      <c r="P54" s="83">
        <v>45626</v>
      </c>
      <c r="Q54" s="83">
        <v>45647</v>
      </c>
      <c r="R54" s="107" t="s">
        <v>1104</v>
      </c>
      <c r="S54" s="6" t="s">
        <v>247</v>
      </c>
      <c r="T54" s="158">
        <v>37831145.008999996</v>
      </c>
      <c r="U54" s="3" t="s">
        <v>1048</v>
      </c>
      <c r="V54" s="83" t="s">
        <v>247</v>
      </c>
      <c r="W54" s="83">
        <v>45612</v>
      </c>
      <c r="X54" s="83">
        <v>45614</v>
      </c>
      <c r="Y54" s="83">
        <v>45630</v>
      </c>
      <c r="Z54" s="83" t="s">
        <v>1088</v>
      </c>
      <c r="AA54" s="147"/>
      <c r="AB54" s="3"/>
    </row>
    <row r="55" spans="1:28" x14ac:dyDescent="0.25">
      <c r="A55" t="s">
        <v>92</v>
      </c>
      <c r="F55" s="3" t="s">
        <v>1083</v>
      </c>
      <c r="G55" s="3" t="s">
        <v>1084</v>
      </c>
      <c r="H55" s="89">
        <v>45575</v>
      </c>
      <c r="I55" s="83" t="s">
        <v>1043</v>
      </c>
      <c r="J55" s="8">
        <v>0</v>
      </c>
      <c r="K55" s="8">
        <v>0</v>
      </c>
      <c r="L55" s="52">
        <f t="shared" si="1"/>
        <v>0</v>
      </c>
      <c r="M55" s="6" t="s">
        <v>1085</v>
      </c>
      <c r="N55" s="6" t="s">
        <v>1045</v>
      </c>
      <c r="O55" s="6" t="s">
        <v>1086</v>
      </c>
      <c r="P55" s="83">
        <v>45626</v>
      </c>
      <c r="Q55" s="83">
        <v>45647</v>
      </c>
      <c r="R55" s="107" t="s">
        <v>1105</v>
      </c>
      <c r="S55" s="6" t="s">
        <v>247</v>
      </c>
      <c r="T55" s="158">
        <v>26883671.272</v>
      </c>
      <c r="U55" s="3" t="s">
        <v>1048</v>
      </c>
      <c r="V55" s="83" t="s">
        <v>247</v>
      </c>
      <c r="W55" s="83">
        <v>45611</v>
      </c>
      <c r="X55" s="83">
        <v>45614</v>
      </c>
      <c r="Y55" s="83">
        <v>45630</v>
      </c>
      <c r="Z55" s="83" t="s">
        <v>1088</v>
      </c>
      <c r="AA55" s="147"/>
      <c r="AB55" s="3"/>
    </row>
    <row r="56" spans="1:28" x14ac:dyDescent="0.25">
      <c r="A56" t="s">
        <v>92</v>
      </c>
      <c r="F56" s="3" t="s">
        <v>1083</v>
      </c>
      <c r="G56" s="3" t="s">
        <v>1084</v>
      </c>
      <c r="H56" s="89">
        <v>45575</v>
      </c>
      <c r="I56" s="83" t="s">
        <v>1043</v>
      </c>
      <c r="J56" s="8">
        <v>0</v>
      </c>
      <c r="K56" s="8">
        <v>0</v>
      </c>
      <c r="L56" s="52">
        <f t="shared" si="1"/>
        <v>0</v>
      </c>
      <c r="M56" s="6" t="s">
        <v>1085</v>
      </c>
      <c r="N56" s="6" t="s">
        <v>1045</v>
      </c>
      <c r="O56" s="6" t="s">
        <v>1086</v>
      </c>
      <c r="P56" s="83">
        <v>45626</v>
      </c>
      <c r="Q56" s="83">
        <v>45647</v>
      </c>
      <c r="R56" s="107" t="s">
        <v>1106</v>
      </c>
      <c r="S56" s="6" t="s">
        <v>247</v>
      </c>
      <c r="T56" s="158">
        <v>21479221.984999999</v>
      </c>
      <c r="U56" s="3" t="s">
        <v>1048</v>
      </c>
      <c r="V56" s="83" t="s">
        <v>247</v>
      </c>
      <c r="W56" s="83">
        <v>45612</v>
      </c>
      <c r="X56" s="83">
        <v>45614</v>
      </c>
      <c r="Y56" s="83">
        <v>45630</v>
      </c>
      <c r="Z56" s="83" t="s">
        <v>1088</v>
      </c>
      <c r="AA56" s="147"/>
      <c r="AB56" s="3"/>
    </row>
    <row r="57" spans="1:28" x14ac:dyDescent="0.25">
      <c r="A57" t="s">
        <v>92</v>
      </c>
      <c r="F57" s="3" t="s">
        <v>1083</v>
      </c>
      <c r="G57" s="3" t="s">
        <v>1084</v>
      </c>
      <c r="H57" s="89">
        <v>45575</v>
      </c>
      <c r="I57" s="83" t="s">
        <v>1043</v>
      </c>
      <c r="J57" s="8">
        <v>0</v>
      </c>
      <c r="K57" s="8">
        <v>0</v>
      </c>
      <c r="L57" s="52">
        <f t="shared" si="1"/>
        <v>0</v>
      </c>
      <c r="M57" s="6" t="s">
        <v>1085</v>
      </c>
      <c r="N57" s="6" t="s">
        <v>1045</v>
      </c>
      <c r="O57" s="6" t="s">
        <v>1086</v>
      </c>
      <c r="P57" s="83">
        <v>45626</v>
      </c>
      <c r="Q57" s="83">
        <v>45647</v>
      </c>
      <c r="R57" s="107" t="s">
        <v>1107</v>
      </c>
      <c r="S57" s="6" t="s">
        <v>247</v>
      </c>
      <c r="T57" s="158">
        <v>26791287.829999998</v>
      </c>
      <c r="U57" s="3" t="s">
        <v>1048</v>
      </c>
      <c r="V57" s="83" t="s">
        <v>247</v>
      </c>
      <c r="W57" s="83">
        <v>45612</v>
      </c>
      <c r="X57" s="83">
        <v>45615</v>
      </c>
      <c r="Y57" s="83">
        <v>45630</v>
      </c>
      <c r="Z57" s="83" t="s">
        <v>1088</v>
      </c>
      <c r="AA57" s="147"/>
      <c r="AB57" s="3"/>
    </row>
    <row r="58" spans="1:28" x14ac:dyDescent="0.25">
      <c r="A58" t="s">
        <v>92</v>
      </c>
      <c r="F58" s="3" t="s">
        <v>1083</v>
      </c>
      <c r="G58" s="3" t="s">
        <v>1084</v>
      </c>
      <c r="H58" s="89">
        <v>45575</v>
      </c>
      <c r="I58" s="83" t="s">
        <v>1043</v>
      </c>
      <c r="J58" s="8">
        <v>0</v>
      </c>
      <c r="K58" s="8">
        <v>0</v>
      </c>
      <c r="L58" s="52">
        <f t="shared" si="1"/>
        <v>0</v>
      </c>
      <c r="M58" s="6" t="s">
        <v>1085</v>
      </c>
      <c r="N58" s="6" t="s">
        <v>1045</v>
      </c>
      <c r="O58" s="6" t="s">
        <v>1086</v>
      </c>
      <c r="P58" s="83">
        <v>45626</v>
      </c>
      <c r="Q58" s="83">
        <v>45647</v>
      </c>
      <c r="R58" s="107" t="s">
        <v>1108</v>
      </c>
      <c r="S58" s="6" t="s">
        <v>247</v>
      </c>
      <c r="T58" s="158">
        <v>21389671</v>
      </c>
      <c r="U58" s="3" t="s">
        <v>1048</v>
      </c>
      <c r="V58" s="83" t="s">
        <v>247</v>
      </c>
      <c r="W58" s="83">
        <v>45618</v>
      </c>
      <c r="X58" s="83">
        <v>45622</v>
      </c>
      <c r="Y58" s="83">
        <v>45630</v>
      </c>
      <c r="Z58" s="83" t="s">
        <v>1088</v>
      </c>
      <c r="AA58" s="147">
        <f>L38-T38-T39-T40-T41-T42-T43-T44-T45-T46-T47-T48-T49-T50-T51-T52-T53-T54-T55-T56-T57-T58</f>
        <v>4618575.9039999992</v>
      </c>
      <c r="AB58" s="3"/>
    </row>
    <row r="59" spans="1:28" x14ac:dyDescent="0.25">
      <c r="A59" t="s">
        <v>92</v>
      </c>
      <c r="F59" s="3" t="s">
        <v>957</v>
      </c>
      <c r="G59" s="3" t="s">
        <v>1109</v>
      </c>
      <c r="H59" s="89">
        <v>45547</v>
      </c>
      <c r="I59" s="83" t="s">
        <v>1043</v>
      </c>
      <c r="J59" s="8">
        <v>248494187.05000001</v>
      </c>
      <c r="K59" s="8">
        <v>0</v>
      </c>
      <c r="L59" s="52">
        <f t="shared" si="1"/>
        <v>248494187.05000001</v>
      </c>
      <c r="M59" s="6" t="s">
        <v>17</v>
      </c>
      <c r="N59" s="6" t="s">
        <v>1045</v>
      </c>
      <c r="O59" s="6" t="s">
        <v>1086</v>
      </c>
      <c r="P59" s="83">
        <v>45626</v>
      </c>
      <c r="Q59" s="83">
        <v>45647</v>
      </c>
      <c r="R59" s="107" t="s">
        <v>1110</v>
      </c>
      <c r="S59" s="6" t="s">
        <v>247</v>
      </c>
      <c r="T59" s="158">
        <v>5116202</v>
      </c>
      <c r="U59" s="3" t="s">
        <v>1048</v>
      </c>
      <c r="V59" s="83" t="s">
        <v>247</v>
      </c>
      <c r="W59" s="83">
        <v>45623</v>
      </c>
      <c r="X59" s="83">
        <v>45625</v>
      </c>
      <c r="Y59" s="83">
        <v>45632</v>
      </c>
      <c r="Z59" s="83" t="s">
        <v>1088</v>
      </c>
      <c r="AA59" s="147"/>
      <c r="AB59" s="3"/>
    </row>
    <row r="60" spans="1:28" x14ac:dyDescent="0.25">
      <c r="A60" t="s">
        <v>92</v>
      </c>
      <c r="F60" s="3" t="s">
        <v>957</v>
      </c>
      <c r="G60" s="3" t="s">
        <v>1109</v>
      </c>
      <c r="H60" s="89">
        <v>45547</v>
      </c>
      <c r="I60" s="83" t="s">
        <v>1043</v>
      </c>
      <c r="J60" s="8">
        <v>0</v>
      </c>
      <c r="K60" s="8">
        <v>0</v>
      </c>
      <c r="L60" s="52">
        <f t="shared" si="1"/>
        <v>0</v>
      </c>
      <c r="M60" s="6" t="s">
        <v>17</v>
      </c>
      <c r="N60" s="6" t="s">
        <v>1045</v>
      </c>
      <c r="O60" s="6" t="s">
        <v>1086</v>
      </c>
      <c r="P60" s="83">
        <v>45626</v>
      </c>
      <c r="Q60" s="83">
        <v>45647</v>
      </c>
      <c r="R60" s="107" t="s">
        <v>1111</v>
      </c>
      <c r="S60" s="6" t="s">
        <v>247</v>
      </c>
      <c r="T60" s="158">
        <v>10232405</v>
      </c>
      <c r="U60" s="3" t="s">
        <v>1048</v>
      </c>
      <c r="V60" s="83" t="s">
        <v>247</v>
      </c>
      <c r="W60" s="83">
        <v>45623</v>
      </c>
      <c r="X60" s="83">
        <v>45625</v>
      </c>
      <c r="Y60" s="83">
        <v>45632</v>
      </c>
      <c r="Z60" s="83" t="s">
        <v>1088</v>
      </c>
      <c r="AA60" s="147"/>
      <c r="AB60" s="3"/>
    </row>
    <row r="61" spans="1:28" x14ac:dyDescent="0.25">
      <c r="A61" t="s">
        <v>92</v>
      </c>
      <c r="F61" s="3" t="s">
        <v>957</v>
      </c>
      <c r="G61" s="3" t="s">
        <v>1109</v>
      </c>
      <c r="H61" s="89">
        <v>45547</v>
      </c>
      <c r="I61" s="83" t="s">
        <v>1043</v>
      </c>
      <c r="J61" s="8">
        <v>0</v>
      </c>
      <c r="K61" s="8">
        <v>0</v>
      </c>
      <c r="L61" s="52">
        <f t="shared" si="1"/>
        <v>0</v>
      </c>
      <c r="M61" s="6" t="s">
        <v>17</v>
      </c>
      <c r="N61" s="6" t="s">
        <v>1045</v>
      </c>
      <c r="O61" s="6" t="s">
        <v>1086</v>
      </c>
      <c r="P61" s="83">
        <v>45626</v>
      </c>
      <c r="Q61" s="83">
        <v>45647</v>
      </c>
      <c r="R61" s="107" t="s">
        <v>1112</v>
      </c>
      <c r="S61" s="6" t="s">
        <v>247</v>
      </c>
      <c r="T61" s="158">
        <v>12716240</v>
      </c>
      <c r="U61" s="3" t="s">
        <v>1048</v>
      </c>
      <c r="V61" s="83" t="s">
        <v>247</v>
      </c>
      <c r="W61" s="83">
        <v>45623</v>
      </c>
      <c r="X61" s="83">
        <v>45625</v>
      </c>
      <c r="Y61" s="83">
        <v>45632</v>
      </c>
      <c r="Z61" s="83" t="s">
        <v>1088</v>
      </c>
      <c r="AA61" s="147"/>
      <c r="AB61" s="3"/>
    </row>
    <row r="62" spans="1:28" x14ac:dyDescent="0.25">
      <c r="A62" t="s">
        <v>92</v>
      </c>
      <c r="F62" s="3" t="s">
        <v>957</v>
      </c>
      <c r="G62" s="3" t="s">
        <v>1109</v>
      </c>
      <c r="H62" s="89">
        <v>45547</v>
      </c>
      <c r="I62" s="83" t="s">
        <v>1043</v>
      </c>
      <c r="J62" s="8">
        <v>0</v>
      </c>
      <c r="K62" s="8">
        <v>0</v>
      </c>
      <c r="L62" s="52">
        <f t="shared" si="1"/>
        <v>0</v>
      </c>
      <c r="M62" s="6" t="s">
        <v>17</v>
      </c>
      <c r="N62" s="6" t="s">
        <v>1045</v>
      </c>
      <c r="O62" s="6" t="s">
        <v>1086</v>
      </c>
      <c r="P62" s="83">
        <v>45626</v>
      </c>
      <c r="Q62" s="83">
        <v>45647</v>
      </c>
      <c r="R62" s="107" t="s">
        <v>1113</v>
      </c>
      <c r="S62" s="6" t="s">
        <v>247</v>
      </c>
      <c r="T62" s="158">
        <v>7674304</v>
      </c>
      <c r="U62" s="3" t="s">
        <v>1048</v>
      </c>
      <c r="V62" s="83" t="s">
        <v>247</v>
      </c>
      <c r="W62" s="83">
        <v>45624</v>
      </c>
      <c r="X62" s="83">
        <v>45625</v>
      </c>
      <c r="Y62" s="83">
        <v>45632</v>
      </c>
      <c r="Z62" s="83" t="s">
        <v>1088</v>
      </c>
      <c r="AA62" s="147"/>
      <c r="AB62" s="3"/>
    </row>
    <row r="63" spans="1:28" x14ac:dyDescent="0.25">
      <c r="A63" t="s">
        <v>92</v>
      </c>
      <c r="F63" s="3" t="s">
        <v>957</v>
      </c>
      <c r="G63" s="3" t="s">
        <v>1109</v>
      </c>
      <c r="H63" s="89">
        <v>45547</v>
      </c>
      <c r="I63" s="83" t="s">
        <v>1043</v>
      </c>
      <c r="J63" s="8">
        <v>0</v>
      </c>
      <c r="K63" s="8">
        <v>0</v>
      </c>
      <c r="L63" s="52">
        <f t="shared" si="1"/>
        <v>0</v>
      </c>
      <c r="M63" s="6" t="s">
        <v>17</v>
      </c>
      <c r="N63" s="6" t="s">
        <v>1045</v>
      </c>
      <c r="O63" s="6" t="s">
        <v>1086</v>
      </c>
      <c r="P63" s="83">
        <v>45626</v>
      </c>
      <c r="Q63" s="83">
        <v>45647</v>
      </c>
      <c r="R63" s="107" t="s">
        <v>1114</v>
      </c>
      <c r="S63" s="6" t="s">
        <v>247</v>
      </c>
      <c r="T63" s="8">
        <v>17906708</v>
      </c>
      <c r="U63" s="3" t="s">
        <v>1048</v>
      </c>
      <c r="V63" s="83" t="s">
        <v>247</v>
      </c>
      <c r="W63" s="83">
        <v>45629</v>
      </c>
      <c r="X63" s="83">
        <v>45630</v>
      </c>
      <c r="Y63" s="83">
        <v>45639</v>
      </c>
      <c r="Z63" s="83" t="s">
        <v>1088</v>
      </c>
      <c r="AA63" s="147"/>
      <c r="AB63" s="3"/>
    </row>
    <row r="64" spans="1:28" x14ac:dyDescent="0.25">
      <c r="A64" t="s">
        <v>92</v>
      </c>
      <c r="F64" s="3" t="s">
        <v>957</v>
      </c>
      <c r="G64" s="3" t="s">
        <v>1109</v>
      </c>
      <c r="H64" s="89">
        <v>45547</v>
      </c>
      <c r="I64" s="83" t="s">
        <v>1043</v>
      </c>
      <c r="J64" s="8">
        <v>0</v>
      </c>
      <c r="K64" s="8">
        <v>0</v>
      </c>
      <c r="L64" s="52">
        <f t="shared" si="1"/>
        <v>0</v>
      </c>
      <c r="M64" s="6" t="s">
        <v>17</v>
      </c>
      <c r="N64" s="6" t="s">
        <v>1045</v>
      </c>
      <c r="O64" s="6" t="s">
        <v>1086</v>
      </c>
      <c r="P64" s="83">
        <v>45626</v>
      </c>
      <c r="Q64" s="83">
        <v>45647</v>
      </c>
      <c r="R64" s="107" t="s">
        <v>1115</v>
      </c>
      <c r="S64" s="6" t="s">
        <v>247</v>
      </c>
      <c r="T64" s="8">
        <v>7637171</v>
      </c>
      <c r="U64" s="3" t="s">
        <v>1048</v>
      </c>
      <c r="V64" s="83" t="s">
        <v>247</v>
      </c>
      <c r="W64" s="83">
        <v>45628</v>
      </c>
      <c r="X64" s="83">
        <v>45629</v>
      </c>
      <c r="Y64" s="83">
        <v>45646</v>
      </c>
      <c r="Z64" s="83" t="s">
        <v>1088</v>
      </c>
      <c r="AA64" s="147"/>
      <c r="AB64" s="3"/>
    </row>
    <row r="65" spans="1:28" x14ac:dyDescent="0.25">
      <c r="A65" t="s">
        <v>92</v>
      </c>
      <c r="F65" s="3" t="s">
        <v>957</v>
      </c>
      <c r="G65" s="3" t="s">
        <v>1109</v>
      </c>
      <c r="H65" s="89">
        <v>45547</v>
      </c>
      <c r="I65" s="83" t="s">
        <v>1043</v>
      </c>
      <c r="J65" s="8">
        <v>0</v>
      </c>
      <c r="K65" s="8">
        <v>0</v>
      </c>
      <c r="L65" s="52">
        <f t="shared" si="1"/>
        <v>0</v>
      </c>
      <c r="M65" s="6" t="s">
        <v>17</v>
      </c>
      <c r="N65" s="6" t="s">
        <v>1045</v>
      </c>
      <c r="O65" s="6" t="s">
        <v>1086</v>
      </c>
      <c r="P65" s="83">
        <v>45626</v>
      </c>
      <c r="Q65" s="83">
        <v>45647</v>
      </c>
      <c r="R65" s="107" t="s">
        <v>1116</v>
      </c>
      <c r="S65" s="6" t="s">
        <v>247</v>
      </c>
      <c r="T65" s="8">
        <v>25581012</v>
      </c>
      <c r="U65" s="3" t="s">
        <v>1048</v>
      </c>
      <c r="V65" s="83" t="s">
        <v>247</v>
      </c>
      <c r="W65" s="83">
        <v>45632</v>
      </c>
      <c r="X65" s="83">
        <v>45633</v>
      </c>
      <c r="Y65" s="83">
        <v>45639</v>
      </c>
      <c r="Z65" s="83" t="s">
        <v>1088</v>
      </c>
      <c r="AA65" s="147"/>
      <c r="AB65" s="3"/>
    </row>
    <row r="66" spans="1:28" x14ac:dyDescent="0.25">
      <c r="A66" t="s">
        <v>92</v>
      </c>
      <c r="F66" s="3" t="s">
        <v>957</v>
      </c>
      <c r="G66" s="3" t="s">
        <v>1109</v>
      </c>
      <c r="H66" s="89">
        <v>45547</v>
      </c>
      <c r="I66" s="83" t="s">
        <v>1043</v>
      </c>
      <c r="J66" s="8">
        <v>0</v>
      </c>
      <c r="K66" s="8">
        <v>0</v>
      </c>
      <c r="L66" s="52">
        <f t="shared" si="1"/>
        <v>0</v>
      </c>
      <c r="M66" s="6" t="s">
        <v>17</v>
      </c>
      <c r="N66" s="6" t="s">
        <v>1045</v>
      </c>
      <c r="O66" s="6" t="s">
        <v>1086</v>
      </c>
      <c r="P66" s="83">
        <v>45626</v>
      </c>
      <c r="Q66" s="83">
        <v>45647</v>
      </c>
      <c r="R66" s="107" t="s">
        <v>1117</v>
      </c>
      <c r="S66" s="6" t="s">
        <v>247</v>
      </c>
      <c r="T66" s="158">
        <v>15348607</v>
      </c>
      <c r="U66" s="3" t="s">
        <v>1048</v>
      </c>
      <c r="V66" s="83" t="s">
        <v>247</v>
      </c>
      <c r="W66" s="83">
        <v>45631</v>
      </c>
      <c r="X66" s="83">
        <v>45633</v>
      </c>
      <c r="Y66" s="83">
        <v>45639</v>
      </c>
      <c r="Z66" s="83" t="s">
        <v>1088</v>
      </c>
      <c r="AA66" s="147"/>
      <c r="AB66" s="3"/>
    </row>
    <row r="67" spans="1:28" x14ac:dyDescent="0.25">
      <c r="A67" t="s">
        <v>92</v>
      </c>
      <c r="F67" s="3" t="s">
        <v>957</v>
      </c>
      <c r="G67" s="3" t="s">
        <v>1109</v>
      </c>
      <c r="H67" s="89">
        <v>45547</v>
      </c>
      <c r="I67" s="83" t="s">
        <v>1043</v>
      </c>
      <c r="J67" s="8">
        <v>0</v>
      </c>
      <c r="K67" s="8">
        <v>0</v>
      </c>
      <c r="L67" s="52">
        <f t="shared" si="1"/>
        <v>0</v>
      </c>
      <c r="M67" s="6" t="s">
        <v>17</v>
      </c>
      <c r="N67" s="6" t="s">
        <v>1045</v>
      </c>
      <c r="O67" s="6" t="s">
        <v>1086</v>
      </c>
      <c r="P67" s="83">
        <v>45626</v>
      </c>
      <c r="Q67" s="83">
        <v>45647</v>
      </c>
      <c r="R67" s="107" t="s">
        <v>1118</v>
      </c>
      <c r="S67" s="6" t="s">
        <v>247</v>
      </c>
      <c r="T67" s="158">
        <v>20464809</v>
      </c>
      <c r="U67" s="3" t="s">
        <v>1048</v>
      </c>
      <c r="V67" s="83" t="s">
        <v>247</v>
      </c>
      <c r="W67" s="83">
        <v>45630</v>
      </c>
      <c r="X67" s="83">
        <v>45631</v>
      </c>
      <c r="Y67" s="83">
        <v>45639</v>
      </c>
      <c r="Z67" s="83" t="s">
        <v>1088</v>
      </c>
      <c r="AA67" s="147"/>
      <c r="AB67" s="3"/>
    </row>
    <row r="68" spans="1:28" x14ac:dyDescent="0.25">
      <c r="F68" s="3" t="s">
        <v>957</v>
      </c>
      <c r="G68" s="3" t="s">
        <v>1109</v>
      </c>
      <c r="H68" s="89">
        <v>45547</v>
      </c>
      <c r="I68" s="83" t="s">
        <v>1043</v>
      </c>
      <c r="J68" s="8">
        <v>0</v>
      </c>
      <c r="K68" s="8">
        <v>0</v>
      </c>
      <c r="L68" s="52">
        <f t="shared" si="1"/>
        <v>0</v>
      </c>
      <c r="M68" s="6" t="s">
        <v>17</v>
      </c>
      <c r="N68" s="6" t="s">
        <v>1045</v>
      </c>
      <c r="O68" s="6" t="s">
        <v>1086</v>
      </c>
      <c r="P68" s="83">
        <v>45626</v>
      </c>
      <c r="Q68" s="83">
        <v>45647</v>
      </c>
      <c r="R68" s="107" t="s">
        <v>1119</v>
      </c>
      <c r="S68" s="6"/>
      <c r="T68" s="8">
        <v>17894331</v>
      </c>
      <c r="U68" s="3" t="s">
        <v>1048</v>
      </c>
      <c r="V68" s="83" t="s">
        <v>247</v>
      </c>
      <c r="W68" s="83">
        <v>45633</v>
      </c>
      <c r="X68" s="83">
        <v>45635</v>
      </c>
      <c r="Y68" s="83">
        <v>45643</v>
      </c>
      <c r="Z68" s="83" t="s">
        <v>1088</v>
      </c>
      <c r="AA68" s="147"/>
      <c r="AB68" s="3"/>
    </row>
    <row r="69" spans="1:28" x14ac:dyDescent="0.25">
      <c r="F69" s="3" t="s">
        <v>957</v>
      </c>
      <c r="G69" s="3" t="s">
        <v>1109</v>
      </c>
      <c r="H69" s="89">
        <v>45547</v>
      </c>
      <c r="I69" s="83" t="s">
        <v>1043</v>
      </c>
      <c r="J69" s="8">
        <v>0</v>
      </c>
      <c r="K69" s="8">
        <v>0</v>
      </c>
      <c r="L69" s="52">
        <f t="shared" si="1"/>
        <v>0</v>
      </c>
      <c r="M69" s="6" t="s">
        <v>17</v>
      </c>
      <c r="N69" s="6" t="s">
        <v>1045</v>
      </c>
      <c r="O69" s="6" t="s">
        <v>1086</v>
      </c>
      <c r="P69" s="83">
        <v>45626</v>
      </c>
      <c r="Q69" s="83">
        <v>45647</v>
      </c>
      <c r="R69" s="107" t="s">
        <v>1120</v>
      </c>
      <c r="S69" s="6"/>
      <c r="T69" s="158">
        <v>17906708</v>
      </c>
      <c r="U69" s="3" t="s">
        <v>1048</v>
      </c>
      <c r="V69" s="83" t="s">
        <v>247</v>
      </c>
      <c r="W69" s="83">
        <v>45633</v>
      </c>
      <c r="X69" s="83">
        <v>45635</v>
      </c>
      <c r="Y69" s="83">
        <v>45644</v>
      </c>
      <c r="Z69" s="83" t="s">
        <v>1088</v>
      </c>
      <c r="AA69" s="147"/>
      <c r="AB69" s="3"/>
    </row>
    <row r="70" spans="1:28" x14ac:dyDescent="0.25">
      <c r="F70" s="3" t="s">
        <v>957</v>
      </c>
      <c r="G70" s="3" t="s">
        <v>1109</v>
      </c>
      <c r="H70" s="89">
        <v>45547</v>
      </c>
      <c r="I70" s="83" t="s">
        <v>1043</v>
      </c>
      <c r="J70" s="8">
        <v>0</v>
      </c>
      <c r="K70" s="8">
        <v>0</v>
      </c>
      <c r="L70" s="52">
        <f t="shared" si="1"/>
        <v>0</v>
      </c>
      <c r="M70" s="6" t="s">
        <v>17</v>
      </c>
      <c r="N70" s="6" t="s">
        <v>1045</v>
      </c>
      <c r="O70" s="6" t="s">
        <v>1086</v>
      </c>
      <c r="P70" s="83">
        <v>45626</v>
      </c>
      <c r="Q70" s="83">
        <v>45647</v>
      </c>
      <c r="R70" s="107" t="s">
        <v>1121</v>
      </c>
      <c r="S70" s="6"/>
      <c r="T70" s="158">
        <v>25581012</v>
      </c>
      <c r="U70" s="3" t="s">
        <v>1048</v>
      </c>
      <c r="V70" s="83" t="s">
        <v>247</v>
      </c>
      <c r="W70" s="83">
        <v>45636</v>
      </c>
      <c r="X70" s="83">
        <v>45638</v>
      </c>
      <c r="Y70" s="83">
        <v>45646</v>
      </c>
      <c r="Z70" s="83" t="s">
        <v>1088</v>
      </c>
      <c r="AA70" s="147"/>
      <c r="AB70" s="3"/>
    </row>
    <row r="71" spans="1:28" x14ac:dyDescent="0.25">
      <c r="A71" t="s">
        <v>92</v>
      </c>
      <c r="F71" s="3" t="s">
        <v>957</v>
      </c>
      <c r="G71" s="3" t="s">
        <v>1109</v>
      </c>
      <c r="H71" s="89">
        <v>45547</v>
      </c>
      <c r="I71" s="83" t="s">
        <v>1043</v>
      </c>
      <c r="J71" s="8">
        <v>0</v>
      </c>
      <c r="K71" s="8">
        <v>0</v>
      </c>
      <c r="L71" s="52">
        <f t="shared" si="1"/>
        <v>0</v>
      </c>
      <c r="M71" s="6" t="s">
        <v>17</v>
      </c>
      <c r="N71" s="6" t="s">
        <v>1045</v>
      </c>
      <c r="O71" s="6" t="s">
        <v>1086</v>
      </c>
      <c r="P71" s="83">
        <v>45626</v>
      </c>
      <c r="Q71" s="83">
        <v>45647</v>
      </c>
      <c r="R71" s="107" t="s">
        <v>1122</v>
      </c>
      <c r="S71" s="6" t="s">
        <v>247</v>
      </c>
      <c r="T71" s="8">
        <v>15348607</v>
      </c>
      <c r="U71" s="3" t="s">
        <v>1048</v>
      </c>
      <c r="V71" s="83" t="s">
        <v>247</v>
      </c>
      <c r="W71" s="83">
        <v>45630</v>
      </c>
      <c r="X71" s="83">
        <v>45631</v>
      </c>
      <c r="Y71" s="83">
        <v>45638</v>
      </c>
      <c r="Z71" s="83" t="s">
        <v>1088</v>
      </c>
      <c r="AA71" s="147"/>
      <c r="AB71" s="3"/>
    </row>
    <row r="72" spans="1:28" x14ac:dyDescent="0.25">
      <c r="A72" t="s">
        <v>92</v>
      </c>
      <c r="F72" s="3" t="s">
        <v>957</v>
      </c>
      <c r="G72" s="3" t="s">
        <v>1109</v>
      </c>
      <c r="H72" s="89">
        <v>45547</v>
      </c>
      <c r="I72" s="83" t="s">
        <v>1043</v>
      </c>
      <c r="J72" s="8">
        <v>0</v>
      </c>
      <c r="K72" s="8">
        <v>0</v>
      </c>
      <c r="L72" s="52">
        <f t="shared" si="1"/>
        <v>0</v>
      </c>
      <c r="M72" s="6" t="s">
        <v>17</v>
      </c>
      <c r="N72" s="6" t="s">
        <v>1045</v>
      </c>
      <c r="O72" s="6" t="s">
        <v>1086</v>
      </c>
      <c r="P72" s="83">
        <v>45626</v>
      </c>
      <c r="Q72" s="83">
        <v>45647</v>
      </c>
      <c r="R72" s="107" t="s">
        <v>1123</v>
      </c>
      <c r="S72" s="6" t="s">
        <v>247</v>
      </c>
      <c r="T72" s="8">
        <v>15348607</v>
      </c>
      <c r="U72" s="3" t="s">
        <v>1048</v>
      </c>
      <c r="V72" s="83" t="s">
        <v>247</v>
      </c>
      <c r="W72" s="83">
        <v>45630</v>
      </c>
      <c r="X72" s="83">
        <v>45631</v>
      </c>
      <c r="Y72" s="83">
        <v>45646</v>
      </c>
      <c r="Z72" s="83" t="s">
        <v>1088</v>
      </c>
      <c r="AA72" s="147"/>
      <c r="AB72" s="3"/>
    </row>
    <row r="73" spans="1:28" x14ac:dyDescent="0.25">
      <c r="F73" s="3" t="s">
        <v>957</v>
      </c>
      <c r="G73" s="3" t="s">
        <v>1109</v>
      </c>
      <c r="H73" s="89">
        <v>45547</v>
      </c>
      <c r="I73" s="83" t="s">
        <v>1043</v>
      </c>
      <c r="J73" s="8">
        <v>0</v>
      </c>
      <c r="K73" s="8">
        <v>0</v>
      </c>
      <c r="L73" s="52">
        <f t="shared" si="1"/>
        <v>0</v>
      </c>
      <c r="M73" s="6" t="s">
        <v>17</v>
      </c>
      <c r="N73" s="6" t="s">
        <v>1045</v>
      </c>
      <c r="O73" s="6" t="s">
        <v>1086</v>
      </c>
      <c r="P73" s="83">
        <v>45626</v>
      </c>
      <c r="Q73" s="83">
        <v>45647</v>
      </c>
      <c r="R73" s="107" t="s">
        <v>1124</v>
      </c>
      <c r="S73" s="6"/>
      <c r="T73" s="8">
        <v>17650898</v>
      </c>
      <c r="U73" s="3" t="s">
        <v>1048</v>
      </c>
      <c r="V73" s="83" t="s">
        <v>247</v>
      </c>
      <c r="W73" s="83">
        <v>45637</v>
      </c>
      <c r="X73" s="83">
        <v>45638</v>
      </c>
      <c r="Y73" s="83">
        <v>45646</v>
      </c>
      <c r="Z73" s="83" t="s">
        <v>1088</v>
      </c>
      <c r="AA73" s="147"/>
      <c r="AB73" s="3"/>
    </row>
    <row r="74" spans="1:28" x14ac:dyDescent="0.25">
      <c r="F74" s="3" t="s">
        <v>957</v>
      </c>
      <c r="G74" s="3" t="s">
        <v>1109</v>
      </c>
      <c r="H74" s="89">
        <v>45547</v>
      </c>
      <c r="I74" s="83" t="s">
        <v>1043</v>
      </c>
      <c r="J74" s="8">
        <v>0</v>
      </c>
      <c r="K74" s="8">
        <v>0</v>
      </c>
      <c r="L74" s="52">
        <f t="shared" si="1"/>
        <v>0</v>
      </c>
      <c r="M74" s="6" t="s">
        <v>17</v>
      </c>
      <c r="N74" s="6" t="s">
        <v>1045</v>
      </c>
      <c r="O74" s="6" t="s">
        <v>1086</v>
      </c>
      <c r="P74" s="83">
        <v>45626</v>
      </c>
      <c r="Q74" s="83">
        <v>45647</v>
      </c>
      <c r="R74" s="107" t="s">
        <v>1125</v>
      </c>
      <c r="S74" s="6"/>
      <c r="T74" s="8">
        <v>16083031</v>
      </c>
      <c r="U74" s="3" t="s">
        <v>1048</v>
      </c>
      <c r="V74" s="83" t="s">
        <v>247</v>
      </c>
      <c r="W74" s="83">
        <v>45637</v>
      </c>
      <c r="X74" s="83">
        <v>45638</v>
      </c>
      <c r="Y74" s="83">
        <v>45646</v>
      </c>
      <c r="Z74" s="83" t="s">
        <v>1088</v>
      </c>
      <c r="AA74" s="147">
        <f>L59-T59-T60-T61-T62-T63-T64-T65-T66-T67-T68-T69-T70-T71-T72-T73-T74</f>
        <v>3535.0500000119209</v>
      </c>
      <c r="AB74" s="3"/>
    </row>
    <row r="75" spans="1:28" x14ac:dyDescent="0.25">
      <c r="A75" t="s">
        <v>92</v>
      </c>
      <c r="F75" s="3" t="s">
        <v>832</v>
      </c>
      <c r="G75" s="3" t="s">
        <v>1126</v>
      </c>
      <c r="H75" s="89">
        <v>45626</v>
      </c>
      <c r="I75" s="83" t="s">
        <v>1043</v>
      </c>
      <c r="J75" s="8">
        <v>719874617.57000005</v>
      </c>
      <c r="K75" s="8">
        <v>0</v>
      </c>
      <c r="L75" s="52">
        <f t="shared" si="1"/>
        <v>719874617.57000005</v>
      </c>
      <c r="M75" s="6" t="s">
        <v>1068</v>
      </c>
      <c r="N75" s="6" t="s">
        <v>1045</v>
      </c>
      <c r="O75" s="6" t="s">
        <v>1060</v>
      </c>
      <c r="P75" s="83">
        <v>45657</v>
      </c>
      <c r="Q75" s="83">
        <v>45678</v>
      </c>
      <c r="R75" s="107" t="s">
        <v>1127</v>
      </c>
      <c r="S75" s="6" t="s">
        <v>247</v>
      </c>
      <c r="T75" s="161">
        <v>20264983.850000001</v>
      </c>
      <c r="U75" s="3" t="s">
        <v>1048</v>
      </c>
      <c r="V75" s="83">
        <v>45656</v>
      </c>
      <c r="W75" s="83">
        <v>45657</v>
      </c>
      <c r="X75" s="83">
        <v>45659</v>
      </c>
      <c r="Y75" s="83">
        <v>45679</v>
      </c>
      <c r="Z75" s="83">
        <v>45689</v>
      </c>
      <c r="AA75" s="147"/>
      <c r="AB75" s="3"/>
    </row>
    <row r="76" spans="1:28" x14ac:dyDescent="0.25">
      <c r="A76" t="s">
        <v>92</v>
      </c>
      <c r="F76" s="3" t="s">
        <v>832</v>
      </c>
      <c r="G76" s="3" t="s">
        <v>1126</v>
      </c>
      <c r="H76" s="89">
        <v>45626</v>
      </c>
      <c r="I76" s="83" t="s">
        <v>1043</v>
      </c>
      <c r="J76" s="8">
        <v>0</v>
      </c>
      <c r="K76" s="8">
        <v>0</v>
      </c>
      <c r="L76" s="52">
        <f t="shared" si="1"/>
        <v>0</v>
      </c>
      <c r="M76" s="6" t="s">
        <v>1068</v>
      </c>
      <c r="N76" s="6" t="s">
        <v>1045</v>
      </c>
      <c r="O76" s="6" t="s">
        <v>1060</v>
      </c>
      <c r="P76" s="83">
        <v>45657</v>
      </c>
      <c r="Q76" s="83">
        <v>45678</v>
      </c>
      <c r="R76" s="107" t="s">
        <v>1128</v>
      </c>
      <c r="S76" s="6" t="s">
        <v>247</v>
      </c>
      <c r="T76" s="161">
        <v>10148860.83</v>
      </c>
      <c r="U76" s="3" t="s">
        <v>1048</v>
      </c>
      <c r="V76" s="83">
        <v>45656</v>
      </c>
      <c r="W76" s="83">
        <v>45657</v>
      </c>
      <c r="X76" s="83">
        <v>45659</v>
      </c>
      <c r="Y76" s="83">
        <v>45686</v>
      </c>
      <c r="Z76" s="83">
        <v>45691</v>
      </c>
      <c r="AA76" s="147"/>
      <c r="AB76" s="3"/>
    </row>
    <row r="77" spans="1:28" x14ac:dyDescent="0.25">
      <c r="A77" t="s">
        <v>92</v>
      </c>
      <c r="F77" s="3" t="s">
        <v>832</v>
      </c>
      <c r="G77" s="3" t="s">
        <v>1126</v>
      </c>
      <c r="H77" s="89">
        <v>45626</v>
      </c>
      <c r="I77" s="83" t="s">
        <v>1043</v>
      </c>
      <c r="J77" s="8">
        <v>0</v>
      </c>
      <c r="K77" s="8">
        <v>0</v>
      </c>
      <c r="L77" s="52">
        <f t="shared" si="1"/>
        <v>0</v>
      </c>
      <c r="M77" s="6" t="s">
        <v>1068</v>
      </c>
      <c r="N77" s="6" t="s">
        <v>1045</v>
      </c>
      <c r="O77" s="6" t="s">
        <v>1060</v>
      </c>
      <c r="P77" s="83">
        <v>45657</v>
      </c>
      <c r="Q77" s="83">
        <v>45678</v>
      </c>
      <c r="R77" s="107" t="s">
        <v>1129</v>
      </c>
      <c r="S77" s="6" t="s">
        <v>247</v>
      </c>
      <c r="T77" s="161">
        <v>20297721.66</v>
      </c>
      <c r="U77" s="3" t="s">
        <v>1048</v>
      </c>
      <c r="V77" s="83">
        <v>45656</v>
      </c>
      <c r="W77" s="83">
        <v>45657</v>
      </c>
      <c r="X77" s="83">
        <v>45659</v>
      </c>
      <c r="Y77" s="83">
        <v>45667</v>
      </c>
      <c r="Z77" s="83">
        <v>45691</v>
      </c>
      <c r="AA77" s="147"/>
      <c r="AB77" s="3"/>
    </row>
    <row r="78" spans="1:28" x14ac:dyDescent="0.25">
      <c r="A78" t="s">
        <v>92</v>
      </c>
      <c r="F78" s="3" t="s">
        <v>832</v>
      </c>
      <c r="G78" s="3" t="s">
        <v>1126</v>
      </c>
      <c r="H78" s="89">
        <v>45626</v>
      </c>
      <c r="I78" s="83" t="s">
        <v>1043</v>
      </c>
      <c r="J78" s="8">
        <v>0</v>
      </c>
      <c r="K78" s="8">
        <v>0</v>
      </c>
      <c r="L78" s="52">
        <f t="shared" si="1"/>
        <v>0</v>
      </c>
      <c r="M78" s="6" t="s">
        <v>1068</v>
      </c>
      <c r="N78" s="6" t="s">
        <v>1045</v>
      </c>
      <c r="O78" s="6" t="s">
        <v>1060</v>
      </c>
      <c r="P78" s="83">
        <v>45657</v>
      </c>
      <c r="Q78" s="83">
        <v>45678</v>
      </c>
      <c r="R78" s="107" t="s">
        <v>1130</v>
      </c>
      <c r="S78" s="6" t="s">
        <v>247</v>
      </c>
      <c r="T78" s="161">
        <v>23680675.27</v>
      </c>
      <c r="U78" s="3" t="s">
        <v>1048</v>
      </c>
      <c r="V78" s="83">
        <v>45656</v>
      </c>
      <c r="W78" s="83">
        <v>45657</v>
      </c>
      <c r="X78" s="83">
        <v>45659</v>
      </c>
      <c r="Y78" s="83">
        <v>45667</v>
      </c>
      <c r="Z78" s="83">
        <v>45692</v>
      </c>
      <c r="AA78" s="147"/>
      <c r="AB78" s="3"/>
    </row>
    <row r="79" spans="1:28" x14ac:dyDescent="0.25">
      <c r="A79" t="s">
        <v>92</v>
      </c>
      <c r="F79" s="3" t="s">
        <v>832</v>
      </c>
      <c r="G79" s="3" t="s">
        <v>1126</v>
      </c>
      <c r="H79" s="89">
        <v>45626</v>
      </c>
      <c r="I79" s="83" t="s">
        <v>1043</v>
      </c>
      <c r="J79" s="8">
        <v>0</v>
      </c>
      <c r="K79" s="8">
        <v>0</v>
      </c>
      <c r="L79" s="52">
        <f t="shared" si="1"/>
        <v>0</v>
      </c>
      <c r="M79" s="6" t="s">
        <v>1068</v>
      </c>
      <c r="N79" s="6" t="s">
        <v>1045</v>
      </c>
      <c r="O79" s="6" t="s">
        <v>1060</v>
      </c>
      <c r="P79" s="83">
        <v>45657</v>
      </c>
      <c r="Q79" s="83">
        <v>45678</v>
      </c>
      <c r="R79" s="107" t="s">
        <v>1131</v>
      </c>
      <c r="S79" s="6" t="s">
        <v>247</v>
      </c>
      <c r="T79" s="161">
        <v>23680675.27</v>
      </c>
      <c r="U79" s="3" t="s">
        <v>1048</v>
      </c>
      <c r="V79" s="83">
        <v>45656</v>
      </c>
      <c r="W79" s="83">
        <v>45657</v>
      </c>
      <c r="X79" s="83">
        <v>45659</v>
      </c>
      <c r="Y79" s="83">
        <v>45670</v>
      </c>
      <c r="Z79" s="83">
        <v>45692</v>
      </c>
      <c r="AA79" s="147"/>
      <c r="AB79" s="3"/>
    </row>
    <row r="80" spans="1:28" x14ac:dyDescent="0.25">
      <c r="A80" t="s">
        <v>92</v>
      </c>
      <c r="F80" s="3" t="s">
        <v>832</v>
      </c>
      <c r="G80" s="3" t="s">
        <v>1126</v>
      </c>
      <c r="H80" s="89">
        <v>45626</v>
      </c>
      <c r="I80" s="83" t="s">
        <v>1043</v>
      </c>
      <c r="J80" s="8">
        <v>0</v>
      </c>
      <c r="K80" s="8">
        <v>0</v>
      </c>
      <c r="L80" s="52">
        <f t="shared" si="1"/>
        <v>0</v>
      </c>
      <c r="M80" s="6" t="s">
        <v>1068</v>
      </c>
      <c r="N80" s="6" t="s">
        <v>1045</v>
      </c>
      <c r="O80" s="6" t="s">
        <v>1060</v>
      </c>
      <c r="P80" s="83">
        <v>45657</v>
      </c>
      <c r="Q80" s="83">
        <v>45678</v>
      </c>
      <c r="R80" s="107" t="s">
        <v>1132</v>
      </c>
      <c r="S80" s="6" t="s">
        <v>247</v>
      </c>
      <c r="T80" s="161">
        <v>27047259.93</v>
      </c>
      <c r="U80" s="3" t="s">
        <v>1048</v>
      </c>
      <c r="V80" s="83">
        <v>45656</v>
      </c>
      <c r="W80" s="83">
        <v>45657</v>
      </c>
      <c r="X80" s="83">
        <v>45659</v>
      </c>
      <c r="Y80" s="83">
        <v>45670</v>
      </c>
      <c r="Z80" s="83">
        <v>45692</v>
      </c>
      <c r="AA80" s="147"/>
      <c r="AB80" s="3"/>
    </row>
    <row r="81" spans="1:28" x14ac:dyDescent="0.25">
      <c r="A81" t="s">
        <v>92</v>
      </c>
      <c r="F81" s="3" t="s">
        <v>832</v>
      </c>
      <c r="G81" s="3" t="s">
        <v>1126</v>
      </c>
      <c r="H81" s="89">
        <v>45626</v>
      </c>
      <c r="I81" s="83" t="s">
        <v>1043</v>
      </c>
      <c r="J81" s="8">
        <v>0</v>
      </c>
      <c r="K81" s="8">
        <v>0</v>
      </c>
      <c r="L81" s="52">
        <f t="shared" si="1"/>
        <v>0</v>
      </c>
      <c r="M81" s="6" t="s">
        <v>1068</v>
      </c>
      <c r="N81" s="6" t="s">
        <v>1045</v>
      </c>
      <c r="O81" s="6" t="s">
        <v>1060</v>
      </c>
      <c r="P81" s="83">
        <v>45657</v>
      </c>
      <c r="Q81" s="83">
        <v>45678</v>
      </c>
      <c r="R81" s="107" t="s">
        <v>1133</v>
      </c>
      <c r="S81" s="6" t="s">
        <v>247</v>
      </c>
      <c r="T81" s="161">
        <v>23645469.370000001</v>
      </c>
      <c r="U81" s="3" t="s">
        <v>1048</v>
      </c>
      <c r="V81" s="83">
        <v>45656</v>
      </c>
      <c r="W81" s="83">
        <v>45657</v>
      </c>
      <c r="X81" s="83">
        <v>45659</v>
      </c>
      <c r="Y81" s="83">
        <v>45670</v>
      </c>
      <c r="Z81" s="83">
        <v>45693</v>
      </c>
      <c r="AA81" s="147"/>
      <c r="AB81" s="3"/>
    </row>
    <row r="82" spans="1:28" x14ac:dyDescent="0.25">
      <c r="A82" t="s">
        <v>92</v>
      </c>
      <c r="F82" s="3" t="s">
        <v>832</v>
      </c>
      <c r="G82" s="3" t="s">
        <v>1126</v>
      </c>
      <c r="H82" s="89">
        <v>45626</v>
      </c>
      <c r="I82" s="83" t="s">
        <v>1043</v>
      </c>
      <c r="J82" s="8">
        <v>0</v>
      </c>
      <c r="K82" s="8">
        <v>0</v>
      </c>
      <c r="L82" s="52">
        <f t="shared" si="1"/>
        <v>0</v>
      </c>
      <c r="M82" s="6" t="s">
        <v>1068</v>
      </c>
      <c r="N82" s="6" t="s">
        <v>1045</v>
      </c>
      <c r="O82" s="6" t="s">
        <v>1060</v>
      </c>
      <c r="P82" s="83">
        <v>45657</v>
      </c>
      <c r="Q82" s="83">
        <v>45678</v>
      </c>
      <c r="R82" s="107" t="s">
        <v>1134</v>
      </c>
      <c r="S82" s="6" t="s">
        <v>247</v>
      </c>
      <c r="T82" s="161">
        <v>23645469.370000001</v>
      </c>
      <c r="U82" s="3" t="s">
        <v>1048</v>
      </c>
      <c r="V82" s="83">
        <v>45656</v>
      </c>
      <c r="W82" s="83">
        <v>45657</v>
      </c>
      <c r="X82" s="83">
        <v>45659</v>
      </c>
      <c r="Y82" s="83">
        <v>45670</v>
      </c>
      <c r="Z82" s="83">
        <v>45694</v>
      </c>
      <c r="AA82" s="147"/>
      <c r="AB82" s="3"/>
    </row>
    <row r="83" spans="1:28" x14ac:dyDescent="0.25">
      <c r="A83" t="s">
        <v>92</v>
      </c>
      <c r="F83" s="3" t="s">
        <v>832</v>
      </c>
      <c r="G83" s="3" t="s">
        <v>1126</v>
      </c>
      <c r="H83" s="89">
        <v>45626</v>
      </c>
      <c r="I83" s="83" t="s">
        <v>1043</v>
      </c>
      <c r="J83" s="8">
        <v>0</v>
      </c>
      <c r="K83" s="8">
        <v>0</v>
      </c>
      <c r="L83" s="52">
        <f t="shared" si="1"/>
        <v>0</v>
      </c>
      <c r="M83" s="6" t="s">
        <v>1068</v>
      </c>
      <c r="N83" s="6" t="s">
        <v>1045</v>
      </c>
      <c r="O83" s="6" t="s">
        <v>1060</v>
      </c>
      <c r="P83" s="83">
        <v>45657</v>
      </c>
      <c r="Q83" s="83">
        <v>45678</v>
      </c>
      <c r="R83" s="107" t="s">
        <v>1135</v>
      </c>
      <c r="S83" s="6" t="s">
        <v>247</v>
      </c>
      <c r="T83" s="161">
        <v>16863192.5</v>
      </c>
      <c r="U83" s="3" t="s">
        <v>1048</v>
      </c>
      <c r="V83" s="83">
        <v>45656</v>
      </c>
      <c r="W83" s="83">
        <v>45657</v>
      </c>
      <c r="X83" s="83">
        <v>45659</v>
      </c>
      <c r="Y83" s="83">
        <v>45673</v>
      </c>
      <c r="Z83" s="83">
        <v>45703</v>
      </c>
      <c r="AA83" s="147"/>
      <c r="AB83" s="3"/>
    </row>
    <row r="84" spans="1:28" x14ac:dyDescent="0.25">
      <c r="A84" t="s">
        <v>92</v>
      </c>
      <c r="F84" s="3" t="s">
        <v>832</v>
      </c>
      <c r="G84" s="3" t="s">
        <v>1126</v>
      </c>
      <c r="H84" s="89">
        <v>45626</v>
      </c>
      <c r="I84" s="83" t="s">
        <v>1043</v>
      </c>
      <c r="J84" s="8">
        <v>0</v>
      </c>
      <c r="K84" s="8">
        <v>0</v>
      </c>
      <c r="L84" s="52">
        <f t="shared" si="1"/>
        <v>0</v>
      </c>
      <c r="M84" s="6" t="s">
        <v>1068</v>
      </c>
      <c r="N84" s="6" t="s">
        <v>1045</v>
      </c>
      <c r="O84" s="6" t="s">
        <v>1060</v>
      </c>
      <c r="P84" s="83">
        <v>45657</v>
      </c>
      <c r="Q84" s="83">
        <v>45678</v>
      </c>
      <c r="R84" s="107" t="s">
        <v>1136</v>
      </c>
      <c r="S84" s="6" t="s">
        <v>247</v>
      </c>
      <c r="T84" s="161">
        <v>27028422.98</v>
      </c>
      <c r="U84" s="3" t="s">
        <v>1048</v>
      </c>
      <c r="V84" s="83">
        <v>45656</v>
      </c>
      <c r="W84" s="83">
        <v>45657</v>
      </c>
      <c r="X84" s="83">
        <v>45659</v>
      </c>
      <c r="Y84" s="83">
        <v>45670</v>
      </c>
      <c r="Z84" s="83">
        <v>45694</v>
      </c>
      <c r="AA84" s="147"/>
      <c r="AB84" s="3"/>
    </row>
    <row r="85" spans="1:28" x14ac:dyDescent="0.25">
      <c r="A85" t="s">
        <v>92</v>
      </c>
      <c r="F85" s="3" t="s">
        <v>832</v>
      </c>
      <c r="G85" s="3" t="s">
        <v>1126</v>
      </c>
      <c r="H85" s="89">
        <v>45626</v>
      </c>
      <c r="I85" s="83" t="s">
        <v>1043</v>
      </c>
      <c r="J85" s="8">
        <v>0</v>
      </c>
      <c r="K85" s="8">
        <v>0</v>
      </c>
      <c r="L85" s="52">
        <f t="shared" si="1"/>
        <v>0</v>
      </c>
      <c r="M85" s="6" t="s">
        <v>1068</v>
      </c>
      <c r="N85" s="6" t="s">
        <v>1045</v>
      </c>
      <c r="O85" s="6" t="s">
        <v>1060</v>
      </c>
      <c r="P85" s="83">
        <v>45657</v>
      </c>
      <c r="Q85" s="83">
        <v>45678</v>
      </c>
      <c r="R85" s="107" t="s">
        <v>1137</v>
      </c>
      <c r="S85" s="6" t="s">
        <v>247</v>
      </c>
      <c r="T85" s="161">
        <v>27044791.93</v>
      </c>
      <c r="U85" s="3" t="s">
        <v>1048</v>
      </c>
      <c r="V85" s="83">
        <v>45656</v>
      </c>
      <c r="W85" s="83">
        <v>45657</v>
      </c>
      <c r="X85" s="83">
        <v>45659</v>
      </c>
      <c r="Y85" s="83">
        <v>45673</v>
      </c>
      <c r="Z85" s="83">
        <v>45698</v>
      </c>
      <c r="AA85" s="147"/>
      <c r="AB85" s="3"/>
    </row>
    <row r="86" spans="1:28" x14ac:dyDescent="0.25">
      <c r="A86" t="s">
        <v>92</v>
      </c>
      <c r="F86" s="3" t="s">
        <v>832</v>
      </c>
      <c r="G86" s="3" t="s">
        <v>1126</v>
      </c>
      <c r="H86" s="89">
        <v>45626</v>
      </c>
      <c r="I86" s="83" t="s">
        <v>1043</v>
      </c>
      <c r="J86" s="8">
        <v>0</v>
      </c>
      <c r="K86" s="8">
        <v>0</v>
      </c>
      <c r="L86" s="52">
        <f t="shared" si="1"/>
        <v>0</v>
      </c>
      <c r="M86" s="6" t="s">
        <v>1068</v>
      </c>
      <c r="N86" s="6" t="s">
        <v>1045</v>
      </c>
      <c r="O86" s="6" t="s">
        <v>1060</v>
      </c>
      <c r="P86" s="83">
        <v>45657</v>
      </c>
      <c r="Q86" s="83">
        <v>45678</v>
      </c>
      <c r="R86" s="107" t="s">
        <v>1138</v>
      </c>
      <c r="S86" s="6" t="s">
        <v>247</v>
      </c>
      <c r="T86" s="161">
        <v>27044791.93</v>
      </c>
      <c r="U86" s="3" t="s">
        <v>1048</v>
      </c>
      <c r="V86" s="83">
        <v>45656</v>
      </c>
      <c r="W86" s="83">
        <v>45657</v>
      </c>
      <c r="X86" s="83">
        <v>45659</v>
      </c>
      <c r="Y86" s="83">
        <v>45688</v>
      </c>
      <c r="Z86" s="83">
        <v>45695</v>
      </c>
      <c r="AA86" s="147"/>
      <c r="AB86" s="3"/>
    </row>
    <row r="87" spans="1:28" x14ac:dyDescent="0.25">
      <c r="A87" t="s">
        <v>92</v>
      </c>
      <c r="F87" s="3" t="s">
        <v>832</v>
      </c>
      <c r="G87" s="3" t="s">
        <v>1126</v>
      </c>
      <c r="H87" s="89">
        <v>45626</v>
      </c>
      <c r="I87" s="83" t="s">
        <v>1043</v>
      </c>
      <c r="J87" s="8">
        <v>0</v>
      </c>
      <c r="K87" s="8">
        <v>0</v>
      </c>
      <c r="L87" s="52">
        <f t="shared" si="1"/>
        <v>0</v>
      </c>
      <c r="M87" s="6" t="s">
        <v>1068</v>
      </c>
      <c r="N87" s="6" t="s">
        <v>1045</v>
      </c>
      <c r="O87" s="6" t="s">
        <v>1060</v>
      </c>
      <c r="P87" s="83">
        <v>45657</v>
      </c>
      <c r="Q87" s="83">
        <v>45678</v>
      </c>
      <c r="R87" s="107" t="s">
        <v>1139</v>
      </c>
      <c r="S87" s="6" t="s">
        <v>247</v>
      </c>
      <c r="T87" s="161">
        <v>30411467.579999998</v>
      </c>
      <c r="U87" s="3" t="s">
        <v>1048</v>
      </c>
      <c r="V87" s="83">
        <v>45656</v>
      </c>
      <c r="W87" s="83">
        <v>45657</v>
      </c>
      <c r="X87" s="83">
        <v>45659</v>
      </c>
      <c r="Y87" s="83">
        <v>45670</v>
      </c>
      <c r="Z87" s="83">
        <v>45695</v>
      </c>
      <c r="AA87" s="147"/>
      <c r="AB87" s="3"/>
    </row>
    <row r="88" spans="1:28" x14ac:dyDescent="0.25">
      <c r="A88" t="s">
        <v>92</v>
      </c>
      <c r="F88" s="3" t="s">
        <v>832</v>
      </c>
      <c r="G88" s="3" t="s">
        <v>1126</v>
      </c>
      <c r="H88" s="89">
        <v>45626</v>
      </c>
      <c r="I88" s="83" t="s">
        <v>1043</v>
      </c>
      <c r="J88" s="8">
        <v>0</v>
      </c>
      <c r="K88" s="8">
        <v>0</v>
      </c>
      <c r="L88" s="52">
        <f t="shared" si="1"/>
        <v>0</v>
      </c>
      <c r="M88" s="6" t="s">
        <v>1068</v>
      </c>
      <c r="N88" s="6" t="s">
        <v>1045</v>
      </c>
      <c r="O88" s="6" t="s">
        <v>1060</v>
      </c>
      <c r="P88" s="83">
        <v>45657</v>
      </c>
      <c r="Q88" s="83">
        <v>45678</v>
      </c>
      <c r="R88" s="107" t="s">
        <v>1140</v>
      </c>
      <c r="S88" s="6" t="s">
        <v>247</v>
      </c>
      <c r="T88" s="161">
        <v>26995684.379999999</v>
      </c>
      <c r="U88" s="3" t="s">
        <v>1048</v>
      </c>
      <c r="V88" s="83">
        <v>45656</v>
      </c>
      <c r="W88" s="83">
        <v>45657</v>
      </c>
      <c r="X88" s="83">
        <v>45659</v>
      </c>
      <c r="Y88" s="83">
        <v>45670</v>
      </c>
      <c r="Z88" s="83">
        <v>45695</v>
      </c>
      <c r="AA88" s="147"/>
      <c r="AB88" s="3"/>
    </row>
    <row r="89" spans="1:28" x14ac:dyDescent="0.25">
      <c r="A89" t="s">
        <v>92</v>
      </c>
      <c r="F89" s="3" t="s">
        <v>832</v>
      </c>
      <c r="G89" s="3" t="s">
        <v>1126</v>
      </c>
      <c r="H89" s="89">
        <v>45626</v>
      </c>
      <c r="I89" s="83" t="s">
        <v>1043</v>
      </c>
      <c r="J89" s="8">
        <v>0</v>
      </c>
      <c r="K89" s="8">
        <v>0</v>
      </c>
      <c r="L89" s="52">
        <f t="shared" si="1"/>
        <v>0</v>
      </c>
      <c r="M89" s="6" t="s">
        <v>1068</v>
      </c>
      <c r="N89" s="6" t="s">
        <v>1045</v>
      </c>
      <c r="O89" s="6" t="s">
        <v>1060</v>
      </c>
      <c r="P89" s="83">
        <v>45657</v>
      </c>
      <c r="Q89" s="83">
        <v>45678</v>
      </c>
      <c r="R89" s="107" t="s">
        <v>1141</v>
      </c>
      <c r="S89" s="6" t="s">
        <v>247</v>
      </c>
      <c r="T89" s="161">
        <v>26995685.07</v>
      </c>
      <c r="U89" s="3" t="s">
        <v>1048</v>
      </c>
      <c r="V89" s="83">
        <v>45656</v>
      </c>
      <c r="W89" s="83">
        <v>45657</v>
      </c>
      <c r="X89" s="83">
        <v>45659</v>
      </c>
      <c r="Y89" s="83">
        <v>45670</v>
      </c>
      <c r="Z89" s="83">
        <v>45698</v>
      </c>
      <c r="AA89" s="147"/>
      <c r="AB89" s="3"/>
    </row>
    <row r="90" spans="1:28" x14ac:dyDescent="0.25">
      <c r="A90" t="s">
        <v>92</v>
      </c>
      <c r="F90" s="3" t="s">
        <v>832</v>
      </c>
      <c r="G90" s="3" t="s">
        <v>1126</v>
      </c>
      <c r="H90" s="89">
        <v>45626</v>
      </c>
      <c r="I90" s="83" t="s">
        <v>1043</v>
      </c>
      <c r="J90" s="8">
        <v>0</v>
      </c>
      <c r="K90" s="8">
        <v>0</v>
      </c>
      <c r="L90" s="52">
        <f t="shared" si="1"/>
        <v>0</v>
      </c>
      <c r="M90" s="6" t="s">
        <v>1068</v>
      </c>
      <c r="N90" s="6" t="s">
        <v>1045</v>
      </c>
      <c r="O90" s="6" t="s">
        <v>1060</v>
      </c>
      <c r="P90" s="83">
        <v>45657</v>
      </c>
      <c r="Q90" s="83">
        <v>45678</v>
      </c>
      <c r="R90" s="107" t="s">
        <v>1142</v>
      </c>
      <c r="S90" s="6" t="s">
        <v>247</v>
      </c>
      <c r="T90" s="161">
        <v>23544786.960000001</v>
      </c>
      <c r="U90" s="3" t="s">
        <v>1048</v>
      </c>
      <c r="V90" s="83">
        <v>45656</v>
      </c>
      <c r="W90" s="83">
        <v>45657</v>
      </c>
      <c r="X90" s="83">
        <v>45659</v>
      </c>
      <c r="Y90" s="83">
        <v>45670</v>
      </c>
      <c r="Z90" s="83">
        <v>45698</v>
      </c>
      <c r="AA90" s="147"/>
      <c r="AB90" s="3"/>
    </row>
    <row r="91" spans="1:28" x14ac:dyDescent="0.25">
      <c r="A91" t="s">
        <v>92</v>
      </c>
      <c r="F91" s="3" t="s">
        <v>832</v>
      </c>
      <c r="G91" s="3" t="s">
        <v>1126</v>
      </c>
      <c r="H91" s="89">
        <v>45626</v>
      </c>
      <c r="I91" s="83" t="s">
        <v>1043</v>
      </c>
      <c r="J91" s="8">
        <v>0</v>
      </c>
      <c r="K91" s="8">
        <v>0</v>
      </c>
      <c r="L91" s="52">
        <f t="shared" si="1"/>
        <v>0</v>
      </c>
      <c r="M91" s="6" t="s">
        <v>1068</v>
      </c>
      <c r="N91" s="6" t="s">
        <v>1045</v>
      </c>
      <c r="O91" s="6" t="s">
        <v>1060</v>
      </c>
      <c r="P91" s="83">
        <v>45657</v>
      </c>
      <c r="Q91" s="83">
        <v>45678</v>
      </c>
      <c r="R91" s="107" t="s">
        <v>1143</v>
      </c>
      <c r="S91" s="6" t="s">
        <v>247</v>
      </c>
      <c r="T91" s="161">
        <v>20229777.16</v>
      </c>
      <c r="U91" s="3" t="s">
        <v>1048</v>
      </c>
      <c r="V91" s="83">
        <v>45656</v>
      </c>
      <c r="W91" s="83">
        <v>45657</v>
      </c>
      <c r="X91" s="83">
        <v>45659</v>
      </c>
      <c r="Y91" s="83">
        <v>45670</v>
      </c>
      <c r="Z91" s="83">
        <v>45698</v>
      </c>
      <c r="AA91" s="147"/>
      <c r="AB91" s="3"/>
    </row>
    <row r="92" spans="1:28" x14ac:dyDescent="0.25">
      <c r="A92" t="s">
        <v>92</v>
      </c>
      <c r="F92" s="3" t="s">
        <v>832</v>
      </c>
      <c r="G92" s="3" t="s">
        <v>1126</v>
      </c>
      <c r="H92" s="89">
        <v>45626</v>
      </c>
      <c r="I92" s="83" t="s">
        <v>1043</v>
      </c>
      <c r="J92" s="8">
        <v>0</v>
      </c>
      <c r="K92" s="8">
        <v>0</v>
      </c>
      <c r="L92" s="52">
        <f t="shared" ref="L92:L102" si="2">J92+K92</f>
        <v>0</v>
      </c>
      <c r="M92" s="6" t="s">
        <v>1068</v>
      </c>
      <c r="N92" s="6" t="s">
        <v>1045</v>
      </c>
      <c r="O92" s="6" t="s">
        <v>1060</v>
      </c>
      <c r="P92" s="83">
        <v>45657</v>
      </c>
      <c r="Q92" s="83">
        <v>45678</v>
      </c>
      <c r="R92" s="107" t="s">
        <v>1144</v>
      </c>
      <c r="S92" s="6" t="s">
        <v>247</v>
      </c>
      <c r="T92" s="161">
        <v>30364737.030000001</v>
      </c>
      <c r="U92" s="3" t="s">
        <v>1048</v>
      </c>
      <c r="V92" s="83">
        <v>45656</v>
      </c>
      <c r="W92" s="83">
        <v>45657</v>
      </c>
      <c r="X92" s="83">
        <v>45659</v>
      </c>
      <c r="Y92" s="83">
        <v>45679</v>
      </c>
      <c r="Z92" s="83">
        <v>45697</v>
      </c>
      <c r="AA92" s="147"/>
      <c r="AB92" s="3"/>
    </row>
    <row r="93" spans="1:28" x14ac:dyDescent="0.25">
      <c r="A93" t="s">
        <v>92</v>
      </c>
      <c r="F93" s="3" t="s">
        <v>832</v>
      </c>
      <c r="G93" s="3" t="s">
        <v>1126</v>
      </c>
      <c r="H93" s="89">
        <v>45626</v>
      </c>
      <c r="I93" s="83" t="s">
        <v>1043</v>
      </c>
      <c r="J93" s="8">
        <v>0</v>
      </c>
      <c r="K93" s="8">
        <v>0</v>
      </c>
      <c r="L93" s="52">
        <f t="shared" si="2"/>
        <v>0</v>
      </c>
      <c r="M93" s="6" t="s">
        <v>1068</v>
      </c>
      <c r="N93" s="6" t="s">
        <v>1045</v>
      </c>
      <c r="O93" s="6" t="s">
        <v>1060</v>
      </c>
      <c r="P93" s="83">
        <v>45657</v>
      </c>
      <c r="Q93" s="83">
        <v>45678</v>
      </c>
      <c r="R93" s="107" t="s">
        <v>1145</v>
      </c>
      <c r="S93" s="6" t="s">
        <v>247</v>
      </c>
      <c r="T93" s="161">
        <v>30408908.600000001</v>
      </c>
      <c r="U93" s="3" t="s">
        <v>1048</v>
      </c>
      <c r="V93" s="83">
        <v>45656</v>
      </c>
      <c r="W93" s="83">
        <v>45657</v>
      </c>
      <c r="X93" s="83">
        <v>45659</v>
      </c>
      <c r="Y93" s="83">
        <v>45675</v>
      </c>
      <c r="Z93" s="83">
        <v>45698</v>
      </c>
      <c r="AA93" s="147"/>
      <c r="AB93" s="3"/>
    </row>
    <row r="94" spans="1:28" x14ac:dyDescent="0.25">
      <c r="A94" t="s">
        <v>92</v>
      </c>
      <c r="F94" s="3" t="s">
        <v>832</v>
      </c>
      <c r="G94" s="3" t="s">
        <v>1126</v>
      </c>
      <c r="H94" s="89">
        <v>45626</v>
      </c>
      <c r="I94" s="83" t="s">
        <v>1043</v>
      </c>
      <c r="J94" s="8">
        <v>0</v>
      </c>
      <c r="K94" s="8">
        <v>0</v>
      </c>
      <c r="L94" s="52">
        <f t="shared" si="2"/>
        <v>0</v>
      </c>
      <c r="M94" s="6" t="s">
        <v>1068</v>
      </c>
      <c r="N94" s="6" t="s">
        <v>1045</v>
      </c>
      <c r="O94" s="6" t="s">
        <v>1060</v>
      </c>
      <c r="P94" s="83">
        <v>45657</v>
      </c>
      <c r="Q94" s="83">
        <v>45678</v>
      </c>
      <c r="R94" s="107" t="s">
        <v>1146</v>
      </c>
      <c r="S94" s="6" t="s">
        <v>247</v>
      </c>
      <c r="T94" s="161">
        <v>30324777.809999999</v>
      </c>
      <c r="U94" s="3" t="s">
        <v>1048</v>
      </c>
      <c r="V94" s="83">
        <v>45656</v>
      </c>
      <c r="W94" s="83">
        <v>45657</v>
      </c>
      <c r="X94" s="83">
        <v>45659</v>
      </c>
      <c r="Y94" s="83">
        <v>45670</v>
      </c>
      <c r="Z94" s="83">
        <v>45699</v>
      </c>
      <c r="AA94" s="147"/>
      <c r="AB94" s="3"/>
    </row>
    <row r="95" spans="1:28" x14ac:dyDescent="0.25">
      <c r="A95" t="s">
        <v>92</v>
      </c>
      <c r="F95" s="3" t="s">
        <v>832</v>
      </c>
      <c r="G95" s="3" t="s">
        <v>1126</v>
      </c>
      <c r="H95" s="89">
        <v>45626</v>
      </c>
      <c r="I95" s="83" t="s">
        <v>1043</v>
      </c>
      <c r="J95" s="8">
        <v>0</v>
      </c>
      <c r="K95" s="8">
        <v>0</v>
      </c>
      <c r="L95" s="52">
        <f t="shared" si="2"/>
        <v>0</v>
      </c>
      <c r="M95" s="6" t="s">
        <v>1068</v>
      </c>
      <c r="N95" s="6" t="s">
        <v>1045</v>
      </c>
      <c r="O95" s="6" t="s">
        <v>1060</v>
      </c>
      <c r="P95" s="83">
        <v>45657</v>
      </c>
      <c r="Q95" s="83">
        <v>45678</v>
      </c>
      <c r="R95" s="107" t="s">
        <v>1147</v>
      </c>
      <c r="S95" s="6" t="s">
        <v>247</v>
      </c>
      <c r="T95" s="161">
        <v>30395007.640000001</v>
      </c>
      <c r="U95" s="3" t="s">
        <v>1048</v>
      </c>
      <c r="V95" s="83">
        <v>45656</v>
      </c>
      <c r="W95" s="83">
        <v>45657</v>
      </c>
      <c r="X95" s="83">
        <v>45659</v>
      </c>
      <c r="Y95" s="83">
        <v>45681</v>
      </c>
      <c r="Z95" s="83">
        <v>45699</v>
      </c>
      <c r="AA95" s="147"/>
      <c r="AB95" s="3"/>
    </row>
    <row r="96" spans="1:28" x14ac:dyDescent="0.25">
      <c r="A96" t="s">
        <v>92</v>
      </c>
      <c r="F96" s="3" t="s">
        <v>832</v>
      </c>
      <c r="G96" s="3" t="s">
        <v>1126</v>
      </c>
      <c r="H96" s="89">
        <v>45626</v>
      </c>
      <c r="I96" s="83" t="s">
        <v>1043</v>
      </c>
      <c r="J96" s="8">
        <v>0</v>
      </c>
      <c r="K96" s="8">
        <v>0</v>
      </c>
      <c r="L96" s="52">
        <f t="shared" si="2"/>
        <v>0</v>
      </c>
      <c r="M96" s="6" t="s">
        <v>1068</v>
      </c>
      <c r="N96" s="6" t="s">
        <v>1045</v>
      </c>
      <c r="O96" s="6" t="s">
        <v>1060</v>
      </c>
      <c r="P96" s="83">
        <v>45657</v>
      </c>
      <c r="Q96" s="83">
        <v>45678</v>
      </c>
      <c r="R96" s="107" t="s">
        <v>1148</v>
      </c>
      <c r="S96" s="6" t="s">
        <v>247</v>
      </c>
      <c r="T96" s="161">
        <v>30427745.539999999</v>
      </c>
      <c r="U96" s="3" t="s">
        <v>1048</v>
      </c>
      <c r="V96" s="83">
        <v>45656</v>
      </c>
      <c r="W96" s="83">
        <v>45657</v>
      </c>
      <c r="X96" s="83">
        <v>45659</v>
      </c>
      <c r="Y96" s="83">
        <v>45675</v>
      </c>
      <c r="Z96" s="83">
        <v>45700</v>
      </c>
      <c r="AA96" s="147"/>
      <c r="AB96" s="3"/>
    </row>
    <row r="97" spans="1:28" x14ac:dyDescent="0.25">
      <c r="A97" t="s">
        <v>92</v>
      </c>
      <c r="F97" s="3" t="s">
        <v>832</v>
      </c>
      <c r="G97" s="3" t="s">
        <v>1126</v>
      </c>
      <c r="H97" s="89">
        <v>45626</v>
      </c>
      <c r="I97" s="83" t="s">
        <v>1043</v>
      </c>
      <c r="J97" s="8">
        <v>0</v>
      </c>
      <c r="K97" s="8">
        <v>0</v>
      </c>
      <c r="L97" s="52">
        <f t="shared" si="2"/>
        <v>0</v>
      </c>
      <c r="M97" s="6" t="s">
        <v>1068</v>
      </c>
      <c r="N97" s="6" t="s">
        <v>1045</v>
      </c>
      <c r="O97" s="6" t="s">
        <v>1060</v>
      </c>
      <c r="P97" s="83">
        <v>45657</v>
      </c>
      <c r="Q97" s="83">
        <v>45678</v>
      </c>
      <c r="R97" s="107" t="s">
        <v>1149</v>
      </c>
      <c r="S97" s="6" t="s">
        <v>247</v>
      </c>
      <c r="T97" s="161">
        <v>30430213.539999999</v>
      </c>
      <c r="U97" s="3" t="s">
        <v>1048</v>
      </c>
      <c r="V97" s="83">
        <v>45656</v>
      </c>
      <c r="W97" s="83">
        <v>45657</v>
      </c>
      <c r="X97" s="83">
        <v>45659</v>
      </c>
      <c r="Y97" s="83">
        <v>45675</v>
      </c>
      <c r="Z97" s="83">
        <v>45700</v>
      </c>
      <c r="AA97" s="147"/>
      <c r="AB97" s="3"/>
    </row>
    <row r="98" spans="1:28" x14ac:dyDescent="0.25">
      <c r="A98" t="s">
        <v>92</v>
      </c>
      <c r="F98" s="3" t="s">
        <v>832</v>
      </c>
      <c r="G98" s="3" t="s">
        <v>1126</v>
      </c>
      <c r="H98" s="89">
        <v>45626</v>
      </c>
      <c r="I98" s="83" t="s">
        <v>1043</v>
      </c>
      <c r="J98" s="8">
        <v>0</v>
      </c>
      <c r="K98" s="8">
        <v>0</v>
      </c>
      <c r="L98" s="52">
        <f t="shared" si="2"/>
        <v>0</v>
      </c>
      <c r="M98" s="6" t="s">
        <v>1068</v>
      </c>
      <c r="N98" s="6" t="s">
        <v>1045</v>
      </c>
      <c r="O98" s="6" t="s">
        <v>1060</v>
      </c>
      <c r="P98" s="83">
        <v>45657</v>
      </c>
      <c r="Q98" s="83">
        <v>45678</v>
      </c>
      <c r="R98" s="107" t="s">
        <v>1150</v>
      </c>
      <c r="S98" s="6" t="s">
        <v>247</v>
      </c>
      <c r="T98" s="161">
        <v>27044791.329999998</v>
      </c>
      <c r="U98" s="3" t="s">
        <v>1048</v>
      </c>
      <c r="V98" s="83">
        <v>45656</v>
      </c>
      <c r="W98" s="83">
        <v>45657</v>
      </c>
      <c r="X98" s="83">
        <v>45659</v>
      </c>
      <c r="Y98" s="83">
        <v>45679</v>
      </c>
      <c r="Z98" s="83">
        <v>45702</v>
      </c>
      <c r="AA98" s="147"/>
      <c r="AB98" s="3"/>
    </row>
    <row r="99" spans="1:28" x14ac:dyDescent="0.25">
      <c r="A99" t="s">
        <v>92</v>
      </c>
      <c r="F99" s="3" t="s">
        <v>832</v>
      </c>
      <c r="G99" s="3" t="s">
        <v>1126</v>
      </c>
      <c r="H99" s="89">
        <v>45626</v>
      </c>
      <c r="I99" s="83" t="s">
        <v>1043</v>
      </c>
      <c r="J99" s="8">
        <v>0</v>
      </c>
      <c r="K99" s="8">
        <v>0</v>
      </c>
      <c r="L99" s="52">
        <f t="shared" si="2"/>
        <v>0</v>
      </c>
      <c r="M99" s="6" t="s">
        <v>1068</v>
      </c>
      <c r="N99" s="6" t="s">
        <v>1045</v>
      </c>
      <c r="O99" s="6" t="s">
        <v>1060</v>
      </c>
      <c r="P99" s="83">
        <v>45657</v>
      </c>
      <c r="Q99" s="83">
        <v>45678</v>
      </c>
      <c r="R99" s="107" t="s">
        <v>1151</v>
      </c>
      <c r="S99" s="6" t="s">
        <v>247</v>
      </c>
      <c r="T99" s="161">
        <v>23661838.32</v>
      </c>
      <c r="U99" s="3" t="s">
        <v>1048</v>
      </c>
      <c r="V99" s="83">
        <v>45656</v>
      </c>
      <c r="W99" s="83">
        <v>45657</v>
      </c>
      <c r="X99" s="83">
        <v>45659</v>
      </c>
      <c r="Y99" s="83">
        <v>45670</v>
      </c>
      <c r="Z99" s="83">
        <v>45703</v>
      </c>
      <c r="AA99" s="147"/>
      <c r="AB99" s="3"/>
    </row>
    <row r="100" spans="1:28" x14ac:dyDescent="0.25">
      <c r="A100" t="s">
        <v>92</v>
      </c>
      <c r="F100" s="3" t="s">
        <v>832</v>
      </c>
      <c r="G100" s="3" t="s">
        <v>1126</v>
      </c>
      <c r="H100" s="89">
        <v>45626</v>
      </c>
      <c r="I100" s="83" t="s">
        <v>1043</v>
      </c>
      <c r="J100" s="8">
        <v>0</v>
      </c>
      <c r="K100" s="8">
        <v>0</v>
      </c>
      <c r="L100" s="52">
        <f t="shared" si="2"/>
        <v>0</v>
      </c>
      <c r="M100" s="6" t="s">
        <v>1068</v>
      </c>
      <c r="N100" s="6" t="s">
        <v>1045</v>
      </c>
      <c r="O100" s="6" t="s">
        <v>1060</v>
      </c>
      <c r="P100" s="83">
        <v>45657</v>
      </c>
      <c r="Q100" s="83">
        <v>45678</v>
      </c>
      <c r="R100" s="107" t="s">
        <v>1152</v>
      </c>
      <c r="S100" s="6" t="s">
        <v>247</v>
      </c>
      <c r="T100" s="161">
        <v>20297721.66</v>
      </c>
      <c r="U100" s="3" t="s">
        <v>1048</v>
      </c>
      <c r="V100" s="83">
        <v>45656</v>
      </c>
      <c r="W100" s="83">
        <v>45657</v>
      </c>
      <c r="X100" s="83">
        <v>45659</v>
      </c>
      <c r="Y100" s="83">
        <v>45673</v>
      </c>
      <c r="Z100" s="83">
        <v>45704</v>
      </c>
      <c r="AA100" s="147"/>
      <c r="AB100" s="3"/>
    </row>
    <row r="101" spans="1:28" x14ac:dyDescent="0.25">
      <c r="A101" t="s">
        <v>92</v>
      </c>
      <c r="F101" s="3" t="s">
        <v>832</v>
      </c>
      <c r="G101" s="3" t="s">
        <v>1126</v>
      </c>
      <c r="H101" s="89">
        <v>45626</v>
      </c>
      <c r="I101" s="83" t="s">
        <v>1043</v>
      </c>
      <c r="J101" s="8">
        <v>0</v>
      </c>
      <c r="K101" s="8">
        <v>0</v>
      </c>
      <c r="L101" s="52">
        <f t="shared" si="2"/>
        <v>0</v>
      </c>
      <c r="M101" s="6" t="s">
        <v>1068</v>
      </c>
      <c r="N101" s="6" t="s">
        <v>1045</v>
      </c>
      <c r="O101" s="6" t="s">
        <v>1060</v>
      </c>
      <c r="P101" s="83">
        <v>45657</v>
      </c>
      <c r="Q101" s="83">
        <v>45678</v>
      </c>
      <c r="R101" s="107" t="s">
        <v>1153</v>
      </c>
      <c r="S101" s="6" t="s">
        <v>247</v>
      </c>
      <c r="T101" s="161">
        <v>20297721.66</v>
      </c>
      <c r="U101" s="3" t="s">
        <v>1048</v>
      </c>
      <c r="V101" s="83">
        <v>45656</v>
      </c>
      <c r="W101" s="83">
        <v>45657</v>
      </c>
      <c r="X101" s="83">
        <v>45659</v>
      </c>
      <c r="Y101" s="83">
        <v>45675</v>
      </c>
      <c r="Z101" s="83">
        <v>45703</v>
      </c>
      <c r="AA101" s="147"/>
      <c r="AB101" s="3"/>
    </row>
    <row r="102" spans="1:28" x14ac:dyDescent="0.25">
      <c r="A102" t="s">
        <v>92</v>
      </c>
      <c r="F102" s="3" t="s">
        <v>832</v>
      </c>
      <c r="G102" s="3" t="s">
        <v>1126</v>
      </c>
      <c r="H102" s="89">
        <v>45626</v>
      </c>
      <c r="I102" s="83" t="s">
        <v>1043</v>
      </c>
      <c r="J102" s="8">
        <v>0</v>
      </c>
      <c r="K102" s="8">
        <v>0</v>
      </c>
      <c r="L102" s="52">
        <f t="shared" si="2"/>
        <v>0</v>
      </c>
      <c r="M102" s="6" t="s">
        <v>1068</v>
      </c>
      <c r="N102" s="6" t="s">
        <v>1045</v>
      </c>
      <c r="O102" s="6" t="s">
        <v>1060</v>
      </c>
      <c r="P102" s="83">
        <v>45657</v>
      </c>
      <c r="Q102" s="83">
        <v>45678</v>
      </c>
      <c r="R102" s="107" t="s">
        <v>1154</v>
      </c>
      <c r="S102" s="6" t="s">
        <v>247</v>
      </c>
      <c r="T102" s="161">
        <v>20297721.66</v>
      </c>
      <c r="U102" s="3" t="s">
        <v>1048</v>
      </c>
      <c r="V102" s="83">
        <v>45656</v>
      </c>
      <c r="W102" s="83">
        <v>45657</v>
      </c>
      <c r="X102" s="83">
        <v>45659</v>
      </c>
      <c r="Y102" s="83">
        <v>45679</v>
      </c>
      <c r="Z102" s="83">
        <v>45704</v>
      </c>
      <c r="AA102" s="147"/>
      <c r="AB102" s="3"/>
    </row>
    <row r="103" spans="1:28" x14ac:dyDescent="0.25">
      <c r="A103" t="s">
        <v>92</v>
      </c>
      <c r="F103" s="3" t="s">
        <v>832</v>
      </c>
      <c r="G103" s="3" t="s">
        <v>1126</v>
      </c>
      <c r="H103" s="89">
        <v>45626</v>
      </c>
      <c r="I103" s="83" t="s">
        <v>1043</v>
      </c>
      <c r="J103" s="8">
        <v>0</v>
      </c>
      <c r="K103" s="8">
        <v>0</v>
      </c>
      <c r="L103" s="52">
        <f t="shared" ref="L103" si="3">J103+K103</f>
        <v>0</v>
      </c>
      <c r="M103" s="6" t="s">
        <v>1068</v>
      </c>
      <c r="N103" s="6" t="s">
        <v>1045</v>
      </c>
      <c r="O103" s="6" t="s">
        <v>1060</v>
      </c>
      <c r="P103" s="83">
        <v>45657</v>
      </c>
      <c r="Q103" s="83">
        <v>45678</v>
      </c>
      <c r="R103" s="107" t="s">
        <v>1155</v>
      </c>
      <c r="S103" s="6" t="s">
        <v>247</v>
      </c>
      <c r="T103" s="161">
        <v>9103837.4299999997</v>
      </c>
      <c r="U103" s="3" t="s">
        <v>1048</v>
      </c>
      <c r="V103" s="83">
        <v>45656</v>
      </c>
      <c r="W103" s="83">
        <v>45657</v>
      </c>
      <c r="X103" s="83">
        <v>45659</v>
      </c>
      <c r="Y103" s="83">
        <v>45679</v>
      </c>
      <c r="Z103" s="83">
        <v>45704</v>
      </c>
      <c r="AA103" s="147"/>
      <c r="AB103" s="3"/>
    </row>
    <row r="104" spans="1:28" x14ac:dyDescent="0.25">
      <c r="A104" t="s">
        <v>92</v>
      </c>
      <c r="F104" s="3" t="s">
        <v>832</v>
      </c>
      <c r="G104" s="3" t="s">
        <v>1126</v>
      </c>
      <c r="H104" s="89">
        <v>45626</v>
      </c>
      <c r="I104" s="83" t="s">
        <v>1043</v>
      </c>
      <c r="J104" s="8">
        <v>0</v>
      </c>
      <c r="K104" s="8">
        <v>0</v>
      </c>
      <c r="L104" s="52">
        <f t="shared" ref="L104" si="4">J104+K104</f>
        <v>0</v>
      </c>
      <c r="M104" s="6" t="s">
        <v>1068</v>
      </c>
      <c r="N104" s="6" t="s">
        <v>1045</v>
      </c>
      <c r="O104" s="6" t="s">
        <v>1060</v>
      </c>
      <c r="P104" s="83">
        <v>45657</v>
      </c>
      <c r="Q104" s="83">
        <v>45678</v>
      </c>
      <c r="R104" s="107" t="s">
        <v>1156</v>
      </c>
      <c r="S104" s="6" t="s">
        <v>247</v>
      </c>
      <c r="T104" s="161">
        <v>3382953.61</v>
      </c>
      <c r="U104" s="3" t="s">
        <v>1048</v>
      </c>
      <c r="V104" s="83">
        <v>45672</v>
      </c>
      <c r="W104" s="83">
        <v>45673</v>
      </c>
      <c r="X104" s="83">
        <v>45675</v>
      </c>
      <c r="Y104" s="83">
        <v>45685</v>
      </c>
      <c r="Z104" s="83">
        <v>45705</v>
      </c>
      <c r="AA104" s="147">
        <f>$L$75-SUM($T$75:$T$104)</f>
        <v>14866925.700000167</v>
      </c>
      <c r="AB104" s="3"/>
    </row>
    <row r="105" spans="1:28" x14ac:dyDescent="0.25">
      <c r="F105" s="3" t="s">
        <v>1157</v>
      </c>
      <c r="G105" s="3" t="s">
        <v>1158</v>
      </c>
      <c r="H105" s="89">
        <v>45643</v>
      </c>
      <c r="I105" s="83" t="s">
        <v>1043</v>
      </c>
      <c r="J105" s="8">
        <v>9939190</v>
      </c>
      <c r="K105" s="8">
        <v>0</v>
      </c>
      <c r="L105" s="52">
        <f t="shared" ref="L105" si="5">J105+K105</f>
        <v>9939190</v>
      </c>
      <c r="M105" s="6" t="s">
        <v>1068</v>
      </c>
      <c r="N105" s="6" t="s">
        <v>1060</v>
      </c>
      <c r="O105" s="6" t="s">
        <v>1060</v>
      </c>
      <c r="P105" s="6" t="s">
        <v>247</v>
      </c>
      <c r="Q105" s="6" t="s">
        <v>247</v>
      </c>
      <c r="R105" s="107" t="s">
        <v>1159</v>
      </c>
      <c r="S105" s="6" t="s">
        <v>247</v>
      </c>
      <c r="T105" s="161">
        <v>9939190</v>
      </c>
      <c r="U105" s="3" t="s">
        <v>1048</v>
      </c>
      <c r="V105" s="83">
        <v>45661</v>
      </c>
      <c r="W105" s="83">
        <v>45661</v>
      </c>
      <c r="X105" s="83">
        <v>45670</v>
      </c>
      <c r="Y105" s="83">
        <v>45678</v>
      </c>
      <c r="Z105" s="83">
        <v>45712</v>
      </c>
      <c r="AA105" s="147">
        <f>$L$105-T$105</f>
        <v>0</v>
      </c>
      <c r="AB105" s="3"/>
    </row>
    <row r="106" spans="1:28" x14ac:dyDescent="0.25">
      <c r="F106" s="3" t="s">
        <v>808</v>
      </c>
      <c r="G106" s="3" t="s">
        <v>1160</v>
      </c>
      <c r="H106" s="89">
        <v>45661</v>
      </c>
      <c r="I106" s="83" t="s">
        <v>1043</v>
      </c>
      <c r="J106" s="8">
        <v>242445075.56999999</v>
      </c>
      <c r="K106" s="8">
        <v>0</v>
      </c>
      <c r="L106" s="52">
        <f t="shared" ref="L106" si="6">J106+K106</f>
        <v>242445075.56999999</v>
      </c>
      <c r="M106" s="6" t="s">
        <v>677</v>
      </c>
      <c r="N106" s="6" t="s">
        <v>1045</v>
      </c>
      <c r="O106" s="6" t="s">
        <v>2</v>
      </c>
      <c r="P106" s="83">
        <v>45682</v>
      </c>
      <c r="Q106" s="83">
        <v>45714</v>
      </c>
      <c r="R106" s="107" t="s">
        <v>1161</v>
      </c>
      <c r="S106" s="6" t="s">
        <v>247</v>
      </c>
      <c r="T106" s="161">
        <v>182812505.66999999</v>
      </c>
      <c r="U106" s="3" t="s">
        <v>1162</v>
      </c>
      <c r="V106" s="83">
        <v>45681</v>
      </c>
      <c r="W106" s="83">
        <v>45681</v>
      </c>
      <c r="X106" s="83">
        <v>45686</v>
      </c>
      <c r="Y106" s="83" t="s">
        <v>247</v>
      </c>
      <c r="Z106" s="83" t="s">
        <v>247</v>
      </c>
      <c r="AA106" s="147"/>
      <c r="AB106" s="3"/>
    </row>
    <row r="107" spans="1:28" x14ac:dyDescent="0.25">
      <c r="F107" s="3" t="s">
        <v>808</v>
      </c>
      <c r="G107" s="3" t="s">
        <v>1160</v>
      </c>
      <c r="H107" s="89">
        <v>45661</v>
      </c>
      <c r="I107" s="83" t="s">
        <v>1043</v>
      </c>
      <c r="J107" s="8">
        <v>0</v>
      </c>
      <c r="K107" s="8">
        <v>0</v>
      </c>
      <c r="L107" s="52">
        <f t="shared" ref="L107" si="7">J107+K107</f>
        <v>0</v>
      </c>
      <c r="M107" s="6" t="s">
        <v>677</v>
      </c>
      <c r="N107" s="6" t="s">
        <v>1045</v>
      </c>
      <c r="O107" s="6" t="s">
        <v>2</v>
      </c>
      <c r="P107" s="83">
        <v>45682</v>
      </c>
      <c r="Q107" s="83">
        <v>45714</v>
      </c>
      <c r="R107" s="107" t="s">
        <v>1163</v>
      </c>
      <c r="S107" s="6" t="s">
        <v>247</v>
      </c>
      <c r="T107" s="161">
        <v>50776486.329999998</v>
      </c>
      <c r="U107" s="3" t="s">
        <v>1162</v>
      </c>
      <c r="V107" s="83">
        <v>45692</v>
      </c>
      <c r="W107" s="83">
        <v>45692</v>
      </c>
      <c r="X107" s="83">
        <v>45694</v>
      </c>
      <c r="Y107" s="83" t="s">
        <v>247</v>
      </c>
      <c r="Z107" s="83" t="s">
        <v>247</v>
      </c>
      <c r="AA107" s="147">
        <f>$L$106-T$106-T107</f>
        <v>8856083.5700000077</v>
      </c>
      <c r="AB107" s="3"/>
    </row>
    <row r="108" spans="1:28" x14ac:dyDescent="0.25">
      <c r="F108" s="3" t="s">
        <v>832</v>
      </c>
      <c r="G108" s="3" t="s">
        <v>1164</v>
      </c>
      <c r="H108" s="89">
        <v>45656</v>
      </c>
      <c r="I108" s="83" t="s">
        <v>1043</v>
      </c>
      <c r="J108" s="8">
        <v>400000000</v>
      </c>
      <c r="K108" s="8">
        <v>555989762.20000005</v>
      </c>
      <c r="L108" s="52">
        <f t="shared" ref="L108" si="8">J108+K108</f>
        <v>955989762.20000005</v>
      </c>
      <c r="M108" s="6" t="s">
        <v>1045</v>
      </c>
      <c r="N108" s="6" t="s">
        <v>1165</v>
      </c>
      <c r="O108" s="6" t="s">
        <v>1165</v>
      </c>
      <c r="P108" s="83">
        <v>45716</v>
      </c>
      <c r="Q108" s="83">
        <v>45737</v>
      </c>
      <c r="R108" s="107" t="s">
        <v>1166</v>
      </c>
      <c r="S108" s="6" t="s">
        <v>247</v>
      </c>
      <c r="T108" s="161">
        <v>152552065.56999999</v>
      </c>
      <c r="U108" s="3" t="s">
        <v>1048</v>
      </c>
      <c r="V108" s="83">
        <v>45680</v>
      </c>
      <c r="W108" s="83">
        <v>45681</v>
      </c>
      <c r="X108" s="83">
        <v>45685</v>
      </c>
      <c r="Y108" s="83">
        <v>45693</v>
      </c>
      <c r="Z108" s="83" t="s">
        <v>247</v>
      </c>
      <c r="AA108" s="147"/>
      <c r="AB108" s="3"/>
    </row>
    <row r="109" spans="1:28" x14ac:dyDescent="0.25">
      <c r="F109" s="3" t="s">
        <v>832</v>
      </c>
      <c r="G109" s="3" t="s">
        <v>1164</v>
      </c>
      <c r="H109" s="89">
        <v>45656</v>
      </c>
      <c r="I109" s="83" t="s">
        <v>1043</v>
      </c>
      <c r="J109" s="8">
        <v>0</v>
      </c>
      <c r="K109" s="8">
        <v>0</v>
      </c>
      <c r="L109" s="52">
        <f t="shared" ref="L109" si="9">J109+K109</f>
        <v>0</v>
      </c>
      <c r="M109" s="6" t="s">
        <v>1045</v>
      </c>
      <c r="N109" s="6" t="s">
        <v>1165</v>
      </c>
      <c r="O109" s="6" t="s">
        <v>1165</v>
      </c>
      <c r="P109" s="83">
        <v>45716</v>
      </c>
      <c r="Q109" s="83">
        <v>45737</v>
      </c>
      <c r="R109" s="107" t="s">
        <v>1167</v>
      </c>
      <c r="S109" s="6" t="s">
        <v>247</v>
      </c>
      <c r="T109" s="161">
        <v>244034928.05000001</v>
      </c>
      <c r="U109" s="3" t="s">
        <v>1048</v>
      </c>
      <c r="V109" s="83">
        <v>45684</v>
      </c>
      <c r="W109" s="83">
        <v>45685</v>
      </c>
      <c r="X109" s="83">
        <v>45687</v>
      </c>
      <c r="Y109" s="83">
        <v>45698</v>
      </c>
      <c r="Z109" s="83" t="s">
        <v>247</v>
      </c>
      <c r="AA109" s="147"/>
      <c r="AB109" s="3"/>
    </row>
    <row r="110" spans="1:28" x14ac:dyDescent="0.25">
      <c r="F110" s="3" t="s">
        <v>832</v>
      </c>
      <c r="G110" s="3" t="s">
        <v>1164</v>
      </c>
      <c r="H110" s="89">
        <v>45656</v>
      </c>
      <c r="I110" s="83" t="s">
        <v>1043</v>
      </c>
      <c r="J110" s="8">
        <v>0</v>
      </c>
      <c r="K110" s="8">
        <v>0</v>
      </c>
      <c r="L110" s="52">
        <f t="shared" ref="L110" si="10">J110+K110</f>
        <v>0</v>
      </c>
      <c r="M110" s="6" t="s">
        <v>1045</v>
      </c>
      <c r="N110" s="6" t="s">
        <v>1165</v>
      </c>
      <c r="O110" s="6" t="s">
        <v>1165</v>
      </c>
      <c r="P110" s="83">
        <v>45716</v>
      </c>
      <c r="Q110" s="83">
        <v>45737</v>
      </c>
      <c r="R110" s="107" t="s">
        <v>1168</v>
      </c>
      <c r="S110" s="6" t="s">
        <v>247</v>
      </c>
      <c r="T110" s="161">
        <v>165519404.69</v>
      </c>
      <c r="U110" s="3" t="s">
        <v>1048</v>
      </c>
      <c r="V110" s="83">
        <v>45687</v>
      </c>
      <c r="W110" s="83">
        <v>45688</v>
      </c>
      <c r="X110" s="83">
        <v>45689</v>
      </c>
      <c r="Y110" s="83">
        <v>45700</v>
      </c>
      <c r="Z110" s="83" t="s">
        <v>247</v>
      </c>
      <c r="AA110" s="147"/>
      <c r="AB110" s="3"/>
    </row>
    <row r="111" spans="1:28" x14ac:dyDescent="0.25">
      <c r="F111" s="3" t="s">
        <v>832</v>
      </c>
      <c r="G111" s="3" t="s">
        <v>1164</v>
      </c>
      <c r="H111" s="89">
        <v>45656</v>
      </c>
      <c r="I111" s="83" t="s">
        <v>1043</v>
      </c>
      <c r="J111" s="8">
        <v>0</v>
      </c>
      <c r="K111" s="8">
        <v>0</v>
      </c>
      <c r="L111" s="52">
        <f t="shared" ref="L111" si="11">J111+K111</f>
        <v>0</v>
      </c>
      <c r="M111" s="6" t="s">
        <v>1045</v>
      </c>
      <c r="N111" s="6" t="s">
        <v>1165</v>
      </c>
      <c r="O111" s="6" t="s">
        <v>1165</v>
      </c>
      <c r="P111" s="83">
        <v>45716</v>
      </c>
      <c r="Q111" s="83">
        <v>45737</v>
      </c>
      <c r="R111" s="107" t="s">
        <v>1169</v>
      </c>
      <c r="S111" s="6" t="s">
        <v>247</v>
      </c>
      <c r="T111" s="161">
        <v>213084351.33000001</v>
      </c>
      <c r="U111" s="3" t="s">
        <v>1162</v>
      </c>
      <c r="V111" s="83">
        <v>45692</v>
      </c>
      <c r="W111" s="83">
        <v>45693</v>
      </c>
      <c r="X111" s="83">
        <v>45695</v>
      </c>
      <c r="Y111" s="83" t="s">
        <v>247</v>
      </c>
      <c r="Z111" s="83" t="s">
        <v>247</v>
      </c>
      <c r="AA111" s="147"/>
      <c r="AB111" s="3"/>
    </row>
    <row r="112" spans="1:28" x14ac:dyDescent="0.25">
      <c r="F112" s="3" t="s">
        <v>832</v>
      </c>
      <c r="G112" s="3" t="s">
        <v>1164</v>
      </c>
      <c r="H112" s="89">
        <v>45656</v>
      </c>
      <c r="I112" s="83" t="s">
        <v>1043</v>
      </c>
      <c r="J112" s="8">
        <v>0</v>
      </c>
      <c r="K112" s="8">
        <v>0</v>
      </c>
      <c r="L112" s="52">
        <f t="shared" ref="L112" si="12">J112+K112</f>
        <v>0</v>
      </c>
      <c r="M112" s="6" t="s">
        <v>1045</v>
      </c>
      <c r="N112" s="6" t="s">
        <v>1165</v>
      </c>
      <c r="O112" s="6" t="s">
        <v>1165</v>
      </c>
      <c r="P112" s="83">
        <v>45716</v>
      </c>
      <c r="Q112" s="83">
        <v>45737</v>
      </c>
      <c r="R112" s="107" t="s">
        <v>1170</v>
      </c>
      <c r="S112" s="6" t="s">
        <v>247</v>
      </c>
      <c r="T112" s="161">
        <v>178865444.53</v>
      </c>
      <c r="U112" s="3" t="s">
        <v>1162</v>
      </c>
      <c r="V112" s="83">
        <v>45694</v>
      </c>
      <c r="W112" s="83">
        <v>45695</v>
      </c>
      <c r="X112" s="83">
        <v>45698</v>
      </c>
      <c r="Y112" s="83" t="s">
        <v>247</v>
      </c>
      <c r="Z112" s="83" t="s">
        <v>247</v>
      </c>
      <c r="AA112" s="147">
        <f>$L$108-SUM($T$108:$T$112)</f>
        <v>1933568.0300000906</v>
      </c>
      <c r="AB112" s="3"/>
    </row>
    <row r="113" spans="6:28" x14ac:dyDescent="0.25">
      <c r="F113" s="3" t="s">
        <v>832</v>
      </c>
      <c r="G113" s="3" t="s">
        <v>1171</v>
      </c>
      <c r="H113" s="89">
        <v>45678</v>
      </c>
      <c r="I113" s="83" t="s">
        <v>1043</v>
      </c>
      <c r="J113" s="8">
        <v>611789710.08000004</v>
      </c>
      <c r="K113" s="8">
        <v>41539391.870000005</v>
      </c>
      <c r="L113" s="52">
        <f>J113+K113</f>
        <v>653329101.95000005</v>
      </c>
      <c r="M113" s="6" t="s">
        <v>1059</v>
      </c>
      <c r="N113" s="6" t="s">
        <v>1060</v>
      </c>
      <c r="O113" s="6" t="s">
        <v>1060</v>
      </c>
      <c r="P113" s="83">
        <v>45726</v>
      </c>
      <c r="Q113" s="83">
        <v>45747</v>
      </c>
      <c r="R113" s="107" t="s">
        <v>1172</v>
      </c>
      <c r="S113" s="6" t="s">
        <v>247</v>
      </c>
      <c r="T113" s="161">
        <v>296826287.64711511</v>
      </c>
      <c r="U113" s="3" t="s">
        <v>1173</v>
      </c>
      <c r="V113" s="83">
        <v>45693</v>
      </c>
      <c r="W113" s="83">
        <v>45694</v>
      </c>
      <c r="X113" s="83"/>
      <c r="Y113" s="83"/>
      <c r="Z113" s="83" t="s">
        <v>247</v>
      </c>
      <c r="AA113" s="147"/>
      <c r="AB113" s="3"/>
    </row>
    <row r="114" spans="6:28" x14ac:dyDescent="0.25">
      <c r="F114" s="3" t="s">
        <v>832</v>
      </c>
      <c r="G114" s="3" t="s">
        <v>1171</v>
      </c>
      <c r="H114" s="89">
        <v>45678</v>
      </c>
      <c r="I114" s="83" t="s">
        <v>1043</v>
      </c>
      <c r="J114" s="8">
        <v>0</v>
      </c>
      <c r="K114" s="8">
        <v>0</v>
      </c>
      <c r="L114" s="52">
        <f>J114+K114</f>
        <v>0</v>
      </c>
      <c r="M114" s="6" t="s">
        <v>1059</v>
      </c>
      <c r="N114" s="6" t="s">
        <v>1060</v>
      </c>
      <c r="O114" s="6" t="s">
        <v>1060</v>
      </c>
      <c r="P114" s="83">
        <v>45726</v>
      </c>
      <c r="Q114" s="83">
        <v>45747</v>
      </c>
      <c r="R114" s="107" t="s">
        <v>1174</v>
      </c>
      <c r="S114" s="6" t="s">
        <v>247</v>
      </c>
      <c r="T114" s="161">
        <v>111432976.06</v>
      </c>
      <c r="U114" s="3" t="s">
        <v>1173</v>
      </c>
      <c r="V114" s="83">
        <v>45698</v>
      </c>
      <c r="W114" s="83">
        <v>45698</v>
      </c>
      <c r="X114" s="83"/>
      <c r="Y114" s="83"/>
      <c r="Z114" s="83" t="s">
        <v>247</v>
      </c>
      <c r="AA114" s="147">
        <f>$L$113-SUM($T$113:$T$114)</f>
        <v>245069838.24288493</v>
      </c>
      <c r="AB114" s="3"/>
    </row>
  </sheetData>
  <autoFilter ref="F4:AB113" xr:uid="{C406695F-CAC3-4D3A-A08B-D4AFB5F402B9}"/>
  <pageMargins left="0.70866141732283472" right="0.70866141732283472" top="0.74803149606299213" bottom="0.74803149606299213" header="0.31496062992125984" footer="0.31496062992125984"/>
  <pageSetup scale="33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57E8-6B97-4354-92A4-1FAEB08E76CF}">
  <dimension ref="A1:I22"/>
  <sheetViews>
    <sheetView workbookViewId="0">
      <pane xSplit="2" topLeftCell="C1" activePane="topRight" state="frozen"/>
      <selection pane="topRight"/>
    </sheetView>
  </sheetViews>
  <sheetFormatPr defaultRowHeight="15" x14ac:dyDescent="0.25"/>
  <cols>
    <col min="1" max="1" width="5.5703125" bestFit="1" customWidth="1"/>
    <col min="2" max="2" width="43.140625" bestFit="1" customWidth="1"/>
    <col min="3" max="4" width="19.85546875" bestFit="1" customWidth="1"/>
    <col min="5" max="5" width="29" bestFit="1" customWidth="1"/>
    <col min="6" max="9" width="29.85546875" bestFit="1" customWidth="1"/>
  </cols>
  <sheetData>
    <row r="1" spans="1:9" x14ac:dyDescent="0.25">
      <c r="A1" s="36" t="s">
        <v>635</v>
      </c>
      <c r="B1" s="112" t="s">
        <v>1175</v>
      </c>
      <c r="C1" s="290" t="s">
        <v>2</v>
      </c>
      <c r="D1" s="290" t="s">
        <v>2</v>
      </c>
      <c r="E1" s="290" t="s">
        <v>1</v>
      </c>
      <c r="F1" s="290" t="s">
        <v>1</v>
      </c>
      <c r="G1" s="290" t="s">
        <v>1</v>
      </c>
      <c r="H1" s="290" t="s">
        <v>1</v>
      </c>
      <c r="I1" s="290" t="s">
        <v>1</v>
      </c>
    </row>
    <row r="2" spans="1:9" x14ac:dyDescent="0.25">
      <c r="A2" s="115">
        <v>1</v>
      </c>
      <c r="B2" s="116" t="s">
        <v>1176</v>
      </c>
      <c r="C2" s="117">
        <v>46094</v>
      </c>
      <c r="D2" s="117">
        <v>46094</v>
      </c>
      <c r="E2" s="117">
        <v>46093</v>
      </c>
      <c r="F2" s="117">
        <v>46093</v>
      </c>
      <c r="G2" s="117">
        <v>46111</v>
      </c>
      <c r="H2" s="117">
        <v>46111</v>
      </c>
      <c r="I2" s="117">
        <v>46111</v>
      </c>
    </row>
    <row r="3" spans="1:9" x14ac:dyDescent="0.25">
      <c r="A3" s="115">
        <v>2</v>
      </c>
      <c r="B3" s="116" t="s">
        <v>1177</v>
      </c>
      <c r="C3" s="118" t="s">
        <v>1178</v>
      </c>
      <c r="D3" s="118" t="s">
        <v>1179</v>
      </c>
      <c r="E3" s="118" t="s">
        <v>1180</v>
      </c>
      <c r="F3" s="118" t="s">
        <v>1181</v>
      </c>
      <c r="G3" s="118" t="s">
        <v>1182</v>
      </c>
      <c r="H3" s="118" t="s">
        <v>1183</v>
      </c>
      <c r="I3" s="118" t="s">
        <v>1184</v>
      </c>
    </row>
    <row r="4" spans="1:9" x14ac:dyDescent="0.25">
      <c r="A4" s="115">
        <v>3</v>
      </c>
      <c r="B4" s="116" t="s">
        <v>1185</v>
      </c>
      <c r="C4" s="119" t="s">
        <v>1186</v>
      </c>
      <c r="D4" s="119" t="s">
        <v>1186</v>
      </c>
      <c r="E4" s="119" t="s">
        <v>1186</v>
      </c>
      <c r="F4" s="119" t="s">
        <v>1186</v>
      </c>
      <c r="G4" s="119" t="s">
        <v>1186</v>
      </c>
      <c r="H4" s="119" t="s">
        <v>1186</v>
      </c>
      <c r="I4" s="119" t="s">
        <v>1186</v>
      </c>
    </row>
    <row r="5" spans="1:9" x14ac:dyDescent="0.25">
      <c r="A5" s="115">
        <v>4</v>
      </c>
      <c r="B5" s="116" t="s">
        <v>606</v>
      </c>
      <c r="C5" s="18" t="s">
        <v>797</v>
      </c>
      <c r="D5" s="18" t="s">
        <v>797</v>
      </c>
      <c r="E5" s="119" t="s">
        <v>1187</v>
      </c>
      <c r="F5" s="119" t="s">
        <v>1187</v>
      </c>
      <c r="G5" s="119" t="s">
        <v>1188</v>
      </c>
      <c r="H5" s="119" t="s">
        <v>1188</v>
      </c>
      <c r="I5" s="119" t="s">
        <v>1188</v>
      </c>
    </row>
    <row r="6" spans="1:9" x14ac:dyDescent="0.25">
      <c r="A6" s="115">
        <v>5</v>
      </c>
      <c r="B6" s="116" t="s">
        <v>1189</v>
      </c>
      <c r="C6" s="120">
        <v>70250120</v>
      </c>
      <c r="D6" s="120">
        <v>87561900</v>
      </c>
      <c r="E6" s="120">
        <v>910000000</v>
      </c>
      <c r="F6" s="120">
        <v>904400000</v>
      </c>
      <c r="G6" s="120">
        <v>358647023</v>
      </c>
      <c r="H6" s="120">
        <v>51239569</v>
      </c>
      <c r="I6" s="120">
        <v>307409604</v>
      </c>
    </row>
    <row r="7" spans="1:9" x14ac:dyDescent="0.25">
      <c r="A7" s="115">
        <v>6</v>
      </c>
      <c r="B7" s="116" t="s">
        <v>1190</v>
      </c>
      <c r="C7" s="119">
        <v>1</v>
      </c>
      <c r="D7" s="119">
        <v>1</v>
      </c>
      <c r="E7" s="119">
        <v>1</v>
      </c>
      <c r="F7" s="119">
        <v>1</v>
      </c>
      <c r="G7" s="119">
        <v>1</v>
      </c>
      <c r="H7" s="119">
        <v>1</v>
      </c>
      <c r="I7" s="119">
        <v>1</v>
      </c>
    </row>
    <row r="8" spans="1:9" x14ac:dyDescent="0.25">
      <c r="A8" s="115">
        <v>7</v>
      </c>
      <c r="B8" s="116" t="s">
        <v>1191</v>
      </c>
      <c r="C8" s="121">
        <v>46076</v>
      </c>
      <c r="D8" s="121">
        <v>46090</v>
      </c>
      <c r="E8" s="121">
        <v>46093</v>
      </c>
      <c r="F8" s="121">
        <v>46093</v>
      </c>
      <c r="G8" s="121">
        <v>46111</v>
      </c>
      <c r="H8" s="121">
        <v>46111</v>
      </c>
      <c r="I8" s="121">
        <v>46111</v>
      </c>
    </row>
    <row r="9" spans="1:9" x14ac:dyDescent="0.25">
      <c r="A9" s="115">
        <v>8</v>
      </c>
      <c r="B9" s="116" t="s">
        <v>1192</v>
      </c>
      <c r="C9" s="121">
        <v>46173</v>
      </c>
      <c r="D9" s="121">
        <v>46180</v>
      </c>
      <c r="E9" s="121">
        <v>46265</v>
      </c>
      <c r="F9" s="121">
        <v>46265</v>
      </c>
      <c r="G9" s="121">
        <v>46248</v>
      </c>
      <c r="H9" s="121">
        <v>46248</v>
      </c>
      <c r="I9" s="121">
        <v>46248</v>
      </c>
    </row>
    <row r="10" spans="1:9" x14ac:dyDescent="0.25">
      <c r="A10" s="115">
        <v>9</v>
      </c>
      <c r="B10" s="116" t="s">
        <v>1193</v>
      </c>
      <c r="C10" s="119" t="s">
        <v>1194</v>
      </c>
      <c r="D10" s="119" t="s">
        <v>1194</v>
      </c>
      <c r="E10" s="119" t="s">
        <v>1194</v>
      </c>
      <c r="F10" s="119" t="s">
        <v>1194</v>
      </c>
      <c r="G10" s="119" t="s">
        <v>1194</v>
      </c>
      <c r="H10" s="119" t="s">
        <v>1195</v>
      </c>
      <c r="I10" s="119" t="s">
        <v>1195</v>
      </c>
    </row>
    <row r="11" spans="1:9" x14ac:dyDescent="0.25">
      <c r="A11" s="115">
        <v>10</v>
      </c>
      <c r="B11" s="116" t="s">
        <v>1196</v>
      </c>
      <c r="C11" s="122">
        <v>1.0500000000000001E-2</v>
      </c>
      <c r="D11" s="122">
        <v>1.0500000000000001E-2</v>
      </c>
      <c r="E11" s="122">
        <v>1.0500000000000001E-2</v>
      </c>
      <c r="F11" s="122">
        <v>1.0500000000000001E-2</v>
      </c>
      <c r="G11" s="122">
        <v>1.0500000000000001E-2</v>
      </c>
      <c r="H11" s="122">
        <v>1.26E-2</v>
      </c>
      <c r="I11" s="122">
        <v>1.0500000000000001E-2</v>
      </c>
    </row>
    <row r="12" spans="1:9" x14ac:dyDescent="0.25">
      <c r="A12" s="115">
        <v>11</v>
      </c>
      <c r="B12" s="116" t="s">
        <v>1197</v>
      </c>
      <c r="C12" s="119">
        <v>4</v>
      </c>
      <c r="D12" s="119">
        <v>3</v>
      </c>
      <c r="E12" s="119">
        <v>3.6</v>
      </c>
      <c r="F12" s="119">
        <v>3.6</v>
      </c>
      <c r="G12" s="119">
        <v>5</v>
      </c>
      <c r="H12" s="119">
        <v>5</v>
      </c>
      <c r="I12" s="119">
        <v>5</v>
      </c>
    </row>
    <row r="13" spans="1:9" x14ac:dyDescent="0.25">
      <c r="A13" s="115">
        <v>12</v>
      </c>
      <c r="B13" s="116" t="s">
        <v>1198</v>
      </c>
      <c r="C13" s="429">
        <f t="shared" ref="C13:I13" si="0">C6*C7*C11*C12/12</f>
        <v>245875.42</v>
      </c>
      <c r="D13" s="429">
        <f t="shared" si="0"/>
        <v>229849.98750000002</v>
      </c>
      <c r="E13" s="429">
        <f t="shared" si="0"/>
        <v>2866500</v>
      </c>
      <c r="F13" s="429">
        <f t="shared" si="0"/>
        <v>2848860</v>
      </c>
      <c r="G13" s="429">
        <f t="shared" si="0"/>
        <v>1569080.725625</v>
      </c>
      <c r="H13" s="429">
        <f t="shared" si="0"/>
        <v>269007.73725000001</v>
      </c>
      <c r="I13" s="429">
        <f t="shared" si="0"/>
        <v>1344917.0175000001</v>
      </c>
    </row>
    <row r="14" spans="1:9" x14ac:dyDescent="0.25">
      <c r="A14" s="115">
        <v>13</v>
      </c>
      <c r="B14" s="116" t="s">
        <v>1199</v>
      </c>
      <c r="C14" s="430">
        <f t="shared" ref="C14" si="1">C13/C12</f>
        <v>61468.855000000003</v>
      </c>
      <c r="D14" s="430">
        <f>D13/D12</f>
        <v>76616.662500000006</v>
      </c>
      <c r="E14" s="430">
        <f t="shared" ref="E14" si="2">E13/E12</f>
        <v>796250</v>
      </c>
      <c r="F14" s="430">
        <f t="shared" ref="F14:G14" si="3">F13/F12</f>
        <v>791350</v>
      </c>
      <c r="G14" s="430">
        <f t="shared" si="3"/>
        <v>313816.14512499998</v>
      </c>
      <c r="H14" s="430">
        <f t="shared" ref="H14:I14" si="4">H13/H12</f>
        <v>53801.547449999998</v>
      </c>
      <c r="I14" s="430">
        <f t="shared" si="4"/>
        <v>268983.40350000001</v>
      </c>
    </row>
    <row r="15" spans="1:9" x14ac:dyDescent="0.25">
      <c r="A15" s="115">
        <v>14</v>
      </c>
      <c r="B15" s="116" t="s">
        <v>1200</v>
      </c>
      <c r="C15" s="119">
        <v>0.18</v>
      </c>
      <c r="D15" s="119">
        <v>0.18</v>
      </c>
      <c r="E15" s="119">
        <v>0.18</v>
      </c>
      <c r="F15" s="119">
        <v>0.18</v>
      </c>
      <c r="G15" s="119">
        <v>0.18</v>
      </c>
      <c r="H15" s="119">
        <v>0.18</v>
      </c>
      <c r="I15" s="119">
        <v>0.18</v>
      </c>
    </row>
    <row r="16" spans="1:9" x14ac:dyDescent="0.25">
      <c r="A16" s="115">
        <v>15</v>
      </c>
      <c r="B16" s="116" t="s">
        <v>1201</v>
      </c>
      <c r="C16" s="431">
        <f t="shared" ref="C16" si="5">C15*C13</f>
        <v>44257.575600000004</v>
      </c>
      <c r="D16" s="431">
        <f>D15*D13</f>
        <v>41372.997750000002</v>
      </c>
      <c r="E16" s="431">
        <f t="shared" ref="E16" si="6">E15*E13</f>
        <v>515970</v>
      </c>
      <c r="F16" s="431">
        <f t="shared" ref="F16:G16" si="7">F15*F13</f>
        <v>512794.8</v>
      </c>
      <c r="G16" s="431">
        <f t="shared" si="7"/>
        <v>282434.53061249998</v>
      </c>
      <c r="H16" s="431">
        <f t="shared" ref="H16:I16" si="8">H15*H13</f>
        <v>48421.392704999998</v>
      </c>
      <c r="I16" s="431">
        <f t="shared" si="8"/>
        <v>242085.06315</v>
      </c>
    </row>
    <row r="17" spans="1:9" x14ac:dyDescent="0.25">
      <c r="A17" s="115">
        <v>16</v>
      </c>
      <c r="B17" s="116" t="s">
        <v>1202</v>
      </c>
      <c r="C17" s="119">
        <v>472</v>
      </c>
      <c r="D17" s="119">
        <v>472</v>
      </c>
      <c r="E17" s="119">
        <v>295</v>
      </c>
      <c r="F17" s="119">
        <v>295</v>
      </c>
      <c r="G17" s="119">
        <v>295</v>
      </c>
      <c r="H17" s="119">
        <v>295</v>
      </c>
      <c r="I17" s="119">
        <v>295</v>
      </c>
    </row>
    <row r="18" spans="1:9" x14ac:dyDescent="0.25">
      <c r="A18" s="115">
        <v>17</v>
      </c>
      <c r="B18" s="116" t="s">
        <v>1203</v>
      </c>
      <c r="C18" s="119"/>
      <c r="D18" s="119"/>
      <c r="E18" s="119"/>
      <c r="F18" s="119"/>
      <c r="G18" s="119"/>
      <c r="H18" s="119"/>
      <c r="I18" s="119"/>
    </row>
    <row r="19" spans="1:9" x14ac:dyDescent="0.25">
      <c r="A19" s="115">
        <v>18</v>
      </c>
      <c r="B19" s="116" t="s">
        <v>1204</v>
      </c>
      <c r="C19" s="119">
        <v>590</v>
      </c>
      <c r="D19" s="119">
        <v>590</v>
      </c>
      <c r="E19" s="119"/>
      <c r="F19" s="119"/>
      <c r="G19" s="119">
        <v>590</v>
      </c>
      <c r="H19" s="119">
        <v>590</v>
      </c>
      <c r="I19" s="119">
        <v>590</v>
      </c>
    </row>
    <row r="20" spans="1:9" x14ac:dyDescent="0.25">
      <c r="A20" s="115">
        <v>19</v>
      </c>
      <c r="B20" s="116" t="s">
        <v>1205</v>
      </c>
      <c r="C20" s="431">
        <f>C13+C16+C17+C18+C19</f>
        <v>291194.99560000002</v>
      </c>
      <c r="D20" s="431">
        <f>D13+D16+D17+D18+D19</f>
        <v>272284.98525000003</v>
      </c>
      <c r="E20" s="431">
        <f t="shared" ref="E20:F20" si="9">E13+E16+E17+E18+E19</f>
        <v>3382765</v>
      </c>
      <c r="F20" s="431">
        <f t="shared" si="9"/>
        <v>3361949.8</v>
      </c>
      <c r="G20" s="431">
        <f>G13+G16+G17+G18+G19-1179.68</f>
        <v>1851220.5762374999</v>
      </c>
      <c r="H20" s="431">
        <f>H13+H16+H17+H18+H19-1179.69</f>
        <v>317134.43995500001</v>
      </c>
      <c r="I20" s="431">
        <f>I13+I16+I17+I18+I19-1180.02</f>
        <v>1586707.0606500001</v>
      </c>
    </row>
    <row r="21" spans="1:9" x14ac:dyDescent="0.25">
      <c r="C21" s="3"/>
      <c r="D21" s="3"/>
      <c r="E21" s="646" t="s">
        <v>1206</v>
      </c>
      <c r="F21" s="646" t="s">
        <v>1207</v>
      </c>
      <c r="G21" s="646" t="s">
        <v>1208</v>
      </c>
      <c r="H21" s="646"/>
      <c r="I21" s="646" t="s">
        <v>1208</v>
      </c>
    </row>
    <row r="22" spans="1:9" x14ac:dyDescent="0.25">
      <c r="H22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09696-D124-478F-8487-2A7DB7B93954}">
  <dimension ref="A1:L42"/>
  <sheetViews>
    <sheetView workbookViewId="0"/>
  </sheetViews>
  <sheetFormatPr defaultRowHeight="15" x14ac:dyDescent="0.25"/>
  <cols>
    <col min="2" max="2" width="44.85546875" bestFit="1" customWidth="1"/>
    <col min="3" max="5" width="20.28515625" bestFit="1" customWidth="1"/>
    <col min="7" max="12" width="20.28515625" bestFit="1" customWidth="1"/>
  </cols>
  <sheetData>
    <row r="1" spans="1:12" x14ac:dyDescent="0.25">
      <c r="C1" t="s">
        <v>1209</v>
      </c>
      <c r="D1" t="s">
        <v>1209</v>
      </c>
      <c r="E1" t="s">
        <v>1209</v>
      </c>
      <c r="G1" t="s">
        <v>1209</v>
      </c>
      <c r="H1" t="s">
        <v>1209</v>
      </c>
      <c r="I1" t="s">
        <v>1209</v>
      </c>
      <c r="J1" t="s">
        <v>1209</v>
      </c>
      <c r="K1" t="s">
        <v>1209</v>
      </c>
      <c r="L1" t="s">
        <v>1209</v>
      </c>
    </row>
    <row r="2" spans="1:12" x14ac:dyDescent="0.25">
      <c r="A2" s="9" t="s">
        <v>1210</v>
      </c>
      <c r="B2" s="110" t="s">
        <v>23</v>
      </c>
      <c r="C2" s="9" t="s">
        <v>23</v>
      </c>
      <c r="D2" s="9" t="s">
        <v>23</v>
      </c>
      <c r="E2" s="9" t="s">
        <v>23</v>
      </c>
      <c r="G2" s="9" t="s">
        <v>23</v>
      </c>
      <c r="H2" s="9" t="s">
        <v>23</v>
      </c>
      <c r="I2" s="9" t="s">
        <v>23</v>
      </c>
      <c r="J2" s="9" t="s">
        <v>23</v>
      </c>
      <c r="K2" s="9" t="s">
        <v>23</v>
      </c>
      <c r="L2" s="9" t="s">
        <v>23</v>
      </c>
    </row>
    <row r="3" spans="1:12" x14ac:dyDescent="0.25">
      <c r="A3" s="6">
        <v>1</v>
      </c>
      <c r="B3" s="3" t="s">
        <v>1211</v>
      </c>
      <c r="C3" s="123" t="s">
        <v>1212</v>
      </c>
      <c r="D3" s="123" t="s">
        <v>1212</v>
      </c>
      <c r="E3" s="123" t="s">
        <v>1212</v>
      </c>
      <c r="G3" s="123" t="s">
        <v>1212</v>
      </c>
      <c r="H3" s="123" t="s">
        <v>1212</v>
      </c>
      <c r="I3" s="123" t="s">
        <v>1212</v>
      </c>
      <c r="J3" s="123" t="s">
        <v>1212</v>
      </c>
      <c r="K3" s="123" t="s">
        <v>1212</v>
      </c>
      <c r="L3" s="123" t="s">
        <v>1212</v>
      </c>
    </row>
    <row r="4" spans="1:12" x14ac:dyDescent="0.25">
      <c r="A4" s="428">
        <f>A3+1</f>
        <v>2</v>
      </c>
      <c r="B4" s="3" t="s">
        <v>1021</v>
      </c>
      <c r="C4" s="123">
        <v>46111</v>
      </c>
      <c r="D4" s="123">
        <v>46111</v>
      </c>
      <c r="E4" s="123">
        <v>46111</v>
      </c>
      <c r="G4" s="123">
        <v>46143</v>
      </c>
      <c r="H4" s="123">
        <v>46143</v>
      </c>
      <c r="I4" s="123">
        <v>46144</v>
      </c>
      <c r="J4" s="123">
        <v>46153</v>
      </c>
      <c r="K4" s="123">
        <v>46157</v>
      </c>
      <c r="L4" s="123">
        <v>46172</v>
      </c>
    </row>
    <row r="5" spans="1:12" x14ac:dyDescent="0.25">
      <c r="A5" s="428">
        <f>A4+1</f>
        <v>3</v>
      </c>
      <c r="B5" s="3" t="s">
        <v>1213</v>
      </c>
      <c r="C5" s="124" t="s">
        <v>397</v>
      </c>
      <c r="D5" s="124" t="s">
        <v>405</v>
      </c>
      <c r="E5" s="124" t="s">
        <v>407</v>
      </c>
      <c r="G5" s="124" t="s">
        <v>451</v>
      </c>
      <c r="H5" s="124" t="s">
        <v>453</v>
      </c>
      <c r="I5" s="124" t="s">
        <v>456</v>
      </c>
      <c r="J5" s="124" t="s">
        <v>459</v>
      </c>
      <c r="K5" s="124" t="s">
        <v>462</v>
      </c>
      <c r="L5" s="124" t="s">
        <v>1338</v>
      </c>
    </row>
    <row r="6" spans="1:12" ht="25.5" x14ac:dyDescent="0.25">
      <c r="A6" s="428">
        <f t="shared" ref="A6:A24" si="0">A5+1</f>
        <v>4</v>
      </c>
      <c r="B6" s="3" t="s">
        <v>103</v>
      </c>
      <c r="C6" s="125" t="s">
        <v>245</v>
      </c>
      <c r="D6" s="125" t="s">
        <v>245</v>
      </c>
      <c r="E6" s="125" t="s">
        <v>245</v>
      </c>
      <c r="G6" s="125" t="s">
        <v>245</v>
      </c>
      <c r="H6" s="125" t="s">
        <v>245</v>
      </c>
      <c r="I6" s="125" t="s">
        <v>245</v>
      </c>
      <c r="J6" s="125" t="s">
        <v>1214</v>
      </c>
      <c r="K6" s="125" t="s">
        <v>463</v>
      </c>
      <c r="L6" s="125" t="s">
        <v>1340</v>
      </c>
    </row>
    <row r="7" spans="1:12" x14ac:dyDescent="0.25">
      <c r="A7" s="428">
        <f t="shared" si="0"/>
        <v>5</v>
      </c>
      <c r="B7" s="3" t="s">
        <v>1215</v>
      </c>
      <c r="C7" s="213">
        <v>1285464.25</v>
      </c>
      <c r="D7" s="213">
        <v>671924.77</v>
      </c>
      <c r="E7" s="213">
        <v>86000</v>
      </c>
      <c r="G7" s="213">
        <v>1358963.51</v>
      </c>
      <c r="H7" s="213">
        <v>2716038.86</v>
      </c>
      <c r="I7" s="213">
        <v>3123679.2</v>
      </c>
      <c r="J7" s="218">
        <v>66084</v>
      </c>
      <c r="K7" s="218">
        <v>559435</v>
      </c>
      <c r="L7" s="218">
        <v>559718.25</v>
      </c>
    </row>
    <row r="8" spans="1:12" x14ac:dyDescent="0.25">
      <c r="A8" s="428">
        <f t="shared" si="0"/>
        <v>6</v>
      </c>
      <c r="B8" s="3" t="s">
        <v>1216</v>
      </c>
      <c r="C8" s="127" t="s">
        <v>139</v>
      </c>
      <c r="D8" s="127" t="s">
        <v>139</v>
      </c>
      <c r="E8" s="127" t="s">
        <v>139</v>
      </c>
      <c r="G8" s="127" t="s">
        <v>139</v>
      </c>
      <c r="H8" s="127" t="s">
        <v>139</v>
      </c>
      <c r="I8" s="127" t="s">
        <v>139</v>
      </c>
      <c r="J8" s="127" t="s">
        <v>139</v>
      </c>
      <c r="K8" s="127" t="s">
        <v>139</v>
      </c>
      <c r="L8" s="127" t="s">
        <v>139</v>
      </c>
    </row>
    <row r="9" spans="1:12" x14ac:dyDescent="0.25">
      <c r="A9" s="428">
        <f t="shared" si="0"/>
        <v>7</v>
      </c>
      <c r="B9" s="3" t="s">
        <v>996</v>
      </c>
      <c r="C9" s="128">
        <v>95.67</v>
      </c>
      <c r="D9" s="128">
        <v>95.42</v>
      </c>
      <c r="E9" s="128">
        <v>95.42</v>
      </c>
      <c r="G9" s="128">
        <v>96.12</v>
      </c>
      <c r="H9" s="128">
        <v>96.12</v>
      </c>
      <c r="I9" s="128">
        <v>96.12</v>
      </c>
      <c r="J9" s="128">
        <v>96.12</v>
      </c>
      <c r="K9" s="128">
        <v>96.12</v>
      </c>
      <c r="L9" s="128">
        <v>95.92</v>
      </c>
    </row>
    <row r="10" spans="1:12" x14ac:dyDescent="0.25">
      <c r="A10" s="428">
        <f t="shared" si="0"/>
        <v>8</v>
      </c>
      <c r="B10" s="3" t="s">
        <v>1217</v>
      </c>
      <c r="C10" s="420">
        <f>C7*C9</f>
        <v>122980364.7975</v>
      </c>
      <c r="D10" s="420">
        <f>D7*D9</f>
        <v>64115061.553400002</v>
      </c>
      <c r="E10" s="420">
        <f>E7*E9</f>
        <v>8206120</v>
      </c>
      <c r="G10" s="420">
        <f t="shared" ref="G10:L10" si="1">G7*G9</f>
        <v>130623572.5812</v>
      </c>
      <c r="H10" s="420">
        <f t="shared" si="1"/>
        <v>261065655.22319999</v>
      </c>
      <c r="I10" s="420">
        <f t="shared" si="1"/>
        <v>300248044.70400006</v>
      </c>
      <c r="J10" s="420">
        <f t="shared" si="1"/>
        <v>6351994.0800000001</v>
      </c>
      <c r="K10" s="420">
        <f t="shared" si="1"/>
        <v>53772892.200000003</v>
      </c>
      <c r="L10" s="420">
        <f t="shared" si="1"/>
        <v>53688174.539999999</v>
      </c>
    </row>
    <row r="11" spans="1:12" x14ac:dyDescent="0.25">
      <c r="A11" s="428">
        <f t="shared" si="0"/>
        <v>9</v>
      </c>
      <c r="B11" s="3" t="s">
        <v>1218</v>
      </c>
      <c r="C11" s="130">
        <v>0</v>
      </c>
      <c r="D11" s="130">
        <v>0</v>
      </c>
      <c r="E11" s="130">
        <v>0</v>
      </c>
      <c r="G11" s="130">
        <v>0</v>
      </c>
      <c r="H11" s="130">
        <v>0</v>
      </c>
      <c r="I11" s="130">
        <v>0</v>
      </c>
      <c r="J11" s="130">
        <v>0</v>
      </c>
      <c r="K11" s="130">
        <v>0</v>
      </c>
      <c r="L11" s="130">
        <v>0</v>
      </c>
    </row>
    <row r="12" spans="1:12" x14ac:dyDescent="0.25">
      <c r="A12" s="428">
        <f t="shared" si="0"/>
        <v>10</v>
      </c>
      <c r="B12" s="3" t="s">
        <v>1219</v>
      </c>
      <c r="C12" s="420">
        <f t="shared" ref="C12:D12" si="2">C10+(C10*C11)</f>
        <v>122980364.7975</v>
      </c>
      <c r="D12" s="420">
        <f t="shared" si="2"/>
        <v>64115061.553400002</v>
      </c>
      <c r="E12" s="420">
        <f t="shared" ref="E12:G12" si="3">E10+(E10*E11)</f>
        <v>8206120</v>
      </c>
      <c r="G12" s="420">
        <f t="shared" si="3"/>
        <v>130623572.5812</v>
      </c>
      <c r="H12" s="420">
        <f t="shared" ref="H12:I12" si="4">H10+(H10*H11)</f>
        <v>261065655.22319999</v>
      </c>
      <c r="I12" s="420">
        <f t="shared" si="4"/>
        <v>300248044.70400006</v>
      </c>
      <c r="J12" s="420">
        <f t="shared" ref="J12:K12" si="5">J10+(J10*J11)</f>
        <v>6351994.0800000001</v>
      </c>
      <c r="K12" s="420">
        <f t="shared" si="5"/>
        <v>53772892.200000003</v>
      </c>
      <c r="L12" s="420">
        <f t="shared" ref="L12" si="6">L10+(L10*L11)</f>
        <v>53688174.539999999</v>
      </c>
    </row>
    <row r="13" spans="1:12" x14ac:dyDescent="0.25">
      <c r="A13" s="428">
        <f t="shared" si="0"/>
        <v>11</v>
      </c>
      <c r="B13" s="3" t="s">
        <v>1220</v>
      </c>
      <c r="C13" s="131">
        <v>46111</v>
      </c>
      <c r="D13" s="131">
        <v>46111</v>
      </c>
      <c r="E13" s="131">
        <v>46111</v>
      </c>
      <c r="G13" s="131">
        <v>46143</v>
      </c>
      <c r="H13" s="131">
        <v>46143</v>
      </c>
      <c r="I13" s="131">
        <v>46143</v>
      </c>
      <c r="J13" s="131">
        <v>46153</v>
      </c>
      <c r="K13" s="131">
        <v>46157</v>
      </c>
      <c r="L13" s="131">
        <v>46172</v>
      </c>
    </row>
    <row r="14" spans="1:12" x14ac:dyDescent="0.25">
      <c r="A14" s="428">
        <f t="shared" si="0"/>
        <v>12</v>
      </c>
      <c r="B14" s="3" t="s">
        <v>1221</v>
      </c>
      <c r="C14" s="131">
        <v>46133</v>
      </c>
      <c r="D14" s="131">
        <v>46133</v>
      </c>
      <c r="E14" s="131">
        <v>46133</v>
      </c>
      <c r="G14" s="131">
        <v>46168</v>
      </c>
      <c r="H14" s="131">
        <v>46168</v>
      </c>
      <c r="I14" s="131">
        <v>46168</v>
      </c>
      <c r="J14" s="131">
        <v>46204</v>
      </c>
      <c r="K14" s="131">
        <v>46209</v>
      </c>
      <c r="L14" s="131">
        <v>46224</v>
      </c>
    </row>
    <row r="15" spans="1:12" x14ac:dyDescent="0.25">
      <c r="A15" s="428">
        <f t="shared" si="0"/>
        <v>13</v>
      </c>
      <c r="B15" s="3" t="s">
        <v>1222</v>
      </c>
      <c r="C15" s="130">
        <v>0.1</v>
      </c>
      <c r="D15" s="130">
        <v>0.1</v>
      </c>
      <c r="E15" s="130">
        <v>0.1</v>
      </c>
      <c r="G15" s="130">
        <v>0.1</v>
      </c>
      <c r="H15" s="130">
        <v>0.1</v>
      </c>
      <c r="I15" s="130">
        <v>0.1</v>
      </c>
      <c r="J15" s="130">
        <v>0.1</v>
      </c>
      <c r="K15" s="130">
        <v>0.1</v>
      </c>
      <c r="L15" s="130">
        <v>0.1</v>
      </c>
    </row>
    <row r="16" spans="1:12" x14ac:dyDescent="0.25">
      <c r="A16" s="428">
        <f t="shared" si="0"/>
        <v>14</v>
      </c>
      <c r="B16" s="3" t="s">
        <v>1223</v>
      </c>
      <c r="C16" s="421">
        <f t="shared" ref="C16:D16" si="7">C12*C15</f>
        <v>12298036.47975</v>
      </c>
      <c r="D16" s="421">
        <f t="shared" si="7"/>
        <v>6411506.155340001</v>
      </c>
      <c r="E16" s="421">
        <f t="shared" ref="E16:G16" si="8">E12*E15</f>
        <v>820612</v>
      </c>
      <c r="G16" s="421">
        <f t="shared" si="8"/>
        <v>13062357.25812</v>
      </c>
      <c r="H16" s="421">
        <f t="shared" ref="H16:I16" si="9">H12*H15</f>
        <v>26106565.522320002</v>
      </c>
      <c r="I16" s="421">
        <f t="shared" si="9"/>
        <v>30024804.470400006</v>
      </c>
      <c r="J16" s="421">
        <f t="shared" ref="J16:K16" si="10">J12*J15</f>
        <v>635199.40800000005</v>
      </c>
      <c r="K16" s="421">
        <f t="shared" si="10"/>
        <v>5377289.2200000007</v>
      </c>
      <c r="L16" s="421">
        <f t="shared" ref="L16" si="11">L12*L15</f>
        <v>5368817.4539999999</v>
      </c>
    </row>
    <row r="17" spans="1:12" ht="45" x14ac:dyDescent="0.25">
      <c r="A17" s="428">
        <f>A16+1</f>
        <v>15</v>
      </c>
      <c r="B17" s="10" t="s">
        <v>1224</v>
      </c>
      <c r="C17" s="132">
        <v>4.0000000000000002E-4</v>
      </c>
      <c r="D17" s="132">
        <v>4.0000000000000002E-4</v>
      </c>
      <c r="E17" s="132">
        <v>4.0000000000000002E-4</v>
      </c>
      <c r="G17" s="132">
        <v>4.0000000000000002E-4</v>
      </c>
      <c r="H17" s="132">
        <v>4.0000000000000002E-4</v>
      </c>
      <c r="I17" s="132">
        <v>4.0000000000000002E-4</v>
      </c>
      <c r="J17" s="132">
        <v>4.0000000000000002E-4</v>
      </c>
      <c r="K17" s="132">
        <v>4.0000000000000002E-4</v>
      </c>
      <c r="L17" s="132">
        <v>4.0000000000000002E-4</v>
      </c>
    </row>
    <row r="18" spans="1:12" x14ac:dyDescent="0.25">
      <c r="A18" s="428">
        <f t="shared" si="0"/>
        <v>16</v>
      </c>
      <c r="B18" s="3" t="s">
        <v>1225</v>
      </c>
      <c r="C18" s="133">
        <v>1</v>
      </c>
      <c r="D18" s="133">
        <v>1</v>
      </c>
      <c r="E18" s="133">
        <v>1</v>
      </c>
      <c r="G18" s="133">
        <v>1</v>
      </c>
      <c r="H18" s="133">
        <v>1</v>
      </c>
      <c r="I18" s="133">
        <v>1</v>
      </c>
      <c r="J18" s="133">
        <v>2</v>
      </c>
      <c r="K18" s="133">
        <v>2</v>
      </c>
      <c r="L18" s="133">
        <v>2</v>
      </c>
    </row>
    <row r="19" spans="1:12" ht="45" x14ac:dyDescent="0.25">
      <c r="A19" s="428">
        <f t="shared" si="0"/>
        <v>17</v>
      </c>
      <c r="B19" s="10" t="s">
        <v>1226</v>
      </c>
      <c r="C19" s="423">
        <f t="shared" ref="C19:D19" si="12">IF((C$12*C17*C18)&lt;2000,2000,(C$12*C17*C18))</f>
        <v>49192.145919000002</v>
      </c>
      <c r="D19" s="423">
        <f t="shared" si="12"/>
        <v>25646.024621360004</v>
      </c>
      <c r="E19" s="423">
        <f t="shared" ref="E19:G19" si="13">IF((E$12*E17*E18)&lt;2000,2000,(E$12*E17*E18))</f>
        <v>3282.4480000000003</v>
      </c>
      <c r="G19" s="423">
        <f t="shared" si="13"/>
        <v>52249.429032480002</v>
      </c>
      <c r="H19" s="423">
        <f t="shared" ref="H19:I19" si="14">IF((H$12*H17*H18)&lt;2000,2000,(H$12*H17*H18))</f>
        <v>104426.26208928</v>
      </c>
      <c r="I19" s="423">
        <f t="shared" si="14"/>
        <v>120099.21788160002</v>
      </c>
      <c r="J19" s="423">
        <f t="shared" ref="J19:K19" si="15">IF((J$12*J17*J18)&lt;2000,2000,(J$12*J17*J18))</f>
        <v>5081.5952640000005</v>
      </c>
      <c r="K19" s="423">
        <f t="shared" si="15"/>
        <v>43018.313760000005</v>
      </c>
      <c r="L19" s="423">
        <f t="shared" ref="L19" si="16">IF((L$12*L17*L18)&lt;2000,2000,(L$12*L17*L18))</f>
        <v>42950.539632</v>
      </c>
    </row>
    <row r="20" spans="1:12" x14ac:dyDescent="0.25">
      <c r="A20" s="428">
        <f t="shared" si="0"/>
        <v>18</v>
      </c>
      <c r="B20" s="3" t="s">
        <v>1200</v>
      </c>
      <c r="C20" s="135">
        <v>0.18</v>
      </c>
      <c r="D20" s="135">
        <v>0.18</v>
      </c>
      <c r="E20" s="135">
        <v>0.18</v>
      </c>
      <c r="G20" s="135">
        <v>0.18</v>
      </c>
      <c r="H20" s="135">
        <v>0.18</v>
      </c>
      <c r="I20" s="135">
        <v>0.18</v>
      </c>
      <c r="J20" s="135">
        <v>0.18</v>
      </c>
      <c r="K20" s="135">
        <v>0.18</v>
      </c>
      <c r="L20" s="135">
        <v>0.18</v>
      </c>
    </row>
    <row r="21" spans="1:12" x14ac:dyDescent="0.25">
      <c r="A21" s="428">
        <f t="shared" si="0"/>
        <v>19</v>
      </c>
      <c r="B21" s="3" t="s">
        <v>1227</v>
      </c>
      <c r="C21" s="136">
        <v>3.5E-4</v>
      </c>
      <c r="D21" s="136">
        <v>3.5E-4</v>
      </c>
      <c r="E21" s="136">
        <v>3.5E-4</v>
      </c>
      <c r="G21" s="136">
        <v>3.5E-4</v>
      </c>
      <c r="H21" s="136">
        <v>3.5E-4</v>
      </c>
      <c r="I21" s="136">
        <v>3.5E-4</v>
      </c>
      <c r="J21" s="136">
        <v>3.5E-4</v>
      </c>
      <c r="K21" s="136">
        <v>3.5E-4</v>
      </c>
      <c r="L21" s="136">
        <v>3.5E-4</v>
      </c>
    </row>
    <row r="22" spans="1:12" x14ac:dyDescent="0.25">
      <c r="A22" s="428">
        <f t="shared" si="0"/>
        <v>20</v>
      </c>
      <c r="B22" s="3" t="s">
        <v>1228</v>
      </c>
      <c r="C22" s="137">
        <v>2</v>
      </c>
      <c r="D22" s="137">
        <v>2</v>
      </c>
      <c r="E22" s="137">
        <v>2</v>
      </c>
      <c r="G22" s="137">
        <v>2</v>
      </c>
      <c r="H22" s="137">
        <v>2</v>
      </c>
      <c r="I22" s="137">
        <v>2</v>
      </c>
      <c r="J22" s="137">
        <v>1</v>
      </c>
      <c r="K22" s="137">
        <v>1</v>
      </c>
      <c r="L22" s="137">
        <v>1</v>
      </c>
    </row>
    <row r="23" spans="1:12" x14ac:dyDescent="0.25">
      <c r="A23" s="428">
        <f>A22+1</f>
        <v>21</v>
      </c>
      <c r="B23" s="3" t="s">
        <v>1229</v>
      </c>
      <c r="C23" s="423">
        <f>IF((C$12*C21*C22)&lt;2000,2000,(C$12*C21*C22))</f>
        <v>86086.255358249997</v>
      </c>
      <c r="D23" s="423">
        <f>IF((D$12*D21*D22)&lt;2000,2000,(D$12*D21*D22))</f>
        <v>44880.54308738</v>
      </c>
      <c r="E23" s="423">
        <f>IF((E$12*E21*E22)&lt;2000,2000,(E$12*E21*E22))</f>
        <v>5744.2839999999997</v>
      </c>
      <c r="G23" s="423">
        <f t="shared" ref="G23:L23" si="17">IF((G$12*G21*G22)&lt;2000,2000,(G$12*G21*G22))</f>
        <v>91436.500806840006</v>
      </c>
      <c r="H23" s="423">
        <f t="shared" si="17"/>
        <v>182745.95865623999</v>
      </c>
      <c r="I23" s="423">
        <f t="shared" si="17"/>
        <v>210173.63129280004</v>
      </c>
      <c r="J23" s="423">
        <f t="shared" si="17"/>
        <v>2223.197928</v>
      </c>
      <c r="K23" s="423">
        <f t="shared" si="17"/>
        <v>18820.512269999999</v>
      </c>
      <c r="L23" s="423">
        <f t="shared" si="17"/>
        <v>18790.861088999998</v>
      </c>
    </row>
    <row r="24" spans="1:12" x14ac:dyDescent="0.25">
      <c r="A24" s="428">
        <f t="shared" si="0"/>
        <v>22</v>
      </c>
      <c r="B24" s="3" t="s">
        <v>1230</v>
      </c>
      <c r="C24" s="126">
        <v>500</v>
      </c>
      <c r="D24" s="126">
        <v>500</v>
      </c>
      <c r="E24" s="126">
        <v>500</v>
      </c>
      <c r="G24" s="126">
        <v>500</v>
      </c>
      <c r="H24" s="126">
        <v>500</v>
      </c>
      <c r="I24" s="126">
        <v>500</v>
      </c>
      <c r="J24" s="126">
        <v>500</v>
      </c>
      <c r="K24" s="126">
        <v>500</v>
      </c>
      <c r="L24" s="126">
        <v>500</v>
      </c>
    </row>
    <row r="25" spans="1:12" ht="15.75" thickBot="1" x14ac:dyDescent="0.3">
      <c r="A25" s="428">
        <f>A24+1</f>
        <v>23</v>
      </c>
      <c r="B25" s="3" t="s">
        <v>1231</v>
      </c>
      <c r="C25" s="421">
        <f t="shared" ref="C25:D25" si="18">(C19+C23+C24)*C20</f>
        <v>24440.112229905</v>
      </c>
      <c r="D25" s="421">
        <f t="shared" si="18"/>
        <v>12784.782187573201</v>
      </c>
      <c r="E25" s="421">
        <f t="shared" ref="E25:G25" si="19">(E19+E23+E24)*E20</f>
        <v>1714.8117599999998</v>
      </c>
      <c r="G25" s="421">
        <f t="shared" si="19"/>
        <v>25953.467371077601</v>
      </c>
      <c r="H25" s="421">
        <f t="shared" ref="H25:I25" si="20">(H19+H23+H24)*H20</f>
        <v>51780.999734193589</v>
      </c>
      <c r="I25" s="421">
        <f t="shared" si="20"/>
        <v>59539.112851392012</v>
      </c>
      <c r="J25" s="421">
        <f t="shared" ref="J25:K25" si="21">(J19+J23+J24)*J20</f>
        <v>1404.8627745600002</v>
      </c>
      <c r="K25" s="421">
        <f t="shared" si="21"/>
        <v>11220.9886854</v>
      </c>
      <c r="L25" s="421">
        <f t="shared" ref="L25" si="22">(L19+L23+L24)*L20</f>
        <v>11203.452129779998</v>
      </c>
    </row>
    <row r="26" spans="1:12" ht="16.5" thickTop="1" thickBot="1" x14ac:dyDescent="0.3">
      <c r="A26" s="428">
        <f t="shared" ref="A26:A40" si="23">A25+1</f>
        <v>24</v>
      </c>
      <c r="B26" s="138" t="s">
        <v>1232</v>
      </c>
      <c r="C26" s="427">
        <f>C19+C23+C24+C25</f>
        <v>160218.513507155</v>
      </c>
      <c r="D26" s="427">
        <f>D19+D23+D24+D25+1</f>
        <v>83812.349896313215</v>
      </c>
      <c r="E26" s="427">
        <f>E19+E23+E24+E25+2</f>
        <v>11243.54376</v>
      </c>
      <c r="G26" s="427">
        <f>G19+G23+G24+G25</f>
        <v>170139.39721039761</v>
      </c>
      <c r="H26" s="427">
        <f>H19+H23+H24+H25</f>
        <v>339453.22047971358</v>
      </c>
      <c r="I26" s="427">
        <f>I19+I23+I24+I25</f>
        <v>390311.96202579211</v>
      </c>
      <c r="J26" s="427">
        <f>J19+J23+J24+J25</f>
        <v>9209.6559665600016</v>
      </c>
      <c r="K26" s="427">
        <f>K19+K23+K24+K25+1</f>
        <v>73560.814715400003</v>
      </c>
      <c r="L26" s="427">
        <f>L19+L23+L24+L25+1</f>
        <v>73445.852850779993</v>
      </c>
    </row>
    <row r="27" spans="1:12" x14ac:dyDescent="0.25">
      <c r="A27" s="428">
        <f t="shared" si="23"/>
        <v>25</v>
      </c>
      <c r="B27" s="3" t="s">
        <v>1233</v>
      </c>
      <c r="C27" s="139">
        <v>0</v>
      </c>
      <c r="D27" s="139">
        <v>0</v>
      </c>
      <c r="E27" s="139">
        <v>0</v>
      </c>
      <c r="G27" s="139">
        <v>0</v>
      </c>
      <c r="H27" s="139">
        <v>0</v>
      </c>
      <c r="I27" s="139">
        <v>0</v>
      </c>
      <c r="J27" s="139">
        <v>0</v>
      </c>
      <c r="K27" s="139">
        <v>0</v>
      </c>
      <c r="L27" s="139">
        <v>0</v>
      </c>
    </row>
    <row r="28" spans="1:12" x14ac:dyDescent="0.25">
      <c r="A28" s="428">
        <f t="shared" si="23"/>
        <v>26</v>
      </c>
      <c r="B28" s="3" t="s">
        <v>1234</v>
      </c>
      <c r="C28" s="424">
        <f>C27*C9</f>
        <v>0</v>
      </c>
      <c r="D28" s="424">
        <f>D27*D9</f>
        <v>0</v>
      </c>
      <c r="E28" s="424">
        <f>E27*E9</f>
        <v>0</v>
      </c>
      <c r="G28" s="424">
        <f t="shared" ref="G28:L28" si="24">G27*G9</f>
        <v>0</v>
      </c>
      <c r="H28" s="424">
        <f t="shared" si="24"/>
        <v>0</v>
      </c>
      <c r="I28" s="424">
        <f t="shared" si="24"/>
        <v>0</v>
      </c>
      <c r="J28" s="424">
        <f t="shared" si="24"/>
        <v>0</v>
      </c>
      <c r="K28" s="424">
        <f t="shared" si="24"/>
        <v>0</v>
      </c>
      <c r="L28" s="424">
        <f t="shared" si="24"/>
        <v>0</v>
      </c>
    </row>
    <row r="29" spans="1:12" x14ac:dyDescent="0.25">
      <c r="A29" s="428">
        <f t="shared" si="23"/>
        <v>27</v>
      </c>
      <c r="B29" s="3" t="s">
        <v>1235</v>
      </c>
      <c r="C29" s="126">
        <v>0</v>
      </c>
      <c r="D29" s="126">
        <v>0</v>
      </c>
      <c r="E29" s="126">
        <v>0</v>
      </c>
      <c r="G29" s="126">
        <v>0</v>
      </c>
      <c r="H29" s="126">
        <v>0</v>
      </c>
      <c r="I29" s="126">
        <v>0</v>
      </c>
      <c r="J29" s="126">
        <v>0</v>
      </c>
      <c r="K29" s="126">
        <v>0</v>
      </c>
      <c r="L29" s="126">
        <v>0</v>
      </c>
    </row>
    <row r="30" spans="1:12" x14ac:dyDescent="0.25">
      <c r="A30" s="428">
        <f t="shared" si="23"/>
        <v>28</v>
      </c>
      <c r="B30" s="3" t="s">
        <v>1236</v>
      </c>
      <c r="C30" s="126">
        <v>90.674999999999997</v>
      </c>
      <c r="D30" s="126">
        <v>90.674999999999997</v>
      </c>
      <c r="E30" s="126">
        <v>90.674999999999997</v>
      </c>
      <c r="G30" s="126">
        <v>90.674999999999997</v>
      </c>
      <c r="H30" s="126">
        <v>90.674999999999997</v>
      </c>
      <c r="I30" s="126">
        <v>90.674999999999997</v>
      </c>
      <c r="J30" s="126">
        <v>90.674999999999997</v>
      </c>
      <c r="K30" s="126">
        <v>90.674999999999997</v>
      </c>
      <c r="L30" s="126">
        <v>90.674999999999997</v>
      </c>
    </row>
    <row r="31" spans="1:12" x14ac:dyDescent="0.25">
      <c r="A31" s="428">
        <f t="shared" si="23"/>
        <v>29</v>
      </c>
      <c r="B31" s="3" t="s">
        <v>1237</v>
      </c>
      <c r="C31" s="424">
        <f t="shared" ref="C31:D31" si="25">C29*C30</f>
        <v>0</v>
      </c>
      <c r="D31" s="424">
        <f t="shared" si="25"/>
        <v>0</v>
      </c>
      <c r="E31" s="424">
        <f t="shared" ref="E31:G31" si="26">E29*E30</f>
        <v>0</v>
      </c>
      <c r="G31" s="424">
        <f t="shared" si="26"/>
        <v>0</v>
      </c>
      <c r="H31" s="424">
        <f t="shared" ref="H31:I31" si="27">H29*H30</f>
        <v>0</v>
      </c>
      <c r="I31" s="424">
        <f t="shared" si="27"/>
        <v>0</v>
      </c>
      <c r="J31" s="424">
        <f t="shared" ref="J31:K31" si="28">J29*J30</f>
        <v>0</v>
      </c>
      <c r="K31" s="424">
        <f t="shared" si="28"/>
        <v>0</v>
      </c>
      <c r="L31" s="424">
        <f t="shared" ref="L31" si="29">L29*L30</f>
        <v>0</v>
      </c>
    </row>
    <row r="32" spans="1:12" x14ac:dyDescent="0.25">
      <c r="A32" s="428">
        <f t="shared" si="23"/>
        <v>30</v>
      </c>
      <c r="B32" s="3" t="s">
        <v>1238</v>
      </c>
      <c r="C32" s="140">
        <v>1E-3</v>
      </c>
      <c r="D32" s="140">
        <v>1E-3</v>
      </c>
      <c r="E32" s="140">
        <v>1E-3</v>
      </c>
      <c r="G32" s="140">
        <v>1E-3</v>
      </c>
      <c r="H32" s="140">
        <v>1E-3</v>
      </c>
      <c r="I32" s="140">
        <v>1E-3</v>
      </c>
      <c r="J32" s="140">
        <v>1E-3</v>
      </c>
      <c r="K32" s="140">
        <v>1E-3</v>
      </c>
      <c r="L32" s="140">
        <v>1E-3</v>
      </c>
    </row>
    <row r="33" spans="1:12" x14ac:dyDescent="0.25">
      <c r="A33" s="428">
        <f t="shared" si="23"/>
        <v>31</v>
      </c>
      <c r="B33" s="3" t="s">
        <v>1239</v>
      </c>
      <c r="C33" s="421">
        <f>IF((C29*C30)&lt;1000,1000,IF((C29*C32)&gt;15000,15000,(C29*C30)))</f>
        <v>1000</v>
      </c>
      <c r="D33" s="126">
        <v>0</v>
      </c>
      <c r="E33" s="126">
        <v>0</v>
      </c>
      <c r="G33" s="126">
        <v>0</v>
      </c>
      <c r="H33" s="126">
        <v>0</v>
      </c>
      <c r="I33" s="126">
        <v>0</v>
      </c>
      <c r="J33" s="126">
        <v>0</v>
      </c>
      <c r="K33" s="126">
        <v>0</v>
      </c>
      <c r="L33" s="126">
        <v>0</v>
      </c>
    </row>
    <row r="34" spans="1:12" x14ac:dyDescent="0.25">
      <c r="A34" s="428">
        <f t="shared" si="23"/>
        <v>32</v>
      </c>
      <c r="B34" s="3" t="s">
        <v>1230</v>
      </c>
      <c r="C34" s="126">
        <v>0</v>
      </c>
      <c r="D34" s="126">
        <v>0</v>
      </c>
      <c r="E34" s="126">
        <v>0</v>
      </c>
      <c r="G34" s="126">
        <v>0</v>
      </c>
      <c r="H34" s="126">
        <v>0</v>
      </c>
      <c r="I34" s="126">
        <v>0</v>
      </c>
      <c r="J34" s="126">
        <v>0</v>
      </c>
      <c r="K34" s="126">
        <v>0</v>
      </c>
      <c r="L34" s="126">
        <v>0</v>
      </c>
    </row>
    <row r="35" spans="1:12" x14ac:dyDescent="0.25">
      <c r="A35" s="428">
        <f t="shared" si="23"/>
        <v>33</v>
      </c>
      <c r="B35" s="74" t="s">
        <v>1240</v>
      </c>
      <c r="C35" s="425">
        <f t="shared" ref="C35:D35" si="30">C33+C34</f>
        <v>1000</v>
      </c>
      <c r="D35" s="425">
        <f t="shared" si="30"/>
        <v>0</v>
      </c>
      <c r="E35" s="425">
        <f t="shared" ref="E35:G35" si="31">E33+E34</f>
        <v>0</v>
      </c>
      <c r="G35" s="425">
        <f t="shared" si="31"/>
        <v>0</v>
      </c>
      <c r="H35" s="425">
        <f t="shared" ref="H35:I35" si="32">H33+H34</f>
        <v>0</v>
      </c>
      <c r="I35" s="425">
        <f t="shared" si="32"/>
        <v>0</v>
      </c>
      <c r="J35" s="425">
        <f t="shared" ref="J35:K35" si="33">J33+J34</f>
        <v>0</v>
      </c>
      <c r="K35" s="425">
        <f t="shared" si="33"/>
        <v>0</v>
      </c>
      <c r="L35" s="425">
        <f t="shared" ref="L35" si="34">L33+L34</f>
        <v>0</v>
      </c>
    </row>
    <row r="36" spans="1:12" x14ac:dyDescent="0.25">
      <c r="A36" s="428">
        <f t="shared" si="23"/>
        <v>34</v>
      </c>
      <c r="B36" s="36" t="s">
        <v>1241</v>
      </c>
      <c r="C36" s="424">
        <f>C35*18%</f>
        <v>180</v>
      </c>
      <c r="D36" s="424">
        <f>D35*18%</f>
        <v>0</v>
      </c>
      <c r="E36" s="424">
        <f>E35*18%</f>
        <v>0</v>
      </c>
      <c r="G36" s="424">
        <f t="shared" ref="G36:L36" si="35">G35*18%</f>
        <v>0</v>
      </c>
      <c r="H36" s="424">
        <f t="shared" si="35"/>
        <v>0</v>
      </c>
      <c r="I36" s="424">
        <f t="shared" si="35"/>
        <v>0</v>
      </c>
      <c r="J36" s="424">
        <f t="shared" si="35"/>
        <v>0</v>
      </c>
      <c r="K36" s="424">
        <f t="shared" si="35"/>
        <v>0</v>
      </c>
      <c r="L36" s="424">
        <f t="shared" si="35"/>
        <v>0</v>
      </c>
    </row>
    <row r="37" spans="1:12" x14ac:dyDescent="0.25">
      <c r="A37" s="428">
        <f t="shared" si="23"/>
        <v>35</v>
      </c>
      <c r="B37" s="36" t="s">
        <v>1242</v>
      </c>
      <c r="C37" s="126">
        <v>1000000</v>
      </c>
      <c r="D37" s="126">
        <v>1000000</v>
      </c>
      <c r="E37" s="126">
        <v>1000000</v>
      </c>
      <c r="G37" s="126">
        <v>1000000</v>
      </c>
      <c r="H37" s="126">
        <v>1000000</v>
      </c>
      <c r="I37" s="126">
        <v>1000000</v>
      </c>
      <c r="J37" s="126">
        <v>1000000</v>
      </c>
      <c r="K37" s="126">
        <v>1000000</v>
      </c>
      <c r="L37" s="126">
        <v>1000000</v>
      </c>
    </row>
    <row r="38" spans="1:12" x14ac:dyDescent="0.25">
      <c r="A38" s="428">
        <f t="shared" si="23"/>
        <v>36</v>
      </c>
      <c r="B38" s="36" t="s">
        <v>1243</v>
      </c>
      <c r="C38" s="424">
        <f>(C31-C37)*0.1%</f>
        <v>-1000</v>
      </c>
      <c r="D38" s="424">
        <f>(D31-D37)*0.1%</f>
        <v>-1000</v>
      </c>
      <c r="E38" s="424">
        <f>(E31-E37)*0.1%</f>
        <v>-1000</v>
      </c>
      <c r="G38" s="424">
        <f t="shared" ref="G38:L38" si="36">(G31-G37)*0.1%</f>
        <v>-1000</v>
      </c>
      <c r="H38" s="424">
        <f t="shared" si="36"/>
        <v>-1000</v>
      </c>
      <c r="I38" s="424">
        <f t="shared" si="36"/>
        <v>-1000</v>
      </c>
      <c r="J38" s="424">
        <f t="shared" si="36"/>
        <v>-1000</v>
      </c>
      <c r="K38" s="424">
        <f t="shared" si="36"/>
        <v>-1000</v>
      </c>
      <c r="L38" s="424">
        <f t="shared" si="36"/>
        <v>-1000</v>
      </c>
    </row>
    <row r="39" spans="1:12" x14ac:dyDescent="0.25">
      <c r="A39" s="428">
        <f t="shared" si="23"/>
        <v>37</v>
      </c>
      <c r="B39" s="36" t="s">
        <v>1244</v>
      </c>
      <c r="C39" s="424">
        <f>C38+5500</f>
        <v>4500</v>
      </c>
      <c r="D39" s="424">
        <f>D38+5500</f>
        <v>4500</v>
      </c>
      <c r="E39" s="424">
        <f>E38+5500</f>
        <v>4500</v>
      </c>
      <c r="G39" s="424">
        <f t="shared" ref="G39:L39" si="37">G38+5500</f>
        <v>4500</v>
      </c>
      <c r="H39" s="424">
        <f t="shared" si="37"/>
        <v>4500</v>
      </c>
      <c r="I39" s="424">
        <f t="shared" si="37"/>
        <v>4500</v>
      </c>
      <c r="J39" s="424">
        <f t="shared" si="37"/>
        <v>4500</v>
      </c>
      <c r="K39" s="424">
        <f t="shared" si="37"/>
        <v>4500</v>
      </c>
      <c r="L39" s="424">
        <f t="shared" si="37"/>
        <v>4500</v>
      </c>
    </row>
    <row r="40" spans="1:12" x14ac:dyDescent="0.25">
      <c r="A40" s="428">
        <f t="shared" si="23"/>
        <v>38</v>
      </c>
      <c r="B40" s="36" t="s">
        <v>1245</v>
      </c>
      <c r="C40" s="424">
        <f>IF((C39*0.18)&lt;1000,1000,IF((C39*0.18)&gt;10800,10800,(C39*0.18)))</f>
        <v>1000</v>
      </c>
      <c r="D40" s="230"/>
      <c r="E40" s="230"/>
      <c r="G40" s="230"/>
      <c r="H40" s="230"/>
      <c r="I40" s="230"/>
      <c r="J40" s="230"/>
      <c r="K40" s="230"/>
      <c r="L40" s="230"/>
    </row>
    <row r="41" spans="1:12" x14ac:dyDescent="0.25">
      <c r="A41" s="64"/>
      <c r="B41" s="74" t="s">
        <v>1246</v>
      </c>
      <c r="C41" s="426">
        <f>C26+C35+C40-C28</f>
        <v>162218.513507155</v>
      </c>
      <c r="D41" s="426">
        <f>D26+D35+D40-D28</f>
        <v>83812.349896313215</v>
      </c>
      <c r="E41" s="426">
        <f>E26+E35+E40-E28</f>
        <v>11243.54376</v>
      </c>
      <c r="G41" s="426">
        <f t="shared" ref="G41:L41" si="38">G26+G35+G40-G28</f>
        <v>170139.39721039761</v>
      </c>
      <c r="H41" s="426">
        <f t="shared" si="38"/>
        <v>339453.22047971358</v>
      </c>
      <c r="I41" s="426">
        <f t="shared" si="38"/>
        <v>390311.96202579211</v>
      </c>
      <c r="J41" s="426">
        <f t="shared" si="38"/>
        <v>9209.6559665600016</v>
      </c>
      <c r="K41" s="426">
        <f t="shared" si="38"/>
        <v>73560.814715400003</v>
      </c>
      <c r="L41" s="426">
        <f t="shared" si="38"/>
        <v>73445.852850779993</v>
      </c>
    </row>
    <row r="42" spans="1:12" x14ac:dyDescent="0.25">
      <c r="A42" s="64"/>
      <c r="B42" s="4"/>
      <c r="C42" s="142"/>
      <c r="D42" s="142"/>
      <c r="E42" s="142"/>
      <c r="G42" s="142"/>
      <c r="H42" s="142"/>
      <c r="I42" s="142"/>
      <c r="J42" s="142"/>
      <c r="K42" s="142"/>
      <c r="L42" s="14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027F-AF10-4A9D-A5A9-D96B94BAB310}">
  <dimension ref="A1:I42"/>
  <sheetViews>
    <sheetView workbookViewId="0"/>
  </sheetViews>
  <sheetFormatPr defaultRowHeight="15" x14ac:dyDescent="0.25"/>
  <cols>
    <col min="1" max="1" width="44.85546875" bestFit="1" customWidth="1"/>
    <col min="2" max="4" width="20.28515625" bestFit="1" customWidth="1"/>
    <col min="5" max="5" width="20.28515625" customWidth="1"/>
    <col min="6" max="9" width="20.28515625" bestFit="1" customWidth="1"/>
  </cols>
  <sheetData>
    <row r="1" spans="1:9" x14ac:dyDescent="0.25">
      <c r="B1" t="s">
        <v>1209</v>
      </c>
      <c r="C1" t="s">
        <v>1209</v>
      </c>
      <c r="D1" t="s">
        <v>1209</v>
      </c>
      <c r="F1" t="s">
        <v>1209</v>
      </c>
      <c r="G1" t="s">
        <v>1209</v>
      </c>
      <c r="H1" t="s">
        <v>1209</v>
      </c>
      <c r="I1" t="s">
        <v>1209</v>
      </c>
    </row>
    <row r="2" spans="1:9" x14ac:dyDescent="0.25">
      <c r="A2" s="110" t="s">
        <v>23</v>
      </c>
      <c r="B2" s="9" t="s">
        <v>23</v>
      </c>
      <c r="C2" s="9" t="s">
        <v>23</v>
      </c>
      <c r="D2" s="9" t="s">
        <v>23</v>
      </c>
      <c r="E2" s="9"/>
      <c r="F2" s="9" t="s">
        <v>23</v>
      </c>
      <c r="G2" s="9" t="s">
        <v>23</v>
      </c>
      <c r="H2" s="9" t="s">
        <v>23</v>
      </c>
      <c r="I2" s="9" t="s">
        <v>23</v>
      </c>
    </row>
    <row r="3" spans="1:9" x14ac:dyDescent="0.25">
      <c r="A3" s="3" t="s">
        <v>1211</v>
      </c>
      <c r="B3" s="123" t="s">
        <v>1212</v>
      </c>
      <c r="C3" s="123" t="s">
        <v>1212</v>
      </c>
      <c r="D3" s="123" t="s">
        <v>1212</v>
      </c>
      <c r="E3" s="123"/>
      <c r="F3" s="123" t="s">
        <v>1212</v>
      </c>
      <c r="G3" s="123" t="s">
        <v>1212</v>
      </c>
      <c r="H3" s="123" t="s">
        <v>1212</v>
      </c>
      <c r="I3" s="123" t="s">
        <v>1212</v>
      </c>
    </row>
    <row r="4" spans="1:9" x14ac:dyDescent="0.25">
      <c r="A4" s="3" t="s">
        <v>1021</v>
      </c>
      <c r="B4" s="123">
        <v>46086</v>
      </c>
      <c r="C4" s="123">
        <v>46091</v>
      </c>
      <c r="D4" s="123">
        <v>46091</v>
      </c>
      <c r="E4" s="123"/>
      <c r="F4" s="123">
        <v>46105</v>
      </c>
      <c r="G4" s="123">
        <v>46105</v>
      </c>
      <c r="H4" s="123">
        <v>46108</v>
      </c>
      <c r="I4" s="123">
        <v>46108</v>
      </c>
    </row>
    <row r="5" spans="1:9" x14ac:dyDescent="0.25">
      <c r="A5" s="3" t="s">
        <v>1213</v>
      </c>
      <c r="B5" s="6" t="s">
        <v>331</v>
      </c>
      <c r="C5" s="294" t="s">
        <v>337</v>
      </c>
      <c r="D5" s="294" t="s">
        <v>333</v>
      </c>
      <c r="E5" s="6"/>
      <c r="F5" s="291" t="s">
        <v>378</v>
      </c>
      <c r="G5" s="291" t="s">
        <v>380</v>
      </c>
      <c r="H5" s="291" t="s">
        <v>401</v>
      </c>
      <c r="I5" s="291" t="s">
        <v>403</v>
      </c>
    </row>
    <row r="6" spans="1:9" ht="25.5" x14ac:dyDescent="0.25">
      <c r="A6" s="3" t="s">
        <v>103</v>
      </c>
      <c r="B6" s="125" t="s">
        <v>1247</v>
      </c>
      <c r="C6" s="125" t="s">
        <v>1248</v>
      </c>
      <c r="D6" s="125" t="s">
        <v>334</v>
      </c>
      <c r="E6" s="125"/>
      <c r="F6" s="125" t="s">
        <v>1249</v>
      </c>
      <c r="G6" s="125" t="s">
        <v>1249</v>
      </c>
      <c r="H6" s="125" t="s">
        <v>1250</v>
      </c>
      <c r="I6" s="125" t="s">
        <v>1250</v>
      </c>
    </row>
    <row r="7" spans="1:9" x14ac:dyDescent="0.25">
      <c r="A7" s="3" t="s">
        <v>1215</v>
      </c>
      <c r="B7" s="129">
        <v>784000</v>
      </c>
      <c r="C7" s="129">
        <v>249984</v>
      </c>
      <c r="D7" s="129">
        <v>266112</v>
      </c>
      <c r="E7" s="129"/>
      <c r="F7" s="129">
        <v>282158.40000000002</v>
      </c>
      <c r="G7" s="129">
        <v>278716.79999999999</v>
      </c>
      <c r="H7" s="129">
        <v>1210950</v>
      </c>
      <c r="I7" s="129">
        <v>1210950</v>
      </c>
    </row>
    <row r="8" spans="1:9" x14ac:dyDescent="0.25">
      <c r="A8" s="3" t="s">
        <v>1216</v>
      </c>
      <c r="B8" s="127" t="s">
        <v>139</v>
      </c>
      <c r="C8" s="127" t="s">
        <v>139</v>
      </c>
      <c r="D8" s="127" t="s">
        <v>139</v>
      </c>
      <c r="E8" s="127"/>
      <c r="F8" s="127" t="s">
        <v>139</v>
      </c>
      <c r="G8" s="127" t="s">
        <v>139</v>
      </c>
      <c r="H8" s="127" t="s">
        <v>139</v>
      </c>
      <c r="I8" s="127" t="s">
        <v>139</v>
      </c>
    </row>
    <row r="9" spans="1:9" x14ac:dyDescent="0.25">
      <c r="A9" s="3" t="s">
        <v>996</v>
      </c>
      <c r="B9" s="128">
        <v>92</v>
      </c>
      <c r="C9" s="128">
        <v>92.51</v>
      </c>
      <c r="D9" s="128">
        <v>92.51</v>
      </c>
      <c r="E9" s="128"/>
      <c r="F9" s="128">
        <v>94.56</v>
      </c>
      <c r="G9" s="128">
        <v>94.56</v>
      </c>
      <c r="H9" s="128">
        <v>95.41</v>
      </c>
      <c r="I9" s="128">
        <v>95.41</v>
      </c>
    </row>
    <row r="10" spans="1:9" x14ac:dyDescent="0.25">
      <c r="A10" s="3" t="s">
        <v>1217</v>
      </c>
      <c r="B10" s="420">
        <f>B7*B9</f>
        <v>72128000</v>
      </c>
      <c r="C10" s="420">
        <f>C7*C9</f>
        <v>23126019.84</v>
      </c>
      <c r="D10" s="420">
        <f>D7*D9</f>
        <v>24618021.120000001</v>
      </c>
      <c r="E10" s="129"/>
      <c r="F10" s="420">
        <f>F7*F9</f>
        <v>26680898.304000001</v>
      </c>
      <c r="G10" s="420">
        <f>G7*G9</f>
        <v>26355460.607999999</v>
      </c>
      <c r="H10" s="420">
        <f>H7*H9</f>
        <v>115536739.5</v>
      </c>
      <c r="I10" s="420">
        <f>I7*I9</f>
        <v>115536739.5</v>
      </c>
    </row>
    <row r="11" spans="1:9" x14ac:dyDescent="0.25">
      <c r="A11" s="3" t="s">
        <v>1218</v>
      </c>
      <c r="B11" s="130">
        <v>0</v>
      </c>
      <c r="C11" s="130">
        <v>0</v>
      </c>
      <c r="D11" s="130">
        <v>0</v>
      </c>
      <c r="E11" s="130"/>
      <c r="F11" s="130">
        <v>0</v>
      </c>
      <c r="G11" s="130">
        <v>0</v>
      </c>
      <c r="H11" s="130">
        <v>0</v>
      </c>
      <c r="I11" s="130">
        <v>0</v>
      </c>
    </row>
    <row r="12" spans="1:9" x14ac:dyDescent="0.25">
      <c r="A12" s="3" t="s">
        <v>1219</v>
      </c>
      <c r="B12" s="420">
        <f t="shared" ref="B12:F12" si="0">B10+(B10*B11)</f>
        <v>72128000</v>
      </c>
      <c r="C12" s="420">
        <f t="shared" ref="C12:D12" si="1">C10+(C10*C11)</f>
        <v>23126019.84</v>
      </c>
      <c r="D12" s="420">
        <f t="shared" si="1"/>
        <v>24618021.120000001</v>
      </c>
      <c r="E12" s="129"/>
      <c r="F12" s="420">
        <f t="shared" si="0"/>
        <v>26680898.304000001</v>
      </c>
      <c r="G12" s="420">
        <f t="shared" ref="G12:H12" si="2">G10+(G10*G11)</f>
        <v>26355460.607999999</v>
      </c>
      <c r="H12" s="420">
        <f t="shared" si="2"/>
        <v>115536739.5</v>
      </c>
      <c r="I12" s="420">
        <f t="shared" ref="I12" si="3">I10+(I10*I11)</f>
        <v>115536739.5</v>
      </c>
    </row>
    <row r="13" spans="1:9" x14ac:dyDescent="0.25">
      <c r="A13" s="3" t="s">
        <v>1220</v>
      </c>
      <c r="B13" s="131">
        <v>46086</v>
      </c>
      <c r="C13" s="131">
        <v>46091</v>
      </c>
      <c r="D13" s="131">
        <v>46091</v>
      </c>
      <c r="E13" s="131"/>
      <c r="F13" s="131">
        <v>46105</v>
      </c>
      <c r="G13" s="131">
        <v>46105</v>
      </c>
      <c r="H13" s="131">
        <v>46108</v>
      </c>
      <c r="I13" s="131">
        <v>46108</v>
      </c>
    </row>
    <row r="14" spans="1:9" x14ac:dyDescent="0.25">
      <c r="A14" s="3" t="s">
        <v>1221</v>
      </c>
      <c r="B14" s="131">
        <v>46127</v>
      </c>
      <c r="C14" s="131">
        <v>46143</v>
      </c>
      <c r="D14" s="131">
        <v>46143</v>
      </c>
      <c r="E14" s="131"/>
      <c r="F14" s="131">
        <v>46153</v>
      </c>
      <c r="G14" s="131">
        <v>46153</v>
      </c>
      <c r="H14" s="131">
        <v>46153</v>
      </c>
      <c r="I14" s="131">
        <v>46153</v>
      </c>
    </row>
    <row r="15" spans="1:9" x14ac:dyDescent="0.25">
      <c r="A15" s="3" t="s">
        <v>1222</v>
      </c>
      <c r="B15" s="130">
        <v>0.1</v>
      </c>
      <c r="C15" s="130">
        <v>0.1</v>
      </c>
      <c r="D15" s="130">
        <v>0.1</v>
      </c>
      <c r="E15" s="130"/>
      <c r="F15" s="130">
        <v>0.1</v>
      </c>
      <c r="G15" s="130">
        <v>0.1</v>
      </c>
      <c r="H15" s="130">
        <v>0.1</v>
      </c>
      <c r="I15" s="130">
        <v>0.1</v>
      </c>
    </row>
    <row r="16" spans="1:9" x14ac:dyDescent="0.25">
      <c r="A16" s="3" t="s">
        <v>1223</v>
      </c>
      <c r="B16" s="421">
        <f t="shared" ref="B16:F16" si="4">B12*B15</f>
        <v>7212800</v>
      </c>
      <c r="C16" s="421">
        <f t="shared" ref="C16:D16" si="5">C12*C15</f>
        <v>2312601.9840000002</v>
      </c>
      <c r="D16" s="421">
        <f t="shared" si="5"/>
        <v>2461802.1120000002</v>
      </c>
      <c r="E16" s="127"/>
      <c r="F16" s="421">
        <f t="shared" si="4"/>
        <v>2668089.8304000003</v>
      </c>
      <c r="G16" s="421">
        <f t="shared" ref="G16:H16" si="6">G12*G15</f>
        <v>2635546.0608000001</v>
      </c>
      <c r="H16" s="421">
        <f t="shared" si="6"/>
        <v>11553673.950000001</v>
      </c>
      <c r="I16" s="421">
        <f t="shared" ref="I16" si="7">I12*I15</f>
        <v>11553673.950000001</v>
      </c>
    </row>
    <row r="17" spans="1:9" ht="45" x14ac:dyDescent="0.25">
      <c r="A17" s="10" t="s">
        <v>1224</v>
      </c>
      <c r="B17" s="132">
        <v>4.0000000000000002E-4</v>
      </c>
      <c r="C17" s="132">
        <v>4.0000000000000002E-4</v>
      </c>
      <c r="D17" s="132">
        <v>4.0000000000000002E-4</v>
      </c>
      <c r="E17" s="132"/>
      <c r="F17" s="132">
        <v>4.0000000000000002E-4</v>
      </c>
      <c r="G17" s="132">
        <v>4.0000000000000002E-4</v>
      </c>
      <c r="H17" s="132">
        <v>4.0000000000000002E-4</v>
      </c>
      <c r="I17" s="132">
        <v>4.0000000000000002E-4</v>
      </c>
    </row>
    <row r="18" spans="1:9" x14ac:dyDescent="0.25">
      <c r="A18" s="3" t="s">
        <v>1225</v>
      </c>
      <c r="B18" s="133">
        <v>2</v>
      </c>
      <c r="C18" s="133">
        <v>2</v>
      </c>
      <c r="D18" s="133">
        <v>2</v>
      </c>
      <c r="E18" s="133"/>
      <c r="F18" s="133">
        <v>2</v>
      </c>
      <c r="G18" s="133">
        <v>2</v>
      </c>
      <c r="H18" s="133">
        <v>2</v>
      </c>
      <c r="I18" s="133">
        <v>2</v>
      </c>
    </row>
    <row r="19" spans="1:9" ht="45" x14ac:dyDescent="0.25">
      <c r="A19" s="10" t="s">
        <v>1226</v>
      </c>
      <c r="B19" s="423">
        <f>IF((B$12*B17*B18)&lt;2000,2000,(B$12*B17*B18))</f>
        <v>57702.400000000001</v>
      </c>
      <c r="C19" s="423">
        <f>IF((C$12*C17*C18)&lt;2000,2000,(C$12*C17*C18))</f>
        <v>18500.815871999999</v>
      </c>
      <c r="D19" s="423">
        <f>IF((D$12*D17*D18)&lt;2000,2000,(D$12*D17*D18))</f>
        <v>19694.416896000002</v>
      </c>
      <c r="E19" s="134"/>
      <c r="F19" s="423">
        <f>IF((F$12*F17*F18)&lt;2000,2000,(F$12*F17*F18))</f>
        <v>21344.718643200002</v>
      </c>
      <c r="G19" s="423">
        <f>IF((G$12*G17*G18)&lt;2000,2000,(G$12*G17*G18))</f>
        <v>21084.368486399999</v>
      </c>
      <c r="H19" s="423">
        <f>IF((H$12*H17*H18)&lt;2000,2000,(H$12*H17*H18))</f>
        <v>92429.391600000003</v>
      </c>
      <c r="I19" s="423">
        <f>IF((I$12*I17*I18)&lt;2000,2000,(I$12*I17*I18))</f>
        <v>92429.391600000003</v>
      </c>
    </row>
    <row r="20" spans="1:9" x14ac:dyDescent="0.25">
      <c r="A20" s="3" t="s">
        <v>1200</v>
      </c>
      <c r="B20" s="135">
        <v>0.18</v>
      </c>
      <c r="C20" s="135">
        <v>0.18</v>
      </c>
      <c r="D20" s="135">
        <v>0.18</v>
      </c>
      <c r="E20" s="135"/>
      <c r="F20" s="135">
        <v>0.18</v>
      </c>
      <c r="G20" s="135">
        <v>0.18</v>
      </c>
      <c r="H20" s="135">
        <v>0.18</v>
      </c>
      <c r="I20" s="135">
        <v>0.18</v>
      </c>
    </row>
    <row r="21" spans="1:9" x14ac:dyDescent="0.25">
      <c r="A21" s="3" t="s">
        <v>1227</v>
      </c>
      <c r="B21" s="136">
        <v>3.5E-4</v>
      </c>
      <c r="C21" s="136">
        <v>3.5E-4</v>
      </c>
      <c r="D21" s="136">
        <v>3.5E-4</v>
      </c>
      <c r="E21" s="136"/>
      <c r="F21" s="136">
        <v>3.5E-4</v>
      </c>
      <c r="G21" s="136">
        <v>3.5E-4</v>
      </c>
      <c r="H21" s="136">
        <v>3.5E-4</v>
      </c>
      <c r="I21" s="136">
        <v>3.5E-4</v>
      </c>
    </row>
    <row r="22" spans="1:9" x14ac:dyDescent="0.25">
      <c r="A22" s="3" t="s">
        <v>1228</v>
      </c>
      <c r="B22" s="137">
        <v>2</v>
      </c>
      <c r="C22" s="137">
        <v>2</v>
      </c>
      <c r="D22" s="137">
        <v>2</v>
      </c>
      <c r="E22" s="137"/>
      <c r="F22" s="137">
        <v>2</v>
      </c>
      <c r="G22" s="137">
        <v>2</v>
      </c>
      <c r="H22" s="137">
        <v>2</v>
      </c>
      <c r="I22" s="137">
        <v>2</v>
      </c>
    </row>
    <row r="23" spans="1:9" x14ac:dyDescent="0.25">
      <c r="A23" s="3" t="s">
        <v>1229</v>
      </c>
      <c r="B23" s="423">
        <f>IF((B$12*B21*B22)&lt;2000,2000,(B$12*B21*B22))</f>
        <v>50489.599999999999</v>
      </c>
      <c r="C23" s="423">
        <f>IF((C$12*C21*C22)&lt;2000,2000,(C$12*C21*C22))</f>
        <v>16188.213888</v>
      </c>
      <c r="D23" s="423">
        <f>IF((D$12*D21*D22)&lt;2000,2000,(D$12*D21*D22))</f>
        <v>17232.614784000001</v>
      </c>
      <c r="E23" s="134"/>
      <c r="F23" s="423">
        <f>IF((F$12*F21*F22)&lt;2000,2000,(F$12*F21*F22))</f>
        <v>18676.628812800001</v>
      </c>
      <c r="G23" s="423">
        <f>IF((G$12*G21*G22)&lt;2000,2000,(G$12*G21*G22))</f>
        <v>18448.822425599999</v>
      </c>
      <c r="H23" s="423">
        <f>IF((H$12*H21*H22)&lt;2000,2000,(H$12*H21*H22))</f>
        <v>80875.717650000006</v>
      </c>
      <c r="I23" s="423">
        <f>IF((I$12*I21*I22)&lt;2000,2000,(I$12*I21*I22))</f>
        <v>80875.717650000006</v>
      </c>
    </row>
    <row r="24" spans="1:9" x14ac:dyDescent="0.25">
      <c r="A24" s="3" t="s">
        <v>1230</v>
      </c>
      <c r="B24" s="126">
        <v>1500</v>
      </c>
      <c r="C24" s="126">
        <v>1500</v>
      </c>
      <c r="D24" s="126">
        <v>1500</v>
      </c>
      <c r="E24" s="126"/>
      <c r="F24" s="126">
        <v>1500</v>
      </c>
      <c r="G24" s="126">
        <v>1500</v>
      </c>
      <c r="H24" s="126">
        <v>1500</v>
      </c>
      <c r="I24" s="126">
        <v>1500</v>
      </c>
    </row>
    <row r="25" spans="1:9" ht="15.75" thickBot="1" x14ac:dyDescent="0.3">
      <c r="A25" s="3" t="s">
        <v>1231</v>
      </c>
      <c r="B25" s="421">
        <f>(B19+B23+B24)*B20</f>
        <v>19744.559999999998</v>
      </c>
      <c r="C25" s="421">
        <f>(C19+C23+C24)*C20</f>
        <v>6514.0253567999989</v>
      </c>
      <c r="D25" s="421">
        <f>(D19+D23+D24)*D20</f>
        <v>6916.8657023999995</v>
      </c>
      <c r="E25" s="127"/>
      <c r="F25" s="421">
        <f>(F19+F23+F24)*F20</f>
        <v>7473.8425420800004</v>
      </c>
      <c r="G25" s="421">
        <f>(G19+G23+G24)*G20</f>
        <v>7385.9743641599998</v>
      </c>
      <c r="H25" s="421">
        <f>(H19+H23+H24)*H20</f>
        <v>31464.919665000001</v>
      </c>
      <c r="I25" s="421">
        <f>(I19+I23+I24)*I20</f>
        <v>31464.919665000001</v>
      </c>
    </row>
    <row r="26" spans="1:9" ht="16.5" thickTop="1" thickBot="1" x14ac:dyDescent="0.3">
      <c r="A26" s="138" t="s">
        <v>1232</v>
      </c>
      <c r="B26" s="422">
        <f>B19+B23+B24+B25+138</f>
        <v>129574.56</v>
      </c>
      <c r="C26" s="422">
        <f>C19+C23+C24+C25</f>
        <v>42703.055116799995</v>
      </c>
      <c r="D26" s="422">
        <f>D19+D23+D24+D25+1</f>
        <v>45344.897382399999</v>
      </c>
      <c r="E26" s="236"/>
      <c r="F26" s="422">
        <f>F19+F23+F24+F25</f>
        <v>48995.189998080001</v>
      </c>
      <c r="G26" s="422">
        <f>G19+G23+G24+G25</f>
        <v>48419.165276159998</v>
      </c>
      <c r="H26" s="422">
        <f>H19+H23+H24+H25-1</f>
        <v>206269.028915</v>
      </c>
      <c r="I26" s="422">
        <f>I19+I23+I24+I25-1</f>
        <v>206269.028915</v>
      </c>
    </row>
    <row r="27" spans="1:9" x14ac:dyDescent="0.25">
      <c r="A27" s="3" t="s">
        <v>1233</v>
      </c>
      <c r="B27" s="139">
        <v>0</v>
      </c>
      <c r="C27" s="139">
        <v>0</v>
      </c>
      <c r="D27" s="139">
        <v>0</v>
      </c>
      <c r="E27" s="139"/>
      <c r="F27" s="139">
        <v>0</v>
      </c>
      <c r="G27" s="139">
        <v>0</v>
      </c>
      <c r="H27" s="139">
        <v>0</v>
      </c>
      <c r="I27" s="139">
        <v>0</v>
      </c>
    </row>
    <row r="28" spans="1:9" x14ac:dyDescent="0.25">
      <c r="A28" s="3" t="s">
        <v>1234</v>
      </c>
      <c r="B28" s="424">
        <f>B27*B9</f>
        <v>0</v>
      </c>
      <c r="C28" s="424">
        <f>C27*C9</f>
        <v>0</v>
      </c>
      <c r="D28" s="424">
        <f>D27*D9</f>
        <v>0</v>
      </c>
      <c r="E28" s="126"/>
      <c r="F28" s="424">
        <f>F27*F9</f>
        <v>0</v>
      </c>
      <c r="G28" s="424">
        <f>G27*G9</f>
        <v>0</v>
      </c>
      <c r="H28" s="424">
        <f>H27*H9</f>
        <v>0</v>
      </c>
      <c r="I28" s="424">
        <f>I27*I9</f>
        <v>0</v>
      </c>
    </row>
    <row r="29" spans="1:9" x14ac:dyDescent="0.25">
      <c r="A29" s="3" t="s">
        <v>1235</v>
      </c>
      <c r="B29" s="126">
        <v>0</v>
      </c>
      <c r="C29" s="126">
        <v>0</v>
      </c>
      <c r="D29" s="126">
        <v>0</v>
      </c>
      <c r="E29" s="126"/>
      <c r="F29" s="126">
        <v>0</v>
      </c>
      <c r="G29" s="126">
        <v>0</v>
      </c>
      <c r="H29" s="126">
        <v>0</v>
      </c>
      <c r="I29" s="126">
        <v>0</v>
      </c>
    </row>
    <row r="30" spans="1:9" x14ac:dyDescent="0.25">
      <c r="A30" s="3" t="s">
        <v>1236</v>
      </c>
      <c r="B30" s="126">
        <v>90.674999999999997</v>
      </c>
      <c r="C30" s="126">
        <v>90.674999999999997</v>
      </c>
      <c r="D30" s="126">
        <v>90.674999999999997</v>
      </c>
      <c r="E30" s="126"/>
      <c r="F30" s="126">
        <v>90.674999999999997</v>
      </c>
      <c r="G30" s="126">
        <v>90.674999999999997</v>
      </c>
      <c r="H30" s="126">
        <v>90.674999999999997</v>
      </c>
      <c r="I30" s="126">
        <v>90.674999999999997</v>
      </c>
    </row>
    <row r="31" spans="1:9" x14ac:dyDescent="0.25">
      <c r="A31" s="3" t="s">
        <v>1237</v>
      </c>
      <c r="B31" s="424">
        <f t="shared" ref="B31:F31" si="8">B29*B30</f>
        <v>0</v>
      </c>
      <c r="C31" s="424">
        <f t="shared" ref="C31:D31" si="9">C29*C30</f>
        <v>0</v>
      </c>
      <c r="D31" s="424">
        <f t="shared" si="9"/>
        <v>0</v>
      </c>
      <c r="E31" s="126"/>
      <c r="F31" s="424">
        <f t="shared" si="8"/>
        <v>0</v>
      </c>
      <c r="G31" s="424">
        <f t="shared" ref="G31:H31" si="10">G29*G30</f>
        <v>0</v>
      </c>
      <c r="H31" s="424">
        <f t="shared" si="10"/>
        <v>0</v>
      </c>
      <c r="I31" s="424">
        <f t="shared" ref="I31" si="11">I29*I30</f>
        <v>0</v>
      </c>
    </row>
    <row r="32" spans="1:9" x14ac:dyDescent="0.25">
      <c r="A32" s="3" t="s">
        <v>1238</v>
      </c>
      <c r="B32" s="140">
        <v>1E-3</v>
      </c>
      <c r="C32" s="140">
        <v>1E-3</v>
      </c>
      <c r="D32" s="140">
        <v>1E-3</v>
      </c>
      <c r="E32" s="140"/>
      <c r="F32" s="140">
        <v>1E-3</v>
      </c>
      <c r="G32" s="140">
        <v>1E-3</v>
      </c>
      <c r="H32" s="140">
        <v>1E-3</v>
      </c>
      <c r="I32" s="140">
        <v>1E-3</v>
      </c>
    </row>
    <row r="33" spans="1:9" x14ac:dyDescent="0.25">
      <c r="A33" s="3" t="s">
        <v>1239</v>
      </c>
      <c r="B33" s="421">
        <f>IF((B29*B30)&lt;1000,1000,IF((B29*B32)&gt;15000,15000,(B29*B30)))</f>
        <v>1000</v>
      </c>
      <c r="C33" s="421">
        <f>IF((C29*C30)&lt;1000,1000,IF((C29*C32)&gt;15000,15000,(C29*C30)))</f>
        <v>1000</v>
      </c>
      <c r="D33" s="421">
        <f>IF((D29*D30)&lt;1000,1000,IF((D29*D32)&gt;15000,15000,(D29*D30)))</f>
        <v>1000</v>
      </c>
      <c r="E33" s="293"/>
      <c r="F33" s="421">
        <f>IF((F29*F30)&lt;1000,1000,IF((F29*F32)&gt;15000,15000,(F29*F30)))</f>
        <v>1000</v>
      </c>
      <c r="G33" s="421">
        <f>IF((G29*G30)&lt;1000,1000,IF((G29*G32)&gt;15000,15000,(G29*G30)))</f>
        <v>1000</v>
      </c>
      <c r="H33" s="421">
        <f>IF((H29*H30)&lt;1000,1000,IF((H29*H32)&gt;15000,15000,(H29*H30)))</f>
        <v>1000</v>
      </c>
      <c r="I33" s="421">
        <f>IF((I29*I30)&lt;1000,1000,IF((I29*I32)&gt;15000,15000,(I29*I30)))</f>
        <v>1000</v>
      </c>
    </row>
    <row r="34" spans="1:9" x14ac:dyDescent="0.25">
      <c r="A34" s="3" t="s">
        <v>1230</v>
      </c>
      <c r="B34" s="126">
        <v>0</v>
      </c>
      <c r="C34" s="126">
        <v>0</v>
      </c>
      <c r="D34" s="126">
        <v>0</v>
      </c>
      <c r="E34" s="126"/>
      <c r="F34" s="126">
        <v>0</v>
      </c>
      <c r="G34" s="126">
        <v>0</v>
      </c>
      <c r="H34" s="126">
        <v>0</v>
      </c>
      <c r="I34" s="126">
        <v>0</v>
      </c>
    </row>
    <row r="35" spans="1:9" x14ac:dyDescent="0.25">
      <c r="A35" s="74" t="s">
        <v>1240</v>
      </c>
      <c r="B35" s="425">
        <f t="shared" ref="B35:F35" si="12">B33+B34</f>
        <v>1000</v>
      </c>
      <c r="C35" s="425">
        <f t="shared" ref="C35:D35" si="13">C33+C34</f>
        <v>1000</v>
      </c>
      <c r="D35" s="425">
        <f t="shared" si="13"/>
        <v>1000</v>
      </c>
      <c r="E35" s="231"/>
      <c r="F35" s="425">
        <f t="shared" si="12"/>
        <v>1000</v>
      </c>
      <c r="G35" s="425">
        <f t="shared" ref="G35:H35" si="14">G33+G34</f>
        <v>1000</v>
      </c>
      <c r="H35" s="425">
        <f t="shared" si="14"/>
        <v>1000</v>
      </c>
      <c r="I35" s="425">
        <f t="shared" ref="I35" si="15">I33+I34</f>
        <v>1000</v>
      </c>
    </row>
    <row r="36" spans="1:9" x14ac:dyDescent="0.25">
      <c r="A36" s="36" t="s">
        <v>1241</v>
      </c>
      <c r="B36" s="424">
        <f>B35*18%</f>
        <v>180</v>
      </c>
      <c r="C36" s="424">
        <f>C35*18%</f>
        <v>180</v>
      </c>
      <c r="D36" s="424">
        <f>D35*18%</f>
        <v>180</v>
      </c>
      <c r="E36" s="230"/>
      <c r="F36" s="424">
        <f>F35*18%</f>
        <v>180</v>
      </c>
      <c r="G36" s="424">
        <f>G35*18%</f>
        <v>180</v>
      </c>
      <c r="H36" s="424">
        <f>H35*18%</f>
        <v>180</v>
      </c>
      <c r="I36" s="424">
        <f>I35*18%</f>
        <v>180</v>
      </c>
    </row>
    <row r="37" spans="1:9" x14ac:dyDescent="0.25">
      <c r="A37" s="36" t="s">
        <v>1242</v>
      </c>
      <c r="B37" s="126">
        <v>1000000</v>
      </c>
      <c r="C37" s="126">
        <v>1000000</v>
      </c>
      <c r="D37" s="126">
        <v>1000000</v>
      </c>
      <c r="E37" s="126"/>
      <c r="F37" s="126">
        <v>1000000</v>
      </c>
      <c r="G37" s="126">
        <v>1000000</v>
      </c>
      <c r="H37" s="126">
        <v>1000000</v>
      </c>
      <c r="I37" s="126">
        <v>1000000</v>
      </c>
    </row>
    <row r="38" spans="1:9" x14ac:dyDescent="0.25">
      <c r="A38" s="36" t="s">
        <v>1243</v>
      </c>
      <c r="B38" s="424">
        <f>(B31-B37)*0.1%</f>
        <v>-1000</v>
      </c>
      <c r="C38" s="424">
        <f>(C31-C37)*0.1%</f>
        <v>-1000</v>
      </c>
      <c r="D38" s="424">
        <f>(D31-D37)*0.1%</f>
        <v>-1000</v>
      </c>
      <c r="E38" s="229"/>
      <c r="F38" s="424">
        <f>(F31-F37)*0.1%</f>
        <v>-1000</v>
      </c>
      <c r="G38" s="424">
        <f>(G31-G37)*0.1%</f>
        <v>-1000</v>
      </c>
      <c r="H38" s="424">
        <f>(H31-H37)*0.1%</f>
        <v>-1000</v>
      </c>
      <c r="I38" s="424">
        <f>(I31-I37)*0.1%</f>
        <v>-1000</v>
      </c>
    </row>
    <row r="39" spans="1:9" x14ac:dyDescent="0.25">
      <c r="A39" s="36" t="s">
        <v>1244</v>
      </c>
      <c r="B39" s="424">
        <f>B38+5500</f>
        <v>4500</v>
      </c>
      <c r="C39" s="424">
        <f>C38+5500</f>
        <v>4500</v>
      </c>
      <c r="D39" s="424">
        <f>D38+5500</f>
        <v>4500</v>
      </c>
      <c r="E39" s="126"/>
      <c r="F39" s="424">
        <f>F38+5500</f>
        <v>4500</v>
      </c>
      <c r="G39" s="424">
        <f>G38+5500</f>
        <v>4500</v>
      </c>
      <c r="H39" s="424">
        <f>H38+5500</f>
        <v>4500</v>
      </c>
      <c r="I39" s="424">
        <f>I38+5500</f>
        <v>4500</v>
      </c>
    </row>
    <row r="40" spans="1:9" x14ac:dyDescent="0.25">
      <c r="A40" s="36" t="s">
        <v>1245</v>
      </c>
      <c r="B40" s="424">
        <f>IF((B39*0.18)&lt;1000,1000,IF((B39*0.18)&gt;10800,10800,(B39*0.18)))</f>
        <v>1000</v>
      </c>
      <c r="C40" s="424">
        <f>IF((C39*0.18)&lt;1000,1000,IF((C39*0.18)&gt;10800,10800,(C39*0.18)))</f>
        <v>1000</v>
      </c>
      <c r="D40" s="424">
        <f>IF((D39*0.18)&lt;1000,1000,IF((D39*0.18)&gt;10800,10800,(D39*0.18)))</f>
        <v>1000</v>
      </c>
      <c r="E40" s="230"/>
      <c r="F40" s="424">
        <f>IF((F39*0.18)&lt;1000,1000,IF((F39*0.18)&gt;10800,10800,(F39*0.18)))</f>
        <v>1000</v>
      </c>
      <c r="G40" s="424">
        <f>IF((G39*0.18)&lt;1000,1000,IF((G39*0.18)&gt;10800,10800,(G39*0.18)))</f>
        <v>1000</v>
      </c>
      <c r="H40" s="424">
        <f>IF((H39*0.18)&lt;1000,1000,IF((H39*0.18)&gt;10800,10800,(H39*0.18)))</f>
        <v>1000</v>
      </c>
      <c r="I40" s="424">
        <f>IF((I39*0.18)&lt;1000,1000,IF((I39*0.18)&gt;10800,10800,(I39*0.18)))</f>
        <v>1000</v>
      </c>
    </row>
    <row r="41" spans="1:9" x14ac:dyDescent="0.25">
      <c r="A41" s="74" t="s">
        <v>1246</v>
      </c>
      <c r="B41" s="426">
        <f>B26+B35+B40-B28</f>
        <v>131574.56</v>
      </c>
      <c r="C41" s="426">
        <f>C26+C35+C40-C28</f>
        <v>44703.055116799995</v>
      </c>
      <c r="D41" s="426">
        <f>D26+D35+D40-D28</f>
        <v>47344.897382399999</v>
      </c>
      <c r="E41" s="141"/>
      <c r="F41" s="426">
        <f>F26+F35+F40-F28</f>
        <v>50995.189998080001</v>
      </c>
      <c r="G41" s="426">
        <f>G26+G35+G40-G28</f>
        <v>50419.165276159998</v>
      </c>
      <c r="H41" s="426">
        <f>H26+H35+H40-H28</f>
        <v>208269.028915</v>
      </c>
      <c r="I41" s="426">
        <f>I26+I35+I40-I28</f>
        <v>208269.028915</v>
      </c>
    </row>
    <row r="42" spans="1:9" x14ac:dyDescent="0.25">
      <c r="A42" s="4"/>
      <c r="B42" s="142"/>
      <c r="C42" s="142"/>
      <c r="D42" s="142"/>
      <c r="E42" s="142"/>
      <c r="F42" s="142"/>
      <c r="G42" s="142"/>
      <c r="H42" s="142"/>
      <c r="I42" s="14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0FC8C-DA3B-46A1-BE4C-FD0B89C9F735}">
  <dimension ref="A1:I27"/>
  <sheetViews>
    <sheetView workbookViewId="0"/>
  </sheetViews>
  <sheetFormatPr defaultRowHeight="15" x14ac:dyDescent="0.25"/>
  <cols>
    <col min="1" max="1" width="44.85546875" bestFit="1" customWidth="1"/>
    <col min="2" max="8" width="20.28515625" bestFit="1" customWidth="1"/>
  </cols>
  <sheetData>
    <row r="1" spans="1:8" x14ac:dyDescent="0.25">
      <c r="B1" t="s">
        <v>1209</v>
      </c>
      <c r="C1" t="s">
        <v>1209</v>
      </c>
      <c r="D1" t="s">
        <v>1209</v>
      </c>
      <c r="E1" t="s">
        <v>1209</v>
      </c>
      <c r="F1" t="s">
        <v>1209</v>
      </c>
      <c r="G1" t="s">
        <v>1209</v>
      </c>
      <c r="H1" t="s">
        <v>1209</v>
      </c>
    </row>
    <row r="2" spans="1:8" x14ac:dyDescent="0.25">
      <c r="A2" s="110" t="s">
        <v>23</v>
      </c>
      <c r="B2" s="9" t="s">
        <v>23</v>
      </c>
      <c r="C2" s="9" t="s">
        <v>23</v>
      </c>
      <c r="D2" s="9" t="s">
        <v>23</v>
      </c>
      <c r="E2" s="9" t="s">
        <v>23</v>
      </c>
      <c r="F2" s="9" t="s">
        <v>23</v>
      </c>
      <c r="G2" s="9" t="s">
        <v>23</v>
      </c>
      <c r="H2" s="9" t="s">
        <v>23</v>
      </c>
    </row>
    <row r="3" spans="1:8" x14ac:dyDescent="0.25">
      <c r="A3" s="3" t="s">
        <v>1211</v>
      </c>
      <c r="B3" s="123" t="s">
        <v>1212</v>
      </c>
      <c r="C3" s="123" t="s">
        <v>1212</v>
      </c>
      <c r="D3" s="123" t="s">
        <v>1212</v>
      </c>
      <c r="E3" s="123" t="s">
        <v>1212</v>
      </c>
      <c r="F3" s="123" t="s">
        <v>1212</v>
      </c>
      <c r="G3" s="123" t="s">
        <v>1212</v>
      </c>
      <c r="H3" s="123" t="s">
        <v>1212</v>
      </c>
    </row>
    <row r="4" spans="1:8" x14ac:dyDescent="0.25">
      <c r="A4" s="3" t="s">
        <v>1021</v>
      </c>
      <c r="B4" s="123">
        <v>46042</v>
      </c>
      <c r="C4" s="123">
        <v>46043</v>
      </c>
      <c r="D4" s="123">
        <v>46085</v>
      </c>
      <c r="E4" s="123">
        <v>46133</v>
      </c>
      <c r="F4" s="123">
        <v>46139</v>
      </c>
      <c r="G4" s="123">
        <v>46157</v>
      </c>
      <c r="H4" s="123">
        <v>46157</v>
      </c>
    </row>
    <row r="5" spans="1:8" x14ac:dyDescent="0.25">
      <c r="A5" s="3" t="s">
        <v>1213</v>
      </c>
      <c r="B5" s="124" t="s">
        <v>1251</v>
      </c>
      <c r="C5" s="124" t="s">
        <v>300</v>
      </c>
      <c r="D5" s="124" t="s">
        <v>330</v>
      </c>
      <c r="E5" s="124" t="s">
        <v>444</v>
      </c>
      <c r="F5" s="124" t="s">
        <v>446</v>
      </c>
      <c r="G5" s="124" t="s">
        <v>465</v>
      </c>
      <c r="H5" s="124" t="s">
        <v>468</v>
      </c>
    </row>
    <row r="6" spans="1:8" ht="38.25" x14ac:dyDescent="0.25">
      <c r="A6" s="3" t="s">
        <v>103</v>
      </c>
      <c r="B6" s="125" t="s">
        <v>1252</v>
      </c>
      <c r="C6" s="125" t="s">
        <v>190</v>
      </c>
      <c r="D6" s="125" t="s">
        <v>1253</v>
      </c>
      <c r="E6" s="125" t="s">
        <v>445</v>
      </c>
      <c r="F6" s="125" t="s">
        <v>1343</v>
      </c>
      <c r="G6" s="125" t="s">
        <v>466</v>
      </c>
      <c r="H6" s="125" t="s">
        <v>469</v>
      </c>
    </row>
    <row r="7" spans="1:8" x14ac:dyDescent="0.25">
      <c r="A7" s="3" t="s">
        <v>1215</v>
      </c>
      <c r="B7" s="213">
        <v>1316700</v>
      </c>
      <c r="C7" s="213">
        <v>1052825</v>
      </c>
      <c r="D7" s="213">
        <v>3740467.5</v>
      </c>
      <c r="E7" s="213">
        <v>511948.79999999999</v>
      </c>
      <c r="F7" s="377">
        <v>56576</v>
      </c>
      <c r="G7" s="377">
        <v>235200</v>
      </c>
      <c r="H7" s="377">
        <v>66880</v>
      </c>
    </row>
    <row r="8" spans="1:8" x14ac:dyDescent="0.25">
      <c r="A8" s="3" t="s">
        <v>1216</v>
      </c>
      <c r="B8" s="127" t="s">
        <v>139</v>
      </c>
      <c r="C8" s="127" t="s">
        <v>139</v>
      </c>
      <c r="D8" s="127" t="s">
        <v>139</v>
      </c>
      <c r="E8" s="127" t="s">
        <v>139</v>
      </c>
      <c r="F8" s="378" t="s">
        <v>139</v>
      </c>
      <c r="G8" s="378" t="s">
        <v>139</v>
      </c>
      <c r="H8" s="378" t="s">
        <v>139</v>
      </c>
    </row>
    <row r="9" spans="1:8" x14ac:dyDescent="0.25">
      <c r="A9" s="3" t="s">
        <v>996</v>
      </c>
      <c r="B9" s="128">
        <v>93.36</v>
      </c>
      <c r="C9" s="128">
        <v>93.36</v>
      </c>
      <c r="D9" s="128">
        <v>93.74</v>
      </c>
      <c r="E9" s="128">
        <v>95.02</v>
      </c>
      <c r="F9" s="128">
        <v>95.96</v>
      </c>
      <c r="G9" s="128">
        <v>95.94</v>
      </c>
      <c r="H9" s="128">
        <v>99.71</v>
      </c>
    </row>
    <row r="10" spans="1:8" x14ac:dyDescent="0.25">
      <c r="A10" s="3" t="s">
        <v>1217</v>
      </c>
      <c r="B10" s="416">
        <f t="shared" ref="B10:H10" si="0">B7*B9</f>
        <v>122927112</v>
      </c>
      <c r="C10" s="416">
        <f t="shared" si="0"/>
        <v>98291742</v>
      </c>
      <c r="D10" s="416">
        <f t="shared" si="0"/>
        <v>350631423.44999999</v>
      </c>
      <c r="E10" s="416">
        <f t="shared" si="0"/>
        <v>48645374.975999996</v>
      </c>
      <c r="F10" s="416">
        <f t="shared" si="0"/>
        <v>5429032.96</v>
      </c>
      <c r="G10" s="416">
        <f t="shared" si="0"/>
        <v>22565088</v>
      </c>
      <c r="H10" s="416">
        <f t="shared" si="0"/>
        <v>6668604.7999999998</v>
      </c>
    </row>
    <row r="11" spans="1:8" x14ac:dyDescent="0.25">
      <c r="A11" s="3" t="s">
        <v>1218</v>
      </c>
      <c r="B11" s="130">
        <v>0</v>
      </c>
      <c r="C11" s="130">
        <v>0</v>
      </c>
      <c r="D11" s="130">
        <v>0</v>
      </c>
      <c r="E11" s="130">
        <v>0</v>
      </c>
      <c r="F11" s="130">
        <v>0</v>
      </c>
      <c r="G11" s="130">
        <v>0</v>
      </c>
      <c r="H11" s="130">
        <v>0</v>
      </c>
    </row>
    <row r="12" spans="1:8" x14ac:dyDescent="0.25">
      <c r="A12" s="3" t="s">
        <v>1219</v>
      </c>
      <c r="B12" s="416">
        <f t="shared" ref="B12:C12" si="1">B10+(B10*B11)</f>
        <v>122927112</v>
      </c>
      <c r="C12" s="416">
        <f t="shared" si="1"/>
        <v>98291742</v>
      </c>
      <c r="D12" s="416">
        <f t="shared" ref="D12:E12" si="2">D10+(D10*D11)</f>
        <v>350631423.44999999</v>
      </c>
      <c r="E12" s="416">
        <f t="shared" si="2"/>
        <v>48645374.975999996</v>
      </c>
      <c r="F12" s="416">
        <f>F10+(F10*F11)</f>
        <v>5429032.96</v>
      </c>
      <c r="G12" s="416">
        <f>G10+(G10*G11)</f>
        <v>22565088</v>
      </c>
      <c r="H12" s="416">
        <f>H10+(H10*H11)</f>
        <v>6668604.7999999998</v>
      </c>
    </row>
    <row r="13" spans="1:8" x14ac:dyDescent="0.25">
      <c r="A13" s="3" t="s">
        <v>1220</v>
      </c>
      <c r="B13" s="131">
        <v>46042</v>
      </c>
      <c r="C13" s="131">
        <v>46043</v>
      </c>
      <c r="D13" s="131">
        <v>46085</v>
      </c>
      <c r="E13" s="131">
        <v>46133</v>
      </c>
      <c r="F13" s="131">
        <v>46139</v>
      </c>
      <c r="G13" s="131">
        <v>46157</v>
      </c>
      <c r="H13" s="131">
        <v>46157</v>
      </c>
    </row>
    <row r="14" spans="1:8" x14ac:dyDescent="0.25">
      <c r="A14" s="3" t="s">
        <v>1221</v>
      </c>
      <c r="B14" s="131">
        <v>46089</v>
      </c>
      <c r="C14" s="131">
        <v>46084</v>
      </c>
      <c r="D14" s="131">
        <v>46133</v>
      </c>
      <c r="E14" s="131">
        <v>46178</v>
      </c>
      <c r="F14" s="131">
        <v>46183</v>
      </c>
      <c r="G14" s="131">
        <v>46209</v>
      </c>
      <c r="H14" s="131">
        <v>46214</v>
      </c>
    </row>
    <row r="15" spans="1:8" x14ac:dyDescent="0.25">
      <c r="A15" s="3" t="s">
        <v>1222</v>
      </c>
      <c r="B15" s="130">
        <v>0.1</v>
      </c>
      <c r="C15" s="130">
        <v>0.1</v>
      </c>
      <c r="D15" s="130">
        <v>0.1</v>
      </c>
      <c r="E15" s="130">
        <v>0.1</v>
      </c>
      <c r="F15" s="130">
        <v>0.1</v>
      </c>
      <c r="G15" s="130">
        <v>0.1</v>
      </c>
      <c r="H15" s="130">
        <v>0.1</v>
      </c>
    </row>
    <row r="16" spans="1:8" x14ac:dyDescent="0.25">
      <c r="A16" s="3" t="s">
        <v>1223</v>
      </c>
      <c r="B16" s="417">
        <f t="shared" ref="B16:C16" si="3">B12*B15</f>
        <v>12292711.200000001</v>
      </c>
      <c r="C16" s="417">
        <f t="shared" si="3"/>
        <v>9829174.2000000011</v>
      </c>
      <c r="D16" s="417">
        <f t="shared" ref="D16:E16" si="4">D12*D15</f>
        <v>35063142.344999999</v>
      </c>
      <c r="E16" s="417">
        <f t="shared" si="4"/>
        <v>4864537.4975999994</v>
      </c>
      <c r="F16" s="417">
        <f>F12*F15</f>
        <v>542903.29599999997</v>
      </c>
      <c r="G16" s="417">
        <f>G12*G15</f>
        <v>2256508.8000000003</v>
      </c>
      <c r="H16" s="417">
        <f>H12*H15</f>
        <v>666860.48</v>
      </c>
    </row>
    <row r="17" spans="1:9" x14ac:dyDescent="0.25">
      <c r="A17" s="3" t="s">
        <v>1254</v>
      </c>
      <c r="B17" s="417">
        <f t="shared" ref="B17:H17" si="5">B14-B13</f>
        <v>47</v>
      </c>
      <c r="C17" s="417">
        <f t="shared" si="5"/>
        <v>41</v>
      </c>
      <c r="D17" s="417">
        <f t="shared" si="5"/>
        <v>48</v>
      </c>
      <c r="E17" s="417">
        <f t="shared" si="5"/>
        <v>45</v>
      </c>
      <c r="F17" s="417">
        <f t="shared" si="5"/>
        <v>44</v>
      </c>
      <c r="G17" s="417">
        <f t="shared" si="5"/>
        <v>52</v>
      </c>
      <c r="H17" s="417">
        <f t="shared" si="5"/>
        <v>57</v>
      </c>
    </row>
    <row r="18" spans="1:9" x14ac:dyDescent="0.25">
      <c r="A18" s="3" t="s">
        <v>1255</v>
      </c>
      <c r="B18" s="235">
        <v>8.5000000000000006E-3</v>
      </c>
      <c r="C18" s="235">
        <v>8.5000000000000006E-3</v>
      </c>
      <c r="D18" s="235">
        <v>8.5000000000000006E-3</v>
      </c>
      <c r="E18" s="235">
        <v>8.5000000000000006E-3</v>
      </c>
      <c r="F18" s="235">
        <v>8.5000000000000006E-3</v>
      </c>
      <c r="G18" s="235">
        <v>8.5000000000000006E-3</v>
      </c>
      <c r="H18" s="235">
        <v>8.5000000000000006E-3</v>
      </c>
    </row>
    <row r="19" spans="1:9" x14ac:dyDescent="0.25">
      <c r="A19" s="3" t="s">
        <v>1256</v>
      </c>
      <c r="B19" s="127">
        <v>45</v>
      </c>
      <c r="C19" s="127">
        <v>60</v>
      </c>
      <c r="D19" s="127">
        <v>60</v>
      </c>
      <c r="E19" s="127">
        <v>60</v>
      </c>
      <c r="F19" s="378">
        <v>60</v>
      </c>
      <c r="G19" s="378">
        <v>60</v>
      </c>
      <c r="H19" s="378">
        <v>60</v>
      </c>
    </row>
    <row r="20" spans="1:9" x14ac:dyDescent="0.25">
      <c r="A20" s="3" t="s">
        <v>1257</v>
      </c>
      <c r="B20" s="417">
        <f t="shared" ref="B20:H20" si="6">B17+B19</f>
        <v>92</v>
      </c>
      <c r="C20" s="417">
        <f t="shared" si="6"/>
        <v>101</v>
      </c>
      <c r="D20" s="417">
        <f t="shared" si="6"/>
        <v>108</v>
      </c>
      <c r="E20" s="417">
        <f t="shared" si="6"/>
        <v>105</v>
      </c>
      <c r="F20" s="417">
        <f t="shared" si="6"/>
        <v>104</v>
      </c>
      <c r="G20" s="417">
        <f t="shared" si="6"/>
        <v>112</v>
      </c>
      <c r="H20" s="417">
        <f t="shared" si="6"/>
        <v>117</v>
      </c>
    </row>
    <row r="21" spans="1:9" x14ac:dyDescent="0.25">
      <c r="A21" s="239" t="s">
        <v>1258</v>
      </c>
      <c r="B21" s="417">
        <f t="shared" ref="B21:H21" si="7">ROUNDUP(B20/30,0)</f>
        <v>4</v>
      </c>
      <c r="C21" s="417">
        <f t="shared" si="7"/>
        <v>4</v>
      </c>
      <c r="D21" s="417">
        <f t="shared" si="7"/>
        <v>4</v>
      </c>
      <c r="E21" s="417">
        <f t="shared" si="7"/>
        <v>4</v>
      </c>
      <c r="F21" s="417">
        <f t="shared" si="7"/>
        <v>4</v>
      </c>
      <c r="G21" s="417">
        <f t="shared" si="7"/>
        <v>4</v>
      </c>
      <c r="H21" s="417">
        <f t="shared" si="7"/>
        <v>4</v>
      </c>
    </row>
    <row r="22" spans="1:9" x14ac:dyDescent="0.25">
      <c r="A22" s="3" t="s">
        <v>1259</v>
      </c>
      <c r="B22" s="127">
        <v>12</v>
      </c>
      <c r="C22" s="127">
        <v>12</v>
      </c>
      <c r="D22" s="127">
        <v>12</v>
      </c>
      <c r="E22" s="127">
        <v>12</v>
      </c>
      <c r="F22" s="378">
        <v>12</v>
      </c>
      <c r="G22" s="378">
        <v>12</v>
      </c>
      <c r="H22" s="378">
        <v>12</v>
      </c>
    </row>
    <row r="23" spans="1:9" x14ac:dyDescent="0.25">
      <c r="A23" s="379" t="s">
        <v>1230</v>
      </c>
      <c r="B23" s="378">
        <v>0</v>
      </c>
      <c r="C23" s="378">
        <v>0</v>
      </c>
      <c r="D23" s="378">
        <v>0</v>
      </c>
      <c r="E23" s="378">
        <v>1500</v>
      </c>
      <c r="F23" s="378">
        <v>1500</v>
      </c>
      <c r="G23" s="378">
        <v>1500</v>
      </c>
      <c r="H23" s="378">
        <v>1500</v>
      </c>
      <c r="I23" s="380"/>
    </row>
    <row r="24" spans="1:9" x14ac:dyDescent="0.25">
      <c r="A24" s="240" t="s">
        <v>1260</v>
      </c>
      <c r="B24" s="418">
        <f t="shared" ref="B24:H24" si="8">B12*B18*B21/B22+B23</f>
        <v>348293.484</v>
      </c>
      <c r="C24" s="418">
        <f t="shared" si="8"/>
        <v>278493.26900000003</v>
      </c>
      <c r="D24" s="418">
        <f t="shared" si="8"/>
        <v>993455.6997750001</v>
      </c>
      <c r="E24" s="418">
        <f t="shared" si="8"/>
        <v>139328.56243200001</v>
      </c>
      <c r="F24" s="418">
        <f t="shared" si="8"/>
        <v>16882.260053333332</v>
      </c>
      <c r="G24" s="418">
        <f t="shared" si="8"/>
        <v>65434.416000000005</v>
      </c>
      <c r="H24" s="418">
        <f t="shared" si="8"/>
        <v>20394.380266666667</v>
      </c>
    </row>
    <row r="25" spans="1:9" x14ac:dyDescent="0.25">
      <c r="A25" s="237" t="s">
        <v>1261</v>
      </c>
      <c r="B25" s="130">
        <v>0.18</v>
      </c>
      <c r="C25" s="130">
        <v>0.18</v>
      </c>
      <c r="D25" s="130">
        <v>0.18</v>
      </c>
      <c r="E25" s="130">
        <v>0.18</v>
      </c>
      <c r="F25" s="130">
        <v>0.18</v>
      </c>
      <c r="G25" s="130">
        <v>0.18</v>
      </c>
      <c r="H25" s="130">
        <v>0.18</v>
      </c>
    </row>
    <row r="26" spans="1:9" x14ac:dyDescent="0.25">
      <c r="A26" s="237" t="s">
        <v>1262</v>
      </c>
      <c r="B26" s="419">
        <f t="shared" ref="B26:H26" si="9">B24*B25</f>
        <v>62692.827119999994</v>
      </c>
      <c r="C26" s="419">
        <f t="shared" si="9"/>
        <v>50128.788420000004</v>
      </c>
      <c r="D26" s="419">
        <f t="shared" si="9"/>
        <v>178822.02595950002</v>
      </c>
      <c r="E26" s="419">
        <f t="shared" si="9"/>
        <v>25079.141237759999</v>
      </c>
      <c r="F26" s="417">
        <f t="shared" si="9"/>
        <v>3038.8068095999997</v>
      </c>
      <c r="G26" s="417">
        <f t="shared" si="9"/>
        <v>11778.194880000001</v>
      </c>
      <c r="H26" s="417">
        <f t="shared" si="9"/>
        <v>3670.9884480000001</v>
      </c>
    </row>
    <row r="27" spans="1:9" x14ac:dyDescent="0.25">
      <c r="A27" s="238" t="s">
        <v>1263</v>
      </c>
      <c r="B27" s="418">
        <f t="shared" ref="B27:H27" si="10">B24+B26</f>
        <v>410986.31111999997</v>
      </c>
      <c r="C27" s="418">
        <f t="shared" si="10"/>
        <v>328622.05742000003</v>
      </c>
      <c r="D27" s="418">
        <f t="shared" si="10"/>
        <v>1172277.7257345002</v>
      </c>
      <c r="E27" s="418">
        <f t="shared" si="10"/>
        <v>164407.70366976</v>
      </c>
      <c r="F27" s="418">
        <f t="shared" si="10"/>
        <v>19921.06686293333</v>
      </c>
      <c r="G27" s="418">
        <f t="shared" si="10"/>
        <v>77212.610880000007</v>
      </c>
      <c r="H27" s="418">
        <f t="shared" si="10"/>
        <v>24065.368714666667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A8C93-8CB8-4D03-839D-21A057262424}">
  <dimension ref="A1:S4"/>
  <sheetViews>
    <sheetView tabSelected="1" workbookViewId="0">
      <selection sqref="A1:A1048576"/>
    </sheetView>
  </sheetViews>
  <sheetFormatPr defaultRowHeight="15" x14ac:dyDescent="0.25"/>
  <cols>
    <col min="1" max="1" width="6.42578125" bestFit="1" customWidth="1"/>
    <col min="2" max="2" width="6.85546875" bestFit="1" customWidth="1"/>
    <col min="3" max="3" width="22.5703125" bestFit="1" customWidth="1"/>
    <col min="4" max="4" width="17.5703125" bestFit="1" customWidth="1"/>
    <col min="5" max="5" width="7.28515625" bestFit="1" customWidth="1"/>
    <col min="6" max="6" width="14.7109375" bestFit="1" customWidth="1"/>
    <col min="7" max="7" width="7.7109375" bestFit="1" customWidth="1"/>
    <col min="8" max="9" width="10.42578125" bestFit="1" customWidth="1"/>
    <col min="10" max="10" width="13.140625" bestFit="1" customWidth="1"/>
    <col min="11" max="11" width="6.140625" bestFit="1" customWidth="1"/>
    <col min="12" max="12" width="14.7109375" bestFit="1" customWidth="1"/>
    <col min="13" max="13" width="13.42578125" bestFit="1" customWidth="1"/>
    <col min="14" max="14" width="12.5703125" bestFit="1" customWidth="1"/>
    <col min="15" max="15" width="8.42578125" bestFit="1" customWidth="1"/>
    <col min="16" max="17" width="10.7109375" bestFit="1" customWidth="1"/>
    <col min="18" max="18" width="8.5703125" bestFit="1" customWidth="1"/>
    <col min="19" max="19" width="10.42578125" bestFit="1" customWidth="1"/>
  </cols>
  <sheetData>
    <row r="1" spans="1:19" ht="30" x14ac:dyDescent="0.25">
      <c r="A1" s="19" t="s">
        <v>635</v>
      </c>
      <c r="B1" s="19" t="s">
        <v>101</v>
      </c>
      <c r="C1" s="19" t="s">
        <v>636</v>
      </c>
      <c r="D1" s="19" t="s">
        <v>763</v>
      </c>
      <c r="E1" s="20" t="s">
        <v>110</v>
      </c>
      <c r="F1" s="21" t="s">
        <v>638</v>
      </c>
      <c r="G1" s="22" t="s">
        <v>102</v>
      </c>
      <c r="H1" s="20" t="s">
        <v>639</v>
      </c>
      <c r="I1" s="20" t="s">
        <v>640</v>
      </c>
      <c r="J1" s="23" t="s">
        <v>764</v>
      </c>
      <c r="K1" s="24" t="s">
        <v>1264</v>
      </c>
      <c r="L1" s="25" t="s">
        <v>1265</v>
      </c>
      <c r="M1" s="26" t="s">
        <v>1266</v>
      </c>
      <c r="N1" s="27" t="s">
        <v>1267</v>
      </c>
      <c r="O1" s="27" t="s">
        <v>1268</v>
      </c>
      <c r="P1" s="27" t="s">
        <v>1269</v>
      </c>
      <c r="Q1" s="27" t="s">
        <v>879</v>
      </c>
      <c r="R1" s="27" t="s">
        <v>767</v>
      </c>
      <c r="S1" s="27" t="s">
        <v>1270</v>
      </c>
    </row>
    <row r="2" spans="1:19" x14ac:dyDescent="0.25">
      <c r="A2" s="18">
        <f>A25+1</f>
        <v>1</v>
      </c>
      <c r="B2" s="18" t="s">
        <v>1015</v>
      </c>
      <c r="C2" s="18" t="s">
        <v>1271</v>
      </c>
      <c r="D2" s="18" t="s">
        <v>1272</v>
      </c>
      <c r="E2" s="28" t="s">
        <v>1273</v>
      </c>
      <c r="F2" s="48">
        <v>3517000</v>
      </c>
      <c r="G2" s="29">
        <v>1</v>
      </c>
      <c r="H2" s="30">
        <v>45544</v>
      </c>
      <c r="I2" s="30">
        <v>46271</v>
      </c>
      <c r="J2" s="55">
        <v>60505327277</v>
      </c>
      <c r="K2" s="31">
        <v>7.1499999999999994E-2</v>
      </c>
      <c r="L2" s="145">
        <v>3517500</v>
      </c>
      <c r="M2" s="33">
        <f>N2-L2</f>
        <v>486286</v>
      </c>
      <c r="N2" s="32">
        <v>4003786</v>
      </c>
      <c r="O2" s="34" t="s">
        <v>1274</v>
      </c>
      <c r="P2" s="35">
        <v>45544</v>
      </c>
      <c r="Q2" s="35">
        <v>46210</v>
      </c>
      <c r="R2" s="49" t="s">
        <v>772</v>
      </c>
      <c r="S2" s="3"/>
    </row>
    <row r="3" spans="1:19" x14ac:dyDescent="0.25">
      <c r="A3" s="18">
        <v>2</v>
      </c>
      <c r="B3" s="18" t="s">
        <v>1015</v>
      </c>
      <c r="C3" s="18" t="s">
        <v>1275</v>
      </c>
      <c r="D3" s="18" t="s">
        <v>1276</v>
      </c>
      <c r="E3" s="28" t="s">
        <v>816</v>
      </c>
      <c r="F3" s="48">
        <v>115360000</v>
      </c>
      <c r="G3" s="29">
        <v>1</v>
      </c>
      <c r="H3" s="30">
        <v>45883</v>
      </c>
      <c r="I3" s="30">
        <v>46122</v>
      </c>
      <c r="J3" s="55"/>
      <c r="K3" s="31"/>
      <c r="L3" s="145">
        <v>115360000</v>
      </c>
      <c r="M3" s="33"/>
      <c r="N3" s="32">
        <v>0</v>
      </c>
      <c r="O3" s="34"/>
      <c r="P3" s="35">
        <v>45883</v>
      </c>
      <c r="Q3" s="35"/>
      <c r="R3" s="49" t="s">
        <v>715</v>
      </c>
      <c r="S3" s="89">
        <v>45889</v>
      </c>
    </row>
    <row r="4" spans="1:19" x14ac:dyDescent="0.25">
      <c r="A4" s="18">
        <v>3</v>
      </c>
      <c r="B4" s="18" t="s">
        <v>1015</v>
      </c>
      <c r="C4" s="18" t="s">
        <v>1275</v>
      </c>
      <c r="D4" s="18" t="s">
        <v>1277</v>
      </c>
      <c r="E4" s="28" t="s">
        <v>816</v>
      </c>
      <c r="F4" s="48">
        <v>115360000</v>
      </c>
      <c r="G4" s="29">
        <v>1</v>
      </c>
      <c r="H4" s="30">
        <v>45917</v>
      </c>
      <c r="I4" s="30">
        <v>46145</v>
      </c>
      <c r="J4" s="55">
        <v>606548624543</v>
      </c>
      <c r="K4" s="31">
        <v>5.5E-2</v>
      </c>
      <c r="L4" s="145">
        <v>115360000</v>
      </c>
      <c r="M4" s="33">
        <f>N4-L4</f>
        <v>3963327</v>
      </c>
      <c r="N4" s="32">
        <v>119323327</v>
      </c>
      <c r="O4" s="34" t="s">
        <v>1278</v>
      </c>
      <c r="P4" s="35">
        <v>45917</v>
      </c>
      <c r="Q4" s="35">
        <v>46145</v>
      </c>
      <c r="R4" s="49" t="s">
        <v>715</v>
      </c>
      <c r="S4" s="89">
        <v>45976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c2872b0-be3b-44b4-9792-792737dbd79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F09089F9C0FC4EB8307CBC535C98B0" ma:contentTypeVersion="10" ma:contentTypeDescription="Create a new document." ma:contentTypeScope="" ma:versionID="8c2b72a2a7794ab1840cc2f5984c7433">
  <xsd:schema xmlns:xsd="http://www.w3.org/2001/XMLSchema" xmlns:xs="http://www.w3.org/2001/XMLSchema" xmlns:p="http://schemas.microsoft.com/office/2006/metadata/properties" xmlns:ns3="9c2872b0-be3b-44b4-9792-792737dbd79a" targetNamespace="http://schemas.microsoft.com/office/2006/metadata/properties" ma:root="true" ma:fieldsID="c7d940c494327926c5be65fe207f2b6f" ns3:_="">
    <xsd:import namespace="9c2872b0-be3b-44b4-9792-792737dbd79a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2872b0-be3b-44b4-9792-792737dbd79a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7437F1-E4B3-4130-B566-284243B3A7DA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9c2872b0-be3b-44b4-9792-792737dbd79a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39A66-CEE4-4AC3-8822-9978F0F469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451ECF-BF13-4280-936D-CE6252B180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2872b0-be3b-44b4-9792-792737dbd7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C_Outstanding Payment</vt:lpstr>
      <vt:lpstr>C_Limit Available_Planning</vt:lpstr>
      <vt:lpstr>LC-Summary</vt:lpstr>
      <vt:lpstr>DAILY UPDATE SHEET</vt:lpstr>
      <vt:lpstr>SBLC</vt:lpstr>
      <vt:lpstr>Day wise</vt:lpstr>
      <vt:lpstr>LC-Final List</vt:lpstr>
      <vt:lpstr>Due Import Payment list rate</vt:lpstr>
      <vt:lpstr>LC BG in Process</vt:lpstr>
      <vt:lpstr>supplier Bank Guarantee</vt:lpstr>
      <vt:lpstr>Bank Guarantee</vt:lpstr>
      <vt:lpstr>FDR List</vt:lpstr>
      <vt:lpstr>GREW FDI DETAILS</vt:lpstr>
      <vt:lpstr>CREPL FDI Details</vt:lpstr>
      <vt:lpstr>Customer LC Details</vt:lpstr>
      <vt:lpstr>BG Charges calculation</vt:lpstr>
      <vt:lpstr>SBI Import LC Charges</vt:lpstr>
      <vt:lpstr>BOI IMPORT LC CHARGES</vt:lpstr>
      <vt:lpstr>IDBI IMPORT LC CHARGES</vt:lpstr>
      <vt:lpstr>Grew Renewable BG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Hemang Soni</dc:creator>
  <cp:keywords/>
  <dc:description/>
  <cp:lastModifiedBy>Navneet Chaudhary</cp:lastModifiedBy>
  <cp:revision/>
  <dcterms:created xsi:type="dcterms:W3CDTF">2023-12-02T10:41:46Z</dcterms:created>
  <dcterms:modified xsi:type="dcterms:W3CDTF">2026-06-05T15:45:46Z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0x01010064F09089F9C0FC4EB8307CBC535C98B0</vt:lpwstr>
  </property>
</Properties>
</file>