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CAFTA Case Championship\Final Solution\"/>
    </mc:Choice>
  </mc:AlternateContent>
  <xr:revisionPtr revIDLastSave="0" documentId="13_ncr:1_{7FF042A6-8EA3-4096-A527-E2D3863E6EC5}" xr6:coauthVersionLast="47" xr6:coauthVersionMax="47" xr10:uidLastSave="{00000000-0000-0000-0000-000000000000}"/>
  <bookViews>
    <workbookView xWindow="-110" yWindow="-110" windowWidth="19420" windowHeight="11020" xr2:uid="{94251E15-A838-4C31-A9B2-02AC12198988}"/>
  </bookViews>
  <sheets>
    <sheet name="&lt; 3 days" sheetId="2" r:id="rId1"/>
    <sheet name="3-7 days" sheetId="3" r:id="rId2"/>
    <sheet name="7-30 days" sheetId="4" r:id="rId3"/>
    <sheet name="1-3 months" sheetId="5" r:id="rId4"/>
    <sheet name="3-6 months" sheetId="6" r:id="rId5"/>
    <sheet name="6-12 months" sheetId="7" r:id="rId6"/>
    <sheet name="1-3 year" sheetId="8" r:id="rId7"/>
    <sheet name="Fundamental Analysis - IndusInd" sheetId="9" r:id="rId8"/>
  </sheets>
  <definedNames>
    <definedName name="goldret">#REF!</definedName>
    <definedName name="HCFR">'1-3 year'!$R$5:$R$63</definedName>
    <definedName name="HCRFret">'1-3 year'!$R$5:$R$39</definedName>
    <definedName name="HEF">'1-3 year'!$Z$5:$Z$63</definedName>
    <definedName name="HEFret">'1-3 year'!$Z$5:$Z$39</definedName>
    <definedName name="HGE">'1-3 year'!$X$5:$X$63</definedName>
    <definedName name="HGEret">'1-3 year'!$X$5:$X$39</definedName>
    <definedName name="HLF">'1-3 year'!$U$5:$U$63</definedName>
    <definedName name="HLFret">'1-3 year'!$U$5:$U$39</definedName>
    <definedName name="ICFR">'1-3 year'!$Q$5:$Q$63</definedName>
    <definedName name="ICFRret">'1-3 year'!$Q$5:$Q$63</definedName>
    <definedName name="ICRFret">'1-3 year'!$Q$5:$Q$39</definedName>
    <definedName name="ILF">'1-3 year'!$T$5:$T$63</definedName>
    <definedName name="ILFret">'1-3 year'!$T$5:$T$39</definedName>
    <definedName name="IM">'1-3 year'!$Y$5:$Y$63</definedName>
    <definedName name="IMret">'1-3 year'!$Y$5:$Y$39</definedName>
    <definedName name="indusret">#REF!</definedName>
    <definedName name="magnumret">#REF!</definedName>
    <definedName name="nifty50ret">#REF!</definedName>
    <definedName name="SCFR">'1-3 year'!$S$5:$S$63</definedName>
    <definedName name="SCRFret">'1-3 year'!$S$5:$S$39</definedName>
    <definedName name="SLF">'1-3 year'!$V$5:$V$63</definedName>
    <definedName name="SLFret">'1-3 year'!$V$5:$V$39</definedName>
    <definedName name="SMM">'1-3 year'!$AA$5:$AA$63</definedName>
    <definedName name="SMMret">'1-3 year'!$AA$5:$AA$39</definedName>
    <definedName name="SN50ETF">'1-3 year'!$W$5:$W$63</definedName>
    <definedName name="SN50ret">'1-3 year'!$W$5:$W$39</definedName>
    <definedName name="solver_adj" localSheetId="3" hidden="1">'1-3 months'!$AI$36:$AI$46</definedName>
    <definedName name="solver_adj" localSheetId="6" hidden="1">'1-3 year'!$AI$36:$AI$46</definedName>
    <definedName name="solver_adj" localSheetId="4" hidden="1">'3-6 months'!$AI$36:$AI$46</definedName>
    <definedName name="solver_adj" localSheetId="5" hidden="1">'6-12 months'!$AI$36:$AI$46</definedName>
    <definedName name="solver_adj" localSheetId="2" hidden="1">'7-30 days'!$AI$36:$AI$46</definedName>
    <definedName name="solver_cvg" localSheetId="3" hidden="1">0.0001</definedName>
    <definedName name="solver_cvg" localSheetId="6" hidden="1">0.0001</definedName>
    <definedName name="solver_cvg" localSheetId="4" hidden="1">0.0001</definedName>
    <definedName name="solver_cvg" localSheetId="5" hidden="1">0.0001</definedName>
    <definedName name="solver_cvg" localSheetId="2" hidden="1">0.0001</definedName>
    <definedName name="solver_drv" localSheetId="3" hidden="1">1</definedName>
    <definedName name="solver_drv" localSheetId="6" hidden="1">1</definedName>
    <definedName name="solver_drv" localSheetId="4" hidden="1">1</definedName>
    <definedName name="solver_drv" localSheetId="5" hidden="1">1</definedName>
    <definedName name="solver_drv" localSheetId="2" hidden="1">1</definedName>
    <definedName name="solver_eng" localSheetId="3" hidden="1">1</definedName>
    <definedName name="solver_eng" localSheetId="6" hidden="1">1</definedName>
    <definedName name="solver_eng" localSheetId="4" hidden="1">1</definedName>
    <definedName name="solver_eng" localSheetId="5" hidden="1">1</definedName>
    <definedName name="solver_eng" localSheetId="2" hidden="1">1</definedName>
    <definedName name="solver_est" localSheetId="3" hidden="1">1</definedName>
    <definedName name="solver_est" localSheetId="6" hidden="1">1</definedName>
    <definedName name="solver_est" localSheetId="4" hidden="1">1</definedName>
    <definedName name="solver_est" localSheetId="5" hidden="1">1</definedName>
    <definedName name="solver_est" localSheetId="2" hidden="1">1</definedName>
    <definedName name="solver_itr" localSheetId="3" hidden="1">2147483647</definedName>
    <definedName name="solver_itr" localSheetId="6" hidden="1">2147483647</definedName>
    <definedName name="solver_itr" localSheetId="4" hidden="1">2147483647</definedName>
    <definedName name="solver_itr" localSheetId="5" hidden="1">2147483647</definedName>
    <definedName name="solver_itr" localSheetId="2" hidden="1">2147483647</definedName>
    <definedName name="solver_lhs1" localSheetId="3" hidden="1">'1-3 months'!$AI$49</definedName>
    <definedName name="solver_lhs1" localSheetId="6" hidden="1">'1-3 year'!$AI$36</definedName>
    <definedName name="solver_lhs1" localSheetId="4" hidden="1">'3-6 months'!$AI$36</definedName>
    <definedName name="solver_lhs1" localSheetId="5" hidden="1">'6-12 months'!$AI$49</definedName>
    <definedName name="solver_lhs1" localSheetId="2" hidden="1">'7-30 days'!$AI$49</definedName>
    <definedName name="solver_lhs2" localSheetId="3" hidden="1">'1-3 months'!$AL$44</definedName>
    <definedName name="solver_lhs2" localSheetId="6" hidden="1">'1-3 year'!$AI$49</definedName>
    <definedName name="solver_lhs2" localSheetId="4" hidden="1">'3-6 months'!$AI$37</definedName>
    <definedName name="solver_lhs2" localSheetId="5" hidden="1">'6-12 months'!$AL$42</definedName>
    <definedName name="solver_lhs2" localSheetId="2" hidden="1">'7-30 days'!$AL$42</definedName>
    <definedName name="solver_lhs3" localSheetId="3" hidden="1">'1-3 months'!$AL$45</definedName>
    <definedName name="solver_lhs3" localSheetId="6" hidden="1">'1-3 year'!$AL$42</definedName>
    <definedName name="solver_lhs3" localSheetId="4" hidden="1">'3-6 months'!$AI$44</definedName>
    <definedName name="solver_lhs3" localSheetId="5" hidden="1">'6-12 months'!$AL$43</definedName>
    <definedName name="solver_lhs3" localSheetId="2" hidden="1">'7-30 days'!$AL$43</definedName>
    <definedName name="solver_lhs4" localSheetId="6" hidden="1">'1-3 year'!$AL$44</definedName>
    <definedName name="solver_lhs4" localSheetId="4" hidden="1">'3-6 months'!$AI$49</definedName>
    <definedName name="solver_lhs4" localSheetId="5" hidden="1">'6-12 months'!$AL$44</definedName>
    <definedName name="solver_lhs5" localSheetId="6" hidden="1">'1-3 year'!$AL$45</definedName>
    <definedName name="solver_lhs5" localSheetId="4" hidden="1">'3-6 months'!$AL$42</definedName>
    <definedName name="solver_lhs6" localSheetId="4" hidden="1">'3-6 months'!$AL$44</definedName>
    <definedName name="solver_lhs7" localSheetId="4" hidden="1">'3-6 months'!$AL$45</definedName>
    <definedName name="solver_mip" localSheetId="3" hidden="1">2147483647</definedName>
    <definedName name="solver_mip" localSheetId="6" hidden="1">2147483647</definedName>
    <definedName name="solver_mip" localSheetId="4" hidden="1">2147483647</definedName>
    <definedName name="solver_mip" localSheetId="5" hidden="1">2147483647</definedName>
    <definedName name="solver_mip" localSheetId="2" hidden="1">2147483647</definedName>
    <definedName name="solver_mni" localSheetId="3" hidden="1">30</definedName>
    <definedName name="solver_mni" localSheetId="6" hidden="1">30</definedName>
    <definedName name="solver_mni" localSheetId="4" hidden="1">30</definedName>
    <definedName name="solver_mni" localSheetId="5" hidden="1">30</definedName>
    <definedName name="solver_mni" localSheetId="2" hidden="1">30</definedName>
    <definedName name="solver_mrt" localSheetId="3" hidden="1">0.075</definedName>
    <definedName name="solver_mrt" localSheetId="6" hidden="1">0.075</definedName>
    <definedName name="solver_mrt" localSheetId="4" hidden="1">0.075</definedName>
    <definedName name="solver_mrt" localSheetId="5" hidden="1">0.075</definedName>
    <definedName name="solver_mrt" localSheetId="2" hidden="1">0.075</definedName>
    <definedName name="solver_msl" localSheetId="3" hidden="1">2</definedName>
    <definedName name="solver_msl" localSheetId="6" hidden="1">2</definedName>
    <definedName name="solver_msl" localSheetId="4" hidden="1">2</definedName>
    <definedName name="solver_msl" localSheetId="5" hidden="1">2</definedName>
    <definedName name="solver_msl" localSheetId="2" hidden="1">2</definedName>
    <definedName name="solver_neg" localSheetId="3" hidden="1">1</definedName>
    <definedName name="solver_neg" localSheetId="6" hidden="1">1</definedName>
    <definedName name="solver_neg" localSheetId="4" hidden="1">1</definedName>
    <definedName name="solver_neg" localSheetId="5" hidden="1">1</definedName>
    <definedName name="solver_neg" localSheetId="2" hidden="1">1</definedName>
    <definedName name="solver_nod" localSheetId="3" hidden="1">2147483647</definedName>
    <definedName name="solver_nod" localSheetId="6" hidden="1">2147483647</definedName>
    <definedName name="solver_nod" localSheetId="4" hidden="1">2147483647</definedName>
    <definedName name="solver_nod" localSheetId="5" hidden="1">2147483647</definedName>
    <definedName name="solver_nod" localSheetId="2" hidden="1">2147483647</definedName>
    <definedName name="solver_num" localSheetId="3" hidden="1">3</definedName>
    <definedName name="solver_num" localSheetId="6" hidden="1">4</definedName>
    <definedName name="solver_num" localSheetId="4" hidden="1">7</definedName>
    <definedName name="solver_num" localSheetId="5" hidden="1">4</definedName>
    <definedName name="solver_num" localSheetId="2" hidden="1">2</definedName>
    <definedName name="solver_nwt" localSheetId="3" hidden="1">1</definedName>
    <definedName name="solver_nwt" localSheetId="6" hidden="1">1</definedName>
    <definedName name="solver_nwt" localSheetId="4" hidden="1">1</definedName>
    <definedName name="solver_nwt" localSheetId="5" hidden="1">1</definedName>
    <definedName name="solver_nwt" localSheetId="2" hidden="1">1</definedName>
    <definedName name="solver_opt" localSheetId="3" hidden="1">'1-3 months'!$AI$52</definedName>
    <definedName name="solver_opt" localSheetId="6" hidden="1">'1-3 year'!$AI$52</definedName>
    <definedName name="solver_opt" localSheetId="4" hidden="1">'3-6 months'!$AI$52</definedName>
    <definedName name="solver_opt" localSheetId="5" hidden="1">'6-12 months'!$AI$52</definedName>
    <definedName name="solver_opt" localSheetId="2" hidden="1">'7-30 days'!$AI$52</definedName>
    <definedName name="solver_pre" localSheetId="3" hidden="1">0.000001</definedName>
    <definedName name="solver_pre" localSheetId="6" hidden="1">0.000001</definedName>
    <definedName name="solver_pre" localSheetId="4" hidden="1">0.000001</definedName>
    <definedName name="solver_pre" localSheetId="5" hidden="1">0.000001</definedName>
    <definedName name="solver_pre" localSheetId="2" hidden="1">0.000001</definedName>
    <definedName name="solver_rbv" localSheetId="3" hidden="1">1</definedName>
    <definedName name="solver_rbv" localSheetId="6" hidden="1">1</definedName>
    <definedName name="solver_rbv" localSheetId="4" hidden="1">1</definedName>
    <definedName name="solver_rbv" localSheetId="5" hidden="1">1</definedName>
    <definedName name="solver_rbv" localSheetId="2" hidden="1">1</definedName>
    <definedName name="solver_rel1" localSheetId="3" hidden="1">2</definedName>
    <definedName name="solver_rel1" localSheetId="6" hidden="1">3</definedName>
    <definedName name="solver_rel1" localSheetId="4" hidden="1">3</definedName>
    <definedName name="solver_rel1" localSheetId="5" hidden="1">2</definedName>
    <definedName name="solver_rel1" localSheetId="2" hidden="1">2</definedName>
    <definedName name="solver_rel2" localSheetId="3" hidden="1">3</definedName>
    <definedName name="solver_rel2" localSheetId="6" hidden="1">2</definedName>
    <definedName name="solver_rel2" localSheetId="4" hidden="1">3</definedName>
    <definedName name="solver_rel2" localSheetId="5" hidden="1">3</definedName>
    <definedName name="solver_rel2" localSheetId="2" hidden="1">2</definedName>
    <definedName name="solver_rel3" localSheetId="3" hidden="1">2</definedName>
    <definedName name="solver_rel3" localSheetId="6" hidden="1">3</definedName>
    <definedName name="solver_rel3" localSheetId="4" hidden="1">3</definedName>
    <definedName name="solver_rel3" localSheetId="5" hidden="1">2</definedName>
    <definedName name="solver_rel3" localSheetId="2" hidden="1">2</definedName>
    <definedName name="solver_rel4" localSheetId="6" hidden="1">3</definedName>
    <definedName name="solver_rel4" localSheetId="4" hidden="1">2</definedName>
    <definedName name="solver_rel4" localSheetId="5" hidden="1">3</definedName>
    <definedName name="solver_rel5" localSheetId="6" hidden="1">3</definedName>
    <definedName name="solver_rel5" localSheetId="4" hidden="1">2</definedName>
    <definedName name="solver_rel6" localSheetId="4" hidden="1">2</definedName>
    <definedName name="solver_rel7" localSheetId="4" hidden="1">2</definedName>
    <definedName name="solver_rhs1" localSheetId="3" hidden="1">1</definedName>
    <definedName name="solver_rhs1" localSheetId="6" hidden="1">0.1</definedName>
    <definedName name="solver_rhs1" localSheetId="4" hidden="1">0.1</definedName>
    <definedName name="solver_rhs1" localSheetId="5" hidden="1">1</definedName>
    <definedName name="solver_rhs1" localSheetId="2" hidden="1">1</definedName>
    <definedName name="solver_rhs2" localSheetId="3" hidden="1">0.05</definedName>
    <definedName name="solver_rhs2" localSheetId="6" hidden="1">1</definedName>
    <definedName name="solver_rhs2" localSheetId="4" hidden="1">0.1</definedName>
    <definedName name="solver_rhs2" localSheetId="5" hidden="1">0.1</definedName>
    <definedName name="solver_rhs2" localSheetId="2" hidden="1">0</definedName>
    <definedName name="solver_rhs3" localSheetId="3" hidden="1">0</definedName>
    <definedName name="solver_rhs3" localSheetId="6" hidden="1">0.2</definedName>
    <definedName name="solver_rhs3" localSheetId="4" hidden="1">0.1</definedName>
    <definedName name="solver_rhs3" localSheetId="5" hidden="1">0</definedName>
    <definedName name="solver_rhs3" localSheetId="2" hidden="1">1</definedName>
    <definedName name="solver_rhs4" localSheetId="6" hidden="1">0.2</definedName>
    <definedName name="solver_rhs4" localSheetId="4" hidden="1">1</definedName>
    <definedName name="solver_rhs4" localSheetId="5" hidden="1">0.4</definedName>
    <definedName name="solver_rhs5" localSheetId="6" hidden="1">0.2</definedName>
    <definedName name="solver_rhs5" localSheetId="4" hidden="1">0.4</definedName>
    <definedName name="solver_rhs6" localSheetId="4" hidden="1">0.3</definedName>
    <definedName name="solver_rhs7" localSheetId="4" hidden="1">0.3</definedName>
    <definedName name="solver_rlx" localSheetId="3" hidden="1">2</definedName>
    <definedName name="solver_rlx" localSheetId="6" hidden="1">2</definedName>
    <definedName name="solver_rlx" localSheetId="4" hidden="1">2</definedName>
    <definedName name="solver_rlx" localSheetId="5" hidden="1">2</definedName>
    <definedName name="solver_rlx" localSheetId="2" hidden="1">2</definedName>
    <definedName name="solver_rsd" localSheetId="3" hidden="1">0</definedName>
    <definedName name="solver_rsd" localSheetId="6" hidden="1">0</definedName>
    <definedName name="solver_rsd" localSheetId="4" hidden="1">0</definedName>
    <definedName name="solver_rsd" localSheetId="5" hidden="1">0</definedName>
    <definedName name="solver_rsd" localSheetId="2" hidden="1">0</definedName>
    <definedName name="solver_scl" localSheetId="3" hidden="1">1</definedName>
    <definedName name="solver_scl" localSheetId="6" hidden="1">1</definedName>
    <definedName name="solver_scl" localSheetId="4" hidden="1">1</definedName>
    <definedName name="solver_scl" localSheetId="5" hidden="1">1</definedName>
    <definedName name="solver_scl" localSheetId="2" hidden="1">1</definedName>
    <definedName name="solver_sho" localSheetId="3" hidden="1">2</definedName>
    <definedName name="solver_sho" localSheetId="6" hidden="1">2</definedName>
    <definedName name="solver_sho" localSheetId="4" hidden="1">2</definedName>
    <definedName name="solver_sho" localSheetId="5" hidden="1">2</definedName>
    <definedName name="solver_sho" localSheetId="2" hidden="1">2</definedName>
    <definedName name="solver_ssz" localSheetId="3" hidden="1">100</definedName>
    <definedName name="solver_ssz" localSheetId="6" hidden="1">100</definedName>
    <definedName name="solver_ssz" localSheetId="4" hidden="1">100</definedName>
    <definedName name="solver_ssz" localSheetId="5" hidden="1">100</definedName>
    <definedName name="solver_ssz" localSheetId="2" hidden="1">100</definedName>
    <definedName name="solver_tim" localSheetId="3" hidden="1">2147483647</definedName>
    <definedName name="solver_tim" localSheetId="6" hidden="1">2147483647</definedName>
    <definedName name="solver_tim" localSheetId="4" hidden="1">2147483647</definedName>
    <definedName name="solver_tim" localSheetId="5" hidden="1">2147483647</definedName>
    <definedName name="solver_tim" localSheetId="2" hidden="1">2147483647</definedName>
    <definedName name="solver_tol" localSheetId="3" hidden="1">0.01</definedName>
    <definedName name="solver_tol" localSheetId="6" hidden="1">0.01</definedName>
    <definedName name="solver_tol" localSheetId="4" hidden="1">0.01</definedName>
    <definedName name="solver_tol" localSheetId="5" hidden="1">0.01</definedName>
    <definedName name="solver_tol" localSheetId="2" hidden="1">0.01</definedName>
    <definedName name="solver_typ" localSheetId="3" hidden="1">1</definedName>
    <definedName name="solver_typ" localSheetId="6" hidden="1">1</definedName>
    <definedName name="solver_typ" localSheetId="4" hidden="1">1</definedName>
    <definedName name="solver_typ" localSheetId="5" hidden="1">1</definedName>
    <definedName name="solver_typ" localSheetId="2" hidden="1">1</definedName>
    <definedName name="solver_val" localSheetId="3" hidden="1">0</definedName>
    <definedName name="solver_val" localSheetId="6" hidden="1">0</definedName>
    <definedName name="solver_val" localSheetId="4" hidden="1">0</definedName>
    <definedName name="solver_val" localSheetId="5" hidden="1">0</definedName>
    <definedName name="solver_val" localSheetId="2" hidden="1">0</definedName>
    <definedName name="solver_ver" localSheetId="3" hidden="1">3</definedName>
    <definedName name="solver_ver" localSheetId="6" hidden="1">3</definedName>
    <definedName name="solver_ver" localSheetId="4" hidden="1">3</definedName>
    <definedName name="solver_ver" localSheetId="5" hidden="1">3</definedName>
    <definedName name="solver_ver" localSheetId="2" hidden="1">3</definedName>
    <definedName name="UTIret">'1-3 year'!$AB$5:$AB$39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S38" i="6" l="1"/>
  <c r="AO43" i="8"/>
  <c r="AM7" i="6" l="1"/>
  <c r="AM5" i="6"/>
  <c r="B45" i="9" l="1"/>
  <c r="B48" i="9" s="1"/>
  <c r="F39" i="9"/>
  <c r="B42" i="9" s="1"/>
  <c r="E39" i="9"/>
  <c r="D39" i="9"/>
  <c r="C39" i="9"/>
  <c r="B39" i="9"/>
  <c r="B34" i="9"/>
  <c r="B35" i="9" s="1"/>
  <c r="B36" i="9" s="1"/>
  <c r="B31" i="9"/>
  <c r="B22" i="9"/>
  <c r="B21" i="9"/>
  <c r="B14" i="9"/>
  <c r="B13" i="9"/>
  <c r="B15" i="9" s="1"/>
  <c r="Q12" i="9"/>
  <c r="Q11" i="9"/>
  <c r="Q10" i="9"/>
  <c r="B10" i="9"/>
  <c r="B16" i="9" s="1"/>
  <c r="Q9" i="9"/>
  <c r="B9" i="9"/>
  <c r="Q8" i="9"/>
  <c r="Q7" i="9"/>
  <c r="Q6" i="9"/>
  <c r="Q14" i="9" s="1"/>
  <c r="Q5" i="9"/>
  <c r="Q4" i="9"/>
  <c r="C45" i="9" l="1"/>
  <c r="C48" i="9" l="1"/>
  <c r="B51" i="9" s="1"/>
  <c r="B52" i="9" s="1"/>
  <c r="D45" i="9"/>
  <c r="D48" i="9" s="1"/>
  <c r="AI50" i="5" l="1" a="1"/>
  <c r="AI50" i="5" s="1"/>
  <c r="AO40" i="6" l="1"/>
  <c r="AP40" i="6" s="1"/>
  <c r="AO37" i="6"/>
  <c r="AP37" i="6" s="1"/>
  <c r="D20" i="2" l="1"/>
  <c r="D9" i="2"/>
  <c r="D7" i="3"/>
  <c r="D8" i="3"/>
  <c r="D9" i="3"/>
  <c r="D10" i="3"/>
  <c r="D11" i="3"/>
  <c r="D12" i="3"/>
  <c r="D13" i="3"/>
  <c r="D6" i="3"/>
  <c r="E16" i="3"/>
  <c r="AT41" i="4"/>
  <c r="AT40" i="4"/>
  <c r="AT39" i="4"/>
  <c r="E3" i="3"/>
  <c r="AS38" i="7"/>
  <c r="AW15" i="6"/>
  <c r="AV15" i="6"/>
  <c r="AU15" i="6"/>
  <c r="AT15" i="6"/>
  <c r="AS15" i="6"/>
  <c r="AR15" i="6"/>
  <c r="AQ15" i="6"/>
  <c r="AP15" i="6"/>
  <c r="AO15" i="6"/>
  <c r="AN15" i="6"/>
  <c r="AM15" i="6"/>
  <c r="AW14" i="6"/>
  <c r="AV14" i="6"/>
  <c r="AU14" i="6"/>
  <c r="AT14" i="6"/>
  <c r="AS14" i="6"/>
  <c r="AR14" i="6"/>
  <c r="AQ14" i="6"/>
  <c r="AP14" i="6"/>
  <c r="AO14" i="6"/>
  <c r="AN14" i="6"/>
  <c r="AM14" i="6"/>
  <c r="AW13" i="6"/>
  <c r="AV13" i="6"/>
  <c r="AU13" i="6"/>
  <c r="AT13" i="6"/>
  <c r="AS13" i="6"/>
  <c r="AR13" i="6"/>
  <c r="AQ13" i="6"/>
  <c r="AP13" i="6"/>
  <c r="AO13" i="6"/>
  <c r="AN13" i="6"/>
  <c r="AM13" i="6"/>
  <c r="AW12" i="6"/>
  <c r="AV12" i="6"/>
  <c r="AU12" i="6"/>
  <c r="AT12" i="6"/>
  <c r="AS12" i="6"/>
  <c r="AR12" i="6"/>
  <c r="AQ12" i="6"/>
  <c r="AP12" i="6"/>
  <c r="AO12" i="6"/>
  <c r="AN12" i="6"/>
  <c r="AM12" i="6"/>
  <c r="AW11" i="6"/>
  <c r="AV11" i="6"/>
  <c r="AU11" i="6"/>
  <c r="AT11" i="6"/>
  <c r="AS11" i="6"/>
  <c r="AR11" i="6"/>
  <c r="AQ11" i="6"/>
  <c r="AP11" i="6"/>
  <c r="AO11" i="6"/>
  <c r="AN11" i="6"/>
  <c r="AM11" i="6"/>
  <c r="AW10" i="6"/>
  <c r="AV10" i="6"/>
  <c r="AU10" i="6"/>
  <c r="AT10" i="6"/>
  <c r="AS10" i="6"/>
  <c r="AR10" i="6"/>
  <c r="AQ10" i="6"/>
  <c r="AP10" i="6"/>
  <c r="AO10" i="6"/>
  <c r="AN10" i="6"/>
  <c r="AM10" i="6"/>
  <c r="AW9" i="6"/>
  <c r="AV9" i="6"/>
  <c r="AU9" i="6"/>
  <c r="AT9" i="6"/>
  <c r="AS9" i="6"/>
  <c r="AR9" i="6"/>
  <c r="AQ9" i="6"/>
  <c r="AP9" i="6"/>
  <c r="AO9" i="6"/>
  <c r="AN9" i="6"/>
  <c r="AM9" i="6"/>
  <c r="AW8" i="6"/>
  <c r="AV8" i="6"/>
  <c r="AU8" i="6"/>
  <c r="AT8" i="6"/>
  <c r="AS8" i="6"/>
  <c r="AR8" i="6"/>
  <c r="AQ8" i="6"/>
  <c r="AP8" i="6"/>
  <c r="AO8" i="6"/>
  <c r="AN8" i="6"/>
  <c r="AM8" i="6"/>
  <c r="AW7" i="6"/>
  <c r="AV7" i="6"/>
  <c r="AU7" i="6"/>
  <c r="AT7" i="6"/>
  <c r="AS7" i="6"/>
  <c r="AR7" i="6"/>
  <c r="AQ7" i="6"/>
  <c r="AP7" i="6"/>
  <c r="AO7" i="6"/>
  <c r="AN7" i="6"/>
  <c r="AW6" i="6"/>
  <c r="AV6" i="6"/>
  <c r="AU6" i="6"/>
  <c r="AT6" i="6"/>
  <c r="AS6" i="6"/>
  <c r="AR6" i="6"/>
  <c r="AQ6" i="6"/>
  <c r="AP6" i="6"/>
  <c r="AO6" i="6"/>
  <c r="AN6" i="6"/>
  <c r="AM6" i="6"/>
  <c r="AW5" i="6"/>
  <c r="AV5" i="6"/>
  <c r="AU5" i="6"/>
  <c r="AT5" i="6"/>
  <c r="AS5" i="6"/>
  <c r="AR5" i="6"/>
  <c r="AQ5" i="6"/>
  <c r="AP5" i="6"/>
  <c r="AO5" i="6"/>
  <c r="AN5" i="6"/>
  <c r="AM18" i="6"/>
  <c r="AA63" i="4"/>
  <c r="Z63" i="4"/>
  <c r="Y63" i="4"/>
  <c r="X63" i="4"/>
  <c r="W63" i="4"/>
  <c r="V63" i="4"/>
  <c r="U63" i="4"/>
  <c r="T63" i="4"/>
  <c r="S63" i="4"/>
  <c r="R63" i="4"/>
  <c r="Q63" i="4"/>
  <c r="AA62" i="4"/>
  <c r="Z62" i="4"/>
  <c r="Y62" i="4"/>
  <c r="X62" i="4"/>
  <c r="W62" i="4"/>
  <c r="V62" i="4"/>
  <c r="U62" i="4"/>
  <c r="T62" i="4"/>
  <c r="S62" i="4"/>
  <c r="R62" i="4"/>
  <c r="Q62" i="4"/>
  <c r="AA61" i="4"/>
  <c r="Z61" i="4"/>
  <c r="Y61" i="4"/>
  <c r="X61" i="4"/>
  <c r="W61" i="4"/>
  <c r="V61" i="4"/>
  <c r="U61" i="4"/>
  <c r="T61" i="4"/>
  <c r="S61" i="4"/>
  <c r="R61" i="4"/>
  <c r="Q61" i="4"/>
  <c r="AA60" i="4"/>
  <c r="Z60" i="4"/>
  <c r="Y60" i="4"/>
  <c r="X60" i="4"/>
  <c r="W60" i="4"/>
  <c r="V60" i="4"/>
  <c r="U60" i="4"/>
  <c r="T60" i="4"/>
  <c r="S60" i="4"/>
  <c r="R60" i="4"/>
  <c r="Q60" i="4"/>
  <c r="AA59" i="4"/>
  <c r="Z59" i="4"/>
  <c r="Y59" i="4"/>
  <c r="X59" i="4"/>
  <c r="W59" i="4"/>
  <c r="V59" i="4"/>
  <c r="U59" i="4"/>
  <c r="T59" i="4"/>
  <c r="S59" i="4"/>
  <c r="R59" i="4"/>
  <c r="Q59" i="4"/>
  <c r="AA58" i="4"/>
  <c r="Z58" i="4"/>
  <c r="Y58" i="4"/>
  <c r="X58" i="4"/>
  <c r="W58" i="4"/>
  <c r="V58" i="4"/>
  <c r="U58" i="4"/>
  <c r="T58" i="4"/>
  <c r="S58" i="4"/>
  <c r="R58" i="4"/>
  <c r="Q58" i="4"/>
  <c r="AA57" i="4"/>
  <c r="Z57" i="4"/>
  <c r="Y57" i="4"/>
  <c r="X57" i="4"/>
  <c r="W57" i="4"/>
  <c r="V57" i="4"/>
  <c r="U57" i="4"/>
  <c r="T57" i="4"/>
  <c r="S57" i="4"/>
  <c r="R57" i="4"/>
  <c r="Q57" i="4"/>
  <c r="AA56" i="4"/>
  <c r="Z56" i="4"/>
  <c r="Y56" i="4"/>
  <c r="X56" i="4"/>
  <c r="W56" i="4"/>
  <c r="V56" i="4"/>
  <c r="U56" i="4"/>
  <c r="T56" i="4"/>
  <c r="S56" i="4"/>
  <c r="R56" i="4"/>
  <c r="Q56" i="4"/>
  <c r="AA55" i="4"/>
  <c r="Z55" i="4"/>
  <c r="Y55" i="4"/>
  <c r="X55" i="4"/>
  <c r="W55" i="4"/>
  <c r="V55" i="4"/>
  <c r="U55" i="4"/>
  <c r="T55" i="4"/>
  <c r="S55" i="4"/>
  <c r="R55" i="4"/>
  <c r="Q55" i="4"/>
  <c r="AA54" i="4"/>
  <c r="Z54" i="4"/>
  <c r="Y54" i="4"/>
  <c r="X54" i="4"/>
  <c r="W54" i="4"/>
  <c r="V54" i="4"/>
  <c r="U54" i="4"/>
  <c r="T54" i="4"/>
  <c r="S54" i="4"/>
  <c r="R54" i="4"/>
  <c r="Q54" i="4"/>
  <c r="AA53" i="4"/>
  <c r="Z53" i="4"/>
  <c r="Y53" i="4"/>
  <c r="X53" i="4"/>
  <c r="W53" i="4"/>
  <c r="V53" i="4"/>
  <c r="U53" i="4"/>
  <c r="T53" i="4"/>
  <c r="S53" i="4"/>
  <c r="R53" i="4"/>
  <c r="Q53" i="4"/>
  <c r="AA52" i="4"/>
  <c r="Z52" i="4"/>
  <c r="Y52" i="4"/>
  <c r="X52" i="4"/>
  <c r="W52" i="4"/>
  <c r="V52" i="4"/>
  <c r="U52" i="4"/>
  <c r="T52" i="4"/>
  <c r="S52" i="4"/>
  <c r="R52" i="4"/>
  <c r="Q52" i="4"/>
  <c r="AA51" i="4"/>
  <c r="Z51" i="4"/>
  <c r="Y51" i="4"/>
  <c r="X51" i="4"/>
  <c r="W51" i="4"/>
  <c r="V51" i="4"/>
  <c r="U51" i="4"/>
  <c r="T51" i="4"/>
  <c r="S51" i="4"/>
  <c r="R51" i="4"/>
  <c r="Q51" i="4"/>
  <c r="AA50" i="4"/>
  <c r="Z50" i="4"/>
  <c r="Y50" i="4"/>
  <c r="X50" i="4"/>
  <c r="W50" i="4"/>
  <c r="V50" i="4"/>
  <c r="U50" i="4"/>
  <c r="T50" i="4"/>
  <c r="S50" i="4"/>
  <c r="R50" i="4"/>
  <c r="Q50" i="4"/>
  <c r="AI49" i="4"/>
  <c r="AA49" i="4"/>
  <c r="Z49" i="4"/>
  <c r="Y49" i="4"/>
  <c r="X49" i="4"/>
  <c r="W49" i="4"/>
  <c r="V49" i="4"/>
  <c r="U49" i="4"/>
  <c r="T49" i="4"/>
  <c r="S49" i="4"/>
  <c r="R49" i="4"/>
  <c r="Q49" i="4"/>
  <c r="AA48" i="4"/>
  <c r="Z48" i="4"/>
  <c r="Y48" i="4"/>
  <c r="X48" i="4"/>
  <c r="W48" i="4"/>
  <c r="V48" i="4"/>
  <c r="U48" i="4"/>
  <c r="T48" i="4"/>
  <c r="S48" i="4"/>
  <c r="R48" i="4"/>
  <c r="Q48" i="4"/>
  <c r="AA47" i="4"/>
  <c r="Z47" i="4"/>
  <c r="Y47" i="4"/>
  <c r="X47" i="4"/>
  <c r="W47" i="4"/>
  <c r="V47" i="4"/>
  <c r="U47" i="4"/>
  <c r="T47" i="4"/>
  <c r="S47" i="4"/>
  <c r="R47" i="4"/>
  <c r="Q47" i="4"/>
  <c r="AA46" i="4"/>
  <c r="Z46" i="4"/>
  <c r="Y46" i="4"/>
  <c r="X46" i="4"/>
  <c r="W46" i="4"/>
  <c r="V46" i="4"/>
  <c r="U46" i="4"/>
  <c r="T46" i="4"/>
  <c r="S46" i="4"/>
  <c r="R46" i="4"/>
  <c r="Q46" i="4"/>
  <c r="AL45" i="4"/>
  <c r="AA45" i="4"/>
  <c r="Z45" i="4"/>
  <c r="Y45" i="4"/>
  <c r="X45" i="4"/>
  <c r="W45" i="4"/>
  <c r="V45" i="4"/>
  <c r="U45" i="4"/>
  <c r="T45" i="4"/>
  <c r="S45" i="4"/>
  <c r="R45" i="4"/>
  <c r="Q45" i="4"/>
  <c r="AL44" i="4"/>
  <c r="AA44" i="4"/>
  <c r="Z44" i="4"/>
  <c r="Y44" i="4"/>
  <c r="X44" i="4"/>
  <c r="W44" i="4"/>
  <c r="V44" i="4"/>
  <c r="U44" i="4"/>
  <c r="T44" i="4"/>
  <c r="S44" i="4"/>
  <c r="R44" i="4"/>
  <c r="Q44" i="4"/>
  <c r="AL43" i="4"/>
  <c r="AA43" i="4"/>
  <c r="Z43" i="4"/>
  <c r="Y43" i="4"/>
  <c r="X43" i="4"/>
  <c r="W43" i="4"/>
  <c r="V43" i="4"/>
  <c r="U43" i="4"/>
  <c r="T43" i="4"/>
  <c r="S43" i="4"/>
  <c r="R43" i="4"/>
  <c r="Q43" i="4"/>
  <c r="AP43" i="4"/>
  <c r="AQ43" i="4" s="1"/>
  <c r="AL42" i="4"/>
  <c r="AA42" i="4"/>
  <c r="Z42" i="4"/>
  <c r="Y42" i="4"/>
  <c r="X42" i="4"/>
  <c r="W42" i="4"/>
  <c r="V42" i="4"/>
  <c r="U42" i="4"/>
  <c r="T42" i="4"/>
  <c r="S42" i="4"/>
  <c r="R42" i="4"/>
  <c r="Q42" i="4"/>
  <c r="AP42" i="4"/>
  <c r="AQ42" i="4" s="1"/>
  <c r="AA41" i="4"/>
  <c r="Z41" i="4"/>
  <c r="Y41" i="4"/>
  <c r="X41" i="4"/>
  <c r="W41" i="4"/>
  <c r="V41" i="4"/>
  <c r="U41" i="4"/>
  <c r="T41" i="4"/>
  <c r="S41" i="4"/>
  <c r="R41" i="4"/>
  <c r="Q41" i="4"/>
  <c r="AP41" i="4"/>
  <c r="AQ41" i="4" s="1"/>
  <c r="AA40" i="4"/>
  <c r="Z40" i="4"/>
  <c r="Y40" i="4"/>
  <c r="X40" i="4"/>
  <c r="W40" i="4"/>
  <c r="V40" i="4"/>
  <c r="U40" i="4"/>
  <c r="T40" i="4"/>
  <c r="S40" i="4"/>
  <c r="R40" i="4"/>
  <c r="Q40" i="4"/>
  <c r="AP40" i="4"/>
  <c r="AQ40" i="4" s="1"/>
  <c r="AA39" i="4"/>
  <c r="Z39" i="4"/>
  <c r="Y39" i="4"/>
  <c r="X39" i="4"/>
  <c r="W39" i="4"/>
  <c r="V39" i="4"/>
  <c r="U39" i="4"/>
  <c r="T39" i="4"/>
  <c r="S39" i="4"/>
  <c r="R39" i="4"/>
  <c r="Q39" i="4"/>
  <c r="AP39" i="4"/>
  <c r="AQ39" i="4" s="1"/>
  <c r="AA38" i="4"/>
  <c r="Z38" i="4"/>
  <c r="Y38" i="4"/>
  <c r="X38" i="4"/>
  <c r="W38" i="4"/>
  <c r="V38" i="4"/>
  <c r="U38" i="4"/>
  <c r="T38" i="4"/>
  <c r="S38" i="4"/>
  <c r="R38" i="4"/>
  <c r="Q38" i="4"/>
  <c r="AP38" i="4"/>
  <c r="AQ38" i="4" s="1"/>
  <c r="AA37" i="4"/>
  <c r="Z37" i="4"/>
  <c r="Y37" i="4"/>
  <c r="X37" i="4"/>
  <c r="W37" i="4"/>
  <c r="V37" i="4"/>
  <c r="U37" i="4"/>
  <c r="T37" i="4"/>
  <c r="S37" i="4"/>
  <c r="R37" i="4"/>
  <c r="Q37" i="4"/>
  <c r="AP37" i="4"/>
  <c r="AQ37" i="4" s="1"/>
  <c r="AA36" i="4"/>
  <c r="Z36" i="4"/>
  <c r="Y36" i="4"/>
  <c r="X36" i="4"/>
  <c r="W36" i="4"/>
  <c r="V36" i="4"/>
  <c r="U36" i="4"/>
  <c r="T36" i="4"/>
  <c r="S36" i="4"/>
  <c r="R36" i="4"/>
  <c r="Q36" i="4"/>
  <c r="AP36" i="4"/>
  <c r="AA35" i="4"/>
  <c r="Z35" i="4"/>
  <c r="Y35" i="4"/>
  <c r="X35" i="4"/>
  <c r="W35" i="4"/>
  <c r="V35" i="4"/>
  <c r="U35" i="4"/>
  <c r="T35" i="4"/>
  <c r="S35" i="4"/>
  <c r="R35" i="4"/>
  <c r="Q35" i="4"/>
  <c r="AA34" i="4"/>
  <c r="Z34" i="4"/>
  <c r="Y34" i="4"/>
  <c r="X34" i="4"/>
  <c r="W34" i="4"/>
  <c r="V34" i="4"/>
  <c r="U34" i="4"/>
  <c r="T34" i="4"/>
  <c r="S34" i="4"/>
  <c r="R34" i="4"/>
  <c r="Q34" i="4"/>
  <c r="AA33" i="4"/>
  <c r="Z33" i="4"/>
  <c r="Y33" i="4"/>
  <c r="X33" i="4"/>
  <c r="W33" i="4"/>
  <c r="V33" i="4"/>
  <c r="U33" i="4"/>
  <c r="T33" i="4"/>
  <c r="S33" i="4"/>
  <c r="R33" i="4"/>
  <c r="Q33" i="4"/>
  <c r="AA32" i="4"/>
  <c r="Z32" i="4"/>
  <c r="Y32" i="4"/>
  <c r="X32" i="4"/>
  <c r="W32" i="4"/>
  <c r="V32" i="4"/>
  <c r="U32" i="4"/>
  <c r="T32" i="4"/>
  <c r="S32" i="4"/>
  <c r="R32" i="4"/>
  <c r="Q32" i="4"/>
  <c r="AA31" i="4"/>
  <c r="Z31" i="4"/>
  <c r="Y31" i="4"/>
  <c r="X31" i="4"/>
  <c r="W31" i="4"/>
  <c r="V31" i="4"/>
  <c r="U31" i="4"/>
  <c r="T31" i="4"/>
  <c r="S31" i="4"/>
  <c r="R31" i="4"/>
  <c r="Q31" i="4"/>
  <c r="AA30" i="4"/>
  <c r="Z30" i="4"/>
  <c r="Y30" i="4"/>
  <c r="X30" i="4"/>
  <c r="W30" i="4"/>
  <c r="V30" i="4"/>
  <c r="U30" i="4"/>
  <c r="T30" i="4"/>
  <c r="S30" i="4"/>
  <c r="R30" i="4"/>
  <c r="Q30" i="4"/>
  <c r="AA29" i="4"/>
  <c r="Z29" i="4"/>
  <c r="Y29" i="4"/>
  <c r="X29" i="4"/>
  <c r="W29" i="4"/>
  <c r="V29" i="4"/>
  <c r="U29" i="4"/>
  <c r="T29" i="4"/>
  <c r="S29" i="4"/>
  <c r="R29" i="4"/>
  <c r="Q29" i="4"/>
  <c r="AI28" i="4"/>
  <c r="AA28" i="4"/>
  <c r="Z28" i="4"/>
  <c r="Y28" i="4"/>
  <c r="X28" i="4"/>
  <c r="W28" i="4"/>
  <c r="V28" i="4"/>
  <c r="U28" i="4"/>
  <c r="T28" i="4"/>
  <c r="S28" i="4"/>
  <c r="R28" i="4"/>
  <c r="Q28" i="4"/>
  <c r="AI27" i="4"/>
  <c r="AA27" i="4"/>
  <c r="Z27" i="4"/>
  <c r="Y27" i="4"/>
  <c r="X27" i="4"/>
  <c r="W27" i="4"/>
  <c r="V27" i="4"/>
  <c r="U27" i="4"/>
  <c r="T27" i="4"/>
  <c r="S27" i="4"/>
  <c r="R27" i="4"/>
  <c r="Q27" i="4"/>
  <c r="AI26" i="4"/>
  <c r="AA26" i="4"/>
  <c r="Z26" i="4"/>
  <c r="Y26" i="4"/>
  <c r="X26" i="4"/>
  <c r="W26" i="4"/>
  <c r="V26" i="4"/>
  <c r="U26" i="4"/>
  <c r="T26" i="4"/>
  <c r="S26" i="4"/>
  <c r="R26" i="4"/>
  <c r="Q26" i="4"/>
  <c r="AI25" i="4"/>
  <c r="AA25" i="4"/>
  <c r="Z25" i="4"/>
  <c r="Y25" i="4"/>
  <c r="X25" i="4"/>
  <c r="W25" i="4"/>
  <c r="V25" i="4"/>
  <c r="U25" i="4"/>
  <c r="T25" i="4"/>
  <c r="S25" i="4"/>
  <c r="R25" i="4"/>
  <c r="Q25" i="4"/>
  <c r="AI24" i="4"/>
  <c r="AA24" i="4"/>
  <c r="Z24" i="4"/>
  <c r="Y24" i="4"/>
  <c r="X24" i="4"/>
  <c r="W24" i="4"/>
  <c r="V24" i="4"/>
  <c r="U24" i="4"/>
  <c r="T24" i="4"/>
  <c r="S24" i="4"/>
  <c r="R24" i="4"/>
  <c r="Q24" i="4"/>
  <c r="AI23" i="4"/>
  <c r="AA23" i="4"/>
  <c r="Z23" i="4"/>
  <c r="Y23" i="4"/>
  <c r="X23" i="4"/>
  <c r="W23" i="4"/>
  <c r="V23" i="4"/>
  <c r="U23" i="4"/>
  <c r="T23" i="4"/>
  <c r="S23" i="4"/>
  <c r="R23" i="4"/>
  <c r="Q23" i="4"/>
  <c r="AI22" i="4"/>
  <c r="AA22" i="4"/>
  <c r="Z22" i="4"/>
  <c r="Y22" i="4"/>
  <c r="X22" i="4"/>
  <c r="W22" i="4"/>
  <c r="V22" i="4"/>
  <c r="U22" i="4"/>
  <c r="T22" i="4"/>
  <c r="S22" i="4"/>
  <c r="R22" i="4"/>
  <c r="Q22" i="4"/>
  <c r="AI21" i="4"/>
  <c r="AA21" i="4"/>
  <c r="Z21" i="4"/>
  <c r="Y21" i="4"/>
  <c r="X21" i="4"/>
  <c r="W21" i="4"/>
  <c r="V21" i="4"/>
  <c r="U21" i="4"/>
  <c r="T21" i="4"/>
  <c r="S21" i="4"/>
  <c r="R21" i="4"/>
  <c r="Q21" i="4"/>
  <c r="AI20" i="4"/>
  <c r="AA20" i="4"/>
  <c r="Z20" i="4"/>
  <c r="Y20" i="4"/>
  <c r="X20" i="4"/>
  <c r="W20" i="4"/>
  <c r="V20" i="4"/>
  <c r="U20" i="4"/>
  <c r="T20" i="4"/>
  <c r="S20" i="4"/>
  <c r="R20" i="4"/>
  <c r="Q20" i="4"/>
  <c r="AI19" i="4"/>
  <c r="AA19" i="4"/>
  <c r="Z19" i="4"/>
  <c r="Y19" i="4"/>
  <c r="X19" i="4"/>
  <c r="W19" i="4"/>
  <c r="V19" i="4"/>
  <c r="U19" i="4"/>
  <c r="T19" i="4"/>
  <c r="S19" i="4"/>
  <c r="R19" i="4"/>
  <c r="Q19" i="4"/>
  <c r="AI18" i="4"/>
  <c r="AA18" i="4"/>
  <c r="Z18" i="4"/>
  <c r="Y18" i="4"/>
  <c r="X18" i="4"/>
  <c r="W18" i="4"/>
  <c r="V18" i="4"/>
  <c r="U18" i="4"/>
  <c r="T18" i="4"/>
  <c r="S18" i="4"/>
  <c r="R18" i="4"/>
  <c r="Q18" i="4"/>
  <c r="AA17" i="4"/>
  <c r="Z17" i="4"/>
  <c r="Y17" i="4"/>
  <c r="X17" i="4"/>
  <c r="W17" i="4"/>
  <c r="V17" i="4"/>
  <c r="U17" i="4"/>
  <c r="T17" i="4"/>
  <c r="S17" i="4"/>
  <c r="R17" i="4"/>
  <c r="Q17" i="4"/>
  <c r="AA16" i="4"/>
  <c r="Z16" i="4"/>
  <c r="Y16" i="4"/>
  <c r="X16" i="4"/>
  <c r="W16" i="4"/>
  <c r="V16" i="4"/>
  <c r="U16" i="4"/>
  <c r="T16" i="4"/>
  <c r="S16" i="4"/>
  <c r="R16" i="4"/>
  <c r="Q16" i="4"/>
  <c r="AW15" i="4"/>
  <c r="AV15" i="4"/>
  <c r="AU15" i="4"/>
  <c r="AT15" i="4"/>
  <c r="AS15" i="4"/>
  <c r="AR15" i="4"/>
  <c r="AQ15" i="4"/>
  <c r="AP15" i="4"/>
  <c r="AO15" i="4"/>
  <c r="AN15" i="4"/>
  <c r="AM15" i="4"/>
  <c r="AA15" i="4"/>
  <c r="Z15" i="4"/>
  <c r="Y15" i="4"/>
  <c r="X15" i="4"/>
  <c r="W15" i="4"/>
  <c r="V15" i="4"/>
  <c r="U15" i="4"/>
  <c r="T15" i="4"/>
  <c r="S15" i="4"/>
  <c r="R15" i="4"/>
  <c r="Q15" i="4"/>
  <c r="AW14" i="4"/>
  <c r="AV14" i="4"/>
  <c r="AU14" i="4"/>
  <c r="AT14" i="4"/>
  <c r="AS14" i="4"/>
  <c r="AR14" i="4"/>
  <c r="AQ14" i="4"/>
  <c r="AP14" i="4"/>
  <c r="AO14" i="4"/>
  <c r="AN14" i="4"/>
  <c r="AM14" i="4"/>
  <c r="AA14" i="4"/>
  <c r="Z14" i="4"/>
  <c r="Y14" i="4"/>
  <c r="X14" i="4"/>
  <c r="W14" i="4"/>
  <c r="V14" i="4"/>
  <c r="U14" i="4"/>
  <c r="T14" i="4"/>
  <c r="S14" i="4"/>
  <c r="R14" i="4"/>
  <c r="Q14" i="4"/>
  <c r="AW13" i="4"/>
  <c r="AV13" i="4"/>
  <c r="AU13" i="4"/>
  <c r="AT13" i="4"/>
  <c r="AS13" i="4"/>
  <c r="AR13" i="4"/>
  <c r="AQ13" i="4"/>
  <c r="AP13" i="4"/>
  <c r="AO13" i="4"/>
  <c r="AN13" i="4"/>
  <c r="AM13" i="4"/>
  <c r="AA13" i="4"/>
  <c r="Z13" i="4"/>
  <c r="Y13" i="4"/>
  <c r="X13" i="4"/>
  <c r="W13" i="4"/>
  <c r="V13" i="4"/>
  <c r="U13" i="4"/>
  <c r="T13" i="4"/>
  <c r="S13" i="4"/>
  <c r="R13" i="4"/>
  <c r="Q13" i="4"/>
  <c r="AW12" i="4"/>
  <c r="AV12" i="4"/>
  <c r="AU12" i="4"/>
  <c r="AT12" i="4"/>
  <c r="AS12" i="4"/>
  <c r="AR12" i="4"/>
  <c r="AQ12" i="4"/>
  <c r="AP12" i="4"/>
  <c r="AO12" i="4"/>
  <c r="AN12" i="4"/>
  <c r="AM12" i="4"/>
  <c r="AA12" i="4"/>
  <c r="Z12" i="4"/>
  <c r="Y12" i="4"/>
  <c r="X12" i="4"/>
  <c r="W12" i="4"/>
  <c r="V12" i="4"/>
  <c r="U12" i="4"/>
  <c r="T12" i="4"/>
  <c r="S12" i="4"/>
  <c r="R12" i="4"/>
  <c r="Q12" i="4"/>
  <c r="AW11" i="4"/>
  <c r="AV11" i="4"/>
  <c r="AU11" i="4"/>
  <c r="AT11" i="4"/>
  <c r="AS11" i="4"/>
  <c r="AR11" i="4"/>
  <c r="AQ11" i="4"/>
  <c r="AP11" i="4"/>
  <c r="AO11" i="4"/>
  <c r="AN11" i="4"/>
  <c r="AM11" i="4"/>
  <c r="AA11" i="4"/>
  <c r="Z11" i="4"/>
  <c r="Y11" i="4"/>
  <c r="X11" i="4"/>
  <c r="W11" i="4"/>
  <c r="V11" i="4"/>
  <c r="U11" i="4"/>
  <c r="T11" i="4"/>
  <c r="S11" i="4"/>
  <c r="R11" i="4"/>
  <c r="Q11" i="4"/>
  <c r="AW10" i="4"/>
  <c r="AV10" i="4"/>
  <c r="AU10" i="4"/>
  <c r="AT10" i="4"/>
  <c r="AS10" i="4"/>
  <c r="AR10" i="4"/>
  <c r="AQ10" i="4"/>
  <c r="AP10" i="4"/>
  <c r="AO10" i="4"/>
  <c r="AN10" i="4"/>
  <c r="AM10" i="4"/>
  <c r="AA10" i="4"/>
  <c r="Z10" i="4"/>
  <c r="Y10" i="4"/>
  <c r="X10" i="4"/>
  <c r="W10" i="4"/>
  <c r="V10" i="4"/>
  <c r="U10" i="4"/>
  <c r="T10" i="4"/>
  <c r="S10" i="4"/>
  <c r="R10" i="4"/>
  <c r="Q10" i="4"/>
  <c r="AW9" i="4"/>
  <c r="AV9" i="4"/>
  <c r="AU9" i="4"/>
  <c r="AT9" i="4"/>
  <c r="AS9" i="4"/>
  <c r="AR9" i="4"/>
  <c r="AQ9" i="4"/>
  <c r="AP9" i="4"/>
  <c r="AO9" i="4"/>
  <c r="AN9" i="4"/>
  <c r="AM9" i="4"/>
  <c r="AA9" i="4"/>
  <c r="Z9" i="4"/>
  <c r="Y9" i="4"/>
  <c r="X9" i="4"/>
  <c r="W9" i="4"/>
  <c r="V9" i="4"/>
  <c r="U9" i="4"/>
  <c r="T9" i="4"/>
  <c r="S9" i="4"/>
  <c r="R9" i="4"/>
  <c r="Q9" i="4"/>
  <c r="AW8" i="4"/>
  <c r="AV8" i="4"/>
  <c r="AU8" i="4"/>
  <c r="AT8" i="4"/>
  <c r="AS8" i="4"/>
  <c r="AR8" i="4"/>
  <c r="AQ8" i="4"/>
  <c r="AP8" i="4"/>
  <c r="AO8" i="4"/>
  <c r="AN8" i="4"/>
  <c r="AM8" i="4"/>
  <c r="AA8" i="4"/>
  <c r="Z8" i="4"/>
  <c r="Y8" i="4"/>
  <c r="X8" i="4"/>
  <c r="W8" i="4"/>
  <c r="V8" i="4"/>
  <c r="U8" i="4"/>
  <c r="T8" i="4"/>
  <c r="S8" i="4"/>
  <c r="R8" i="4"/>
  <c r="Q8" i="4"/>
  <c r="AW7" i="4"/>
  <c r="AV7" i="4"/>
  <c r="AU7" i="4"/>
  <c r="AT7" i="4"/>
  <c r="AS7" i="4"/>
  <c r="AR7" i="4"/>
  <c r="AQ7" i="4"/>
  <c r="AP7" i="4"/>
  <c r="AO7" i="4"/>
  <c r="AN7" i="4"/>
  <c r="AM7" i="4"/>
  <c r="AA7" i="4"/>
  <c r="Z7" i="4"/>
  <c r="Y7" i="4"/>
  <c r="X7" i="4"/>
  <c r="W7" i="4"/>
  <c r="V7" i="4"/>
  <c r="U7" i="4"/>
  <c r="T7" i="4"/>
  <c r="S7" i="4"/>
  <c r="R7" i="4"/>
  <c r="Q7" i="4"/>
  <c r="AW6" i="4"/>
  <c r="AV6" i="4"/>
  <c r="AU6" i="4"/>
  <c r="AT6" i="4"/>
  <c r="AS6" i="4"/>
  <c r="AR6" i="4"/>
  <c r="AQ6" i="4"/>
  <c r="AP6" i="4"/>
  <c r="AO6" i="4"/>
  <c r="AN6" i="4"/>
  <c r="AM6" i="4"/>
  <c r="AA6" i="4"/>
  <c r="Z6" i="4"/>
  <c r="Y6" i="4"/>
  <c r="X6" i="4"/>
  <c r="W6" i="4"/>
  <c r="V6" i="4"/>
  <c r="U6" i="4"/>
  <c r="T6" i="4"/>
  <c r="S6" i="4"/>
  <c r="R6" i="4"/>
  <c r="Q6" i="4"/>
  <c r="AW5" i="4"/>
  <c r="AV5" i="4"/>
  <c r="AU5" i="4"/>
  <c r="AT5" i="4"/>
  <c r="AS5" i="4"/>
  <c r="AR5" i="4"/>
  <c r="AQ5" i="4"/>
  <c r="AP5" i="4"/>
  <c r="AO5" i="4"/>
  <c r="AN5" i="4"/>
  <c r="AM5" i="4"/>
  <c r="AA5" i="4"/>
  <c r="Z5" i="4"/>
  <c r="Y5" i="4"/>
  <c r="X5" i="4"/>
  <c r="W5" i="4"/>
  <c r="V5" i="4"/>
  <c r="U5" i="4"/>
  <c r="T5" i="4"/>
  <c r="S5" i="4"/>
  <c r="R5" i="4"/>
  <c r="Q5" i="4"/>
  <c r="AA63" i="5"/>
  <c r="Z63" i="5"/>
  <c r="Y63" i="5"/>
  <c r="X63" i="5"/>
  <c r="W63" i="5"/>
  <c r="V63" i="5"/>
  <c r="U63" i="5"/>
  <c r="T63" i="5"/>
  <c r="S63" i="5"/>
  <c r="R63" i="5"/>
  <c r="Q63" i="5"/>
  <c r="AA62" i="5"/>
  <c r="Z62" i="5"/>
  <c r="Y62" i="5"/>
  <c r="X62" i="5"/>
  <c r="W62" i="5"/>
  <c r="V62" i="5"/>
  <c r="U62" i="5"/>
  <c r="T62" i="5"/>
  <c r="S62" i="5"/>
  <c r="R62" i="5"/>
  <c r="Q62" i="5"/>
  <c r="AA61" i="5"/>
  <c r="Z61" i="5"/>
  <c r="Y61" i="5"/>
  <c r="X61" i="5"/>
  <c r="W61" i="5"/>
  <c r="V61" i="5"/>
  <c r="U61" i="5"/>
  <c r="T61" i="5"/>
  <c r="S61" i="5"/>
  <c r="R61" i="5"/>
  <c r="Q61" i="5"/>
  <c r="AA60" i="5"/>
  <c r="Z60" i="5"/>
  <c r="Y60" i="5"/>
  <c r="X60" i="5"/>
  <c r="W60" i="5"/>
  <c r="V60" i="5"/>
  <c r="U60" i="5"/>
  <c r="T60" i="5"/>
  <c r="S60" i="5"/>
  <c r="R60" i="5"/>
  <c r="Q60" i="5"/>
  <c r="AA59" i="5"/>
  <c r="Z59" i="5"/>
  <c r="Y59" i="5"/>
  <c r="X59" i="5"/>
  <c r="W59" i="5"/>
  <c r="V59" i="5"/>
  <c r="U59" i="5"/>
  <c r="T59" i="5"/>
  <c r="S59" i="5"/>
  <c r="R59" i="5"/>
  <c r="Q59" i="5"/>
  <c r="AA58" i="5"/>
  <c r="Z58" i="5"/>
  <c r="Y58" i="5"/>
  <c r="X58" i="5"/>
  <c r="W58" i="5"/>
  <c r="V58" i="5"/>
  <c r="U58" i="5"/>
  <c r="T58" i="5"/>
  <c r="S58" i="5"/>
  <c r="R58" i="5"/>
  <c r="Q58" i="5"/>
  <c r="AA57" i="5"/>
  <c r="Z57" i="5"/>
  <c r="Y57" i="5"/>
  <c r="X57" i="5"/>
  <c r="W57" i="5"/>
  <c r="V57" i="5"/>
  <c r="U57" i="5"/>
  <c r="T57" i="5"/>
  <c r="S57" i="5"/>
  <c r="R57" i="5"/>
  <c r="Q57" i="5"/>
  <c r="AA56" i="5"/>
  <c r="Z56" i="5"/>
  <c r="Y56" i="5"/>
  <c r="X56" i="5"/>
  <c r="W56" i="5"/>
  <c r="V56" i="5"/>
  <c r="U56" i="5"/>
  <c r="T56" i="5"/>
  <c r="S56" i="5"/>
  <c r="R56" i="5"/>
  <c r="Q56" i="5"/>
  <c r="AA55" i="5"/>
  <c r="Z55" i="5"/>
  <c r="Y55" i="5"/>
  <c r="X55" i="5"/>
  <c r="W55" i="5"/>
  <c r="V55" i="5"/>
  <c r="U55" i="5"/>
  <c r="T55" i="5"/>
  <c r="S55" i="5"/>
  <c r="R55" i="5"/>
  <c r="Q55" i="5"/>
  <c r="AA54" i="5"/>
  <c r="Z54" i="5"/>
  <c r="Y54" i="5"/>
  <c r="X54" i="5"/>
  <c r="W54" i="5"/>
  <c r="V54" i="5"/>
  <c r="U54" i="5"/>
  <c r="T54" i="5"/>
  <c r="S54" i="5"/>
  <c r="R54" i="5"/>
  <c r="Q54" i="5"/>
  <c r="AA53" i="5"/>
  <c r="Z53" i="5"/>
  <c r="Y53" i="5"/>
  <c r="X53" i="5"/>
  <c r="W53" i="5"/>
  <c r="V53" i="5"/>
  <c r="U53" i="5"/>
  <c r="T53" i="5"/>
  <c r="S53" i="5"/>
  <c r="R53" i="5"/>
  <c r="Q53" i="5"/>
  <c r="AA52" i="5"/>
  <c r="Z52" i="5"/>
  <c r="Y52" i="5"/>
  <c r="X52" i="5"/>
  <c r="W52" i="5"/>
  <c r="V52" i="5"/>
  <c r="U52" i="5"/>
  <c r="T52" i="5"/>
  <c r="S52" i="5"/>
  <c r="R52" i="5"/>
  <c r="Q52" i="5"/>
  <c r="AA51" i="5"/>
  <c r="Z51" i="5"/>
  <c r="Y51" i="5"/>
  <c r="X51" i="5"/>
  <c r="W51" i="5"/>
  <c r="V51" i="5"/>
  <c r="U51" i="5"/>
  <c r="T51" i="5"/>
  <c r="S51" i="5"/>
  <c r="R51" i="5"/>
  <c r="Q51" i="5"/>
  <c r="AA50" i="5"/>
  <c r="Z50" i="5"/>
  <c r="Y50" i="5"/>
  <c r="X50" i="5"/>
  <c r="W50" i="5"/>
  <c r="V50" i="5"/>
  <c r="U50" i="5"/>
  <c r="T50" i="5"/>
  <c r="S50" i="5"/>
  <c r="R50" i="5"/>
  <c r="Q50" i="5"/>
  <c r="AI49" i="5"/>
  <c r="AA49" i="5"/>
  <c r="Z49" i="5"/>
  <c r="Y49" i="5"/>
  <c r="X49" i="5"/>
  <c r="W49" i="5"/>
  <c r="V49" i="5"/>
  <c r="U49" i="5"/>
  <c r="T49" i="5"/>
  <c r="S49" i="5"/>
  <c r="R49" i="5"/>
  <c r="Q49" i="5"/>
  <c r="AA48" i="5"/>
  <c r="Z48" i="5"/>
  <c r="Y48" i="5"/>
  <c r="X48" i="5"/>
  <c r="W48" i="5"/>
  <c r="V48" i="5"/>
  <c r="U48" i="5"/>
  <c r="T48" i="5"/>
  <c r="S48" i="5"/>
  <c r="R48" i="5"/>
  <c r="Q48" i="5"/>
  <c r="AA47" i="5"/>
  <c r="Z47" i="5"/>
  <c r="Y47" i="5"/>
  <c r="X47" i="5"/>
  <c r="W47" i="5"/>
  <c r="V47" i="5"/>
  <c r="U47" i="5"/>
  <c r="T47" i="5"/>
  <c r="S47" i="5"/>
  <c r="R47" i="5"/>
  <c r="Q47" i="5"/>
  <c r="AA46" i="5"/>
  <c r="Z46" i="5"/>
  <c r="Y46" i="5"/>
  <c r="X46" i="5"/>
  <c r="W46" i="5"/>
  <c r="V46" i="5"/>
  <c r="U46" i="5"/>
  <c r="T46" i="5"/>
  <c r="S46" i="5"/>
  <c r="R46" i="5"/>
  <c r="Q46" i="5"/>
  <c r="AL45" i="5"/>
  <c r="AA45" i="5"/>
  <c r="Z45" i="5"/>
  <c r="Y45" i="5"/>
  <c r="X45" i="5"/>
  <c r="W45" i="5"/>
  <c r="V45" i="5"/>
  <c r="U45" i="5"/>
  <c r="T45" i="5"/>
  <c r="S45" i="5"/>
  <c r="R45" i="5"/>
  <c r="Q45" i="5"/>
  <c r="AL44" i="5"/>
  <c r="AA44" i="5"/>
  <c r="Z44" i="5"/>
  <c r="Y44" i="5"/>
  <c r="X44" i="5"/>
  <c r="W44" i="5"/>
  <c r="V44" i="5"/>
  <c r="U44" i="5"/>
  <c r="T44" i="5"/>
  <c r="S44" i="5"/>
  <c r="R44" i="5"/>
  <c r="Q44" i="5"/>
  <c r="AL43" i="5"/>
  <c r="AA43" i="5"/>
  <c r="Z43" i="5"/>
  <c r="Y43" i="5"/>
  <c r="X43" i="5"/>
  <c r="W43" i="5"/>
  <c r="V43" i="5"/>
  <c r="U43" i="5"/>
  <c r="T43" i="5"/>
  <c r="S43" i="5"/>
  <c r="R43" i="5"/>
  <c r="Q43" i="5"/>
  <c r="AO42" i="5"/>
  <c r="AP42" i="5" s="1"/>
  <c r="AL42" i="5"/>
  <c r="AA42" i="5"/>
  <c r="Z42" i="5"/>
  <c r="Y42" i="5"/>
  <c r="X42" i="5"/>
  <c r="W42" i="5"/>
  <c r="V42" i="5"/>
  <c r="U42" i="5"/>
  <c r="T42" i="5"/>
  <c r="S42" i="5"/>
  <c r="R42" i="5"/>
  <c r="Q42" i="5"/>
  <c r="AO41" i="5"/>
  <c r="AP41" i="5" s="1"/>
  <c r="AA41" i="5"/>
  <c r="Z41" i="5"/>
  <c r="Y41" i="5"/>
  <c r="X41" i="5"/>
  <c r="W41" i="5"/>
  <c r="V41" i="5"/>
  <c r="U41" i="5"/>
  <c r="T41" i="5"/>
  <c r="S41" i="5"/>
  <c r="R41" i="5"/>
  <c r="Q41" i="5"/>
  <c r="AO40" i="5"/>
  <c r="AP40" i="5" s="1"/>
  <c r="AA40" i="5"/>
  <c r="Z40" i="5"/>
  <c r="Y40" i="5"/>
  <c r="X40" i="5"/>
  <c r="W40" i="5"/>
  <c r="V40" i="5"/>
  <c r="U40" i="5"/>
  <c r="T40" i="5"/>
  <c r="S40" i="5"/>
  <c r="R40" i="5"/>
  <c r="Q40" i="5"/>
  <c r="AO39" i="5"/>
  <c r="AP39" i="5" s="1"/>
  <c r="AA39" i="5"/>
  <c r="Z39" i="5"/>
  <c r="Y39" i="5"/>
  <c r="X39" i="5"/>
  <c r="W39" i="5"/>
  <c r="V39" i="5"/>
  <c r="U39" i="5"/>
  <c r="T39" i="5"/>
  <c r="S39" i="5"/>
  <c r="R39" i="5"/>
  <c r="Q39" i="5"/>
  <c r="AO38" i="5"/>
  <c r="AP38" i="5" s="1"/>
  <c r="AA38" i="5"/>
  <c r="Z38" i="5"/>
  <c r="Y38" i="5"/>
  <c r="X38" i="5"/>
  <c r="W38" i="5"/>
  <c r="V38" i="5"/>
  <c r="U38" i="5"/>
  <c r="T38" i="5"/>
  <c r="S38" i="5"/>
  <c r="R38" i="5"/>
  <c r="Q38" i="5"/>
  <c r="AO37" i="5"/>
  <c r="AP37" i="5" s="1"/>
  <c r="AA37" i="5"/>
  <c r="Z37" i="5"/>
  <c r="Y37" i="5"/>
  <c r="X37" i="5"/>
  <c r="W37" i="5"/>
  <c r="V37" i="5"/>
  <c r="U37" i="5"/>
  <c r="T37" i="5"/>
  <c r="S37" i="5"/>
  <c r="R37" i="5"/>
  <c r="Q37" i="5"/>
  <c r="AO36" i="5"/>
  <c r="AP36" i="5" s="1"/>
  <c r="AA36" i="5"/>
  <c r="Z36" i="5"/>
  <c r="Y36" i="5"/>
  <c r="X36" i="5"/>
  <c r="W36" i="5"/>
  <c r="V36" i="5"/>
  <c r="U36" i="5"/>
  <c r="T36" i="5"/>
  <c r="S36" i="5"/>
  <c r="R36" i="5"/>
  <c r="Q36" i="5"/>
  <c r="AO35" i="5"/>
  <c r="AP35" i="5" s="1"/>
  <c r="AA35" i="5"/>
  <c r="Z35" i="5"/>
  <c r="Y35" i="5"/>
  <c r="X35" i="5"/>
  <c r="W35" i="5"/>
  <c r="V35" i="5"/>
  <c r="U35" i="5"/>
  <c r="T35" i="5"/>
  <c r="S35" i="5"/>
  <c r="R35" i="5"/>
  <c r="Q35" i="5"/>
  <c r="AA34" i="5"/>
  <c r="Z34" i="5"/>
  <c r="Y34" i="5"/>
  <c r="X34" i="5"/>
  <c r="W34" i="5"/>
  <c r="V34" i="5"/>
  <c r="U34" i="5"/>
  <c r="T34" i="5"/>
  <c r="S34" i="5"/>
  <c r="R34" i="5"/>
  <c r="Q34" i="5"/>
  <c r="AA33" i="5"/>
  <c r="Z33" i="5"/>
  <c r="Y33" i="5"/>
  <c r="X33" i="5"/>
  <c r="W33" i="5"/>
  <c r="V33" i="5"/>
  <c r="U33" i="5"/>
  <c r="T33" i="5"/>
  <c r="S33" i="5"/>
  <c r="R33" i="5"/>
  <c r="Q33" i="5"/>
  <c r="AA32" i="5"/>
  <c r="Z32" i="5"/>
  <c r="Y32" i="5"/>
  <c r="X32" i="5"/>
  <c r="W32" i="5"/>
  <c r="V32" i="5"/>
  <c r="U32" i="5"/>
  <c r="T32" i="5"/>
  <c r="S32" i="5"/>
  <c r="R32" i="5"/>
  <c r="Q32" i="5"/>
  <c r="AA31" i="5"/>
  <c r="Z31" i="5"/>
  <c r="Y31" i="5"/>
  <c r="X31" i="5"/>
  <c r="W31" i="5"/>
  <c r="V31" i="5"/>
  <c r="U31" i="5"/>
  <c r="T31" i="5"/>
  <c r="S31" i="5"/>
  <c r="R31" i="5"/>
  <c r="Q31" i="5"/>
  <c r="AA30" i="5"/>
  <c r="Z30" i="5"/>
  <c r="Y30" i="5"/>
  <c r="X30" i="5"/>
  <c r="W30" i="5"/>
  <c r="V30" i="5"/>
  <c r="U30" i="5"/>
  <c r="T30" i="5"/>
  <c r="S30" i="5"/>
  <c r="R30" i="5"/>
  <c r="Q30" i="5"/>
  <c r="AA29" i="5"/>
  <c r="Z29" i="5"/>
  <c r="Y29" i="5"/>
  <c r="X29" i="5"/>
  <c r="W29" i="5"/>
  <c r="V29" i="5"/>
  <c r="U29" i="5"/>
  <c r="T29" i="5"/>
  <c r="S29" i="5"/>
  <c r="R29" i="5"/>
  <c r="Q29" i="5"/>
  <c r="AI28" i="5"/>
  <c r="AA28" i="5"/>
  <c r="Z28" i="5"/>
  <c r="Y28" i="5"/>
  <c r="X28" i="5"/>
  <c r="W28" i="5"/>
  <c r="V28" i="5"/>
  <c r="U28" i="5"/>
  <c r="T28" i="5"/>
  <c r="S28" i="5"/>
  <c r="R28" i="5"/>
  <c r="Q28" i="5"/>
  <c r="AI27" i="5"/>
  <c r="AA27" i="5"/>
  <c r="Z27" i="5"/>
  <c r="Y27" i="5"/>
  <c r="X27" i="5"/>
  <c r="W27" i="5"/>
  <c r="V27" i="5"/>
  <c r="U27" i="5"/>
  <c r="T27" i="5"/>
  <c r="S27" i="5"/>
  <c r="R27" i="5"/>
  <c r="Q27" i="5"/>
  <c r="AI26" i="5"/>
  <c r="AA26" i="5"/>
  <c r="Z26" i="5"/>
  <c r="Y26" i="5"/>
  <c r="X26" i="5"/>
  <c r="W26" i="5"/>
  <c r="V26" i="5"/>
  <c r="U26" i="5"/>
  <c r="T26" i="5"/>
  <c r="S26" i="5"/>
  <c r="R26" i="5"/>
  <c r="Q26" i="5"/>
  <c r="AI25" i="5"/>
  <c r="AA25" i="5"/>
  <c r="Z25" i="5"/>
  <c r="Y25" i="5"/>
  <c r="X25" i="5"/>
  <c r="W25" i="5"/>
  <c r="V25" i="5"/>
  <c r="U25" i="5"/>
  <c r="T25" i="5"/>
  <c r="S25" i="5"/>
  <c r="R25" i="5"/>
  <c r="Q25" i="5"/>
  <c r="AI24" i="5"/>
  <c r="AA24" i="5"/>
  <c r="Z24" i="5"/>
  <c r="Y24" i="5"/>
  <c r="X24" i="5"/>
  <c r="W24" i="5"/>
  <c r="V24" i="5"/>
  <c r="U24" i="5"/>
  <c r="T24" i="5"/>
  <c r="S24" i="5"/>
  <c r="R24" i="5"/>
  <c r="Q24" i="5"/>
  <c r="AI23" i="5"/>
  <c r="AA23" i="5"/>
  <c r="Z23" i="5"/>
  <c r="Y23" i="5"/>
  <c r="X23" i="5"/>
  <c r="W23" i="5"/>
  <c r="V23" i="5"/>
  <c r="U23" i="5"/>
  <c r="T23" i="5"/>
  <c r="S23" i="5"/>
  <c r="R23" i="5"/>
  <c r="Q23" i="5"/>
  <c r="AI22" i="5"/>
  <c r="AA22" i="5"/>
  <c r="Z22" i="5"/>
  <c r="Y22" i="5"/>
  <c r="X22" i="5"/>
  <c r="W22" i="5"/>
  <c r="V22" i="5"/>
  <c r="U22" i="5"/>
  <c r="T22" i="5"/>
  <c r="S22" i="5"/>
  <c r="R22" i="5"/>
  <c r="Q22" i="5"/>
  <c r="AI21" i="5"/>
  <c r="AA21" i="5"/>
  <c r="Z21" i="5"/>
  <c r="Y21" i="5"/>
  <c r="X21" i="5"/>
  <c r="W21" i="5"/>
  <c r="V21" i="5"/>
  <c r="U21" i="5"/>
  <c r="T21" i="5"/>
  <c r="S21" i="5"/>
  <c r="R21" i="5"/>
  <c r="Q21" i="5"/>
  <c r="AI20" i="5"/>
  <c r="AA20" i="5"/>
  <c r="Z20" i="5"/>
  <c r="Y20" i="5"/>
  <c r="X20" i="5"/>
  <c r="W20" i="5"/>
  <c r="V20" i="5"/>
  <c r="U20" i="5"/>
  <c r="T20" i="5"/>
  <c r="S20" i="5"/>
  <c r="R20" i="5"/>
  <c r="Q20" i="5"/>
  <c r="AI19" i="5"/>
  <c r="AA19" i="5"/>
  <c r="Z19" i="5"/>
  <c r="Y19" i="5"/>
  <c r="X19" i="5"/>
  <c r="W19" i="5"/>
  <c r="V19" i="5"/>
  <c r="U19" i="5"/>
  <c r="T19" i="5"/>
  <c r="S19" i="5"/>
  <c r="R19" i="5"/>
  <c r="Q19" i="5"/>
  <c r="AI18" i="5"/>
  <c r="AA18" i="5"/>
  <c r="Z18" i="5"/>
  <c r="Y18" i="5"/>
  <c r="X18" i="5"/>
  <c r="W18" i="5"/>
  <c r="V18" i="5"/>
  <c r="U18" i="5"/>
  <c r="T18" i="5"/>
  <c r="S18" i="5"/>
  <c r="R18" i="5"/>
  <c r="Q18" i="5"/>
  <c r="AA17" i="5"/>
  <c r="Z17" i="5"/>
  <c r="Y17" i="5"/>
  <c r="X17" i="5"/>
  <c r="W17" i="5"/>
  <c r="V17" i="5"/>
  <c r="U17" i="5"/>
  <c r="T17" i="5"/>
  <c r="S17" i="5"/>
  <c r="R17" i="5"/>
  <c r="Q17" i="5"/>
  <c r="AA16" i="5"/>
  <c r="Z16" i="5"/>
  <c r="Y16" i="5"/>
  <c r="X16" i="5"/>
  <c r="W16" i="5"/>
  <c r="V16" i="5"/>
  <c r="U16" i="5"/>
  <c r="T16" i="5"/>
  <c r="S16" i="5"/>
  <c r="R16" i="5"/>
  <c r="Q16" i="5"/>
  <c r="AW15" i="5"/>
  <c r="AV15" i="5"/>
  <c r="AU15" i="5"/>
  <c r="AT15" i="5"/>
  <c r="AS15" i="5"/>
  <c r="AR15" i="5"/>
  <c r="AQ15" i="5"/>
  <c r="AP15" i="5"/>
  <c r="AO15" i="5"/>
  <c r="AN15" i="5"/>
  <c r="AM15" i="5"/>
  <c r="AA15" i="5"/>
  <c r="Z15" i="5"/>
  <c r="Y15" i="5"/>
  <c r="X15" i="5"/>
  <c r="W15" i="5"/>
  <c r="V15" i="5"/>
  <c r="U15" i="5"/>
  <c r="T15" i="5"/>
  <c r="S15" i="5"/>
  <c r="R15" i="5"/>
  <c r="Q15" i="5"/>
  <c r="AW14" i="5"/>
  <c r="AV14" i="5"/>
  <c r="AU14" i="5"/>
  <c r="AT14" i="5"/>
  <c r="AS14" i="5"/>
  <c r="AR14" i="5"/>
  <c r="AQ14" i="5"/>
  <c r="AP14" i="5"/>
  <c r="AO14" i="5"/>
  <c r="AN14" i="5"/>
  <c r="AM14" i="5"/>
  <c r="AA14" i="5"/>
  <c r="Z14" i="5"/>
  <c r="Y14" i="5"/>
  <c r="X14" i="5"/>
  <c r="W14" i="5"/>
  <c r="V14" i="5"/>
  <c r="U14" i="5"/>
  <c r="T14" i="5"/>
  <c r="S14" i="5"/>
  <c r="R14" i="5"/>
  <c r="Q14" i="5"/>
  <c r="AW13" i="5"/>
  <c r="AV13" i="5"/>
  <c r="AU13" i="5"/>
  <c r="AT13" i="5"/>
  <c r="AS13" i="5"/>
  <c r="AR13" i="5"/>
  <c r="AQ13" i="5"/>
  <c r="AP13" i="5"/>
  <c r="AO13" i="5"/>
  <c r="AN13" i="5"/>
  <c r="AM13" i="5"/>
  <c r="AA13" i="5"/>
  <c r="Z13" i="5"/>
  <c r="Y13" i="5"/>
  <c r="X13" i="5"/>
  <c r="W13" i="5"/>
  <c r="V13" i="5"/>
  <c r="U13" i="5"/>
  <c r="T13" i="5"/>
  <c r="S13" i="5"/>
  <c r="R13" i="5"/>
  <c r="Q13" i="5"/>
  <c r="AW12" i="5"/>
  <c r="AV12" i="5"/>
  <c r="AU12" i="5"/>
  <c r="AT12" i="5"/>
  <c r="AS12" i="5"/>
  <c r="AR12" i="5"/>
  <c r="AQ12" i="5"/>
  <c r="AP12" i="5"/>
  <c r="AO12" i="5"/>
  <c r="AN12" i="5"/>
  <c r="AM12" i="5"/>
  <c r="AA12" i="5"/>
  <c r="Z12" i="5"/>
  <c r="Y12" i="5"/>
  <c r="X12" i="5"/>
  <c r="W12" i="5"/>
  <c r="V12" i="5"/>
  <c r="U12" i="5"/>
  <c r="T12" i="5"/>
  <c r="S12" i="5"/>
  <c r="R12" i="5"/>
  <c r="Q12" i="5"/>
  <c r="AW11" i="5"/>
  <c r="AV11" i="5"/>
  <c r="AU11" i="5"/>
  <c r="AT11" i="5"/>
  <c r="AS11" i="5"/>
  <c r="AR11" i="5"/>
  <c r="AQ11" i="5"/>
  <c r="AP11" i="5"/>
  <c r="AO11" i="5"/>
  <c r="AN11" i="5"/>
  <c r="AM11" i="5"/>
  <c r="AA11" i="5"/>
  <c r="Z11" i="5"/>
  <c r="Y11" i="5"/>
  <c r="X11" i="5"/>
  <c r="W11" i="5"/>
  <c r="V11" i="5"/>
  <c r="U11" i="5"/>
  <c r="T11" i="5"/>
  <c r="S11" i="5"/>
  <c r="R11" i="5"/>
  <c r="Q11" i="5"/>
  <c r="AW10" i="5"/>
  <c r="AV10" i="5"/>
  <c r="AU10" i="5"/>
  <c r="AT10" i="5"/>
  <c r="AS10" i="5"/>
  <c r="AR10" i="5"/>
  <c r="AQ10" i="5"/>
  <c r="AP10" i="5"/>
  <c r="AO10" i="5"/>
  <c r="AN10" i="5"/>
  <c r="AM10" i="5"/>
  <c r="AA10" i="5"/>
  <c r="Z10" i="5"/>
  <c r="Y10" i="5"/>
  <c r="X10" i="5"/>
  <c r="W10" i="5"/>
  <c r="V10" i="5"/>
  <c r="U10" i="5"/>
  <c r="T10" i="5"/>
  <c r="S10" i="5"/>
  <c r="R10" i="5"/>
  <c r="Q10" i="5"/>
  <c r="AW9" i="5"/>
  <c r="AV9" i="5"/>
  <c r="AU9" i="5"/>
  <c r="AT9" i="5"/>
  <c r="AS9" i="5"/>
  <c r="AR9" i="5"/>
  <c r="AQ9" i="5"/>
  <c r="AP9" i="5"/>
  <c r="AO9" i="5"/>
  <c r="AN9" i="5"/>
  <c r="AM9" i="5"/>
  <c r="AA9" i="5"/>
  <c r="Z9" i="5"/>
  <c r="Y9" i="5"/>
  <c r="X9" i="5"/>
  <c r="W9" i="5"/>
  <c r="V9" i="5"/>
  <c r="U9" i="5"/>
  <c r="T9" i="5"/>
  <c r="S9" i="5"/>
  <c r="R9" i="5"/>
  <c r="Q9" i="5"/>
  <c r="AW8" i="5"/>
  <c r="AV8" i="5"/>
  <c r="AU8" i="5"/>
  <c r="AT8" i="5"/>
  <c r="AS8" i="5"/>
  <c r="AR8" i="5"/>
  <c r="AQ8" i="5"/>
  <c r="AP8" i="5"/>
  <c r="AO8" i="5"/>
  <c r="AN8" i="5"/>
  <c r="AM8" i="5"/>
  <c r="AA8" i="5"/>
  <c r="Z8" i="5"/>
  <c r="Y8" i="5"/>
  <c r="X8" i="5"/>
  <c r="W8" i="5"/>
  <c r="V8" i="5"/>
  <c r="U8" i="5"/>
  <c r="T8" i="5"/>
  <c r="S8" i="5"/>
  <c r="R8" i="5"/>
  <c r="Q8" i="5"/>
  <c r="AW7" i="5"/>
  <c r="AV7" i="5"/>
  <c r="AU7" i="5"/>
  <c r="AT7" i="5"/>
  <c r="AS7" i="5"/>
  <c r="AR7" i="5"/>
  <c r="AQ7" i="5"/>
  <c r="AP7" i="5"/>
  <c r="AO7" i="5"/>
  <c r="AN7" i="5"/>
  <c r="AM7" i="5"/>
  <c r="AA7" i="5"/>
  <c r="Z7" i="5"/>
  <c r="Y7" i="5"/>
  <c r="X7" i="5"/>
  <c r="W7" i="5"/>
  <c r="V7" i="5"/>
  <c r="U7" i="5"/>
  <c r="T7" i="5"/>
  <c r="S7" i="5"/>
  <c r="R7" i="5"/>
  <c r="Q7" i="5"/>
  <c r="AW6" i="5"/>
  <c r="AV6" i="5"/>
  <c r="AU6" i="5"/>
  <c r="AT6" i="5"/>
  <c r="AS6" i="5"/>
  <c r="AR6" i="5"/>
  <c r="AQ6" i="5"/>
  <c r="AP6" i="5"/>
  <c r="AO6" i="5"/>
  <c r="AN6" i="5"/>
  <c r="AM6" i="5"/>
  <c r="AA6" i="5"/>
  <c r="Z6" i="5"/>
  <c r="Y6" i="5"/>
  <c r="X6" i="5"/>
  <c r="W6" i="5"/>
  <c r="V6" i="5"/>
  <c r="U6" i="5"/>
  <c r="T6" i="5"/>
  <c r="S6" i="5"/>
  <c r="R6" i="5"/>
  <c r="Q6" i="5"/>
  <c r="AW5" i="5"/>
  <c r="AV5" i="5"/>
  <c r="AU5" i="5"/>
  <c r="AT5" i="5"/>
  <c r="AS5" i="5"/>
  <c r="AR5" i="5"/>
  <c r="AQ5" i="5"/>
  <c r="AP5" i="5"/>
  <c r="AO5" i="5"/>
  <c r="AN5" i="5"/>
  <c r="AM5" i="5"/>
  <c r="AA5" i="5"/>
  <c r="Z5" i="5"/>
  <c r="Y5" i="5"/>
  <c r="Y68" i="5" s="1"/>
  <c r="Y70" i="5" s="1"/>
  <c r="X5" i="5"/>
  <c r="W5" i="5"/>
  <c r="V5" i="5"/>
  <c r="U5" i="5"/>
  <c r="T5" i="5"/>
  <c r="S5" i="5"/>
  <c r="R5" i="5"/>
  <c r="Q5" i="5"/>
  <c r="Q68" i="5" s="1"/>
  <c r="Q70" i="5" s="1"/>
  <c r="AI30" i="5" l="1"/>
  <c r="T67" i="5"/>
  <c r="T69" i="5" s="1"/>
  <c r="AI7" i="5" s="1"/>
  <c r="R67" i="5"/>
  <c r="R69" i="5" s="1"/>
  <c r="AI5" i="5" s="1"/>
  <c r="Z67" i="5"/>
  <c r="Z69" i="5" s="1"/>
  <c r="AI13" i="5" s="1"/>
  <c r="S67" i="5"/>
  <c r="S69" i="5" s="1"/>
  <c r="AI6" i="5" s="1"/>
  <c r="AA67" i="5"/>
  <c r="AA69" i="5" s="1"/>
  <c r="AI14" i="5" s="1"/>
  <c r="U68" i="5"/>
  <c r="U70" i="5" s="1"/>
  <c r="AI51" i="5" a="1"/>
  <c r="AI51" i="5" s="1"/>
  <c r="V68" i="5"/>
  <c r="V70" i="5" s="1"/>
  <c r="W68" i="5"/>
  <c r="W70" i="5" s="1"/>
  <c r="X68" i="5"/>
  <c r="X70" i="5" s="1"/>
  <c r="AT43" i="4"/>
  <c r="X68" i="4"/>
  <c r="X70" i="4" s="1"/>
  <c r="Q68" i="4"/>
  <c r="Q70" i="4" s="1"/>
  <c r="Y68" i="4"/>
  <c r="Y70" i="4" s="1"/>
  <c r="R67" i="4"/>
  <c r="R69" i="4" s="1"/>
  <c r="AI5" i="4" s="1"/>
  <c r="Z67" i="4"/>
  <c r="Z69" i="4" s="1"/>
  <c r="AI13" i="4" s="1"/>
  <c r="S67" i="4"/>
  <c r="S69" i="4" s="1"/>
  <c r="AI6" i="4" s="1"/>
  <c r="T67" i="4"/>
  <c r="T69" i="4" s="1"/>
  <c r="AI7" i="4" s="1"/>
  <c r="AI30" i="4"/>
  <c r="AI32" i="4" a="1"/>
  <c r="AI32" i="4" s="1"/>
  <c r="U68" i="4"/>
  <c r="U70" i="4" s="1"/>
  <c r="AA67" i="4"/>
  <c r="AA69" i="4" s="1"/>
  <c r="AI14" i="4" s="1"/>
  <c r="V68" i="4"/>
  <c r="V70" i="4" s="1"/>
  <c r="AI51" i="4" a="1"/>
  <c r="AI51" i="4" s="1"/>
  <c r="W68" i="4"/>
  <c r="W70" i="4" s="1"/>
  <c r="AT37" i="4"/>
  <c r="AP46" i="4"/>
  <c r="AT38" i="4"/>
  <c r="U67" i="4"/>
  <c r="U69" i="4" s="1"/>
  <c r="AI8" i="4" s="1"/>
  <c r="R68" i="4"/>
  <c r="R70" i="4" s="1"/>
  <c r="Z68" i="4"/>
  <c r="Z70" i="4" s="1"/>
  <c r="AQ36" i="4"/>
  <c r="V67" i="4"/>
  <c r="V69" i="4" s="1"/>
  <c r="AI9" i="4" s="1"/>
  <c r="S68" i="4"/>
  <c r="S70" i="4" s="1"/>
  <c r="AA68" i="4"/>
  <c r="AA70" i="4" s="1"/>
  <c r="W67" i="4"/>
  <c r="W69" i="4" s="1"/>
  <c r="AI10" i="4" s="1"/>
  <c r="T68" i="4"/>
  <c r="T70" i="4" s="1"/>
  <c r="X67" i="4"/>
  <c r="X69" i="4" s="1"/>
  <c r="AI11" i="4" s="1"/>
  <c r="Q67" i="4"/>
  <c r="Q69" i="4" s="1"/>
  <c r="AI4" i="4" s="1"/>
  <c r="Y67" i="4"/>
  <c r="Y69" i="4" s="1"/>
  <c r="AI12" i="4" s="1"/>
  <c r="AS36" i="5"/>
  <c r="AS37" i="5"/>
  <c r="AS38" i="5"/>
  <c r="AP45" i="5"/>
  <c r="AS35" i="5"/>
  <c r="U67" i="5"/>
  <c r="U69" i="5" s="1"/>
  <c r="AI8" i="5" s="1"/>
  <c r="R68" i="5"/>
  <c r="R70" i="5" s="1"/>
  <c r="Z68" i="5"/>
  <c r="Z70" i="5" s="1"/>
  <c r="V67" i="5"/>
  <c r="V69" i="5" s="1"/>
  <c r="AI9" i="5" s="1"/>
  <c r="S68" i="5"/>
  <c r="S70" i="5" s="1"/>
  <c r="AA68" i="5"/>
  <c r="AA70" i="5" s="1"/>
  <c r="W67" i="5"/>
  <c r="W69" i="5" s="1"/>
  <c r="AI10" i="5" s="1"/>
  <c r="T68" i="5"/>
  <c r="T70" i="5" s="1"/>
  <c r="X67" i="5"/>
  <c r="X69" i="5" s="1"/>
  <c r="AI11" i="5" s="1"/>
  <c r="Q67" i="5"/>
  <c r="Q69" i="5" s="1"/>
  <c r="AI4" i="5" s="1"/>
  <c r="Y67" i="5"/>
  <c r="Y69" i="5" s="1"/>
  <c r="AI12" i="5" s="1"/>
  <c r="AI32" i="5" a="1"/>
  <c r="AI32" i="5" s="1"/>
  <c r="AO45" i="5"/>
  <c r="AS41" i="5" l="1"/>
  <c r="AQ46" i="4"/>
  <c r="AT36" i="4"/>
  <c r="AT44" i="4" s="1"/>
  <c r="AI31" i="4" a="1"/>
  <c r="AI31" i="4" s="1"/>
  <c r="AM19" i="4" s="1"/>
  <c r="AI50" i="4" a="1"/>
  <c r="AI50" i="4" s="1"/>
  <c r="AI52" i="4" s="1"/>
  <c r="AI52" i="5"/>
  <c r="AI31" i="5" a="1"/>
  <c r="AI31" i="5" s="1"/>
  <c r="AM19" i="5" s="1"/>
  <c r="AO41" i="8" l="1"/>
  <c r="AP41" i="8" s="1"/>
  <c r="AS38" i="8" s="1"/>
  <c r="AM14" i="7"/>
  <c r="AA63" i="6"/>
  <c r="Z63" i="6"/>
  <c r="Y63" i="6"/>
  <c r="X63" i="6"/>
  <c r="W63" i="6"/>
  <c r="V63" i="6"/>
  <c r="U63" i="6"/>
  <c r="T63" i="6"/>
  <c r="S63" i="6"/>
  <c r="R63" i="6"/>
  <c r="Q63" i="6"/>
  <c r="AA62" i="6"/>
  <c r="Z62" i="6"/>
  <c r="Y62" i="6"/>
  <c r="X62" i="6"/>
  <c r="W62" i="6"/>
  <c r="V62" i="6"/>
  <c r="U62" i="6"/>
  <c r="T62" i="6"/>
  <c r="S62" i="6"/>
  <c r="R62" i="6"/>
  <c r="Q62" i="6"/>
  <c r="AA61" i="6"/>
  <c r="Z61" i="6"/>
  <c r="Y61" i="6"/>
  <c r="X61" i="6"/>
  <c r="W61" i="6"/>
  <c r="V61" i="6"/>
  <c r="U61" i="6"/>
  <c r="T61" i="6"/>
  <c r="S61" i="6"/>
  <c r="R61" i="6"/>
  <c r="Q61" i="6"/>
  <c r="AA60" i="6"/>
  <c r="Z60" i="6"/>
  <c r="Y60" i="6"/>
  <c r="X60" i="6"/>
  <c r="W60" i="6"/>
  <c r="V60" i="6"/>
  <c r="U60" i="6"/>
  <c r="T60" i="6"/>
  <c r="S60" i="6"/>
  <c r="R60" i="6"/>
  <c r="Q60" i="6"/>
  <c r="AA59" i="6"/>
  <c r="Z59" i="6"/>
  <c r="Y59" i="6"/>
  <c r="X59" i="6"/>
  <c r="W59" i="6"/>
  <c r="V59" i="6"/>
  <c r="U59" i="6"/>
  <c r="T59" i="6"/>
  <c r="S59" i="6"/>
  <c r="R59" i="6"/>
  <c r="Q59" i="6"/>
  <c r="AA58" i="6"/>
  <c r="Z58" i="6"/>
  <c r="Y58" i="6"/>
  <c r="X58" i="6"/>
  <c r="W58" i="6"/>
  <c r="V58" i="6"/>
  <c r="U58" i="6"/>
  <c r="T58" i="6"/>
  <c r="S58" i="6"/>
  <c r="R58" i="6"/>
  <c r="Q58" i="6"/>
  <c r="AA57" i="6"/>
  <c r="Z57" i="6"/>
  <c r="Y57" i="6"/>
  <c r="X57" i="6"/>
  <c r="W57" i="6"/>
  <c r="V57" i="6"/>
  <c r="U57" i="6"/>
  <c r="T57" i="6"/>
  <c r="S57" i="6"/>
  <c r="R57" i="6"/>
  <c r="Q57" i="6"/>
  <c r="AA56" i="6"/>
  <c r="Z56" i="6"/>
  <c r="Y56" i="6"/>
  <c r="X56" i="6"/>
  <c r="W56" i="6"/>
  <c r="V56" i="6"/>
  <c r="U56" i="6"/>
  <c r="T56" i="6"/>
  <c r="S56" i="6"/>
  <c r="R56" i="6"/>
  <c r="Q56" i="6"/>
  <c r="AA55" i="6"/>
  <c r="Z55" i="6"/>
  <c r="Y55" i="6"/>
  <c r="X55" i="6"/>
  <c r="W55" i="6"/>
  <c r="V55" i="6"/>
  <c r="U55" i="6"/>
  <c r="T55" i="6"/>
  <c r="S55" i="6"/>
  <c r="R55" i="6"/>
  <c r="Q55" i="6"/>
  <c r="AA54" i="6"/>
  <c r="Z54" i="6"/>
  <c r="Y54" i="6"/>
  <c r="X54" i="6"/>
  <c r="W54" i="6"/>
  <c r="V54" i="6"/>
  <c r="U54" i="6"/>
  <c r="T54" i="6"/>
  <c r="S54" i="6"/>
  <c r="R54" i="6"/>
  <c r="Q54" i="6"/>
  <c r="AA53" i="6"/>
  <c r="Z53" i="6"/>
  <c r="Y53" i="6"/>
  <c r="X53" i="6"/>
  <c r="W53" i="6"/>
  <c r="V53" i="6"/>
  <c r="U53" i="6"/>
  <c r="T53" i="6"/>
  <c r="S53" i="6"/>
  <c r="R53" i="6"/>
  <c r="Q53" i="6"/>
  <c r="AA52" i="6"/>
  <c r="Z52" i="6"/>
  <c r="Y52" i="6"/>
  <c r="X52" i="6"/>
  <c r="W52" i="6"/>
  <c r="V52" i="6"/>
  <c r="U52" i="6"/>
  <c r="T52" i="6"/>
  <c r="S52" i="6"/>
  <c r="R52" i="6"/>
  <c r="Q52" i="6"/>
  <c r="AA51" i="6"/>
  <c r="Z51" i="6"/>
  <c r="Y51" i="6"/>
  <c r="X51" i="6"/>
  <c r="W51" i="6"/>
  <c r="V51" i="6"/>
  <c r="U51" i="6"/>
  <c r="T51" i="6"/>
  <c r="S51" i="6"/>
  <c r="R51" i="6"/>
  <c r="Q51" i="6"/>
  <c r="AA50" i="6"/>
  <c r="Z50" i="6"/>
  <c r="Y50" i="6"/>
  <c r="X50" i="6"/>
  <c r="W50" i="6"/>
  <c r="V50" i="6"/>
  <c r="U50" i="6"/>
  <c r="T50" i="6"/>
  <c r="S50" i="6"/>
  <c r="R50" i="6"/>
  <c r="Q50" i="6"/>
  <c r="AI49" i="6"/>
  <c r="AA49" i="6"/>
  <c r="Z49" i="6"/>
  <c r="Y49" i="6"/>
  <c r="X49" i="6"/>
  <c r="W49" i="6"/>
  <c r="V49" i="6"/>
  <c r="U49" i="6"/>
  <c r="T49" i="6"/>
  <c r="S49" i="6"/>
  <c r="R49" i="6"/>
  <c r="Q49" i="6"/>
  <c r="AA48" i="6"/>
  <c r="Z48" i="6"/>
  <c r="Y48" i="6"/>
  <c r="X48" i="6"/>
  <c r="W48" i="6"/>
  <c r="V48" i="6"/>
  <c r="U48" i="6"/>
  <c r="T48" i="6"/>
  <c r="S48" i="6"/>
  <c r="R48" i="6"/>
  <c r="Q48" i="6"/>
  <c r="AA47" i="6"/>
  <c r="Z47" i="6"/>
  <c r="Y47" i="6"/>
  <c r="X47" i="6"/>
  <c r="W47" i="6"/>
  <c r="V47" i="6"/>
  <c r="U47" i="6"/>
  <c r="T47" i="6"/>
  <c r="S47" i="6"/>
  <c r="R47" i="6"/>
  <c r="Q47" i="6"/>
  <c r="AA46" i="6"/>
  <c r="Z46" i="6"/>
  <c r="Y46" i="6"/>
  <c r="X46" i="6"/>
  <c r="W46" i="6"/>
  <c r="V46" i="6"/>
  <c r="U46" i="6"/>
  <c r="T46" i="6"/>
  <c r="S46" i="6"/>
  <c r="R46" i="6"/>
  <c r="Q46" i="6"/>
  <c r="AL45" i="6"/>
  <c r="AA45" i="6"/>
  <c r="Z45" i="6"/>
  <c r="Y45" i="6"/>
  <c r="X45" i="6"/>
  <c r="W45" i="6"/>
  <c r="V45" i="6"/>
  <c r="U45" i="6"/>
  <c r="T45" i="6"/>
  <c r="S45" i="6"/>
  <c r="R45" i="6"/>
  <c r="Q45" i="6"/>
  <c r="AL44" i="6"/>
  <c r="AA44" i="6"/>
  <c r="Z44" i="6"/>
  <c r="Y44" i="6"/>
  <c r="X44" i="6"/>
  <c r="W44" i="6"/>
  <c r="V44" i="6"/>
  <c r="U44" i="6"/>
  <c r="T44" i="6"/>
  <c r="S44" i="6"/>
  <c r="R44" i="6"/>
  <c r="Q44" i="6"/>
  <c r="AL43" i="6"/>
  <c r="AA43" i="6"/>
  <c r="Z43" i="6"/>
  <c r="Y43" i="6"/>
  <c r="X43" i="6"/>
  <c r="W43" i="6"/>
  <c r="V43" i="6"/>
  <c r="U43" i="6"/>
  <c r="T43" i="6"/>
  <c r="S43" i="6"/>
  <c r="R43" i="6"/>
  <c r="Q43" i="6"/>
  <c r="AL42" i="6"/>
  <c r="AA42" i="6"/>
  <c r="Z42" i="6"/>
  <c r="Y42" i="6"/>
  <c r="X42" i="6"/>
  <c r="W42" i="6"/>
  <c r="V42" i="6"/>
  <c r="U42" i="6"/>
  <c r="T42" i="6"/>
  <c r="S42" i="6"/>
  <c r="R42" i="6"/>
  <c r="Q42" i="6"/>
  <c r="AA41" i="6"/>
  <c r="Z41" i="6"/>
  <c r="Y41" i="6"/>
  <c r="X41" i="6"/>
  <c r="W41" i="6"/>
  <c r="V41" i="6"/>
  <c r="U41" i="6"/>
  <c r="T41" i="6"/>
  <c r="S41" i="6"/>
  <c r="R41" i="6"/>
  <c r="Q41" i="6"/>
  <c r="AA40" i="6"/>
  <c r="Z40" i="6"/>
  <c r="Y40" i="6"/>
  <c r="X40" i="6"/>
  <c r="W40" i="6"/>
  <c r="V40" i="6"/>
  <c r="U40" i="6"/>
  <c r="T40" i="6"/>
  <c r="S40" i="6"/>
  <c r="R40" i="6"/>
  <c r="Q40" i="6"/>
  <c r="AO39" i="6"/>
  <c r="AP39" i="6" s="1"/>
  <c r="AA39" i="6"/>
  <c r="Z39" i="6"/>
  <c r="Y39" i="6"/>
  <c r="X39" i="6"/>
  <c r="W39" i="6"/>
  <c r="V39" i="6"/>
  <c r="U39" i="6"/>
  <c r="T39" i="6"/>
  <c r="S39" i="6"/>
  <c r="R39" i="6"/>
  <c r="Q39" i="6"/>
  <c r="AO38" i="6"/>
  <c r="AP38" i="6" s="1"/>
  <c r="AA38" i="6"/>
  <c r="Z38" i="6"/>
  <c r="Y38" i="6"/>
  <c r="X38" i="6"/>
  <c r="W38" i="6"/>
  <c r="V38" i="6"/>
  <c r="U38" i="6"/>
  <c r="T38" i="6"/>
  <c r="S38" i="6"/>
  <c r="R38" i="6"/>
  <c r="Q38" i="6"/>
  <c r="AA37" i="6"/>
  <c r="Z37" i="6"/>
  <c r="Y37" i="6"/>
  <c r="X37" i="6"/>
  <c r="W37" i="6"/>
  <c r="V37" i="6"/>
  <c r="U37" i="6"/>
  <c r="T37" i="6"/>
  <c r="S37" i="6"/>
  <c r="R37" i="6"/>
  <c r="Q37" i="6"/>
  <c r="AO36" i="6"/>
  <c r="AP36" i="6" s="1"/>
  <c r="AA36" i="6"/>
  <c r="Z36" i="6"/>
  <c r="Y36" i="6"/>
  <c r="X36" i="6"/>
  <c r="W36" i="6"/>
  <c r="V36" i="6"/>
  <c r="U36" i="6"/>
  <c r="T36" i="6"/>
  <c r="S36" i="6"/>
  <c r="R36" i="6"/>
  <c r="Q36" i="6"/>
  <c r="AO35" i="6"/>
  <c r="AA35" i="6"/>
  <c r="Z35" i="6"/>
  <c r="Y35" i="6"/>
  <c r="X35" i="6"/>
  <c r="W35" i="6"/>
  <c r="V35" i="6"/>
  <c r="U35" i="6"/>
  <c r="T35" i="6"/>
  <c r="S35" i="6"/>
  <c r="R35" i="6"/>
  <c r="Q35" i="6"/>
  <c r="AA34" i="6"/>
  <c r="Z34" i="6"/>
  <c r="Y34" i="6"/>
  <c r="X34" i="6"/>
  <c r="W34" i="6"/>
  <c r="V34" i="6"/>
  <c r="U34" i="6"/>
  <c r="T34" i="6"/>
  <c r="S34" i="6"/>
  <c r="R34" i="6"/>
  <c r="Q34" i="6"/>
  <c r="AA33" i="6"/>
  <c r="Z33" i="6"/>
  <c r="Y33" i="6"/>
  <c r="X33" i="6"/>
  <c r="W33" i="6"/>
  <c r="V33" i="6"/>
  <c r="U33" i="6"/>
  <c r="T33" i="6"/>
  <c r="S33" i="6"/>
  <c r="R33" i="6"/>
  <c r="Q33" i="6"/>
  <c r="AA32" i="6"/>
  <c r="Z32" i="6"/>
  <c r="Y32" i="6"/>
  <c r="X32" i="6"/>
  <c r="W32" i="6"/>
  <c r="V32" i="6"/>
  <c r="U32" i="6"/>
  <c r="T32" i="6"/>
  <c r="S32" i="6"/>
  <c r="R32" i="6"/>
  <c r="Q32" i="6"/>
  <c r="AA31" i="6"/>
  <c r="Z31" i="6"/>
  <c r="Y31" i="6"/>
  <c r="X31" i="6"/>
  <c r="W31" i="6"/>
  <c r="V31" i="6"/>
  <c r="U31" i="6"/>
  <c r="T31" i="6"/>
  <c r="S31" i="6"/>
  <c r="R31" i="6"/>
  <c r="Q31" i="6"/>
  <c r="AA30" i="6"/>
  <c r="Z30" i="6"/>
  <c r="Y30" i="6"/>
  <c r="X30" i="6"/>
  <c r="W30" i="6"/>
  <c r="V30" i="6"/>
  <c r="U30" i="6"/>
  <c r="T30" i="6"/>
  <c r="S30" i="6"/>
  <c r="R30" i="6"/>
  <c r="Q30" i="6"/>
  <c r="AA29" i="6"/>
  <c r="Z29" i="6"/>
  <c r="Y29" i="6"/>
  <c r="X29" i="6"/>
  <c r="W29" i="6"/>
  <c r="V29" i="6"/>
  <c r="U29" i="6"/>
  <c r="T29" i="6"/>
  <c r="S29" i="6"/>
  <c r="R29" i="6"/>
  <c r="Q29" i="6"/>
  <c r="AA28" i="6"/>
  <c r="Z28" i="6"/>
  <c r="Y28" i="6"/>
  <c r="X28" i="6"/>
  <c r="W28" i="6"/>
  <c r="V28" i="6"/>
  <c r="U28" i="6"/>
  <c r="T28" i="6"/>
  <c r="S28" i="6"/>
  <c r="R28" i="6"/>
  <c r="Q28" i="6"/>
  <c r="AA27" i="6"/>
  <c r="Z27" i="6"/>
  <c r="Y27" i="6"/>
  <c r="X27" i="6"/>
  <c r="W27" i="6"/>
  <c r="V27" i="6"/>
  <c r="U27" i="6"/>
  <c r="T27" i="6"/>
  <c r="S27" i="6"/>
  <c r="R27" i="6"/>
  <c r="Q27" i="6"/>
  <c r="AA26" i="6"/>
  <c r="Z26" i="6"/>
  <c r="Y26" i="6"/>
  <c r="X26" i="6"/>
  <c r="W26" i="6"/>
  <c r="V26" i="6"/>
  <c r="U26" i="6"/>
  <c r="T26" i="6"/>
  <c r="S26" i="6"/>
  <c r="R26" i="6"/>
  <c r="Q26" i="6"/>
  <c r="AA25" i="6"/>
  <c r="Z25" i="6"/>
  <c r="Y25" i="6"/>
  <c r="X25" i="6"/>
  <c r="W25" i="6"/>
  <c r="V25" i="6"/>
  <c r="U25" i="6"/>
  <c r="T25" i="6"/>
  <c r="S25" i="6"/>
  <c r="R25" i="6"/>
  <c r="Q25" i="6"/>
  <c r="AA24" i="6"/>
  <c r="Z24" i="6"/>
  <c r="Y24" i="6"/>
  <c r="X24" i="6"/>
  <c r="W24" i="6"/>
  <c r="V24" i="6"/>
  <c r="U24" i="6"/>
  <c r="T24" i="6"/>
  <c r="S24" i="6"/>
  <c r="R24" i="6"/>
  <c r="Q24" i="6"/>
  <c r="AA23" i="6"/>
  <c r="Z23" i="6"/>
  <c r="Y23" i="6"/>
  <c r="X23" i="6"/>
  <c r="W23" i="6"/>
  <c r="V23" i="6"/>
  <c r="U23" i="6"/>
  <c r="T23" i="6"/>
  <c r="S23" i="6"/>
  <c r="R23" i="6"/>
  <c r="Q23" i="6"/>
  <c r="AA22" i="6"/>
  <c r="Z22" i="6"/>
  <c r="Y22" i="6"/>
  <c r="X22" i="6"/>
  <c r="W22" i="6"/>
  <c r="V22" i="6"/>
  <c r="U22" i="6"/>
  <c r="T22" i="6"/>
  <c r="S22" i="6"/>
  <c r="R22" i="6"/>
  <c r="Q22" i="6"/>
  <c r="AA21" i="6"/>
  <c r="Z21" i="6"/>
  <c r="Y21" i="6"/>
  <c r="X21" i="6"/>
  <c r="W21" i="6"/>
  <c r="V21" i="6"/>
  <c r="U21" i="6"/>
  <c r="T21" i="6"/>
  <c r="S21" i="6"/>
  <c r="R21" i="6"/>
  <c r="Q21" i="6"/>
  <c r="AA20" i="6"/>
  <c r="Z20" i="6"/>
  <c r="Y20" i="6"/>
  <c r="X20" i="6"/>
  <c r="W20" i="6"/>
  <c r="V20" i="6"/>
  <c r="U20" i="6"/>
  <c r="T20" i="6"/>
  <c r="S20" i="6"/>
  <c r="R20" i="6"/>
  <c r="Q20" i="6"/>
  <c r="AA19" i="6"/>
  <c r="Z19" i="6"/>
  <c r="Y19" i="6"/>
  <c r="X19" i="6"/>
  <c r="W19" i="6"/>
  <c r="V19" i="6"/>
  <c r="U19" i="6"/>
  <c r="T19" i="6"/>
  <c r="S19" i="6"/>
  <c r="R19" i="6"/>
  <c r="Q19" i="6"/>
  <c r="AA18" i="6"/>
  <c r="Z18" i="6"/>
  <c r="Y18" i="6"/>
  <c r="X18" i="6"/>
  <c r="W18" i="6"/>
  <c r="V18" i="6"/>
  <c r="U18" i="6"/>
  <c r="T18" i="6"/>
  <c r="S18" i="6"/>
  <c r="R18" i="6"/>
  <c r="Q18" i="6"/>
  <c r="AA17" i="6"/>
  <c r="Z17" i="6"/>
  <c r="Y17" i="6"/>
  <c r="X17" i="6"/>
  <c r="W17" i="6"/>
  <c r="V17" i="6"/>
  <c r="U17" i="6"/>
  <c r="T17" i="6"/>
  <c r="S17" i="6"/>
  <c r="R17" i="6"/>
  <c r="Q17" i="6"/>
  <c r="AA16" i="6"/>
  <c r="Z16" i="6"/>
  <c r="Y16" i="6"/>
  <c r="X16" i="6"/>
  <c r="W16" i="6"/>
  <c r="V16" i="6"/>
  <c r="U16" i="6"/>
  <c r="T16" i="6"/>
  <c r="S16" i="6"/>
  <c r="R16" i="6"/>
  <c r="Q16" i="6"/>
  <c r="AA15" i="6"/>
  <c r="Z15" i="6"/>
  <c r="Y15" i="6"/>
  <c r="X15" i="6"/>
  <c r="W15" i="6"/>
  <c r="V15" i="6"/>
  <c r="U15" i="6"/>
  <c r="T15" i="6"/>
  <c r="S15" i="6"/>
  <c r="R15" i="6"/>
  <c r="Q15" i="6"/>
  <c r="AA14" i="6"/>
  <c r="Z14" i="6"/>
  <c r="Y14" i="6"/>
  <c r="X14" i="6"/>
  <c r="W14" i="6"/>
  <c r="V14" i="6"/>
  <c r="U14" i="6"/>
  <c r="T14" i="6"/>
  <c r="S14" i="6"/>
  <c r="R14" i="6"/>
  <c r="Q14" i="6"/>
  <c r="AA13" i="6"/>
  <c r="Z13" i="6"/>
  <c r="Y13" i="6"/>
  <c r="X13" i="6"/>
  <c r="W13" i="6"/>
  <c r="V13" i="6"/>
  <c r="U13" i="6"/>
  <c r="T13" i="6"/>
  <c r="S13" i="6"/>
  <c r="R13" i="6"/>
  <c r="Q13" i="6"/>
  <c r="AA12" i="6"/>
  <c r="Z12" i="6"/>
  <c r="Y12" i="6"/>
  <c r="X12" i="6"/>
  <c r="W12" i="6"/>
  <c r="V12" i="6"/>
  <c r="U12" i="6"/>
  <c r="T12" i="6"/>
  <c r="S12" i="6"/>
  <c r="R12" i="6"/>
  <c r="Q12" i="6"/>
  <c r="AA11" i="6"/>
  <c r="Z11" i="6"/>
  <c r="Y11" i="6"/>
  <c r="X11" i="6"/>
  <c r="W11" i="6"/>
  <c r="V11" i="6"/>
  <c r="U11" i="6"/>
  <c r="T11" i="6"/>
  <c r="S11" i="6"/>
  <c r="R11" i="6"/>
  <c r="Q11" i="6"/>
  <c r="AA10" i="6"/>
  <c r="Z10" i="6"/>
  <c r="Y10" i="6"/>
  <c r="X10" i="6"/>
  <c r="W10" i="6"/>
  <c r="V10" i="6"/>
  <c r="U10" i="6"/>
  <c r="T10" i="6"/>
  <c r="S10" i="6"/>
  <c r="R10" i="6"/>
  <c r="Q10" i="6"/>
  <c r="AA9" i="6"/>
  <c r="Z9" i="6"/>
  <c r="Y9" i="6"/>
  <c r="X9" i="6"/>
  <c r="W9" i="6"/>
  <c r="V9" i="6"/>
  <c r="U9" i="6"/>
  <c r="T9" i="6"/>
  <c r="S9" i="6"/>
  <c r="R9" i="6"/>
  <c r="Q9" i="6"/>
  <c r="AA8" i="6"/>
  <c r="Z8" i="6"/>
  <c r="Y8" i="6"/>
  <c r="X8" i="6"/>
  <c r="W8" i="6"/>
  <c r="V8" i="6"/>
  <c r="U8" i="6"/>
  <c r="T8" i="6"/>
  <c r="S8" i="6"/>
  <c r="R8" i="6"/>
  <c r="Q8" i="6"/>
  <c r="AA7" i="6"/>
  <c r="Z7" i="6"/>
  <c r="Y7" i="6"/>
  <c r="X7" i="6"/>
  <c r="W7" i="6"/>
  <c r="V7" i="6"/>
  <c r="U7" i="6"/>
  <c r="T7" i="6"/>
  <c r="S7" i="6"/>
  <c r="R7" i="6"/>
  <c r="Q7" i="6"/>
  <c r="AA6" i="6"/>
  <c r="Z6" i="6"/>
  <c r="Y6" i="6"/>
  <c r="X6" i="6"/>
  <c r="W6" i="6"/>
  <c r="V6" i="6"/>
  <c r="U6" i="6"/>
  <c r="T6" i="6"/>
  <c r="S6" i="6"/>
  <c r="R6" i="6"/>
  <c r="Q6" i="6"/>
  <c r="AA5" i="6"/>
  <c r="Z5" i="6"/>
  <c r="Y5" i="6"/>
  <c r="X5" i="6"/>
  <c r="W5" i="6"/>
  <c r="V5" i="6"/>
  <c r="U5" i="6"/>
  <c r="T5" i="6"/>
  <c r="S5" i="6"/>
  <c r="R5" i="6"/>
  <c r="Q5" i="6"/>
  <c r="AO39" i="7"/>
  <c r="AP39" i="7" s="1"/>
  <c r="AS37" i="7" s="1"/>
  <c r="AI49" i="7"/>
  <c r="AO38" i="7"/>
  <c r="AP38" i="7" s="1"/>
  <c r="AO37" i="7"/>
  <c r="AP37" i="7" s="1"/>
  <c r="AO36" i="7"/>
  <c r="AP36" i="7" s="1"/>
  <c r="AO35" i="7"/>
  <c r="AP35" i="7" s="1"/>
  <c r="AS35" i="8"/>
  <c r="AP35" i="8"/>
  <c r="AP36" i="8"/>
  <c r="AA63" i="7"/>
  <c r="Z63" i="7"/>
  <c r="Y63" i="7"/>
  <c r="X63" i="7"/>
  <c r="W63" i="7"/>
  <c r="V63" i="7"/>
  <c r="U63" i="7"/>
  <c r="T63" i="7"/>
  <c r="S63" i="7"/>
  <c r="R63" i="7"/>
  <c r="Q63" i="7"/>
  <c r="AA62" i="7"/>
  <c r="Z62" i="7"/>
  <c r="Y62" i="7"/>
  <c r="X62" i="7"/>
  <c r="W62" i="7"/>
  <c r="V62" i="7"/>
  <c r="U62" i="7"/>
  <c r="T62" i="7"/>
  <c r="S62" i="7"/>
  <c r="R62" i="7"/>
  <c r="Q62" i="7"/>
  <c r="AA61" i="7"/>
  <c r="Z61" i="7"/>
  <c r="Y61" i="7"/>
  <c r="X61" i="7"/>
  <c r="W61" i="7"/>
  <c r="V61" i="7"/>
  <c r="U61" i="7"/>
  <c r="T61" i="7"/>
  <c r="S61" i="7"/>
  <c r="R61" i="7"/>
  <c r="Q61" i="7"/>
  <c r="AA60" i="7"/>
  <c r="Z60" i="7"/>
  <c r="Y60" i="7"/>
  <c r="X60" i="7"/>
  <c r="W60" i="7"/>
  <c r="V60" i="7"/>
  <c r="U60" i="7"/>
  <c r="T60" i="7"/>
  <c r="S60" i="7"/>
  <c r="R60" i="7"/>
  <c r="Q60" i="7"/>
  <c r="AA59" i="7"/>
  <c r="Z59" i="7"/>
  <c r="Y59" i="7"/>
  <c r="X59" i="7"/>
  <c r="W59" i="7"/>
  <c r="V59" i="7"/>
  <c r="U59" i="7"/>
  <c r="T59" i="7"/>
  <c r="S59" i="7"/>
  <c r="R59" i="7"/>
  <c r="Q59" i="7"/>
  <c r="AA58" i="7"/>
  <c r="Z58" i="7"/>
  <c r="Y58" i="7"/>
  <c r="X58" i="7"/>
  <c r="W58" i="7"/>
  <c r="V58" i="7"/>
  <c r="U58" i="7"/>
  <c r="T58" i="7"/>
  <c r="S58" i="7"/>
  <c r="R58" i="7"/>
  <c r="Q58" i="7"/>
  <c r="AA57" i="7"/>
  <c r="Z57" i="7"/>
  <c r="Y57" i="7"/>
  <c r="X57" i="7"/>
  <c r="W57" i="7"/>
  <c r="V57" i="7"/>
  <c r="U57" i="7"/>
  <c r="T57" i="7"/>
  <c r="S57" i="7"/>
  <c r="R57" i="7"/>
  <c r="Q57" i="7"/>
  <c r="AA56" i="7"/>
  <c r="Z56" i="7"/>
  <c r="Y56" i="7"/>
  <c r="X56" i="7"/>
  <c r="W56" i="7"/>
  <c r="V56" i="7"/>
  <c r="U56" i="7"/>
  <c r="T56" i="7"/>
  <c r="S56" i="7"/>
  <c r="R56" i="7"/>
  <c r="Q56" i="7"/>
  <c r="AA55" i="7"/>
  <c r="Z55" i="7"/>
  <c r="Y55" i="7"/>
  <c r="X55" i="7"/>
  <c r="W55" i="7"/>
  <c r="V55" i="7"/>
  <c r="U55" i="7"/>
  <c r="T55" i="7"/>
  <c r="S55" i="7"/>
  <c r="R55" i="7"/>
  <c r="Q55" i="7"/>
  <c r="AA54" i="7"/>
  <c r="Z54" i="7"/>
  <c r="Y54" i="7"/>
  <c r="X54" i="7"/>
  <c r="W54" i="7"/>
  <c r="V54" i="7"/>
  <c r="U54" i="7"/>
  <c r="T54" i="7"/>
  <c r="S54" i="7"/>
  <c r="R54" i="7"/>
  <c r="Q54" i="7"/>
  <c r="AA53" i="7"/>
  <c r="Z53" i="7"/>
  <c r="Y53" i="7"/>
  <c r="X53" i="7"/>
  <c r="W53" i="7"/>
  <c r="V53" i="7"/>
  <c r="U53" i="7"/>
  <c r="T53" i="7"/>
  <c r="S53" i="7"/>
  <c r="R53" i="7"/>
  <c r="Q53" i="7"/>
  <c r="AA52" i="7"/>
  <c r="Z52" i="7"/>
  <c r="Y52" i="7"/>
  <c r="X52" i="7"/>
  <c r="W52" i="7"/>
  <c r="V52" i="7"/>
  <c r="U52" i="7"/>
  <c r="T52" i="7"/>
  <c r="S52" i="7"/>
  <c r="R52" i="7"/>
  <c r="Q52" i="7"/>
  <c r="AA51" i="7"/>
  <c r="Z51" i="7"/>
  <c r="Y51" i="7"/>
  <c r="X51" i="7"/>
  <c r="W51" i="7"/>
  <c r="V51" i="7"/>
  <c r="U51" i="7"/>
  <c r="T51" i="7"/>
  <c r="S51" i="7"/>
  <c r="R51" i="7"/>
  <c r="Q51" i="7"/>
  <c r="AA50" i="7"/>
  <c r="Z50" i="7"/>
  <c r="Y50" i="7"/>
  <c r="X50" i="7"/>
  <c r="W50" i="7"/>
  <c r="V50" i="7"/>
  <c r="U50" i="7"/>
  <c r="T50" i="7"/>
  <c r="S50" i="7"/>
  <c r="R50" i="7"/>
  <c r="Q50" i="7"/>
  <c r="AA49" i="7"/>
  <c r="Z49" i="7"/>
  <c r="Y49" i="7"/>
  <c r="X49" i="7"/>
  <c r="W49" i="7"/>
  <c r="V49" i="7"/>
  <c r="U49" i="7"/>
  <c r="T49" i="7"/>
  <c r="S49" i="7"/>
  <c r="R49" i="7"/>
  <c r="Q49" i="7"/>
  <c r="AA48" i="7"/>
  <c r="Z48" i="7"/>
  <c r="Y48" i="7"/>
  <c r="X48" i="7"/>
  <c r="W48" i="7"/>
  <c r="V48" i="7"/>
  <c r="U48" i="7"/>
  <c r="T48" i="7"/>
  <c r="S48" i="7"/>
  <c r="R48" i="7"/>
  <c r="Q48" i="7"/>
  <c r="AA47" i="7"/>
  <c r="Z47" i="7"/>
  <c r="Y47" i="7"/>
  <c r="X47" i="7"/>
  <c r="W47" i="7"/>
  <c r="V47" i="7"/>
  <c r="U47" i="7"/>
  <c r="T47" i="7"/>
  <c r="S47" i="7"/>
  <c r="R47" i="7"/>
  <c r="Q47" i="7"/>
  <c r="AA46" i="7"/>
  <c r="Z46" i="7"/>
  <c r="Y46" i="7"/>
  <c r="X46" i="7"/>
  <c r="W46" i="7"/>
  <c r="V46" i="7"/>
  <c r="U46" i="7"/>
  <c r="T46" i="7"/>
  <c r="S46" i="7"/>
  <c r="R46" i="7"/>
  <c r="Q46" i="7"/>
  <c r="AL45" i="7"/>
  <c r="AA45" i="7"/>
  <c r="Z45" i="7"/>
  <c r="Y45" i="7"/>
  <c r="X45" i="7"/>
  <c r="W45" i="7"/>
  <c r="V45" i="7"/>
  <c r="U45" i="7"/>
  <c r="T45" i="7"/>
  <c r="S45" i="7"/>
  <c r="R45" i="7"/>
  <c r="Q45" i="7"/>
  <c r="AL44" i="7"/>
  <c r="AA44" i="7"/>
  <c r="Z44" i="7"/>
  <c r="Y44" i="7"/>
  <c r="X44" i="7"/>
  <c r="W44" i="7"/>
  <c r="V44" i="7"/>
  <c r="U44" i="7"/>
  <c r="T44" i="7"/>
  <c r="S44" i="7"/>
  <c r="R44" i="7"/>
  <c r="Q44" i="7"/>
  <c r="AL43" i="7"/>
  <c r="AA43" i="7"/>
  <c r="Z43" i="7"/>
  <c r="Y43" i="7"/>
  <c r="X43" i="7"/>
  <c r="W43" i="7"/>
  <c r="V43" i="7"/>
  <c r="U43" i="7"/>
  <c r="T43" i="7"/>
  <c r="S43" i="7"/>
  <c r="R43" i="7"/>
  <c r="Q43" i="7"/>
  <c r="AL42" i="7"/>
  <c r="AA42" i="7"/>
  <c r="Z42" i="7"/>
  <c r="Y42" i="7"/>
  <c r="X42" i="7"/>
  <c r="W42" i="7"/>
  <c r="V42" i="7"/>
  <c r="U42" i="7"/>
  <c r="T42" i="7"/>
  <c r="S42" i="7"/>
  <c r="R42" i="7"/>
  <c r="Q42" i="7"/>
  <c r="AA41" i="7"/>
  <c r="Z41" i="7"/>
  <c r="Y41" i="7"/>
  <c r="X41" i="7"/>
  <c r="W41" i="7"/>
  <c r="V41" i="7"/>
  <c r="U41" i="7"/>
  <c r="T41" i="7"/>
  <c r="S41" i="7"/>
  <c r="R41" i="7"/>
  <c r="Q41" i="7"/>
  <c r="AA40" i="7"/>
  <c r="Z40" i="7"/>
  <c r="Y40" i="7"/>
  <c r="X40" i="7"/>
  <c r="W40" i="7"/>
  <c r="V40" i="7"/>
  <c r="U40" i="7"/>
  <c r="T40" i="7"/>
  <c r="S40" i="7"/>
  <c r="R40" i="7"/>
  <c r="Q40" i="7"/>
  <c r="AA39" i="7"/>
  <c r="Z39" i="7"/>
  <c r="Y39" i="7"/>
  <c r="X39" i="7"/>
  <c r="W39" i="7"/>
  <c r="V39" i="7"/>
  <c r="U39" i="7"/>
  <c r="T39" i="7"/>
  <c r="S39" i="7"/>
  <c r="R39" i="7"/>
  <c r="Q39" i="7"/>
  <c r="AA38" i="7"/>
  <c r="Z38" i="7"/>
  <c r="Y38" i="7"/>
  <c r="X38" i="7"/>
  <c r="W38" i="7"/>
  <c r="V38" i="7"/>
  <c r="U38" i="7"/>
  <c r="T38" i="7"/>
  <c r="S38" i="7"/>
  <c r="R38" i="7"/>
  <c r="Q38" i="7"/>
  <c r="AA37" i="7"/>
  <c r="Z37" i="7"/>
  <c r="Y37" i="7"/>
  <c r="X37" i="7"/>
  <c r="W37" i="7"/>
  <c r="V37" i="7"/>
  <c r="U37" i="7"/>
  <c r="T37" i="7"/>
  <c r="S37" i="7"/>
  <c r="R37" i="7"/>
  <c r="Q37" i="7"/>
  <c r="AA36" i="7"/>
  <c r="Z36" i="7"/>
  <c r="Y36" i="7"/>
  <c r="X36" i="7"/>
  <c r="W36" i="7"/>
  <c r="V36" i="7"/>
  <c r="U36" i="7"/>
  <c r="T36" i="7"/>
  <c r="S36" i="7"/>
  <c r="R36" i="7"/>
  <c r="Q36" i="7"/>
  <c r="AA35" i="7"/>
  <c r="Z35" i="7"/>
  <c r="Y35" i="7"/>
  <c r="X35" i="7"/>
  <c r="W35" i="7"/>
  <c r="V35" i="7"/>
  <c r="U35" i="7"/>
  <c r="T35" i="7"/>
  <c r="S35" i="7"/>
  <c r="R35" i="7"/>
  <c r="Q35" i="7"/>
  <c r="AA34" i="7"/>
  <c r="Z34" i="7"/>
  <c r="Y34" i="7"/>
  <c r="X34" i="7"/>
  <c r="W34" i="7"/>
  <c r="V34" i="7"/>
  <c r="U34" i="7"/>
  <c r="T34" i="7"/>
  <c r="S34" i="7"/>
  <c r="R34" i="7"/>
  <c r="Q34" i="7"/>
  <c r="AA33" i="7"/>
  <c r="Z33" i="7"/>
  <c r="Y33" i="7"/>
  <c r="X33" i="7"/>
  <c r="W33" i="7"/>
  <c r="V33" i="7"/>
  <c r="U33" i="7"/>
  <c r="T33" i="7"/>
  <c r="S33" i="7"/>
  <c r="R33" i="7"/>
  <c r="Q33" i="7"/>
  <c r="AA32" i="7"/>
  <c r="Z32" i="7"/>
  <c r="Y32" i="7"/>
  <c r="X32" i="7"/>
  <c r="W32" i="7"/>
  <c r="V32" i="7"/>
  <c r="U32" i="7"/>
  <c r="T32" i="7"/>
  <c r="S32" i="7"/>
  <c r="R32" i="7"/>
  <c r="Q32" i="7"/>
  <c r="AA31" i="7"/>
  <c r="Z31" i="7"/>
  <c r="Y31" i="7"/>
  <c r="X31" i="7"/>
  <c r="W31" i="7"/>
  <c r="V31" i="7"/>
  <c r="U31" i="7"/>
  <c r="T31" i="7"/>
  <c r="S31" i="7"/>
  <c r="R31" i="7"/>
  <c r="Q31" i="7"/>
  <c r="AA30" i="7"/>
  <c r="Z30" i="7"/>
  <c r="Y30" i="7"/>
  <c r="X30" i="7"/>
  <c r="W30" i="7"/>
  <c r="V30" i="7"/>
  <c r="U30" i="7"/>
  <c r="T30" i="7"/>
  <c r="S30" i="7"/>
  <c r="R30" i="7"/>
  <c r="Q30" i="7"/>
  <c r="AA29" i="7"/>
  <c r="Z29" i="7"/>
  <c r="Y29" i="7"/>
  <c r="X29" i="7"/>
  <c r="W29" i="7"/>
  <c r="V29" i="7"/>
  <c r="U29" i="7"/>
  <c r="T29" i="7"/>
  <c r="S29" i="7"/>
  <c r="R29" i="7"/>
  <c r="Q29" i="7"/>
  <c r="AI28" i="7"/>
  <c r="AA28" i="7"/>
  <c r="Z28" i="7"/>
  <c r="Y28" i="7"/>
  <c r="X28" i="7"/>
  <c r="W28" i="7"/>
  <c r="V28" i="7"/>
  <c r="U28" i="7"/>
  <c r="T28" i="7"/>
  <c r="S28" i="7"/>
  <c r="R28" i="7"/>
  <c r="Q28" i="7"/>
  <c r="AI27" i="7"/>
  <c r="AA27" i="7"/>
  <c r="Z27" i="7"/>
  <c r="Y27" i="7"/>
  <c r="X27" i="7"/>
  <c r="W27" i="7"/>
  <c r="V27" i="7"/>
  <c r="U27" i="7"/>
  <c r="T27" i="7"/>
  <c r="S27" i="7"/>
  <c r="R27" i="7"/>
  <c r="Q27" i="7"/>
  <c r="AI26" i="7"/>
  <c r="AA26" i="7"/>
  <c r="Z26" i="7"/>
  <c r="Y26" i="7"/>
  <c r="X26" i="7"/>
  <c r="W26" i="7"/>
  <c r="V26" i="7"/>
  <c r="U26" i="7"/>
  <c r="T26" i="7"/>
  <c r="S26" i="7"/>
  <c r="R26" i="7"/>
  <c r="Q26" i="7"/>
  <c r="AI25" i="7"/>
  <c r="AA25" i="7"/>
  <c r="Z25" i="7"/>
  <c r="Y25" i="7"/>
  <c r="X25" i="7"/>
  <c r="W25" i="7"/>
  <c r="V25" i="7"/>
  <c r="U25" i="7"/>
  <c r="T25" i="7"/>
  <c r="S25" i="7"/>
  <c r="R25" i="7"/>
  <c r="Q25" i="7"/>
  <c r="AI24" i="7"/>
  <c r="AA24" i="7"/>
  <c r="Z24" i="7"/>
  <c r="Y24" i="7"/>
  <c r="X24" i="7"/>
  <c r="W24" i="7"/>
  <c r="V24" i="7"/>
  <c r="U24" i="7"/>
  <c r="T24" i="7"/>
  <c r="S24" i="7"/>
  <c r="R24" i="7"/>
  <c r="Q24" i="7"/>
  <c r="AI23" i="7"/>
  <c r="AA23" i="7"/>
  <c r="Z23" i="7"/>
  <c r="Y23" i="7"/>
  <c r="X23" i="7"/>
  <c r="W23" i="7"/>
  <c r="V23" i="7"/>
  <c r="U23" i="7"/>
  <c r="T23" i="7"/>
  <c r="S23" i="7"/>
  <c r="R23" i="7"/>
  <c r="Q23" i="7"/>
  <c r="AI22" i="7"/>
  <c r="AA22" i="7"/>
  <c r="Z22" i="7"/>
  <c r="Y22" i="7"/>
  <c r="X22" i="7"/>
  <c r="W22" i="7"/>
  <c r="V22" i="7"/>
  <c r="U22" i="7"/>
  <c r="T22" i="7"/>
  <c r="S22" i="7"/>
  <c r="R22" i="7"/>
  <c r="Q22" i="7"/>
  <c r="AI21" i="7"/>
  <c r="AA21" i="7"/>
  <c r="Z21" i="7"/>
  <c r="Y21" i="7"/>
  <c r="X21" i="7"/>
  <c r="W21" i="7"/>
  <c r="V21" i="7"/>
  <c r="U21" i="7"/>
  <c r="T21" i="7"/>
  <c r="S21" i="7"/>
  <c r="R21" i="7"/>
  <c r="Q21" i="7"/>
  <c r="AI20" i="7"/>
  <c r="AA20" i="7"/>
  <c r="Z20" i="7"/>
  <c r="Y20" i="7"/>
  <c r="X20" i="7"/>
  <c r="W20" i="7"/>
  <c r="V20" i="7"/>
  <c r="U20" i="7"/>
  <c r="T20" i="7"/>
  <c r="S20" i="7"/>
  <c r="R20" i="7"/>
  <c r="Q20" i="7"/>
  <c r="AI19" i="7"/>
  <c r="AA19" i="7"/>
  <c r="Z19" i="7"/>
  <c r="Y19" i="7"/>
  <c r="X19" i="7"/>
  <c r="W19" i="7"/>
  <c r="V19" i="7"/>
  <c r="U19" i="7"/>
  <c r="T19" i="7"/>
  <c r="S19" i="7"/>
  <c r="R19" i="7"/>
  <c r="Q19" i="7"/>
  <c r="AI18" i="7"/>
  <c r="AA18" i="7"/>
  <c r="Z18" i="7"/>
  <c r="Y18" i="7"/>
  <c r="X18" i="7"/>
  <c r="W18" i="7"/>
  <c r="V18" i="7"/>
  <c r="U18" i="7"/>
  <c r="T18" i="7"/>
  <c r="S18" i="7"/>
  <c r="R18" i="7"/>
  <c r="Q18" i="7"/>
  <c r="AA17" i="7"/>
  <c r="Z17" i="7"/>
  <c r="Y17" i="7"/>
  <c r="X17" i="7"/>
  <c r="W17" i="7"/>
  <c r="V17" i="7"/>
  <c r="U17" i="7"/>
  <c r="T17" i="7"/>
  <c r="S17" i="7"/>
  <c r="R17" i="7"/>
  <c r="Q17" i="7"/>
  <c r="AA16" i="7"/>
  <c r="Z16" i="7"/>
  <c r="Y16" i="7"/>
  <c r="X16" i="7"/>
  <c r="W16" i="7"/>
  <c r="V16" i="7"/>
  <c r="U16" i="7"/>
  <c r="T16" i="7"/>
  <c r="S16" i="7"/>
  <c r="R16" i="7"/>
  <c r="Q16" i="7"/>
  <c r="AA15" i="7"/>
  <c r="Z15" i="7"/>
  <c r="Y15" i="7"/>
  <c r="X15" i="7"/>
  <c r="W15" i="7"/>
  <c r="V15" i="7"/>
  <c r="U15" i="7"/>
  <c r="T15" i="7"/>
  <c r="S15" i="7"/>
  <c r="R15" i="7"/>
  <c r="Q15" i="7"/>
  <c r="AA14" i="7"/>
  <c r="Z14" i="7"/>
  <c r="Y14" i="7"/>
  <c r="X14" i="7"/>
  <c r="W14" i="7"/>
  <c r="V14" i="7"/>
  <c r="U14" i="7"/>
  <c r="T14" i="7"/>
  <c r="S14" i="7"/>
  <c r="R14" i="7"/>
  <c r="Q14" i="7"/>
  <c r="AA13" i="7"/>
  <c r="Z13" i="7"/>
  <c r="Y13" i="7"/>
  <c r="X13" i="7"/>
  <c r="W13" i="7"/>
  <c r="V13" i="7"/>
  <c r="U13" i="7"/>
  <c r="T13" i="7"/>
  <c r="S13" i="7"/>
  <c r="R13" i="7"/>
  <c r="Q13" i="7"/>
  <c r="AA12" i="7"/>
  <c r="Z12" i="7"/>
  <c r="Y12" i="7"/>
  <c r="X12" i="7"/>
  <c r="W12" i="7"/>
  <c r="V12" i="7"/>
  <c r="U12" i="7"/>
  <c r="T12" i="7"/>
  <c r="S12" i="7"/>
  <c r="R12" i="7"/>
  <c r="Q12" i="7"/>
  <c r="AA11" i="7"/>
  <c r="Z11" i="7"/>
  <c r="Y11" i="7"/>
  <c r="X11" i="7"/>
  <c r="W11" i="7"/>
  <c r="V11" i="7"/>
  <c r="U11" i="7"/>
  <c r="T11" i="7"/>
  <c r="S11" i="7"/>
  <c r="R11" i="7"/>
  <c r="Q11" i="7"/>
  <c r="AA10" i="7"/>
  <c r="Z10" i="7"/>
  <c r="Y10" i="7"/>
  <c r="X10" i="7"/>
  <c r="W10" i="7"/>
  <c r="V10" i="7"/>
  <c r="U10" i="7"/>
  <c r="T10" i="7"/>
  <c r="S10" i="7"/>
  <c r="R10" i="7"/>
  <c r="Q10" i="7"/>
  <c r="AA9" i="7"/>
  <c r="Z9" i="7"/>
  <c r="Y9" i="7"/>
  <c r="X9" i="7"/>
  <c r="W9" i="7"/>
  <c r="V9" i="7"/>
  <c r="U9" i="7"/>
  <c r="T9" i="7"/>
  <c r="S9" i="7"/>
  <c r="R9" i="7"/>
  <c r="Q9" i="7"/>
  <c r="AA8" i="7"/>
  <c r="Z8" i="7"/>
  <c r="Y8" i="7"/>
  <c r="X8" i="7"/>
  <c r="W8" i="7"/>
  <c r="V8" i="7"/>
  <c r="U8" i="7"/>
  <c r="T8" i="7"/>
  <c r="S8" i="7"/>
  <c r="R8" i="7"/>
  <c r="Q8" i="7"/>
  <c r="AA7" i="7"/>
  <c r="Z7" i="7"/>
  <c r="Y7" i="7"/>
  <c r="X7" i="7"/>
  <c r="W7" i="7"/>
  <c r="V7" i="7"/>
  <c r="U7" i="7"/>
  <c r="T7" i="7"/>
  <c r="S7" i="7"/>
  <c r="R7" i="7"/>
  <c r="Q7" i="7"/>
  <c r="AA6" i="7"/>
  <c r="Z6" i="7"/>
  <c r="Y6" i="7"/>
  <c r="X6" i="7"/>
  <c r="W6" i="7"/>
  <c r="V6" i="7"/>
  <c r="U6" i="7"/>
  <c r="T6" i="7"/>
  <c r="S6" i="7"/>
  <c r="R6" i="7"/>
  <c r="Q6" i="7"/>
  <c r="AA5" i="7"/>
  <c r="Z5" i="7"/>
  <c r="Y5" i="7"/>
  <c r="X5" i="7"/>
  <c r="W5" i="7"/>
  <c r="V5" i="7"/>
  <c r="U5" i="7"/>
  <c r="T5" i="7"/>
  <c r="S5" i="7"/>
  <c r="R5" i="7"/>
  <c r="Q5" i="7"/>
  <c r="AO40" i="8"/>
  <c r="AO38" i="8"/>
  <c r="AP38" i="8" s="1"/>
  <c r="AI19" i="8"/>
  <c r="AI20" i="8"/>
  <c r="AI21" i="8"/>
  <c r="AI22" i="8"/>
  <c r="AI23" i="8"/>
  <c r="AI24" i="8"/>
  <c r="AI25" i="8"/>
  <c r="AI26" i="8"/>
  <c r="AI27" i="8"/>
  <c r="AI28" i="8"/>
  <c r="AI18" i="8"/>
  <c r="Q40" i="8"/>
  <c r="Q41" i="8"/>
  <c r="Q42" i="8"/>
  <c r="Q43" i="8"/>
  <c r="Q44" i="8"/>
  <c r="Q45" i="8"/>
  <c r="Q46" i="8"/>
  <c r="Q47" i="8"/>
  <c r="Q48" i="8"/>
  <c r="Q49" i="8"/>
  <c r="Q50" i="8"/>
  <c r="Q51" i="8"/>
  <c r="Q52" i="8"/>
  <c r="Q53" i="8"/>
  <c r="Q54" i="8"/>
  <c r="Q55" i="8"/>
  <c r="Q56" i="8"/>
  <c r="Q57" i="8"/>
  <c r="Q58" i="8"/>
  <c r="Q59" i="8"/>
  <c r="Q60" i="8"/>
  <c r="Q61" i="8"/>
  <c r="Q62" i="8"/>
  <c r="Q63" i="8"/>
  <c r="Q6" i="8"/>
  <c r="R6" i="8"/>
  <c r="S6" i="8"/>
  <c r="T6" i="8"/>
  <c r="U6" i="8"/>
  <c r="V6" i="8"/>
  <c r="W6" i="8"/>
  <c r="X6" i="8"/>
  <c r="Y6" i="8"/>
  <c r="Z6" i="8"/>
  <c r="AA6" i="8"/>
  <c r="Q7" i="8"/>
  <c r="R7" i="8"/>
  <c r="S7" i="8"/>
  <c r="T7" i="8"/>
  <c r="U7" i="8"/>
  <c r="V7" i="8"/>
  <c r="W7" i="8"/>
  <c r="X7" i="8"/>
  <c r="Y7" i="8"/>
  <c r="Z7" i="8"/>
  <c r="AA7" i="8"/>
  <c r="Q8" i="8"/>
  <c r="R8" i="8"/>
  <c r="S8" i="8"/>
  <c r="T8" i="8"/>
  <c r="U8" i="8"/>
  <c r="V8" i="8"/>
  <c r="W8" i="8"/>
  <c r="X8" i="8"/>
  <c r="Y8" i="8"/>
  <c r="Z8" i="8"/>
  <c r="AA8" i="8"/>
  <c r="Q9" i="8"/>
  <c r="R9" i="8"/>
  <c r="S9" i="8"/>
  <c r="T9" i="8"/>
  <c r="U9" i="8"/>
  <c r="V9" i="8"/>
  <c r="W9" i="8"/>
  <c r="X9" i="8"/>
  <c r="Y9" i="8"/>
  <c r="Z9" i="8"/>
  <c r="AA9" i="8"/>
  <c r="Q10" i="8"/>
  <c r="R10" i="8"/>
  <c r="S10" i="8"/>
  <c r="T10" i="8"/>
  <c r="U10" i="8"/>
  <c r="V10" i="8"/>
  <c r="W10" i="8"/>
  <c r="X10" i="8"/>
  <c r="Y10" i="8"/>
  <c r="Z10" i="8"/>
  <c r="AA10" i="8"/>
  <c r="Q11" i="8"/>
  <c r="R11" i="8"/>
  <c r="S11" i="8"/>
  <c r="T11" i="8"/>
  <c r="U11" i="8"/>
  <c r="V11" i="8"/>
  <c r="W11" i="8"/>
  <c r="X11" i="8"/>
  <c r="Y11" i="8"/>
  <c r="Z11" i="8"/>
  <c r="AA11" i="8"/>
  <c r="Q12" i="8"/>
  <c r="R12" i="8"/>
  <c r="S12" i="8"/>
  <c r="T12" i="8"/>
  <c r="U12" i="8"/>
  <c r="V12" i="8"/>
  <c r="W12" i="8"/>
  <c r="X12" i="8"/>
  <c r="Y12" i="8"/>
  <c r="Z12" i="8"/>
  <c r="AA12" i="8"/>
  <c r="Q13" i="8"/>
  <c r="R13" i="8"/>
  <c r="S13" i="8"/>
  <c r="T13" i="8"/>
  <c r="U13" i="8"/>
  <c r="V13" i="8"/>
  <c r="W13" i="8"/>
  <c r="X13" i="8"/>
  <c r="Y13" i="8"/>
  <c r="Z13" i="8"/>
  <c r="AA13" i="8"/>
  <c r="Q14" i="8"/>
  <c r="R14" i="8"/>
  <c r="S14" i="8"/>
  <c r="T14" i="8"/>
  <c r="U14" i="8"/>
  <c r="V14" i="8"/>
  <c r="W14" i="8"/>
  <c r="X14" i="8"/>
  <c r="Y14" i="8"/>
  <c r="Z14" i="8"/>
  <c r="AA14" i="8"/>
  <c r="Q15" i="8"/>
  <c r="R15" i="8"/>
  <c r="S15" i="8"/>
  <c r="T15" i="8"/>
  <c r="U15" i="8"/>
  <c r="V15" i="8"/>
  <c r="W15" i="8"/>
  <c r="X15" i="8"/>
  <c r="Y15" i="8"/>
  <c r="Z15" i="8"/>
  <c r="AA15" i="8"/>
  <c r="Q16" i="8"/>
  <c r="R16" i="8"/>
  <c r="S16" i="8"/>
  <c r="T16" i="8"/>
  <c r="U16" i="8"/>
  <c r="V16" i="8"/>
  <c r="W16" i="8"/>
  <c r="X16" i="8"/>
  <c r="Y16" i="8"/>
  <c r="Z16" i="8"/>
  <c r="AA16" i="8"/>
  <c r="Q17" i="8"/>
  <c r="R17" i="8"/>
  <c r="S17" i="8"/>
  <c r="T17" i="8"/>
  <c r="U17" i="8"/>
  <c r="V17" i="8"/>
  <c r="W17" i="8"/>
  <c r="X17" i="8"/>
  <c r="Y17" i="8"/>
  <c r="Z17" i="8"/>
  <c r="AA17" i="8"/>
  <c r="Q18" i="8"/>
  <c r="R18" i="8"/>
  <c r="S18" i="8"/>
  <c r="T18" i="8"/>
  <c r="U18" i="8"/>
  <c r="V18" i="8"/>
  <c r="W18" i="8"/>
  <c r="X18" i="8"/>
  <c r="Y18" i="8"/>
  <c r="Z18" i="8"/>
  <c r="AA18" i="8"/>
  <c r="Q19" i="8"/>
  <c r="R19" i="8"/>
  <c r="S19" i="8"/>
  <c r="T19" i="8"/>
  <c r="U19" i="8"/>
  <c r="V19" i="8"/>
  <c r="W19" i="8"/>
  <c r="X19" i="8"/>
  <c r="Y19" i="8"/>
  <c r="Z19" i="8"/>
  <c r="AA19" i="8"/>
  <c r="Q20" i="8"/>
  <c r="R20" i="8"/>
  <c r="S20" i="8"/>
  <c r="T20" i="8"/>
  <c r="U20" i="8"/>
  <c r="V20" i="8"/>
  <c r="W20" i="8"/>
  <c r="X20" i="8"/>
  <c r="Y20" i="8"/>
  <c r="Z20" i="8"/>
  <c r="AA20" i="8"/>
  <c r="Q21" i="8"/>
  <c r="R21" i="8"/>
  <c r="S21" i="8"/>
  <c r="T21" i="8"/>
  <c r="U21" i="8"/>
  <c r="V21" i="8"/>
  <c r="W21" i="8"/>
  <c r="X21" i="8"/>
  <c r="Y21" i="8"/>
  <c r="Z21" i="8"/>
  <c r="AA21" i="8"/>
  <c r="Q22" i="8"/>
  <c r="R22" i="8"/>
  <c r="S22" i="8"/>
  <c r="T22" i="8"/>
  <c r="U22" i="8"/>
  <c r="V22" i="8"/>
  <c r="W22" i="8"/>
  <c r="X22" i="8"/>
  <c r="Y22" i="8"/>
  <c r="Z22" i="8"/>
  <c r="AA22" i="8"/>
  <c r="Q23" i="8"/>
  <c r="R23" i="8"/>
  <c r="S23" i="8"/>
  <c r="T23" i="8"/>
  <c r="U23" i="8"/>
  <c r="V23" i="8"/>
  <c r="W23" i="8"/>
  <c r="X23" i="8"/>
  <c r="Y23" i="8"/>
  <c r="Z23" i="8"/>
  <c r="AA23" i="8"/>
  <c r="Q24" i="8"/>
  <c r="R24" i="8"/>
  <c r="S24" i="8"/>
  <c r="T24" i="8"/>
  <c r="U24" i="8"/>
  <c r="V24" i="8"/>
  <c r="W24" i="8"/>
  <c r="X24" i="8"/>
  <c r="Y24" i="8"/>
  <c r="Z24" i="8"/>
  <c r="AA24" i="8"/>
  <c r="Q25" i="8"/>
  <c r="R25" i="8"/>
  <c r="S25" i="8"/>
  <c r="T25" i="8"/>
  <c r="U25" i="8"/>
  <c r="V25" i="8"/>
  <c r="W25" i="8"/>
  <c r="X25" i="8"/>
  <c r="Y25" i="8"/>
  <c r="Z25" i="8"/>
  <c r="AA25" i="8"/>
  <c r="Q26" i="8"/>
  <c r="R26" i="8"/>
  <c r="S26" i="8"/>
  <c r="T26" i="8"/>
  <c r="U26" i="8"/>
  <c r="V26" i="8"/>
  <c r="W26" i="8"/>
  <c r="X26" i="8"/>
  <c r="Y26" i="8"/>
  <c r="Z26" i="8"/>
  <c r="AA26" i="8"/>
  <c r="Q27" i="8"/>
  <c r="R27" i="8"/>
  <c r="S27" i="8"/>
  <c r="T27" i="8"/>
  <c r="U27" i="8"/>
  <c r="V27" i="8"/>
  <c r="W27" i="8"/>
  <c r="X27" i="8"/>
  <c r="Y27" i="8"/>
  <c r="Z27" i="8"/>
  <c r="AA27" i="8"/>
  <c r="Q28" i="8"/>
  <c r="R28" i="8"/>
  <c r="S28" i="8"/>
  <c r="T28" i="8"/>
  <c r="U28" i="8"/>
  <c r="V28" i="8"/>
  <c r="W28" i="8"/>
  <c r="X28" i="8"/>
  <c r="Y28" i="8"/>
  <c r="Z28" i="8"/>
  <c r="AA28" i="8"/>
  <c r="Q29" i="8"/>
  <c r="R29" i="8"/>
  <c r="S29" i="8"/>
  <c r="T29" i="8"/>
  <c r="U29" i="8"/>
  <c r="V29" i="8"/>
  <c r="W29" i="8"/>
  <c r="X29" i="8"/>
  <c r="Y29" i="8"/>
  <c r="Z29" i="8"/>
  <c r="AA29" i="8"/>
  <c r="Q30" i="8"/>
  <c r="R30" i="8"/>
  <c r="S30" i="8"/>
  <c r="T30" i="8"/>
  <c r="U30" i="8"/>
  <c r="V30" i="8"/>
  <c r="W30" i="8"/>
  <c r="X30" i="8"/>
  <c r="Y30" i="8"/>
  <c r="Z30" i="8"/>
  <c r="AA30" i="8"/>
  <c r="Q31" i="8"/>
  <c r="R31" i="8"/>
  <c r="S31" i="8"/>
  <c r="T31" i="8"/>
  <c r="U31" i="8"/>
  <c r="V31" i="8"/>
  <c r="W31" i="8"/>
  <c r="X31" i="8"/>
  <c r="Y31" i="8"/>
  <c r="Z31" i="8"/>
  <c r="AA31" i="8"/>
  <c r="Q32" i="8"/>
  <c r="R32" i="8"/>
  <c r="S32" i="8"/>
  <c r="T32" i="8"/>
  <c r="U32" i="8"/>
  <c r="V32" i="8"/>
  <c r="W32" i="8"/>
  <c r="X32" i="8"/>
  <c r="Y32" i="8"/>
  <c r="Z32" i="8"/>
  <c r="AA32" i="8"/>
  <c r="Q33" i="8"/>
  <c r="R33" i="8"/>
  <c r="S33" i="8"/>
  <c r="T33" i="8"/>
  <c r="U33" i="8"/>
  <c r="V33" i="8"/>
  <c r="W33" i="8"/>
  <c r="X33" i="8"/>
  <c r="Y33" i="8"/>
  <c r="Z33" i="8"/>
  <c r="AA33" i="8"/>
  <c r="Q34" i="8"/>
  <c r="R34" i="8"/>
  <c r="S34" i="8"/>
  <c r="T34" i="8"/>
  <c r="U34" i="8"/>
  <c r="V34" i="8"/>
  <c r="W34" i="8"/>
  <c r="X34" i="8"/>
  <c r="Y34" i="8"/>
  <c r="Z34" i="8"/>
  <c r="AA34" i="8"/>
  <c r="Q35" i="8"/>
  <c r="R35" i="8"/>
  <c r="S35" i="8"/>
  <c r="T35" i="8"/>
  <c r="U35" i="8"/>
  <c r="V35" i="8"/>
  <c r="W35" i="8"/>
  <c r="X35" i="8"/>
  <c r="Y35" i="8"/>
  <c r="Z35" i="8"/>
  <c r="AA35" i="8"/>
  <c r="Q36" i="8"/>
  <c r="R36" i="8"/>
  <c r="S36" i="8"/>
  <c r="T36" i="8"/>
  <c r="U36" i="8"/>
  <c r="V36" i="8"/>
  <c r="W36" i="8"/>
  <c r="X36" i="8"/>
  <c r="Y36" i="8"/>
  <c r="Z36" i="8"/>
  <c r="AA36" i="8"/>
  <c r="Q37" i="8"/>
  <c r="R37" i="8"/>
  <c r="S37" i="8"/>
  <c r="T37" i="8"/>
  <c r="U37" i="8"/>
  <c r="V37" i="8"/>
  <c r="W37" i="8"/>
  <c r="X37" i="8"/>
  <c r="Y37" i="8"/>
  <c r="Z37" i="8"/>
  <c r="AA37" i="8"/>
  <c r="Q38" i="8"/>
  <c r="R38" i="8"/>
  <c r="S38" i="8"/>
  <c r="T38" i="8"/>
  <c r="U38" i="8"/>
  <c r="V38" i="8"/>
  <c r="W38" i="8"/>
  <c r="X38" i="8"/>
  <c r="Y38" i="8"/>
  <c r="Z38" i="8"/>
  <c r="AA38" i="8"/>
  <c r="Q39" i="8"/>
  <c r="R39" i="8"/>
  <c r="S39" i="8"/>
  <c r="T39" i="8"/>
  <c r="U39" i="8"/>
  <c r="V39" i="8"/>
  <c r="W39" i="8"/>
  <c r="X39" i="8"/>
  <c r="Y39" i="8"/>
  <c r="Z39" i="8"/>
  <c r="AA39" i="8"/>
  <c r="R40" i="8"/>
  <c r="S40" i="8"/>
  <c r="T40" i="8"/>
  <c r="U40" i="8"/>
  <c r="V40" i="8"/>
  <c r="W40" i="8"/>
  <c r="X40" i="8"/>
  <c r="Y40" i="8"/>
  <c r="Z40" i="8"/>
  <c r="AA40" i="8"/>
  <c r="R41" i="8"/>
  <c r="S41" i="8"/>
  <c r="T41" i="8"/>
  <c r="U41" i="8"/>
  <c r="V41" i="8"/>
  <c r="W41" i="8"/>
  <c r="X41" i="8"/>
  <c r="Y41" i="8"/>
  <c r="Z41" i="8"/>
  <c r="AA41" i="8"/>
  <c r="R42" i="8"/>
  <c r="S42" i="8"/>
  <c r="T42" i="8"/>
  <c r="U42" i="8"/>
  <c r="V42" i="8"/>
  <c r="W42" i="8"/>
  <c r="X42" i="8"/>
  <c r="Y42" i="8"/>
  <c r="Z42" i="8"/>
  <c r="AA42" i="8"/>
  <c r="R43" i="8"/>
  <c r="S43" i="8"/>
  <c r="T43" i="8"/>
  <c r="U43" i="8"/>
  <c r="V43" i="8"/>
  <c r="W43" i="8"/>
  <c r="X43" i="8"/>
  <c r="Y43" i="8"/>
  <c r="Z43" i="8"/>
  <c r="AA43" i="8"/>
  <c r="R44" i="8"/>
  <c r="S44" i="8"/>
  <c r="T44" i="8"/>
  <c r="U44" i="8"/>
  <c r="V44" i="8"/>
  <c r="W44" i="8"/>
  <c r="X44" i="8"/>
  <c r="Y44" i="8"/>
  <c r="Z44" i="8"/>
  <c r="AA44" i="8"/>
  <c r="R45" i="8"/>
  <c r="S45" i="8"/>
  <c r="T45" i="8"/>
  <c r="U45" i="8"/>
  <c r="V45" i="8"/>
  <c r="W45" i="8"/>
  <c r="X45" i="8"/>
  <c r="Y45" i="8"/>
  <c r="Z45" i="8"/>
  <c r="AA45" i="8"/>
  <c r="R46" i="8"/>
  <c r="S46" i="8"/>
  <c r="T46" i="8"/>
  <c r="U46" i="8"/>
  <c r="V46" i="8"/>
  <c r="W46" i="8"/>
  <c r="X46" i="8"/>
  <c r="Y46" i="8"/>
  <c r="Z46" i="8"/>
  <c r="AA46" i="8"/>
  <c r="R47" i="8"/>
  <c r="S47" i="8"/>
  <c r="T47" i="8"/>
  <c r="U47" i="8"/>
  <c r="V47" i="8"/>
  <c r="W47" i="8"/>
  <c r="X47" i="8"/>
  <c r="Y47" i="8"/>
  <c r="Z47" i="8"/>
  <c r="AA47" i="8"/>
  <c r="R48" i="8"/>
  <c r="S48" i="8"/>
  <c r="T48" i="8"/>
  <c r="U48" i="8"/>
  <c r="V48" i="8"/>
  <c r="W48" i="8"/>
  <c r="X48" i="8"/>
  <c r="Y48" i="8"/>
  <c r="Z48" i="8"/>
  <c r="AA48" i="8"/>
  <c r="R49" i="8"/>
  <c r="S49" i="8"/>
  <c r="T49" i="8"/>
  <c r="U49" i="8"/>
  <c r="V49" i="8"/>
  <c r="W49" i="8"/>
  <c r="X49" i="8"/>
  <c r="Y49" i="8"/>
  <c r="Z49" i="8"/>
  <c r="AA49" i="8"/>
  <c r="R50" i="8"/>
  <c r="S50" i="8"/>
  <c r="T50" i="8"/>
  <c r="U50" i="8"/>
  <c r="V50" i="8"/>
  <c r="W50" i="8"/>
  <c r="X50" i="8"/>
  <c r="Y50" i="8"/>
  <c r="Z50" i="8"/>
  <c r="AA50" i="8"/>
  <c r="R51" i="8"/>
  <c r="S51" i="8"/>
  <c r="T51" i="8"/>
  <c r="U51" i="8"/>
  <c r="V51" i="8"/>
  <c r="W51" i="8"/>
  <c r="X51" i="8"/>
  <c r="Y51" i="8"/>
  <c r="Z51" i="8"/>
  <c r="AA51" i="8"/>
  <c r="R52" i="8"/>
  <c r="S52" i="8"/>
  <c r="T52" i="8"/>
  <c r="U52" i="8"/>
  <c r="V52" i="8"/>
  <c r="W52" i="8"/>
  <c r="X52" i="8"/>
  <c r="Y52" i="8"/>
  <c r="Z52" i="8"/>
  <c r="AA52" i="8"/>
  <c r="R53" i="8"/>
  <c r="S53" i="8"/>
  <c r="T53" i="8"/>
  <c r="U53" i="8"/>
  <c r="V53" i="8"/>
  <c r="W53" i="8"/>
  <c r="X53" i="8"/>
  <c r="Y53" i="8"/>
  <c r="Z53" i="8"/>
  <c r="AA53" i="8"/>
  <c r="R54" i="8"/>
  <c r="S54" i="8"/>
  <c r="T54" i="8"/>
  <c r="U54" i="8"/>
  <c r="V54" i="8"/>
  <c r="W54" i="8"/>
  <c r="X54" i="8"/>
  <c r="Y54" i="8"/>
  <c r="Z54" i="8"/>
  <c r="AA54" i="8"/>
  <c r="R55" i="8"/>
  <c r="S55" i="8"/>
  <c r="T55" i="8"/>
  <c r="U55" i="8"/>
  <c r="V55" i="8"/>
  <c r="W55" i="8"/>
  <c r="X55" i="8"/>
  <c r="Y55" i="8"/>
  <c r="Z55" i="8"/>
  <c r="AA55" i="8"/>
  <c r="R56" i="8"/>
  <c r="S56" i="8"/>
  <c r="T56" i="8"/>
  <c r="U56" i="8"/>
  <c r="V56" i="8"/>
  <c r="W56" i="8"/>
  <c r="X56" i="8"/>
  <c r="Y56" i="8"/>
  <c r="Z56" i="8"/>
  <c r="AA56" i="8"/>
  <c r="R57" i="8"/>
  <c r="S57" i="8"/>
  <c r="T57" i="8"/>
  <c r="U57" i="8"/>
  <c r="V57" i="8"/>
  <c r="W57" i="8"/>
  <c r="X57" i="8"/>
  <c r="Y57" i="8"/>
  <c r="Z57" i="8"/>
  <c r="AA57" i="8"/>
  <c r="R58" i="8"/>
  <c r="S58" i="8"/>
  <c r="T58" i="8"/>
  <c r="U58" i="8"/>
  <c r="V58" i="8"/>
  <c r="W58" i="8"/>
  <c r="X58" i="8"/>
  <c r="Y58" i="8"/>
  <c r="Z58" i="8"/>
  <c r="AA58" i="8"/>
  <c r="R59" i="8"/>
  <c r="S59" i="8"/>
  <c r="T59" i="8"/>
  <c r="U59" i="8"/>
  <c r="V59" i="8"/>
  <c r="W59" i="8"/>
  <c r="X59" i="8"/>
  <c r="Y59" i="8"/>
  <c r="Z59" i="8"/>
  <c r="AA59" i="8"/>
  <c r="R60" i="8"/>
  <c r="S60" i="8"/>
  <c r="T60" i="8"/>
  <c r="U60" i="8"/>
  <c r="V60" i="8"/>
  <c r="W60" i="8"/>
  <c r="X60" i="8"/>
  <c r="Y60" i="8"/>
  <c r="Z60" i="8"/>
  <c r="AA60" i="8"/>
  <c r="R61" i="8"/>
  <c r="S61" i="8"/>
  <c r="T61" i="8"/>
  <c r="U61" i="8"/>
  <c r="V61" i="8"/>
  <c r="W61" i="8"/>
  <c r="X61" i="8"/>
  <c r="Y61" i="8"/>
  <c r="Z61" i="8"/>
  <c r="AA61" i="8"/>
  <c r="R62" i="8"/>
  <c r="S62" i="8"/>
  <c r="T62" i="8"/>
  <c r="U62" i="8"/>
  <c r="V62" i="8"/>
  <c r="W62" i="8"/>
  <c r="X62" i="8"/>
  <c r="Y62" i="8"/>
  <c r="Z62" i="8"/>
  <c r="AA62" i="8"/>
  <c r="R63" i="8"/>
  <c r="S63" i="8"/>
  <c r="T63" i="8"/>
  <c r="U63" i="8"/>
  <c r="V63" i="8"/>
  <c r="W63" i="8"/>
  <c r="X63" i="8"/>
  <c r="Y63" i="8"/>
  <c r="Z63" i="8"/>
  <c r="AA63" i="8"/>
  <c r="R5" i="8"/>
  <c r="S5" i="8"/>
  <c r="AO14" i="7" s="1"/>
  <c r="T5" i="8"/>
  <c r="U5" i="8"/>
  <c r="V5" i="8"/>
  <c r="W5" i="8"/>
  <c r="X5" i="8"/>
  <c r="Y5" i="8"/>
  <c r="Z5" i="8"/>
  <c r="AA5" i="8"/>
  <c r="AW14" i="7" s="1"/>
  <c r="Q5" i="8"/>
  <c r="AO39" i="8"/>
  <c r="AO37" i="8"/>
  <c r="AP35" i="6" l="1"/>
  <c r="AO42" i="6"/>
  <c r="AS37" i="6"/>
  <c r="AI51" i="6" a="1"/>
  <c r="AI51" i="6" s="1"/>
  <c r="X68" i="6"/>
  <c r="X70" i="6" s="1"/>
  <c r="AS35" i="7"/>
  <c r="AS36" i="7"/>
  <c r="AS36" i="6"/>
  <c r="Q68" i="6"/>
  <c r="Q70" i="6" s="1"/>
  <c r="Y68" i="6"/>
  <c r="Y70" i="6" s="1"/>
  <c r="S67" i="6"/>
  <c r="S69" i="6" s="1"/>
  <c r="AI6" i="6" s="1"/>
  <c r="AA67" i="6"/>
  <c r="AA69" i="6" s="1"/>
  <c r="AI14" i="6" s="1"/>
  <c r="T67" i="6"/>
  <c r="T69" i="6" s="1"/>
  <c r="AI7" i="6" s="1"/>
  <c r="U68" i="6"/>
  <c r="U70" i="6" s="1"/>
  <c r="Z67" i="6"/>
  <c r="Z69" i="6" s="1"/>
  <c r="AI13" i="6" s="1"/>
  <c r="V68" i="6"/>
  <c r="V70" i="6" s="1"/>
  <c r="R68" i="6"/>
  <c r="R70" i="6" s="1"/>
  <c r="Z68" i="6"/>
  <c r="Z70" i="6" s="1"/>
  <c r="R67" i="6"/>
  <c r="R69" i="6" s="1"/>
  <c r="AI5" i="6" s="1"/>
  <c r="U67" i="6"/>
  <c r="U69" i="6" s="1"/>
  <c r="AI8" i="6" s="1"/>
  <c r="W68" i="6"/>
  <c r="W70" i="6" s="1"/>
  <c r="AP42" i="6"/>
  <c r="AS35" i="6"/>
  <c r="V67" i="6"/>
  <c r="V69" i="6" s="1"/>
  <c r="AI9" i="6" s="1"/>
  <c r="S68" i="6"/>
  <c r="S70" i="6" s="1"/>
  <c r="AA68" i="6"/>
  <c r="AA70" i="6" s="1"/>
  <c r="AI30" i="6"/>
  <c r="W67" i="6"/>
  <c r="W69" i="6" s="1"/>
  <c r="AI10" i="6" s="1"/>
  <c r="T68" i="6"/>
  <c r="T70" i="6" s="1"/>
  <c r="AI32" i="6" a="1"/>
  <c r="AI32" i="6" s="1"/>
  <c r="X67" i="6"/>
  <c r="X69" i="6" s="1"/>
  <c r="AI11" i="6" s="1"/>
  <c r="Q67" i="6"/>
  <c r="Q69" i="6" s="1"/>
  <c r="AI4" i="6" s="1"/>
  <c r="Y67" i="6"/>
  <c r="Y69" i="6" s="1"/>
  <c r="AI12" i="6" s="1"/>
  <c r="T67" i="7"/>
  <c r="T69" i="7" s="1"/>
  <c r="AI7" i="7" s="1"/>
  <c r="U68" i="7"/>
  <c r="U70" i="7" s="1"/>
  <c r="V68" i="7"/>
  <c r="V70" i="7" s="1"/>
  <c r="U67" i="7"/>
  <c r="U69" i="7" s="1"/>
  <c r="AI8" i="7" s="1"/>
  <c r="W68" i="7"/>
  <c r="W70" i="7" s="1"/>
  <c r="V67" i="7"/>
  <c r="V69" i="7" s="1"/>
  <c r="AI9" i="7" s="1"/>
  <c r="X68" i="7"/>
  <c r="X70" i="7" s="1"/>
  <c r="Q68" i="7"/>
  <c r="Q70" i="7" s="1"/>
  <c r="Y68" i="7"/>
  <c r="Y70" i="7" s="1"/>
  <c r="R68" i="7"/>
  <c r="R70" i="7" s="1"/>
  <c r="Z68" i="7"/>
  <c r="Z70" i="7" s="1"/>
  <c r="S67" i="7"/>
  <c r="S69" i="7" s="1"/>
  <c r="AI6" i="7" s="1"/>
  <c r="AA67" i="7"/>
  <c r="AA69" i="7" s="1"/>
  <c r="AI14" i="7" s="1"/>
  <c r="AP41" i="7"/>
  <c r="AV14" i="7"/>
  <c r="AW6" i="7"/>
  <c r="AM5" i="7"/>
  <c r="AU13" i="7"/>
  <c r="AN5" i="7"/>
  <c r="AT8" i="7"/>
  <c r="AT13" i="7"/>
  <c r="AS12" i="7"/>
  <c r="AW10" i="7"/>
  <c r="AQ15" i="7"/>
  <c r="AM13" i="7"/>
  <c r="AS8" i="7"/>
  <c r="AV5" i="7"/>
  <c r="AN9" i="7"/>
  <c r="AP10" i="7"/>
  <c r="AT12" i="7"/>
  <c r="AV13" i="7"/>
  <c r="AP14" i="7"/>
  <c r="AO5" i="7"/>
  <c r="AW5" i="7"/>
  <c r="AQ6" i="7"/>
  <c r="AS7" i="7"/>
  <c r="AM8" i="7"/>
  <c r="AU8" i="7"/>
  <c r="AO9" i="7"/>
  <c r="AW9" i="7"/>
  <c r="AQ10" i="7"/>
  <c r="AS11" i="7"/>
  <c r="AM12" i="7"/>
  <c r="AU12" i="7"/>
  <c r="AO13" i="7"/>
  <c r="AW13" i="7"/>
  <c r="AQ14" i="7"/>
  <c r="AS15" i="7"/>
  <c r="AP6" i="7"/>
  <c r="AV9" i="7"/>
  <c r="AR11" i="7"/>
  <c r="AN13" i="7"/>
  <c r="AR15" i="7"/>
  <c r="AP5" i="7"/>
  <c r="AR6" i="7"/>
  <c r="AT7" i="7"/>
  <c r="AN8" i="7"/>
  <c r="AV8" i="7"/>
  <c r="AP9" i="7"/>
  <c r="AR10" i="7"/>
  <c r="AT11" i="7"/>
  <c r="AN12" i="7"/>
  <c r="AV12" i="7"/>
  <c r="AP13" i="7"/>
  <c r="AR14" i="7"/>
  <c r="AT15" i="7"/>
  <c r="AR7" i="7"/>
  <c r="AS6" i="7"/>
  <c r="AU7" i="7"/>
  <c r="AO8" i="7"/>
  <c r="AW8" i="7"/>
  <c r="AQ9" i="7"/>
  <c r="AS10" i="7"/>
  <c r="AM11" i="7"/>
  <c r="AU11" i="7"/>
  <c r="AO12" i="7"/>
  <c r="AW12" i="7"/>
  <c r="AQ13" i="7"/>
  <c r="AS14" i="7"/>
  <c r="AM15" i="7"/>
  <c r="AU15" i="7"/>
  <c r="AQ5" i="7"/>
  <c r="AM7" i="7"/>
  <c r="AR5" i="7"/>
  <c r="AT6" i="7"/>
  <c r="AN7" i="7"/>
  <c r="AV7" i="7"/>
  <c r="AP8" i="7"/>
  <c r="AR9" i="7"/>
  <c r="AT10" i="7"/>
  <c r="AN11" i="7"/>
  <c r="AV11" i="7"/>
  <c r="AP12" i="7"/>
  <c r="AR13" i="7"/>
  <c r="AT14" i="7"/>
  <c r="AN15" i="7"/>
  <c r="AV15" i="7"/>
  <c r="AS5" i="7"/>
  <c r="AM6" i="7"/>
  <c r="AU6" i="7"/>
  <c r="AO7" i="7"/>
  <c r="AW7" i="7"/>
  <c r="AQ8" i="7"/>
  <c r="AS9" i="7"/>
  <c r="AM10" i="7"/>
  <c r="AU10" i="7"/>
  <c r="AO11" i="7"/>
  <c r="AW11" i="7"/>
  <c r="AQ12" i="7"/>
  <c r="AS13" i="7"/>
  <c r="AU14" i="7"/>
  <c r="AO15" i="7"/>
  <c r="AW15" i="7"/>
  <c r="AI30" i="8"/>
  <c r="AT5" i="7"/>
  <c r="AN6" i="7"/>
  <c r="AV6" i="7"/>
  <c r="AP7" i="7"/>
  <c r="AR8" i="7"/>
  <c r="AT9" i="7"/>
  <c r="AN10" i="7"/>
  <c r="AV10" i="7"/>
  <c r="AP11" i="7"/>
  <c r="AR12" i="7"/>
  <c r="AN14" i="7"/>
  <c r="AP15" i="7"/>
  <c r="AU5" i="7"/>
  <c r="AO6" i="7"/>
  <c r="AQ7" i="7"/>
  <c r="AM9" i="7"/>
  <c r="AU9" i="7"/>
  <c r="AO10" i="7"/>
  <c r="AQ11" i="7"/>
  <c r="W67" i="7"/>
  <c r="W69" i="7" s="1"/>
  <c r="AI10" i="7" s="1"/>
  <c r="T68" i="7"/>
  <c r="T70" i="7" s="1"/>
  <c r="X67" i="7"/>
  <c r="X69" i="7" s="1"/>
  <c r="AI11" i="7" s="1"/>
  <c r="AA68" i="7"/>
  <c r="AA70" i="7" s="1"/>
  <c r="AI30" i="7"/>
  <c r="AO41" i="7"/>
  <c r="Q67" i="7"/>
  <c r="Q69" i="7" s="1"/>
  <c r="AI4" i="7" s="1"/>
  <c r="Y67" i="7"/>
  <c r="Y69" i="7" s="1"/>
  <c r="AI12" i="7" s="1"/>
  <c r="S68" i="7"/>
  <c r="S70" i="7" s="1"/>
  <c r="R67" i="7"/>
  <c r="R69" i="7" s="1"/>
  <c r="AI5" i="7" s="1"/>
  <c r="Z67" i="7"/>
  <c r="Z69" i="7" s="1"/>
  <c r="AI13" i="7" s="1"/>
  <c r="AT15" i="8"/>
  <c r="AN15" i="8"/>
  <c r="AU15" i="8"/>
  <c r="AW11" i="8"/>
  <c r="AR15" i="8"/>
  <c r="AQ15" i="8"/>
  <c r="AW5" i="8"/>
  <c r="AP15" i="8"/>
  <c r="AW15" i="8"/>
  <c r="AO15" i="8"/>
  <c r="AS15" i="8"/>
  <c r="AW8" i="8"/>
  <c r="AW13" i="8"/>
  <c r="AO14" i="8"/>
  <c r="AW9" i="8"/>
  <c r="AW12" i="8"/>
  <c r="AM15" i="8"/>
  <c r="AW6" i="8"/>
  <c r="AW10" i="8"/>
  <c r="AW14" i="8"/>
  <c r="AV15" i="8"/>
  <c r="AW7" i="8"/>
  <c r="AV14" i="8"/>
  <c r="AT14" i="8"/>
  <c r="AN14" i="8"/>
  <c r="AM13" i="8"/>
  <c r="AV8" i="8"/>
  <c r="AS13" i="8"/>
  <c r="AV7" i="8"/>
  <c r="AV11" i="8"/>
  <c r="AR13" i="8"/>
  <c r="AS14" i="8"/>
  <c r="AQ13" i="8"/>
  <c r="AV12" i="8"/>
  <c r="AP13" i="8"/>
  <c r="AP14" i="8"/>
  <c r="AV5" i="8"/>
  <c r="AV9" i="8"/>
  <c r="AV13" i="8"/>
  <c r="AM14" i="8"/>
  <c r="AQ14" i="8"/>
  <c r="AU14" i="8"/>
  <c r="AV6" i="8"/>
  <c r="AV10" i="8"/>
  <c r="AT13" i="8"/>
  <c r="AR14" i="8"/>
  <c r="AU6" i="8"/>
  <c r="AU10" i="8"/>
  <c r="AN13" i="8"/>
  <c r="AU7" i="8"/>
  <c r="AU12" i="8"/>
  <c r="AU8" i="8"/>
  <c r="AU13" i="8"/>
  <c r="AA68" i="8"/>
  <c r="AA70" i="8" s="1"/>
  <c r="AO9" i="8"/>
  <c r="AU5" i="8"/>
  <c r="AU9" i="8"/>
  <c r="AO13" i="8"/>
  <c r="AS12" i="8"/>
  <c r="AR11" i="8"/>
  <c r="AS5" i="8"/>
  <c r="AP11" i="8"/>
  <c r="AN11" i="8"/>
  <c r="AM12" i="8"/>
  <c r="AT10" i="8"/>
  <c r="AT6" i="8"/>
  <c r="AR12" i="8"/>
  <c r="AN12" i="8"/>
  <c r="AT11" i="8"/>
  <c r="AO12" i="8"/>
  <c r="AT8" i="8"/>
  <c r="AT12" i="8"/>
  <c r="AS9" i="8"/>
  <c r="AP12" i="8"/>
  <c r="AT9" i="8"/>
  <c r="AT5" i="8"/>
  <c r="AQ12" i="8"/>
  <c r="AM11" i="8"/>
  <c r="AQ11" i="8"/>
  <c r="AS6" i="8"/>
  <c r="AS10" i="8"/>
  <c r="AS7" i="8"/>
  <c r="AS11" i="8"/>
  <c r="AO11" i="8"/>
  <c r="AS8" i="8"/>
  <c r="AU11" i="8"/>
  <c r="V68" i="8"/>
  <c r="V70" i="8" s="1"/>
  <c r="AQ10" i="8"/>
  <c r="AR5" i="8"/>
  <c r="AP10" i="8"/>
  <c r="AR9" i="8"/>
  <c r="Z68" i="8"/>
  <c r="Z70" i="8" s="1"/>
  <c r="AP6" i="8"/>
  <c r="AM10" i="8"/>
  <c r="Y68" i="8"/>
  <c r="Y70" i="8" s="1"/>
  <c r="AN10" i="8"/>
  <c r="AR10" i="8"/>
  <c r="X67" i="8"/>
  <c r="X69" i="8" s="1"/>
  <c r="AR7" i="8"/>
  <c r="W68" i="8"/>
  <c r="W70" i="8" s="1"/>
  <c r="AO10" i="8"/>
  <c r="AN6" i="8"/>
  <c r="X68" i="8"/>
  <c r="X70" i="8" s="1"/>
  <c r="AO6" i="8"/>
  <c r="AR8" i="8"/>
  <c r="AM7" i="8"/>
  <c r="AQ6" i="8"/>
  <c r="AN7" i="8"/>
  <c r="U68" i="8"/>
  <c r="U70" i="8" s="1"/>
  <c r="AA67" i="8"/>
  <c r="AA69" i="8" s="1"/>
  <c r="R67" i="8"/>
  <c r="R69" i="8" s="1"/>
  <c r="AI5" i="8" s="1"/>
  <c r="T68" i="8"/>
  <c r="T70" i="8" s="1"/>
  <c r="Q68" i="8"/>
  <c r="AM5" i="8"/>
  <c r="AR6" i="8"/>
  <c r="AO7" i="8"/>
  <c r="AM8" i="8"/>
  <c r="AQ9" i="8"/>
  <c r="AP9" i="8"/>
  <c r="Z67" i="8"/>
  <c r="Z69" i="8" s="1"/>
  <c r="S67" i="8"/>
  <c r="S69" i="8" s="1"/>
  <c r="S68" i="8"/>
  <c r="S70" i="8" s="1"/>
  <c r="AO5" i="8"/>
  <c r="AQ7" i="8"/>
  <c r="AN8" i="8"/>
  <c r="Y67" i="8"/>
  <c r="Y69" i="8" s="1"/>
  <c r="R68" i="8"/>
  <c r="R70" i="8" s="1"/>
  <c r="AP5" i="8"/>
  <c r="AN5" i="8"/>
  <c r="AP7" i="8"/>
  <c r="T67" i="8"/>
  <c r="T69" i="8" s="1"/>
  <c r="AQ5" i="8"/>
  <c r="AM6" i="8"/>
  <c r="AO8" i="8"/>
  <c r="W67" i="8"/>
  <c r="W69" i="8" s="1"/>
  <c r="AT7" i="8"/>
  <c r="AP8" i="8"/>
  <c r="AM9" i="8"/>
  <c r="V67" i="8"/>
  <c r="V69" i="8" s="1"/>
  <c r="AQ8" i="8"/>
  <c r="AN9" i="8"/>
  <c r="U67" i="8"/>
  <c r="U69" i="8" s="1"/>
  <c r="Q67" i="8"/>
  <c r="Q69" i="8" s="1"/>
  <c r="AL45" i="8"/>
  <c r="AL42" i="8"/>
  <c r="AL43" i="8"/>
  <c r="AL44" i="8"/>
  <c r="AI49" i="8"/>
  <c r="AI50" i="6" l="1" a="1"/>
  <c r="AI50" i="6" s="1"/>
  <c r="AI52" i="6" s="1"/>
  <c r="AI31" i="6" a="1"/>
  <c r="AI31" i="6" s="1"/>
  <c r="AM19" i="6" s="1"/>
  <c r="AI51" i="7" a="1"/>
  <c r="AI51" i="7" s="1"/>
  <c r="AI32" i="7" a="1"/>
  <c r="AI32" i="7" s="1"/>
  <c r="AI50" i="7" a="1"/>
  <c r="AI50" i="7" s="1"/>
  <c r="AI31" i="7" a="1"/>
  <c r="AI31" i="7" s="1"/>
  <c r="AI51" i="8" a="1"/>
  <c r="AI51" i="8" s="1"/>
  <c r="AI32" i="8" a="1"/>
  <c r="AI32" i="8" s="1"/>
  <c r="AI52" i="7" l="1" a="1"/>
  <c r="AI52" i="7" s="1"/>
  <c r="AM19" i="7"/>
  <c r="AI6" i="8" l="1"/>
  <c r="AI10" i="8"/>
  <c r="Q70" i="8"/>
  <c r="AI12" i="8"/>
  <c r="AI14" i="8" l="1"/>
  <c r="AI8" i="8"/>
  <c r="AI4" i="8"/>
  <c r="AI11" i="8"/>
  <c r="AI9" i="8"/>
  <c r="AI7" i="8"/>
  <c r="AI13" i="8"/>
  <c r="AI50" i="8" l="1" a="1"/>
  <c r="AI50" i="8" s="1"/>
  <c r="AI31" i="8" a="1"/>
  <c r="AI31" i="8" s="1"/>
  <c r="AI52" i="8" l="1" a="1"/>
  <c r="AI52" i="8" s="1"/>
  <c r="AP40" i="8"/>
  <c r="AP39" i="8"/>
  <c r="AM19" i="8"/>
  <c r="AS37" i="8" l="1"/>
  <c r="AP37" i="8"/>
  <c r="AP43" i="8" l="1"/>
  <c r="AS36" i="8"/>
  <c r="AS39" i="8" s="1"/>
</calcChain>
</file>

<file path=xl/sharedStrings.xml><?xml version="1.0" encoding="utf-8"?>
<sst xmlns="http://schemas.openxmlformats.org/spreadsheetml/2006/main" count="806" uniqueCount="150">
  <si>
    <t>Date</t>
  </si>
  <si>
    <t>IndusInd Bank</t>
  </si>
  <si>
    <t>Prices</t>
  </si>
  <si>
    <t>HDFC Gold ETF</t>
  </si>
  <si>
    <t>SBI Nifty 50 ETF</t>
  </si>
  <si>
    <t xml:space="preserve">Average Monthly Return </t>
  </si>
  <si>
    <t>Monthly Variance</t>
  </si>
  <si>
    <t xml:space="preserve">Returns </t>
  </si>
  <si>
    <t>Standard Deviation</t>
  </si>
  <si>
    <t xml:space="preserve">Sharpe Ratio </t>
  </si>
  <si>
    <t>Weights</t>
  </si>
  <si>
    <t xml:space="preserve">ICICI Pru Credit Risk Fund </t>
  </si>
  <si>
    <t xml:space="preserve">HDFC Credit Risk Fund </t>
  </si>
  <si>
    <t xml:space="preserve">SBI Credit Risk Fund </t>
  </si>
  <si>
    <t>SBI Liquid Fund</t>
  </si>
  <si>
    <t xml:space="preserve">HDFC Liquid Fund </t>
  </si>
  <si>
    <t>ICICI Liquid Fund</t>
  </si>
  <si>
    <t xml:space="preserve">SBI Magnum Multicap </t>
  </si>
  <si>
    <t>ICICI Multicap</t>
  </si>
  <si>
    <t>HDFC Equity Fund</t>
  </si>
  <si>
    <t xml:space="preserve">Covariance Matrix </t>
  </si>
  <si>
    <t>Equally Weighted Portfolio</t>
  </si>
  <si>
    <t xml:space="preserve">Expected Returns </t>
  </si>
  <si>
    <t>Optimally Weighted Portfolio</t>
  </si>
  <si>
    <t>SUM</t>
  </si>
  <si>
    <t>Sharpe Ratio (Equally Weighted Portfolio)</t>
  </si>
  <si>
    <t>Taking the Annualized returns of a 5 Year Gsec to be the Risk Free Rate</t>
  </si>
  <si>
    <t>ETF</t>
  </si>
  <si>
    <t>Liquid Fund</t>
  </si>
  <si>
    <t>Credit Risk</t>
  </si>
  <si>
    <t>Actual Allocation</t>
  </si>
  <si>
    <t>ICICI Pru Credit Risk Fund</t>
  </si>
  <si>
    <t>ITC</t>
  </si>
  <si>
    <t>Funds to Allocate (in Cr.)</t>
  </si>
  <si>
    <t>Investment (in Cr.)</t>
  </si>
  <si>
    <t xml:space="preserve">Total </t>
  </si>
  <si>
    <t>SBI Magnum Multicap</t>
  </si>
  <si>
    <t>(Excluding Stocks)</t>
  </si>
  <si>
    <t xml:space="preserve">Average Annual Variance </t>
  </si>
  <si>
    <t>5 Year Annualized Returns</t>
  </si>
  <si>
    <t>Risk Free Rate (5 Yrs)</t>
  </si>
  <si>
    <t>SBI Credit Risk Fund</t>
  </si>
  <si>
    <t xml:space="preserve">Asset Class </t>
  </si>
  <si>
    <t>Stocks</t>
  </si>
  <si>
    <t>Credit Risk Funds</t>
  </si>
  <si>
    <t>ETFs</t>
  </si>
  <si>
    <t>Large Cap</t>
  </si>
  <si>
    <t>Risk Free Rate (1 Yr)</t>
  </si>
  <si>
    <t>Taking the Annualized returns of a 10 Year Gsec to be the Risk Free Rate</t>
  </si>
  <si>
    <t>Risk Free Rate (3 months)</t>
  </si>
  <si>
    <t>Liquid Funds</t>
  </si>
  <si>
    <t>Risk Free Rate (6 months)</t>
  </si>
  <si>
    <t>(SOURCE: Yahoo Finance)</t>
  </si>
  <si>
    <t>LargeCap MF</t>
  </si>
  <si>
    <t xml:space="preserve">Expected Annual rate of return on a 6 Month T-Bill </t>
  </si>
  <si>
    <t>Reddington CP</t>
  </si>
  <si>
    <t>Funds Remaining (in Cr.)</t>
  </si>
  <si>
    <t>Funds Allocated to Redington CP</t>
  </si>
  <si>
    <t>Funds Allocated to Reddington CP (in Cr.)</t>
  </si>
  <si>
    <t>Risk Free Rate (1 month)</t>
  </si>
  <si>
    <t xml:space="preserve">Expected Annual rate of return on a 3 Month T-Bill </t>
  </si>
  <si>
    <t xml:space="preserve">Expected Annual rate of return on a 1 Month T-Bill </t>
  </si>
  <si>
    <t xml:space="preserve">SBI Liquid Fund </t>
  </si>
  <si>
    <t>ICICI Bank FD</t>
  </si>
  <si>
    <t>Funds in Bank FD (ICICI)</t>
  </si>
  <si>
    <t>(Excluding CP)</t>
  </si>
  <si>
    <t>(Excluding CP &amp; Bank FD)</t>
  </si>
  <si>
    <t xml:space="preserve">LargeCap MF </t>
  </si>
  <si>
    <t>Total (in Cr.)</t>
  </si>
  <si>
    <t>ICICI FD</t>
  </si>
  <si>
    <t>HDFC Bank FD</t>
  </si>
  <si>
    <t>HDFC Overnight Fund</t>
  </si>
  <si>
    <t>SBI Overnight Fund</t>
  </si>
  <si>
    <t>ICICI Pru Overnight Fund</t>
  </si>
  <si>
    <t>Funds Allocated to Chambal Fertilizers CP</t>
  </si>
  <si>
    <t>Chambal Fert. CP</t>
  </si>
  <si>
    <t>Funds Allocated to Chambal Fert. CP (in Cr.)</t>
  </si>
  <si>
    <t>Chambal Fert CP</t>
  </si>
  <si>
    <t>Funds in 1 month T-Bill</t>
  </si>
  <si>
    <t>1 month T-Bill</t>
  </si>
  <si>
    <t>Optimal Weights have been found using solver, setting the Sharpe Ratio to be the field to maximize</t>
  </si>
  <si>
    <t>Value Analysis</t>
  </si>
  <si>
    <t xml:space="preserve">Stock </t>
  </si>
  <si>
    <t xml:space="preserve">IndusInd Bank </t>
  </si>
  <si>
    <t>Year</t>
  </si>
  <si>
    <t>Avg Price</t>
  </si>
  <si>
    <t>EPS</t>
  </si>
  <si>
    <t>Average P/E</t>
  </si>
  <si>
    <t xml:space="preserve">Industry </t>
  </si>
  <si>
    <t xml:space="preserve">Banking </t>
  </si>
  <si>
    <t>FY20</t>
  </si>
  <si>
    <t>CMP</t>
  </si>
  <si>
    <t>FY19</t>
  </si>
  <si>
    <t>Current Date</t>
  </si>
  <si>
    <t>FY18</t>
  </si>
  <si>
    <t>FY17</t>
  </si>
  <si>
    <t>FY16</t>
  </si>
  <si>
    <t>FY15</t>
  </si>
  <si>
    <t>FY14</t>
  </si>
  <si>
    <t>FY13</t>
  </si>
  <si>
    <t>FY12</t>
  </si>
  <si>
    <t>EPS-GR (Average)</t>
  </si>
  <si>
    <t>P/E(Current)</t>
  </si>
  <si>
    <t>(HIGHLY UNDERVALUED)</t>
  </si>
  <si>
    <t>Industry P/E</t>
  </si>
  <si>
    <t>Average P/E(9 years)</t>
  </si>
  <si>
    <t>Best Case P/E</t>
  </si>
  <si>
    <t xml:space="preserve">Intrinsic Value </t>
  </si>
  <si>
    <t>P/E Growth Rate</t>
  </si>
  <si>
    <t>~4%</t>
  </si>
  <si>
    <t>Most Optimistic Value</t>
  </si>
  <si>
    <t>PEG Ratio</t>
  </si>
  <si>
    <t>(GREAT)</t>
  </si>
  <si>
    <t>Additional Ratios</t>
  </si>
  <si>
    <t>Book Value / Share</t>
  </si>
  <si>
    <t>P/B Ratio</t>
  </si>
  <si>
    <t>ROE</t>
  </si>
  <si>
    <t>(Borderline)</t>
  </si>
  <si>
    <t>D/E Ratio</t>
  </si>
  <si>
    <t>(Source: Morningstar)</t>
  </si>
  <si>
    <t>(DECENT)</t>
  </si>
  <si>
    <t>P/S Ratio</t>
  </si>
  <si>
    <t>(Source: MoneyControl, for FY20)</t>
  </si>
  <si>
    <t>Free Cash Flow (INR)</t>
  </si>
  <si>
    <t>487.1 Cr (Negative)</t>
  </si>
  <si>
    <t>(BAD)</t>
  </si>
  <si>
    <t>Gains Estimation</t>
  </si>
  <si>
    <t xml:space="preserve">Investment Period </t>
  </si>
  <si>
    <t>3 years</t>
  </si>
  <si>
    <t>Current CG Potential</t>
  </si>
  <si>
    <t xml:space="preserve">Projected Growth Rate </t>
  </si>
  <si>
    <t>Consensus Growth Rate</t>
  </si>
  <si>
    <t>Projected EPS</t>
  </si>
  <si>
    <t>(After 3 years)</t>
  </si>
  <si>
    <t xml:space="preserve">Projected Price </t>
  </si>
  <si>
    <t>At the end of FY23</t>
  </si>
  <si>
    <t xml:space="preserve">Projected CG Potential </t>
  </si>
  <si>
    <t>DPS</t>
  </si>
  <si>
    <t>Dividend Payout Ratio (DPR) (%)</t>
  </si>
  <si>
    <t>Avg. DPR (%)</t>
  </si>
  <si>
    <t>Consensus DPR (%)</t>
  </si>
  <si>
    <t>Projected Year Wise EPS</t>
  </si>
  <si>
    <t>FY21</t>
  </si>
  <si>
    <t>FY22</t>
  </si>
  <si>
    <t>FY23</t>
  </si>
  <si>
    <t>Projected Year Wise Dividends</t>
  </si>
  <si>
    <t>Overall Projected Capital Gains (INR)</t>
  </si>
  <si>
    <t>Overall Projected CAGR (%)</t>
  </si>
  <si>
    <t xml:space="preserve">ASSET ALLOCATION MODEL </t>
  </si>
  <si>
    <t>Covariance Matrixes have been constructed using historical returns and Portfolio Allocation from 7-30 days tenor onwards has been done using the Multi-Asset Markowitz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</si>
</sst>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4"/>
      <color rgb="FFFFC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10" fontId="0" fillId="0" borderId="0" xfId="0" applyNumberFormat="1"/>
    <xf numFmtId="164" fontId="0" fillId="0" borderId="0" xfId="0" applyNumberFormat="1"/>
    <xf numFmtId="0" fontId="0" fillId="0" borderId="0" xfId="0" applyFill="1"/>
    <xf numFmtId="0" fontId="0" fillId="4" borderId="0" xfId="0" applyFill="1"/>
    <xf numFmtId="165" fontId="0" fillId="0" borderId="0" xfId="0" applyNumberFormat="1"/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/>
    <xf numFmtId="10" fontId="0" fillId="4" borderId="0" xfId="0" applyNumberFormat="1" applyFill="1"/>
    <xf numFmtId="0" fontId="0" fillId="0" borderId="0" xfId="0" applyFont="1"/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2" fontId="0" fillId="4" borderId="0" xfId="0" applyNumberFormat="1" applyFill="1"/>
    <xf numFmtId="165" fontId="0" fillId="4" borderId="0" xfId="0" applyNumberFormat="1" applyFill="1"/>
    <xf numFmtId="0" fontId="1" fillId="0" borderId="0" xfId="0" applyFont="1" applyFill="1"/>
    <xf numFmtId="0" fontId="1" fillId="5" borderId="0" xfId="0" applyFont="1" applyFill="1"/>
    <xf numFmtId="2" fontId="0" fillId="5" borderId="0" xfId="0" applyNumberFormat="1" applyFill="1"/>
    <xf numFmtId="0" fontId="0" fillId="0" borderId="1" xfId="0" applyBorder="1"/>
    <xf numFmtId="0" fontId="0" fillId="6" borderId="1" xfId="0" applyFill="1" applyBorder="1"/>
    <xf numFmtId="0" fontId="1" fillId="6" borderId="1" xfId="0" applyFont="1" applyFill="1" applyBorder="1"/>
    <xf numFmtId="10" fontId="0" fillId="6" borderId="1" xfId="0" applyNumberFormat="1" applyFill="1" applyBorder="1"/>
    <xf numFmtId="2" fontId="0" fillId="6" borderId="1" xfId="0" applyNumberFormat="1" applyFill="1" applyBorder="1"/>
    <xf numFmtId="10" fontId="1" fillId="6" borderId="1" xfId="0" applyNumberFormat="1" applyFont="1" applyFill="1" applyBorder="1"/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/>
    <xf numFmtId="2" fontId="0" fillId="7" borderId="1" xfId="0" applyNumberFormat="1" applyFill="1" applyBorder="1"/>
    <xf numFmtId="0" fontId="0" fillId="7" borderId="1" xfId="0" applyFill="1" applyBorder="1"/>
    <xf numFmtId="0" fontId="1" fillId="5" borderId="1" xfId="0" applyFont="1" applyFill="1" applyBorder="1"/>
    <xf numFmtId="9" fontId="0" fillId="6" borderId="1" xfId="0" applyNumberFormat="1" applyFill="1" applyBorder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9" fontId="0" fillId="0" borderId="0" xfId="0" applyNumberFormat="1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8" fillId="8" borderId="0" xfId="0" applyFont="1" applyFill="1"/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F4F72-BA53-42F2-844D-72D5A54B78F8}">
  <dimension ref="B2:H20"/>
  <sheetViews>
    <sheetView tabSelected="1" workbookViewId="0">
      <selection activeCell="C7" sqref="C7"/>
    </sheetView>
  </sheetViews>
  <sheetFormatPr defaultRowHeight="14.5" x14ac:dyDescent="0.35"/>
  <cols>
    <col min="2" max="3" width="21.6328125" bestFit="1" customWidth="1"/>
    <col min="4" max="4" width="35.6328125" bestFit="1" customWidth="1"/>
  </cols>
  <sheetData>
    <row r="2" spans="2:4" ht="21" x14ac:dyDescent="0.5">
      <c r="D2" s="53" t="s">
        <v>148</v>
      </c>
    </row>
    <row r="4" spans="2:4" x14ac:dyDescent="0.35">
      <c r="B4" t="s">
        <v>149</v>
      </c>
    </row>
    <row r="8" spans="2:4" x14ac:dyDescent="0.35">
      <c r="B8" s="18"/>
      <c r="C8" s="22" t="s">
        <v>33</v>
      </c>
      <c r="D8" s="22">
        <v>250</v>
      </c>
    </row>
    <row r="9" spans="2:4" x14ac:dyDescent="0.35">
      <c r="B9" s="18"/>
      <c r="C9" s="22" t="s">
        <v>56</v>
      </c>
      <c r="D9" s="23">
        <f>D8-SUM(D12:D17)</f>
        <v>0</v>
      </c>
    </row>
    <row r="10" spans="2:4" x14ac:dyDescent="0.35">
      <c r="B10" s="18"/>
      <c r="C10" s="18"/>
      <c r="D10" s="18"/>
    </row>
    <row r="11" spans="2:4" x14ac:dyDescent="0.35">
      <c r="B11" s="25"/>
      <c r="C11" s="26" t="s">
        <v>30</v>
      </c>
      <c r="D11" s="26" t="s">
        <v>34</v>
      </c>
    </row>
    <row r="12" spans="2:4" x14ac:dyDescent="0.35">
      <c r="B12" s="26" t="s">
        <v>71</v>
      </c>
      <c r="C12" s="27"/>
      <c r="D12" s="28">
        <v>40</v>
      </c>
    </row>
    <row r="13" spans="2:4" x14ac:dyDescent="0.35">
      <c r="B13" s="26" t="s">
        <v>72</v>
      </c>
      <c r="C13" s="27"/>
      <c r="D13" s="28">
        <v>40</v>
      </c>
    </row>
    <row r="14" spans="2:4" x14ac:dyDescent="0.35">
      <c r="B14" s="26" t="s">
        <v>73</v>
      </c>
      <c r="C14" s="27"/>
      <c r="D14" s="28">
        <v>30</v>
      </c>
    </row>
    <row r="15" spans="2:4" x14ac:dyDescent="0.35">
      <c r="B15" s="26" t="s">
        <v>62</v>
      </c>
      <c r="C15" s="27"/>
      <c r="D15" s="28">
        <v>40</v>
      </c>
    </row>
    <row r="16" spans="2:4" x14ac:dyDescent="0.35">
      <c r="B16" s="26" t="s">
        <v>16</v>
      </c>
      <c r="C16" s="27"/>
      <c r="D16" s="28">
        <v>60</v>
      </c>
    </row>
    <row r="17" spans="2:8" x14ac:dyDescent="0.35">
      <c r="B17" s="26" t="s">
        <v>15</v>
      </c>
      <c r="C17" s="27"/>
      <c r="D17" s="28">
        <v>40</v>
      </c>
      <c r="H17" s="24"/>
    </row>
    <row r="18" spans="2:8" x14ac:dyDescent="0.35">
      <c r="B18" s="26"/>
      <c r="C18" s="27"/>
      <c r="D18" s="28"/>
    </row>
    <row r="19" spans="2:8" x14ac:dyDescent="0.35">
      <c r="B19" s="29"/>
      <c r="C19" s="27"/>
      <c r="D19" s="28"/>
    </row>
    <row r="20" spans="2:8" x14ac:dyDescent="0.35">
      <c r="B20" s="29" t="s">
        <v>35</v>
      </c>
      <c r="C20" s="27"/>
      <c r="D20" s="28">
        <f>SUM(D12:D17)</f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B602-5E8B-4728-924E-1EAC4AC29EF1}">
  <dimension ref="C1:E16"/>
  <sheetViews>
    <sheetView workbookViewId="0">
      <selection activeCell="F9" sqref="F9"/>
    </sheetView>
  </sheetViews>
  <sheetFormatPr defaultRowHeight="14.5" x14ac:dyDescent="0.35"/>
  <cols>
    <col min="2" max="2" width="10.08984375" bestFit="1" customWidth="1"/>
    <col min="3" max="4" width="21.6328125" bestFit="1" customWidth="1"/>
    <col min="5" max="5" width="18.90625" bestFit="1" customWidth="1"/>
    <col min="6" max="6" width="16.7265625" bestFit="1" customWidth="1"/>
    <col min="9" max="10" width="21.6328125" bestFit="1" customWidth="1"/>
    <col min="11" max="11" width="16.54296875" bestFit="1" customWidth="1"/>
    <col min="13" max="13" width="21.6328125" bestFit="1" customWidth="1"/>
    <col min="14" max="14" width="16.54296875" bestFit="1" customWidth="1"/>
  </cols>
  <sheetData>
    <row r="1" spans="3:5" s="18" customFormat="1" x14ac:dyDescent="0.35"/>
    <row r="2" spans="3:5" x14ac:dyDescent="0.35">
      <c r="D2" s="22" t="s">
        <v>33</v>
      </c>
      <c r="E2" s="22">
        <v>375</v>
      </c>
    </row>
    <row r="3" spans="3:5" x14ac:dyDescent="0.35">
      <c r="C3" s="18"/>
      <c r="D3" s="22" t="s">
        <v>56</v>
      </c>
      <c r="E3" s="23">
        <f>E2-SUM(E6:E13)</f>
        <v>0</v>
      </c>
    </row>
    <row r="4" spans="3:5" x14ac:dyDescent="0.35">
      <c r="C4" s="18"/>
      <c r="D4" s="18"/>
      <c r="E4" s="18"/>
    </row>
    <row r="5" spans="3:5" x14ac:dyDescent="0.35">
      <c r="C5" s="25"/>
      <c r="D5" s="26" t="s">
        <v>30</v>
      </c>
      <c r="E5" s="26" t="s">
        <v>34</v>
      </c>
    </row>
    <row r="6" spans="3:5" x14ac:dyDescent="0.35">
      <c r="C6" s="26" t="s">
        <v>63</v>
      </c>
      <c r="D6" s="27">
        <f>(E6/$E$2)</f>
        <v>0.21333333333333335</v>
      </c>
      <c r="E6" s="28">
        <v>80</v>
      </c>
    </row>
    <row r="7" spans="3:5" x14ac:dyDescent="0.35">
      <c r="C7" s="26" t="s">
        <v>70</v>
      </c>
      <c r="D7" s="27">
        <f t="shared" ref="D7:D13" si="0">(E7/$E$2)</f>
        <v>0.10666666666666667</v>
      </c>
      <c r="E7" s="28">
        <v>40</v>
      </c>
    </row>
    <row r="8" spans="3:5" x14ac:dyDescent="0.35">
      <c r="C8" s="26" t="s">
        <v>71</v>
      </c>
      <c r="D8" s="27">
        <f t="shared" si="0"/>
        <v>9.3333333333333338E-2</v>
      </c>
      <c r="E8" s="28">
        <v>35</v>
      </c>
    </row>
    <row r="9" spans="3:5" x14ac:dyDescent="0.35">
      <c r="C9" s="26" t="s">
        <v>72</v>
      </c>
      <c r="D9" s="27">
        <f t="shared" si="0"/>
        <v>9.3333333333333338E-2</v>
      </c>
      <c r="E9" s="28">
        <v>35</v>
      </c>
    </row>
    <row r="10" spans="3:5" x14ac:dyDescent="0.35">
      <c r="C10" s="26" t="s">
        <v>73</v>
      </c>
      <c r="D10" s="27">
        <f t="shared" si="0"/>
        <v>0.08</v>
      </c>
      <c r="E10" s="28">
        <v>30</v>
      </c>
    </row>
    <row r="11" spans="3:5" x14ac:dyDescent="0.35">
      <c r="C11" s="26" t="s">
        <v>62</v>
      </c>
      <c r="D11" s="27">
        <f t="shared" si="0"/>
        <v>9.3333333333333338E-2</v>
      </c>
      <c r="E11" s="28">
        <v>35</v>
      </c>
    </row>
    <row r="12" spans="3:5" x14ac:dyDescent="0.35">
      <c r="C12" s="26" t="s">
        <v>16</v>
      </c>
      <c r="D12" s="27">
        <f t="shared" si="0"/>
        <v>0.21333333333333335</v>
      </c>
      <c r="E12" s="28">
        <v>80</v>
      </c>
    </row>
    <row r="13" spans="3:5" x14ac:dyDescent="0.35">
      <c r="C13" s="26" t="s">
        <v>15</v>
      </c>
      <c r="D13" s="27">
        <f t="shared" si="0"/>
        <v>0.10666666666666667</v>
      </c>
      <c r="E13" s="28">
        <v>40</v>
      </c>
    </row>
    <row r="14" spans="3:5" x14ac:dyDescent="0.35">
      <c r="C14" s="26"/>
      <c r="D14" s="27"/>
      <c r="E14" s="28"/>
    </row>
    <row r="15" spans="3:5" x14ac:dyDescent="0.35">
      <c r="C15" s="29"/>
      <c r="D15" s="27"/>
      <c r="E15" s="28"/>
    </row>
    <row r="16" spans="3:5" x14ac:dyDescent="0.35">
      <c r="C16" s="29" t="s">
        <v>35</v>
      </c>
      <c r="D16" s="27"/>
      <c r="E16" s="28">
        <f>SUM(E6:E13)</f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CB30-6DB5-4BF1-B400-A867E3A34A27}">
  <dimension ref="B1:AZ70"/>
  <sheetViews>
    <sheetView topLeftCell="AN19" zoomScale="70" zoomScaleNormal="70" workbookViewId="0">
      <selection activeCell="AT42" sqref="AT42"/>
    </sheetView>
  </sheetViews>
  <sheetFormatPr defaultRowHeight="14.5" x14ac:dyDescent="0.35"/>
  <cols>
    <col min="1" max="1" width="8.7265625" style="18"/>
    <col min="2" max="2" width="11.54296875" style="18" bestFit="1" customWidth="1"/>
    <col min="3" max="3" width="22.453125" style="18" bestFit="1" customWidth="1"/>
    <col min="4" max="4" width="19.81640625" style="18" bestFit="1" customWidth="1"/>
    <col min="5" max="5" width="17.81640625" style="18" bestFit="1" customWidth="1"/>
    <col min="6" max="6" width="14.81640625" style="18" bestFit="1" customWidth="1"/>
    <col min="7" max="7" width="18.36328125" style="18" customWidth="1"/>
    <col min="8" max="8" width="15.7265625" style="18" customWidth="1"/>
    <col min="9" max="9" width="16.81640625" style="18" customWidth="1"/>
    <col min="10" max="10" width="16.453125" style="18" customWidth="1"/>
    <col min="11" max="11" width="12.453125" style="18" bestFit="1" customWidth="1"/>
    <col min="12" max="12" width="15.81640625" style="18" bestFit="1" customWidth="1"/>
    <col min="13" max="13" width="19.7265625" style="18" bestFit="1" customWidth="1"/>
    <col min="14" max="14" width="11.81640625" style="18" bestFit="1" customWidth="1"/>
    <col min="15" max="15" width="19.7265625" style="18" customWidth="1"/>
    <col min="16" max="16" width="23" style="6" bestFit="1" customWidth="1"/>
    <col min="17" max="17" width="22.7265625" style="18" bestFit="1" customWidth="1"/>
    <col min="18" max="18" width="20" style="18" bestFit="1" customWidth="1"/>
    <col min="19" max="19" width="18" style="18" bestFit="1" customWidth="1"/>
    <col min="20" max="20" width="14.81640625" style="18" bestFit="1" customWidth="1"/>
    <col min="21" max="21" width="16" style="18" bestFit="1" customWidth="1"/>
    <col min="22" max="22" width="13.54296875" style="18" bestFit="1" customWidth="1"/>
    <col min="23" max="23" width="13.7265625" style="18" bestFit="1" customWidth="1"/>
    <col min="24" max="24" width="13.1796875" style="18" bestFit="1" customWidth="1"/>
    <col min="25" max="25" width="12.453125" style="18" bestFit="1" customWidth="1"/>
    <col min="26" max="26" width="15.81640625" style="18" bestFit="1" customWidth="1"/>
    <col min="27" max="27" width="19.7265625" style="18" bestFit="1" customWidth="1"/>
    <col min="28" max="28" width="7.6328125" style="18" bestFit="1" customWidth="1"/>
    <col min="29" max="30" width="19.7265625" style="18" customWidth="1"/>
    <col min="31" max="31" width="17.26953125" style="18" customWidth="1"/>
    <col min="32" max="32" width="8.7265625" style="18"/>
    <col min="33" max="33" width="8.7265625" style="6"/>
    <col min="34" max="34" width="25.6328125" style="18" bestFit="1" customWidth="1"/>
    <col min="35" max="35" width="7.81640625" style="18" bestFit="1" customWidth="1"/>
    <col min="36" max="36" width="8.7265625" style="18"/>
    <col min="37" max="37" width="15.36328125" style="18" bestFit="1" customWidth="1"/>
    <col min="38" max="38" width="36.453125" style="18" bestFit="1" customWidth="1"/>
    <col min="39" max="39" width="22.7265625" style="18" bestFit="1" customWidth="1"/>
    <col min="40" max="40" width="23.453125" style="18" customWidth="1"/>
    <col min="41" max="41" width="31" style="18" bestFit="1" customWidth="1"/>
    <col min="42" max="42" width="16.6328125" style="18" bestFit="1" customWidth="1"/>
    <col min="43" max="43" width="16" style="18" bestFit="1" customWidth="1"/>
    <col min="44" max="44" width="16.81640625" style="18" bestFit="1" customWidth="1"/>
    <col min="45" max="45" width="13.7265625" style="18" bestFit="1" customWidth="1"/>
    <col min="46" max="46" width="13.1796875" style="18" bestFit="1" customWidth="1"/>
    <col min="47" max="47" width="12.453125" style="18" bestFit="1" customWidth="1"/>
    <col min="48" max="48" width="15.81640625" style="18" bestFit="1" customWidth="1"/>
    <col min="49" max="49" width="19.7265625" style="18" bestFit="1" customWidth="1"/>
    <col min="50" max="52" width="19.7265625" style="18" customWidth="1"/>
    <col min="53" max="16384" width="8.7265625" style="18"/>
  </cols>
  <sheetData>
    <row r="1" spans="2:52" x14ac:dyDescent="0.35">
      <c r="P1" s="7"/>
      <c r="AE1" s="7"/>
      <c r="AF1" s="7"/>
    </row>
    <row r="2" spans="2:52" ht="14" customHeight="1" x14ac:dyDescent="0.35">
      <c r="C2" s="3"/>
      <c r="P2" s="7"/>
      <c r="AE2" s="7"/>
      <c r="AF2" s="7"/>
      <c r="AM2" s="54" t="s">
        <v>20</v>
      </c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11"/>
      <c r="AY2" s="11"/>
      <c r="AZ2" s="11"/>
    </row>
    <row r="3" spans="2:52" x14ac:dyDescent="0.35">
      <c r="C3" s="55" t="s">
        <v>2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17"/>
      <c r="O3" s="17"/>
      <c r="P3" s="7"/>
      <c r="Q3" s="56" t="s">
        <v>7</v>
      </c>
      <c r="R3" s="56"/>
      <c r="S3" s="56"/>
      <c r="T3" s="56"/>
      <c r="U3" s="56"/>
      <c r="V3" s="56"/>
      <c r="W3" s="56"/>
      <c r="X3" s="56"/>
      <c r="Y3" s="56"/>
      <c r="Z3" s="56"/>
      <c r="AA3" s="56"/>
      <c r="AB3" s="10"/>
      <c r="AC3" s="10"/>
      <c r="AD3" s="10"/>
      <c r="AE3" s="12"/>
      <c r="AF3" s="7"/>
      <c r="AI3" s="9" t="s">
        <v>7</v>
      </c>
    </row>
    <row r="4" spans="2:52" x14ac:dyDescent="0.35">
      <c r="B4" s="3" t="s">
        <v>0</v>
      </c>
      <c r="C4" s="3" t="s">
        <v>11</v>
      </c>
      <c r="D4" s="3" t="s">
        <v>12</v>
      </c>
      <c r="E4" s="3" t="s">
        <v>13</v>
      </c>
      <c r="F4" s="3" t="s">
        <v>16</v>
      </c>
      <c r="G4" s="3" t="s">
        <v>15</v>
      </c>
      <c r="H4" s="3" t="s">
        <v>14</v>
      </c>
      <c r="I4" s="3" t="s">
        <v>4</v>
      </c>
      <c r="J4" s="3" t="s">
        <v>3</v>
      </c>
      <c r="K4" s="3" t="s">
        <v>18</v>
      </c>
      <c r="L4" s="3" t="s">
        <v>19</v>
      </c>
      <c r="M4" s="3" t="s">
        <v>17</v>
      </c>
      <c r="N4" s="3"/>
      <c r="O4" s="3"/>
      <c r="P4" s="7"/>
      <c r="Q4" s="3" t="s">
        <v>11</v>
      </c>
      <c r="R4" s="3" t="s">
        <v>12</v>
      </c>
      <c r="S4" s="3" t="s">
        <v>13</v>
      </c>
      <c r="T4" s="3" t="s">
        <v>16</v>
      </c>
      <c r="U4" s="3" t="s">
        <v>15</v>
      </c>
      <c r="V4" s="3" t="s">
        <v>14</v>
      </c>
      <c r="W4" s="3" t="s">
        <v>4</v>
      </c>
      <c r="X4" s="3" t="s">
        <v>3</v>
      </c>
      <c r="Y4" s="3" t="s">
        <v>18</v>
      </c>
      <c r="Z4" s="3" t="s">
        <v>19</v>
      </c>
      <c r="AA4" s="3" t="s">
        <v>17</v>
      </c>
      <c r="AB4" s="3"/>
      <c r="AC4" s="3"/>
      <c r="AD4" s="3"/>
      <c r="AE4" s="13"/>
      <c r="AF4" s="7"/>
      <c r="AH4" s="3" t="s">
        <v>11</v>
      </c>
      <c r="AI4" s="8">
        <f>Q69</f>
        <v>7.9823177900531617E-2</v>
      </c>
      <c r="AM4" s="3" t="s">
        <v>11</v>
      </c>
      <c r="AN4" s="3" t="s">
        <v>12</v>
      </c>
      <c r="AO4" s="3" t="s">
        <v>13</v>
      </c>
      <c r="AP4" s="3" t="s">
        <v>16</v>
      </c>
      <c r="AQ4" s="3" t="s">
        <v>15</v>
      </c>
      <c r="AR4" s="3" t="s">
        <v>14</v>
      </c>
      <c r="AS4" s="3" t="s">
        <v>4</v>
      </c>
      <c r="AT4" s="3" t="s">
        <v>3</v>
      </c>
      <c r="AU4" s="3" t="s">
        <v>18</v>
      </c>
      <c r="AV4" s="3" t="s">
        <v>19</v>
      </c>
      <c r="AW4" s="3" t="s">
        <v>17</v>
      </c>
      <c r="AX4" s="3"/>
      <c r="AY4" s="3"/>
      <c r="AZ4" s="3"/>
    </row>
    <row r="5" spans="2:52" x14ac:dyDescent="0.35">
      <c r="B5" s="1">
        <v>44105</v>
      </c>
      <c r="C5" s="2">
        <v>22.915400000000002</v>
      </c>
      <c r="D5" s="2">
        <v>17.523099999999999</v>
      </c>
      <c r="E5" s="2">
        <v>35.046199999999999</v>
      </c>
      <c r="F5" s="2">
        <v>298.84298699999999</v>
      </c>
      <c r="G5" s="2">
        <v>3989.169922</v>
      </c>
      <c r="H5" s="2">
        <v>3154.780029</v>
      </c>
      <c r="I5" s="2">
        <v>121.25</v>
      </c>
      <c r="J5" s="2">
        <v>4529.75</v>
      </c>
      <c r="K5" s="2">
        <v>280.29998799999998</v>
      </c>
      <c r="L5" s="2">
        <v>561.31500200000005</v>
      </c>
      <c r="M5" s="2">
        <v>50.433498</v>
      </c>
      <c r="N5" s="2"/>
      <c r="O5" s="2"/>
      <c r="P5" s="7"/>
      <c r="Q5" s="4">
        <f>(C5-C6)/C6</f>
        <v>7.6645368957527276E-3</v>
      </c>
      <c r="R5" s="4">
        <f t="shared" ref="R5:AA20" si="0">(D5-D6)/D6</f>
        <v>1.1913344954803706E-2</v>
      </c>
      <c r="S5" s="4">
        <f t="shared" si="0"/>
        <v>1.0573941072566095E-2</v>
      </c>
      <c r="T5" s="4">
        <f t="shared" si="0"/>
        <v>1.3805100676538649E-3</v>
      </c>
      <c r="U5" s="4">
        <f t="shared" si="0"/>
        <v>1.4309009585854E-3</v>
      </c>
      <c r="V5" s="4">
        <f t="shared" si="0"/>
        <v>1.8073242017765348E-4</v>
      </c>
      <c r="W5" s="4">
        <f t="shared" si="0"/>
        <v>4.2831367751733893E-2</v>
      </c>
      <c r="X5" s="4">
        <f t="shared" si="0"/>
        <v>1.270999115826702E-3</v>
      </c>
      <c r="Y5" s="4">
        <f t="shared" si="0"/>
        <v>6.4255677285717373E-4</v>
      </c>
      <c r="Z5" s="4">
        <f t="shared" si="0"/>
        <v>5.7912424382576795E-3</v>
      </c>
      <c r="AA5" s="4">
        <f t="shared" si="0"/>
        <v>1.0784500960318978E-2</v>
      </c>
      <c r="AB5" s="4"/>
      <c r="AC5" s="4"/>
      <c r="AD5" s="4"/>
      <c r="AE5" s="14"/>
      <c r="AF5" s="7"/>
      <c r="AH5" s="3" t="s">
        <v>12</v>
      </c>
      <c r="AI5" s="8">
        <f>R69</f>
        <v>7.93430702449721E-2</v>
      </c>
      <c r="AL5" s="3" t="s">
        <v>11</v>
      </c>
      <c r="AM5" s="18">
        <f>_xlfn.COVARIANCE.S(ICFR, ICFR)*12</f>
        <v>2.6003091646300804E-4</v>
      </c>
      <c r="AN5" s="18">
        <f>_xlfn.COVARIANCE.S(ICFR, HCFR)*12</f>
        <v>3.6290863013469275E-4</v>
      </c>
      <c r="AO5" s="18">
        <f>_xlfn.COVARIANCE.S(ICFR, SCFR)*12</f>
        <v>2.5692358074492523E-4</v>
      </c>
      <c r="AP5" s="18">
        <f>_xlfn.COVARIANCE.S(ICFR, ILF)*12</f>
        <v>-7.1934706792068851E-6</v>
      </c>
      <c r="AQ5" s="18">
        <f>_xlfn.COVARIANCE.S(ICFR, HLF)*12</f>
        <v>-9.138994578844932E-6</v>
      </c>
      <c r="AR5" s="18">
        <f>_xlfn.COVARIANCE.S(ICFR, SLF)*12</f>
        <v>-9.8110315636994874E-6</v>
      </c>
      <c r="AS5" s="18">
        <f>_xlfn.COVARIANCE.S(ICFR, SN50ETF)*12</f>
        <v>-5.0587777910318689E-5</v>
      </c>
      <c r="AT5" s="18">
        <f>_xlfn.COVARIANCE.S(ICFR, HGE)*12</f>
        <v>-3.5489072415028353E-4</v>
      </c>
      <c r="AU5" s="18">
        <f>_xlfn.COVARIANCE.S(ICFR, IM)*12</f>
        <v>3.2736427687492394E-4</v>
      </c>
      <c r="AV5" s="18">
        <f>_xlfn.COVARIANCE.S(ICFR, HEF)*12</f>
        <v>5.2987546522684692E-4</v>
      </c>
      <c r="AW5" s="18">
        <f>_xlfn.COVARIANCE.S(ICFR, SMM)*12</f>
        <v>5.1135659324308956E-4</v>
      </c>
    </row>
    <row r="6" spans="2:52" x14ac:dyDescent="0.35">
      <c r="B6" s="1">
        <v>44075</v>
      </c>
      <c r="C6" s="2">
        <v>22.741099999999999</v>
      </c>
      <c r="D6" s="2">
        <v>17.316799</v>
      </c>
      <c r="E6" s="2">
        <v>34.679501000000002</v>
      </c>
      <c r="F6" s="2">
        <v>298.43099999999998</v>
      </c>
      <c r="G6" s="2">
        <v>3983.469971</v>
      </c>
      <c r="H6" s="2">
        <v>3154.209961</v>
      </c>
      <c r="I6" s="2">
        <v>116.269997</v>
      </c>
      <c r="J6" s="2">
        <v>4524</v>
      </c>
      <c r="K6" s="2">
        <v>280.11999500000002</v>
      </c>
      <c r="L6" s="2">
        <v>558.08300799999995</v>
      </c>
      <c r="M6" s="2">
        <v>49.895401</v>
      </c>
      <c r="N6" s="2"/>
      <c r="O6" s="2"/>
      <c r="P6" s="7"/>
      <c r="Q6" s="4">
        <f t="shared" ref="Q6:AA42" si="1">(C6-C7)/C7</f>
        <v>9.4324099397029189E-3</v>
      </c>
      <c r="R6" s="4">
        <f t="shared" si="0"/>
        <v>6.8492358188984729E-3</v>
      </c>
      <c r="S6" s="4">
        <f t="shared" si="0"/>
        <v>8.0342180801794769E-3</v>
      </c>
      <c r="T6" s="4">
        <f t="shared" si="0"/>
        <v>2.6036565175170442E-3</v>
      </c>
      <c r="U6" s="4">
        <f t="shared" si="0"/>
        <v>2.6226505761292114E-3</v>
      </c>
      <c r="V6" s="4">
        <f t="shared" si="0"/>
        <v>2.6479326324615293E-3</v>
      </c>
      <c r="W6" s="4">
        <f t="shared" si="0"/>
        <v>-1.5245218937918097E-2</v>
      </c>
      <c r="X6" s="4">
        <f t="shared" si="0"/>
        <v>-2.7086353556094452E-2</v>
      </c>
      <c r="Y6" s="4">
        <f t="shared" si="0"/>
        <v>-3.2434163502671302E-2</v>
      </c>
      <c r="Z6" s="4">
        <f t="shared" si="0"/>
        <v>-5.2667545602711349E-2</v>
      </c>
      <c r="AA6" s="4">
        <f t="shared" si="0"/>
        <v>-1.4740718944998538E-2</v>
      </c>
      <c r="AB6" s="4"/>
      <c r="AC6" s="4"/>
      <c r="AD6" s="4"/>
      <c r="AE6" s="14"/>
      <c r="AF6" s="7"/>
      <c r="AH6" s="3" t="s">
        <v>13</v>
      </c>
      <c r="AI6" s="8">
        <f>S69</f>
        <v>8.2594776581373652E-2</v>
      </c>
      <c r="AL6" s="3" t="s">
        <v>12</v>
      </c>
      <c r="AM6" s="18">
        <f>_xlfn.COVARIANCE.S(ICFR,HCFR)*12</f>
        <v>3.6290863013469275E-4</v>
      </c>
      <c r="AN6" s="18">
        <f>_xlfn.COVARIANCE.S(HCFR, HCFR)*12</f>
        <v>6.0935186450302196E-4</v>
      </c>
      <c r="AO6" s="18">
        <f>_xlfn.COVARIANCE.S(HCFR, SCFR)*12</f>
        <v>4.3385194983488275E-4</v>
      </c>
      <c r="AP6" s="18">
        <f>_xlfn.COVARIANCE.S(HCFR, ILF)*12</f>
        <v>-5.9491947648587582E-6</v>
      </c>
      <c r="AQ6" s="18">
        <f>_xlfn.COVARIANCE.S(HCFR, HLF)*12</f>
        <v>-1.0010622877790591E-5</v>
      </c>
      <c r="AR6" s="18">
        <f>_xlfn.COVARIANCE.S(HCFR, SLF)*12</f>
        <v>-1.0769423528608551E-5</v>
      </c>
      <c r="AS6" s="18">
        <f>_xlfn.COVARIANCE.S(HCFR, SN50ETF)*12</f>
        <v>-3.2326273346706529E-4</v>
      </c>
      <c r="AT6" s="18">
        <f>_xlfn.COVARIANCE.S(HCFR, HGE)*12</f>
        <v>-5.821989080555108E-4</v>
      </c>
      <c r="AU6" s="18">
        <f>_xlfn.COVARIANCE.S(HCFR, IM)*12</f>
        <v>-7.78986836026869E-5</v>
      </c>
      <c r="AV6" s="18">
        <f>_xlfn.COVARIANCE.S(HCFR, HEF)*12</f>
        <v>2.3538939638994202E-4</v>
      </c>
      <c r="AW6" s="18">
        <f>_xlfn.COVARIANCE.S(HCFR, SMM)*12</f>
        <v>1.7349597827995072E-4</v>
      </c>
    </row>
    <row r="7" spans="2:52" x14ac:dyDescent="0.35">
      <c r="B7" s="1">
        <v>44044</v>
      </c>
      <c r="C7" s="2">
        <v>22.528600999999998</v>
      </c>
      <c r="D7" s="2">
        <v>17.198999000000001</v>
      </c>
      <c r="E7" s="2">
        <v>34.403098999999997</v>
      </c>
      <c r="F7" s="2">
        <v>297.65600599999999</v>
      </c>
      <c r="G7" s="2">
        <v>3973.0500489999999</v>
      </c>
      <c r="H7" s="2">
        <v>3145.8798830000001</v>
      </c>
      <c r="I7" s="2">
        <v>118.07</v>
      </c>
      <c r="J7" s="2">
        <v>4649.9501950000003</v>
      </c>
      <c r="K7" s="2">
        <v>289.51001000000002</v>
      </c>
      <c r="L7" s="2">
        <v>589.10998500000005</v>
      </c>
      <c r="M7" s="2">
        <v>50.641899000000002</v>
      </c>
      <c r="N7" s="2"/>
      <c r="O7" s="2"/>
      <c r="P7" s="7"/>
      <c r="Q7" s="4">
        <f t="shared" si="1"/>
        <v>7.5521064695521127E-4</v>
      </c>
      <c r="R7" s="4">
        <f t="shared" si="0"/>
        <v>1.5781014331553154E-3</v>
      </c>
      <c r="S7" s="4">
        <f t="shared" si="0"/>
        <v>3.2544216496798984E-3</v>
      </c>
      <c r="T7" s="4">
        <f t="shared" si="0"/>
        <v>2.7861023422205543E-3</v>
      </c>
      <c r="U7" s="4">
        <f t="shared" si="0"/>
        <v>2.7839407535351153E-3</v>
      </c>
      <c r="V7" s="4">
        <f t="shared" si="0"/>
        <v>2.7475800451745463E-3</v>
      </c>
      <c r="W7" s="4">
        <f t="shared" si="0"/>
        <v>2.9111800859972059E-2</v>
      </c>
      <c r="X7" s="4">
        <f t="shared" si="0"/>
        <v>-3.8769985529715688E-2</v>
      </c>
      <c r="Y7" s="4">
        <f t="shared" si="0"/>
        <v>5.1272719528338805E-2</v>
      </c>
      <c r="Z7" s="4">
        <f t="shared" si="0"/>
        <v>5.46223971412488E-2</v>
      </c>
      <c r="AA7" s="4">
        <f t="shared" si="0"/>
        <v>4.6549430247120244E-2</v>
      </c>
      <c r="AB7" s="4"/>
      <c r="AC7" s="4"/>
      <c r="AD7" s="4"/>
      <c r="AE7" s="14"/>
      <c r="AF7" s="7"/>
      <c r="AH7" s="3" t="s">
        <v>16</v>
      </c>
      <c r="AI7" s="8">
        <f>T69</f>
        <v>6.4275760991790984E-2</v>
      </c>
      <c r="AL7" s="3" t="s">
        <v>13</v>
      </c>
      <c r="AM7" s="18">
        <f>_xlfn.COVARIANCE.S(ICFR, SCFR)*12</f>
        <v>2.5692358074492523E-4</v>
      </c>
      <c r="AN7" s="18">
        <f>_xlfn.COVARIANCE.S(HCFR, SCFR)*12</f>
        <v>4.3385194983488275E-4</v>
      </c>
      <c r="AO7" s="18">
        <f>_xlfn.COVARIANCE.S(SCFR, SCFR)*12</f>
        <v>3.7528063513922032E-4</v>
      </c>
      <c r="AP7" s="18">
        <f>_xlfn.COVARIANCE.S(SCFR, ILF)*12</f>
        <v>-7.3538632345916629E-6</v>
      </c>
      <c r="AQ7" s="18">
        <f>_xlfn.COVARIANCE.S(SCFR, HLF)*12</f>
        <v>-1.0475826343026968E-5</v>
      </c>
      <c r="AR7" s="18">
        <f>_xlfn.COVARIANCE.S(SCFR, SLF)*12</f>
        <v>-1.1345954318133625E-5</v>
      </c>
      <c r="AS7" s="18">
        <f>_xlfn.COVARIANCE.S(SCFR, SN50ETF)*12</f>
        <v>-3.2900999768079142E-5</v>
      </c>
      <c r="AT7" s="18">
        <f>_xlfn.COVARIANCE.S(SCFR, HGE)*12</f>
        <v>-3.3801109231861926E-4</v>
      </c>
      <c r="AU7" s="18">
        <f>_xlfn.COVARIANCE.S(SCFR, IM)*12</f>
        <v>6.979711882658076E-5</v>
      </c>
      <c r="AV7" s="18">
        <f>_xlfn.COVARIANCE.S(SCFR, HEF)*12</f>
        <v>2.5689285759388885E-4</v>
      </c>
      <c r="AW7" s="18">
        <f>_xlfn.COVARIANCE.S(SCFR, SMM)*12</f>
        <v>2.213850916297518E-4</v>
      </c>
    </row>
    <row r="8" spans="2:52" x14ac:dyDescent="0.35">
      <c r="B8" s="1">
        <v>44013</v>
      </c>
      <c r="C8" s="2">
        <v>22.511600000000001</v>
      </c>
      <c r="D8" s="2">
        <v>17.171900000000001</v>
      </c>
      <c r="E8" s="2">
        <v>34.291499999999999</v>
      </c>
      <c r="F8" s="2">
        <v>296.82900999999998</v>
      </c>
      <c r="G8" s="2">
        <v>3962.0200199999999</v>
      </c>
      <c r="H8" s="2">
        <v>3137.26001</v>
      </c>
      <c r="I8" s="2">
        <v>114.730003</v>
      </c>
      <c r="J8" s="2">
        <v>4837.5</v>
      </c>
      <c r="K8" s="2">
        <v>275.39001500000001</v>
      </c>
      <c r="L8" s="2">
        <v>558.59802200000001</v>
      </c>
      <c r="M8" s="2">
        <v>48.389400000000002</v>
      </c>
      <c r="N8" s="2"/>
      <c r="O8" s="2"/>
      <c r="P8" s="7"/>
      <c r="Q8" s="4">
        <f t="shared" si="1"/>
        <v>1.4607323943662034E-2</v>
      </c>
      <c r="R8" s="4">
        <f t="shared" si="0"/>
        <v>1.5127689761172881E-2</v>
      </c>
      <c r="S8" s="4">
        <f t="shared" si="0"/>
        <v>1.1760605075417105E-2</v>
      </c>
      <c r="T8" s="4">
        <f t="shared" si="0"/>
        <v>2.7329944938278236E-3</v>
      </c>
      <c r="U8" s="4">
        <f t="shared" si="0"/>
        <v>2.7079436279166891E-3</v>
      </c>
      <c r="V8" s="4">
        <f t="shared" si="0"/>
        <v>2.6045433753731423E-3</v>
      </c>
      <c r="W8" s="4">
        <f t="shared" si="0"/>
        <v>8.2256398787729446E-2</v>
      </c>
      <c r="X8" s="4">
        <f t="shared" si="0"/>
        <v>0.10839980492695005</v>
      </c>
      <c r="Y8" s="4">
        <f t="shared" si="0"/>
        <v>5.0705870643894597E-2</v>
      </c>
      <c r="Z8" s="4">
        <f t="shared" si="0"/>
        <v>4.5732746987570537E-2</v>
      </c>
      <c r="AA8" s="4">
        <f t="shared" si="0"/>
        <v>5.03200943897626E-2</v>
      </c>
      <c r="AB8" s="4"/>
      <c r="AC8" s="4"/>
      <c r="AD8" s="4"/>
      <c r="AE8" s="14"/>
      <c r="AF8" s="7"/>
      <c r="AH8" s="3" t="s">
        <v>15</v>
      </c>
      <c r="AI8" s="8">
        <f>U69</f>
        <v>6.416224498345327E-2</v>
      </c>
      <c r="AL8" s="3" t="s">
        <v>16</v>
      </c>
      <c r="AM8" s="18">
        <f>_xlfn.COVARIANCE.S(ICFR, ILF)*12</f>
        <v>-7.1934706792068851E-6</v>
      </c>
      <c r="AN8" s="18">
        <f>_xlfn.COVARIANCE.S(HCFR, ILF)*12</f>
        <v>-5.9491947648587582E-6</v>
      </c>
      <c r="AO8" s="18">
        <f>_xlfn.COVARIANCE.S(SCFR, ILF)*12</f>
        <v>-7.3538632345916629E-6</v>
      </c>
      <c r="AP8" s="18">
        <f>_xlfn.COVARIANCE.S(ILF, ILF)*12</f>
        <v>2.0647520002162976E-5</v>
      </c>
      <c r="AQ8" s="18">
        <f>_xlfn.COVARIANCE.S(ILF, HLF)*12</f>
        <v>2.0410587263978206E-5</v>
      </c>
      <c r="AR8" s="18">
        <f>_xlfn.COVARIANCE.S(ILF, SLF)*12</f>
        <v>2.2057820497243423E-5</v>
      </c>
      <c r="AS8" s="18">
        <f>_xlfn.COVARIANCE.S(ILF, SN50ETF)*12</f>
        <v>-3.65787729462935E-4</v>
      </c>
      <c r="AT8" s="18">
        <f>_xlfn.COVARIANCE.S(ILF, HGE)*12</f>
        <v>-4.9444736531587303E-5</v>
      </c>
      <c r="AU8" s="18">
        <f>_xlfn.COVARIANCE.S(ILF, IM)*12</f>
        <v>-1.4367328686871943E-4</v>
      </c>
      <c r="AV8" s="18">
        <f>_xlfn.COVARIANCE.S(ILF, HEF)*12</f>
        <v>-1.0366263419429476E-4</v>
      </c>
      <c r="AW8" s="18">
        <f>_xlfn.COVARIANCE.S(ILF, SMM)*12</f>
        <v>-1.5420382723046314E-4</v>
      </c>
    </row>
    <row r="9" spans="2:52" x14ac:dyDescent="0.35">
      <c r="B9" s="1">
        <v>43983</v>
      </c>
      <c r="C9" s="2">
        <v>22.1875</v>
      </c>
      <c r="D9" s="2">
        <v>16.916</v>
      </c>
      <c r="E9" s="2">
        <v>33.892899</v>
      </c>
      <c r="F9" s="2">
        <v>296.01998900000001</v>
      </c>
      <c r="G9" s="2">
        <v>3951.320068</v>
      </c>
      <c r="H9" s="2">
        <v>3129.110107</v>
      </c>
      <c r="I9" s="2">
        <v>106.010002</v>
      </c>
      <c r="J9" s="2">
        <v>4364.3999020000001</v>
      </c>
      <c r="K9" s="2">
        <v>262.10000600000001</v>
      </c>
      <c r="L9" s="2">
        <v>534.16900599999997</v>
      </c>
      <c r="M9" s="2">
        <v>46.071097999999999</v>
      </c>
      <c r="N9" s="2"/>
      <c r="O9" s="2"/>
      <c r="P9" s="7"/>
      <c r="Q9" s="4">
        <f t="shared" si="1"/>
        <v>1.3817666531917433E-2</v>
      </c>
      <c r="R9" s="4">
        <f t="shared" si="0"/>
        <v>2.2534938826829248E-2</v>
      </c>
      <c r="S9" s="4">
        <f t="shared" si="0"/>
        <v>1.7083927994456644E-2</v>
      </c>
      <c r="T9" s="4">
        <f t="shared" si="0"/>
        <v>3.3249434707787154E-3</v>
      </c>
      <c r="U9" s="4">
        <f t="shared" si="0"/>
        <v>3.0207863684555813E-3</v>
      </c>
      <c r="V9" s="4">
        <f t="shared" si="0"/>
        <v>3.1900240066947533E-3</v>
      </c>
      <c r="W9" s="4">
        <f t="shared" si="0"/>
        <v>7.7118514064590749E-2</v>
      </c>
      <c r="X9" s="4">
        <f t="shared" si="0"/>
        <v>4.0753523786812948E-2</v>
      </c>
      <c r="Y9" s="4">
        <f t="shared" si="0"/>
        <v>6.0790043218471396E-2</v>
      </c>
      <c r="Z9" s="4">
        <f t="shared" si="0"/>
        <v>6.9266113601283569E-2</v>
      </c>
      <c r="AA9" s="4">
        <f t="shared" si="0"/>
        <v>6.4878123939798873E-2</v>
      </c>
      <c r="AB9" s="4"/>
      <c r="AC9" s="4"/>
      <c r="AD9" s="4"/>
      <c r="AE9" s="14"/>
      <c r="AF9" s="7"/>
      <c r="AH9" s="3" t="s">
        <v>14</v>
      </c>
      <c r="AI9" s="8">
        <f>V69</f>
        <v>6.3231505288260395E-2</v>
      </c>
      <c r="AL9" s="3" t="s">
        <v>15</v>
      </c>
      <c r="AM9" s="18">
        <f>_xlfn.COVARIANCE.S(ICFR, HLF)*12</f>
        <v>-9.138994578844932E-6</v>
      </c>
      <c r="AN9" s="18">
        <f>_xlfn.COVARIANCE.S(HCFR, HLF)*12</f>
        <v>-1.0010622877790591E-5</v>
      </c>
      <c r="AO9" s="18">
        <f>_xlfn.COVARIANCE.S(SCFR, HLF)*12</f>
        <v>-1.0475826343026968E-5</v>
      </c>
      <c r="AP9" s="18">
        <f>_xlfn.COVARIANCE.S(ILF, HLF)*12</f>
        <v>2.0410587263978206E-5</v>
      </c>
      <c r="AQ9" s="18">
        <f>_xlfn.COVARIANCE.S(HLF, HLF)*12</f>
        <v>2.0561291740622063E-5</v>
      </c>
      <c r="AR9" s="18">
        <f>_xlfn.COVARIANCE.S(HLF, SLF)*12</f>
        <v>2.1881777060258298E-5</v>
      </c>
      <c r="AS9" s="18">
        <f>_xlfn.COVARIANCE.S(HLF, SN50ETF)*12</f>
        <v>-3.5688724921232733E-4</v>
      </c>
      <c r="AT9" s="18">
        <f>_xlfn.COVARIANCE.S(HLF, HGE)*12</f>
        <v>-5.011019161225542E-5</v>
      </c>
      <c r="AU9" s="18">
        <f>_xlfn.COVARIANCE.S(HLF, IM)*12</f>
        <v>-1.3067867381100933E-4</v>
      </c>
      <c r="AV9" s="18">
        <f>_xlfn.COVARIANCE.S(HLF, HEF)*12</f>
        <v>-7.9610865183473873E-5</v>
      </c>
      <c r="AW9" s="18">
        <f>_xlfn.COVARIANCE.S(HLF, SMM)*12</f>
        <v>-1.3821562301112884E-4</v>
      </c>
    </row>
    <row r="10" spans="2:52" x14ac:dyDescent="0.35">
      <c r="B10" s="1">
        <v>43952</v>
      </c>
      <c r="C10" s="2">
        <v>21.885099</v>
      </c>
      <c r="D10" s="2">
        <v>16.543199999999999</v>
      </c>
      <c r="E10" s="2">
        <v>33.323600999999996</v>
      </c>
      <c r="F10" s="2">
        <v>295.03900099999998</v>
      </c>
      <c r="G10" s="2">
        <v>3939.419922</v>
      </c>
      <c r="H10" s="2">
        <v>3119.1599120000001</v>
      </c>
      <c r="I10" s="2">
        <v>98.419998000000007</v>
      </c>
      <c r="J10" s="2">
        <v>4193.5</v>
      </c>
      <c r="K10" s="2">
        <v>247.08000200000001</v>
      </c>
      <c r="L10" s="2">
        <v>499.56601000000001</v>
      </c>
      <c r="M10" s="2">
        <v>43.264198</v>
      </c>
      <c r="N10" s="2"/>
      <c r="O10" s="2"/>
      <c r="P10" s="7"/>
      <c r="Q10" s="4">
        <f t="shared" si="1"/>
        <v>1.2936414633243293E-2</v>
      </c>
      <c r="R10" s="4">
        <f t="shared" si="0"/>
        <v>1.5561980883625785E-2</v>
      </c>
      <c r="S10" s="4">
        <f t="shared" si="0"/>
        <v>1.7520686079262215E-2</v>
      </c>
      <c r="T10" s="4">
        <f t="shared" si="0"/>
        <v>4.4564394204853466E-3</v>
      </c>
      <c r="U10" s="4">
        <f t="shared" si="0"/>
        <v>4.1624927375361661E-3</v>
      </c>
      <c r="V10" s="4">
        <f t="shared" si="0"/>
        <v>4.2207507262224837E-3</v>
      </c>
      <c r="W10" s="4">
        <f t="shared" si="0"/>
        <v>-2.3126570719602911E-2</v>
      </c>
      <c r="X10" s="4">
        <f t="shared" si="0"/>
        <v>-3.2384622178041909E-2</v>
      </c>
      <c r="Y10" s="4">
        <f t="shared" si="0"/>
        <v>-1.5460650668534541E-2</v>
      </c>
      <c r="Z10" s="4">
        <f t="shared" si="0"/>
        <v>-3.912064293573126E-2</v>
      </c>
      <c r="AA10" s="4">
        <f t="shared" si="0"/>
        <v>-2.9106061531243843E-2</v>
      </c>
      <c r="AB10" s="4"/>
      <c r="AC10" s="4"/>
      <c r="AD10" s="4"/>
      <c r="AE10" s="14"/>
      <c r="AF10" s="7"/>
      <c r="AH10" s="3" t="s">
        <v>4</v>
      </c>
      <c r="AI10" s="8">
        <f>W69</f>
        <v>0.12337421575706958</v>
      </c>
      <c r="AL10" s="3" t="s">
        <v>14</v>
      </c>
      <c r="AM10" s="18">
        <f>_xlfn.COVARIANCE.S(ICFR, SLF)*12</f>
        <v>-9.8110315636994874E-6</v>
      </c>
      <c r="AN10" s="18">
        <f>_xlfn.COVARIANCE.S(HCFR, SLF)*12</f>
        <v>-1.0769423528608551E-5</v>
      </c>
      <c r="AO10" s="18">
        <f>_xlfn.COVARIANCE.S(SCFR, SLF)*12</f>
        <v>-1.1345954318133625E-5</v>
      </c>
      <c r="AP10" s="18">
        <f>_xlfn.COVARIANCE.S(ILF, SLF)*12</f>
        <v>2.2057820497243423E-5</v>
      </c>
      <c r="AQ10" s="18">
        <f>_xlfn.COVARIANCE.S(HLF, SLF)*12</f>
        <v>2.1881777060258298E-5</v>
      </c>
      <c r="AR10" s="18">
        <f>_xlfn.COVARIANCE.S(SLF, SLF)*12</f>
        <v>2.3993738431703614E-5</v>
      </c>
      <c r="AS10" s="18">
        <f>_xlfn.COVARIANCE.S(SLF, SN50ETF)*12</f>
        <v>-3.8769057535818259E-4</v>
      </c>
      <c r="AT10" s="18">
        <f>_xlfn.COVARIANCE.S(SLF, HGE)*12</f>
        <v>-5.12568941298134E-5</v>
      </c>
      <c r="AU10" s="18">
        <f>_xlfn.COVARIANCE.S(SLF, IM)*12</f>
        <v>-1.4891994733027734E-4</v>
      </c>
      <c r="AV10" s="18">
        <f>_xlfn.COVARIANCE.S(SLF, HEF)*12</f>
        <v>-1.0396277826779158E-4</v>
      </c>
      <c r="AW10" s="18">
        <f>_xlfn.COVARIANCE.S(SLF, SMM)*12</f>
        <v>-1.6115019959309424E-4</v>
      </c>
    </row>
    <row r="11" spans="2:52" x14ac:dyDescent="0.35">
      <c r="B11" s="1">
        <v>43922</v>
      </c>
      <c r="C11" s="2">
        <v>21.605599999999999</v>
      </c>
      <c r="D11" s="2">
        <v>16.2897</v>
      </c>
      <c r="E11" s="2">
        <v>32.749802000000003</v>
      </c>
      <c r="F11" s="2">
        <v>293.73001099999999</v>
      </c>
      <c r="G11" s="2">
        <v>3923.0900879999999</v>
      </c>
      <c r="H11" s="2">
        <v>3106.0500489999999</v>
      </c>
      <c r="I11" s="2">
        <v>100.75</v>
      </c>
      <c r="J11" s="2">
        <v>4333.8500979999999</v>
      </c>
      <c r="K11" s="2">
        <v>250.96000699999999</v>
      </c>
      <c r="L11" s="2">
        <v>519.90502900000001</v>
      </c>
      <c r="M11" s="2">
        <v>44.561199000000002</v>
      </c>
      <c r="N11" s="2"/>
      <c r="O11" s="2"/>
      <c r="P11" s="7"/>
      <c r="Q11" s="4">
        <f t="shared" si="1"/>
        <v>-6.5386380903522164E-3</v>
      </c>
      <c r="R11" s="4">
        <f t="shared" si="0"/>
        <v>-2.1410361670923601E-2</v>
      </c>
      <c r="S11" s="4">
        <f t="shared" si="0"/>
        <v>-1.0884772996984976E-2</v>
      </c>
      <c r="T11" s="4">
        <f t="shared" si="0"/>
        <v>4.2051658119657796E-3</v>
      </c>
      <c r="U11" s="4">
        <f t="shared" si="0"/>
        <v>4.2184862447548956E-3</v>
      </c>
      <c r="V11" s="4">
        <f t="shared" si="0"/>
        <v>4.0211731827006127E-3</v>
      </c>
      <c r="W11" s="4">
        <f t="shared" si="0"/>
        <v>0.12695746919558235</v>
      </c>
      <c r="X11" s="4">
        <f t="shared" si="0"/>
        <v>9.6178164350096088E-2</v>
      </c>
      <c r="Y11" s="4">
        <f t="shared" si="0"/>
        <v>0.14358628585444907</v>
      </c>
      <c r="Z11" s="4">
        <f t="shared" si="0"/>
        <v>0.13582104500926451</v>
      </c>
      <c r="AA11" s="4">
        <f t="shared" si="0"/>
        <v>0.12954426548645648</v>
      </c>
      <c r="AB11" s="4"/>
      <c r="AC11" s="4"/>
      <c r="AD11" s="4"/>
      <c r="AE11" s="14"/>
      <c r="AF11" s="7"/>
      <c r="AH11" s="3" t="s">
        <v>3</v>
      </c>
      <c r="AI11" s="8">
        <f>X69</f>
        <v>0.14146897591953708</v>
      </c>
      <c r="AL11" s="3" t="s">
        <v>4</v>
      </c>
      <c r="AM11" s="18">
        <f>_xlfn.COVARIANCE.S(ICFR, SN50ETF)*12</f>
        <v>-5.0587777910318689E-5</v>
      </c>
      <c r="AN11" s="18">
        <f>_xlfn.COVARIANCE.S(HCFR, SN50ETF)*12</f>
        <v>-3.2326273346706529E-4</v>
      </c>
      <c r="AO11" s="18">
        <f>_xlfn.COVARIANCE.S(SCFR, SN50ETF)*12</f>
        <v>-3.2900999768079142E-5</v>
      </c>
      <c r="AP11" s="18">
        <f>_xlfn.COVARIANCE.S(ILF, SN50ETF)*12</f>
        <v>-3.65787729462935E-4</v>
      </c>
      <c r="AQ11" s="18">
        <f>_xlfn.COVARIANCE.S(HLF, SN50ETF)*12</f>
        <v>-3.5688724921232733E-4</v>
      </c>
      <c r="AR11" s="18">
        <f>_xlfn.COVARIANCE.S(SLF, SN50ETF)*12</f>
        <v>-3.8769057535818259E-4</v>
      </c>
      <c r="AS11" s="18">
        <f>_xlfn.COVARIANCE.S(SN50ETF, SN50ETF)*12</f>
        <v>5.846182757081024E-2</v>
      </c>
      <c r="AT11" s="18">
        <f>_xlfn.COVARIANCE.S(SN50ETF, HGE)*12</f>
        <v>8.539728235516038E-4</v>
      </c>
      <c r="AU11" s="18">
        <f>_xlfn.COVARIANCE.S(SN50ETF, IM)*12</f>
        <v>2.2866349085361552E-2</v>
      </c>
      <c r="AV11" s="18">
        <f>_xlfn.COVARIANCE.S(SN50ETF, HEF)*12</f>
        <v>2.1248064782937285E-2</v>
      </c>
      <c r="AW11" s="18">
        <f>_xlfn.COVARIANCE.S(SN50ETF, SMM)*12</f>
        <v>2.1336792154452396E-2</v>
      </c>
    </row>
    <row r="12" spans="2:52" x14ac:dyDescent="0.35">
      <c r="B12" s="1">
        <v>43891</v>
      </c>
      <c r="C12" s="2">
        <v>21.747800999999999</v>
      </c>
      <c r="D12" s="2">
        <v>16.646099</v>
      </c>
      <c r="E12" s="2">
        <v>33.110199000000001</v>
      </c>
      <c r="F12" s="2">
        <v>292.5</v>
      </c>
      <c r="G12" s="2">
        <v>3906.610107</v>
      </c>
      <c r="H12" s="2">
        <v>3093.610107</v>
      </c>
      <c r="I12" s="2">
        <v>89.400002000000001</v>
      </c>
      <c r="J12" s="2">
        <v>3953.6000979999999</v>
      </c>
      <c r="K12" s="2">
        <v>219.449997</v>
      </c>
      <c r="L12" s="2">
        <v>457.73498499999999</v>
      </c>
      <c r="M12" s="2">
        <v>39.450600000000001</v>
      </c>
      <c r="N12" s="2"/>
      <c r="O12" s="2"/>
      <c r="P12" s="7"/>
      <c r="Q12" s="4">
        <f t="shared" si="1"/>
        <v>9.2973913363648703E-4</v>
      </c>
      <c r="R12" s="4">
        <f t="shared" si="0"/>
        <v>2.2216000770656163E-3</v>
      </c>
      <c r="S12" s="4">
        <f t="shared" si="0"/>
        <v>7.9189336235032965E-4</v>
      </c>
      <c r="T12" s="4">
        <f t="shared" si="0"/>
        <v>8.4850623244286227E-3</v>
      </c>
      <c r="U12" s="4">
        <f t="shared" si="0"/>
        <v>8.3604277099525552E-3</v>
      </c>
      <c r="V12" s="4">
        <f t="shared" si="0"/>
        <v>8.71898351735775E-3</v>
      </c>
      <c r="W12" s="4">
        <f t="shared" si="0"/>
        <v>-0.28883937068522286</v>
      </c>
      <c r="X12" s="4">
        <f t="shared" si="0"/>
        <v>3.470298298874637E-2</v>
      </c>
      <c r="Y12" s="4">
        <f t="shared" si="0"/>
        <v>-0.25647975110580556</v>
      </c>
      <c r="Z12" s="4">
        <f t="shared" si="0"/>
        <v>-0.24611231040967882</v>
      </c>
      <c r="AA12" s="4">
        <f t="shared" si="0"/>
        <v>-0.24676082006852218</v>
      </c>
      <c r="AB12" s="4"/>
      <c r="AC12" s="4"/>
      <c r="AD12" s="4"/>
      <c r="AE12" s="14"/>
      <c r="AF12" s="7"/>
      <c r="AH12" s="3" t="s">
        <v>18</v>
      </c>
      <c r="AI12" s="8">
        <f>Y69</f>
        <v>8.0124170575686257E-2</v>
      </c>
      <c r="AL12" s="3" t="s">
        <v>3</v>
      </c>
      <c r="AM12" s="18">
        <f>_xlfn.COVARIANCE.S(ICFR, HGE)*12</f>
        <v>-3.5489072415028353E-4</v>
      </c>
      <c r="AN12" s="18">
        <f>_xlfn.COVARIANCE.S(HCFR, HGE)*12</f>
        <v>-5.821989080555108E-4</v>
      </c>
      <c r="AO12" s="18">
        <f>_xlfn.COVARIANCE.S(SCFR, HGE)*12</f>
        <v>-3.3801109231861926E-4</v>
      </c>
      <c r="AP12" s="18">
        <f>_xlfn.COVARIANCE.S(ILF, HGE)*12</f>
        <v>-4.9444736531587303E-5</v>
      </c>
      <c r="AQ12" s="18">
        <f>_xlfn.COVARIANCE.S(HLF, HGE)*12</f>
        <v>-5.011019161225542E-5</v>
      </c>
      <c r="AR12" s="18">
        <f>_xlfn.COVARIANCE.S(SLF, HGE)*12</f>
        <v>-5.12568941298134E-5</v>
      </c>
      <c r="AS12" s="18">
        <f>_xlfn.COVARIANCE.S(SN50ETF, HGE)*12</f>
        <v>8.539728235516038E-4</v>
      </c>
      <c r="AT12" s="18">
        <f>_xlfn.COVARIANCE.S(HGE, HGE)*12</f>
        <v>1.7355478279013931E-2</v>
      </c>
      <c r="AU12" s="18">
        <f>_xlfn.COVARIANCE.S(HGE, IM)*12</f>
        <v>-1.6845643033706363E-3</v>
      </c>
      <c r="AV12" s="18">
        <f>_xlfn.COVARIANCE.S(HGE, HEF)*12</f>
        <v>-3.9275728309937996E-3</v>
      </c>
      <c r="AW12" s="18">
        <f>_xlfn.COVARIANCE.S(HGE, SMM)*12</f>
        <v>-2.9348717200157136E-3</v>
      </c>
    </row>
    <row r="13" spans="2:52" x14ac:dyDescent="0.35">
      <c r="B13" s="1">
        <v>43862</v>
      </c>
      <c r="C13" s="2">
        <v>21.727599999999999</v>
      </c>
      <c r="D13" s="2">
        <v>16.609200000000001</v>
      </c>
      <c r="E13" s="2">
        <v>33.084000000000003</v>
      </c>
      <c r="F13" s="2">
        <v>290.03900099999998</v>
      </c>
      <c r="G13" s="2">
        <v>3874.219971</v>
      </c>
      <c r="H13" s="2">
        <v>3066.8701169999999</v>
      </c>
      <c r="I13" s="2">
        <v>125.709999</v>
      </c>
      <c r="J13" s="2">
        <v>3821</v>
      </c>
      <c r="K13" s="2">
        <v>295.14999399999999</v>
      </c>
      <c r="L13" s="2">
        <v>607.16601600000001</v>
      </c>
      <c r="M13" s="2">
        <v>52.374599000000003</v>
      </c>
      <c r="N13" s="2"/>
      <c r="O13" s="2"/>
      <c r="P13" s="7"/>
      <c r="Q13" s="4">
        <f t="shared" si="1"/>
        <v>1.1305766955357384E-2</v>
      </c>
      <c r="R13" s="4">
        <f t="shared" si="0"/>
        <v>1.3992735896992408E-2</v>
      </c>
      <c r="S13" s="4">
        <f t="shared" si="0"/>
        <v>1.1715242953091762E-2</v>
      </c>
      <c r="T13" s="4">
        <f t="shared" si="0"/>
        <v>1.4017912517121955E-3</v>
      </c>
      <c r="U13" s="4">
        <f t="shared" si="0"/>
        <v>1.4294322068546194E-3</v>
      </c>
      <c r="V13" s="4">
        <f t="shared" si="0"/>
        <v>9.9223485722303782E-4</v>
      </c>
      <c r="W13" s="4">
        <f t="shared" si="0"/>
        <v>1.493620204314385E-2</v>
      </c>
      <c r="X13" s="4">
        <f t="shared" si="0"/>
        <v>4.3746642914303815E-2</v>
      </c>
      <c r="Y13" s="4">
        <f t="shared" si="0"/>
        <v>-7.0891233287417629E-2</v>
      </c>
      <c r="Z13" s="4">
        <f t="shared" si="0"/>
        <v>-7.9566140556619341E-2</v>
      </c>
      <c r="AA13" s="4">
        <f t="shared" si="0"/>
        <v>-4.8390291933200422E-2</v>
      </c>
      <c r="AB13" s="4"/>
      <c r="AC13" s="4"/>
      <c r="AD13" s="4"/>
      <c r="AE13" s="14"/>
      <c r="AF13" s="7"/>
      <c r="AH13" s="3" t="s">
        <v>19</v>
      </c>
      <c r="AI13" s="8">
        <f>Z69</f>
        <v>6.6520434100186959E-2</v>
      </c>
      <c r="AL13" s="3" t="s">
        <v>18</v>
      </c>
      <c r="AM13" s="18">
        <f>_xlfn.COVARIANCE.S(ICFR, IM)*12</f>
        <v>3.2736427687492394E-4</v>
      </c>
      <c r="AN13" s="18">
        <f>_xlfn.COVARIANCE.S(HCFR, IM)*12</f>
        <v>-7.78986836026869E-5</v>
      </c>
      <c r="AO13" s="18">
        <f>_xlfn.COVARIANCE.S(SCFR, IM)*12</f>
        <v>6.979711882658076E-5</v>
      </c>
      <c r="AP13" s="18">
        <f>_xlfn.COVARIANCE.S(ILF, IM)*12</f>
        <v>-1.4367328686871943E-4</v>
      </c>
      <c r="AQ13" s="18">
        <f>_xlfn.COVARIANCE.S(HLF, IM)*12</f>
        <v>-1.3067867381100933E-4</v>
      </c>
      <c r="AR13" s="18">
        <f>_xlfn.COVARIANCE.S(SLF, IM)*12</f>
        <v>-1.4891994733027734E-4</v>
      </c>
      <c r="AS13" s="18">
        <f>_xlfn.COVARIANCE.S(SN50ETF, IM)*12</f>
        <v>2.2866349085361552E-2</v>
      </c>
      <c r="AT13" s="18">
        <f>_xlfn.COVARIANCE.S(HGE, IM)*12</f>
        <v>-1.6845643033706363E-3</v>
      </c>
      <c r="AU13" s="18">
        <f>_xlfn.COVARIANCE.S(IM, IM)*12</f>
        <v>3.5706962549305124E-2</v>
      </c>
      <c r="AV13" s="18">
        <f>_xlfn.COVARIANCE.S(IM, HEF)*12</f>
        <v>3.8260170796480121E-2</v>
      </c>
      <c r="AW13" s="18">
        <f>_xlfn.COVARIANCE.S(IM, SMM)*12</f>
        <v>3.3890748963546644E-2</v>
      </c>
    </row>
    <row r="14" spans="2:52" x14ac:dyDescent="0.35">
      <c r="B14" s="1">
        <v>43831</v>
      </c>
      <c r="C14" s="2">
        <v>21.484698999999999</v>
      </c>
      <c r="D14" s="2">
        <v>16.379999000000002</v>
      </c>
      <c r="E14" s="2">
        <v>32.700901000000002</v>
      </c>
      <c r="F14" s="2">
        <v>289.63299599999999</v>
      </c>
      <c r="G14" s="2">
        <v>3868.6899410000001</v>
      </c>
      <c r="H14" s="2">
        <v>3063.830078</v>
      </c>
      <c r="I14" s="2">
        <v>123.860001</v>
      </c>
      <c r="J14" s="2">
        <v>3660.8500979999999</v>
      </c>
      <c r="K14" s="2">
        <v>317.67001299999998</v>
      </c>
      <c r="L14" s="2">
        <v>659.65197799999999</v>
      </c>
      <c r="M14" s="2">
        <v>55.037899000000003</v>
      </c>
      <c r="N14" s="2"/>
      <c r="O14" s="2"/>
      <c r="P14" s="7"/>
      <c r="Q14" s="4">
        <f t="shared" si="1"/>
        <v>1.0165268362379527E-2</v>
      </c>
      <c r="R14" s="4">
        <f t="shared" si="0"/>
        <v>9.7023898941976435E-3</v>
      </c>
      <c r="S14" s="4">
        <f t="shared" si="0"/>
        <v>1.0116298558922016E-2</v>
      </c>
      <c r="T14" s="4">
        <f t="shared" si="0"/>
        <v>4.2230361180682994E-3</v>
      </c>
      <c r="U14" s="4">
        <f t="shared" si="0"/>
        <v>4.2154966856310589E-3</v>
      </c>
      <c r="V14" s="4">
        <f t="shared" si="0"/>
        <v>4.1788480387436096E-3</v>
      </c>
      <c r="W14" s="4">
        <f t="shared" si="0"/>
        <v>-1.5499539233757848E-2</v>
      </c>
      <c r="X14" s="4">
        <f t="shared" si="0"/>
        <v>4.0516740191194521E-2</v>
      </c>
      <c r="Y14" s="4">
        <f t="shared" si="0"/>
        <v>-1.7597271804764112E-3</v>
      </c>
      <c r="Z14" s="4">
        <f t="shared" si="0"/>
        <v>-1.9269622297622784E-2</v>
      </c>
      <c r="AA14" s="4">
        <f t="shared" si="0"/>
        <v>1.4110381100240951E-2</v>
      </c>
      <c r="AB14" s="4"/>
      <c r="AC14" s="4"/>
      <c r="AD14" s="4"/>
      <c r="AE14" s="14"/>
      <c r="AF14" s="7"/>
      <c r="AH14" s="3" t="s">
        <v>17</v>
      </c>
      <c r="AI14" s="8">
        <f>AA69</f>
        <v>0.10196866322846049</v>
      </c>
      <c r="AL14" s="3" t="s">
        <v>19</v>
      </c>
      <c r="AM14" s="18">
        <f>_xlfn.COVARIANCE.S(ICFR, HEF)*12</f>
        <v>5.2987546522684692E-4</v>
      </c>
      <c r="AN14" s="18">
        <f>_xlfn.COVARIANCE.S(HCFR, HEF)*12</f>
        <v>2.3538939638994202E-4</v>
      </c>
      <c r="AO14" s="18">
        <f>_xlfn.COVARIANCE.S(SCFR, HEF)*12</f>
        <v>2.5689285759388885E-4</v>
      </c>
      <c r="AP14" s="18">
        <f>_xlfn.COVARIANCE.S(ILF, HEF)*12</f>
        <v>-1.0366263419429476E-4</v>
      </c>
      <c r="AQ14" s="18">
        <f>_xlfn.COVARIANCE.S(HLF, HEF)*12</f>
        <v>-7.9610865183473873E-5</v>
      </c>
      <c r="AR14" s="18">
        <f>_xlfn.COVARIANCE.S(SLF, HEF)*12</f>
        <v>-1.0396277826779158E-4</v>
      </c>
      <c r="AS14" s="18">
        <f>_xlfn.COVARIANCE.S(SN50ETF, HEF)*12</f>
        <v>2.1248064782937285E-2</v>
      </c>
      <c r="AT14" s="18">
        <f>_xlfn.COVARIANCE.S(HGE, HEF)*12</f>
        <v>-3.9275728309937996E-3</v>
      </c>
      <c r="AU14" s="18">
        <f>_xlfn.COVARIANCE.S(IM, HEF)*12</f>
        <v>3.8260170796480121E-2</v>
      </c>
      <c r="AV14" s="18">
        <f>_xlfn.COVARIANCE.S(HEF, HEF)*12</f>
        <v>4.5869335835873028E-2</v>
      </c>
      <c r="AW14" s="18">
        <f>_xlfn.COVARIANCE.S(SMM, HEF)*12</f>
        <v>3.8405490976126042E-2</v>
      </c>
    </row>
    <row r="15" spans="2:52" x14ac:dyDescent="0.35">
      <c r="B15" s="1">
        <v>43800</v>
      </c>
      <c r="C15" s="2">
        <v>21.268498999999998</v>
      </c>
      <c r="D15" s="2">
        <v>16.222601000000001</v>
      </c>
      <c r="E15" s="2">
        <v>32.373401999999999</v>
      </c>
      <c r="F15" s="2">
        <v>288.415009</v>
      </c>
      <c r="G15" s="2">
        <v>3852.4499510000001</v>
      </c>
      <c r="H15" s="2">
        <v>3051.080078</v>
      </c>
      <c r="I15" s="2">
        <v>125.80999799999999</v>
      </c>
      <c r="J15" s="2">
        <v>3518.3000489999999</v>
      </c>
      <c r="K15" s="2">
        <v>318.23001099999999</v>
      </c>
      <c r="L15" s="2">
        <v>672.612976</v>
      </c>
      <c r="M15" s="2">
        <v>54.272098999999997</v>
      </c>
      <c r="N15" s="2"/>
      <c r="O15" s="2"/>
      <c r="P15" s="7"/>
      <c r="Q15" s="4">
        <f t="shared" si="1"/>
        <v>3.6997937716196452E-3</v>
      </c>
      <c r="R15" s="4">
        <f t="shared" si="0"/>
        <v>2.4675374241633566E-4</v>
      </c>
      <c r="S15" s="4">
        <f t="shared" si="0"/>
        <v>4.477413408299151E-3</v>
      </c>
      <c r="T15" s="4">
        <f t="shared" si="0"/>
        <v>4.2619683673245619E-3</v>
      </c>
      <c r="U15" s="4">
        <f t="shared" si="0"/>
        <v>4.1783822745981485E-3</v>
      </c>
      <c r="V15" s="4">
        <f t="shared" si="0"/>
        <v>4.2559374675647079E-3</v>
      </c>
      <c r="W15" s="4">
        <f t="shared" si="0"/>
        <v>1.2147988443733097E-2</v>
      </c>
      <c r="X15" s="4">
        <f t="shared" si="0"/>
        <v>3.138147277390984E-2</v>
      </c>
      <c r="Y15" s="4">
        <f t="shared" si="0"/>
        <v>8.4292041100091468E-3</v>
      </c>
      <c r="Z15" s="4">
        <f t="shared" si="0"/>
        <v>-1.9623928974754227E-4</v>
      </c>
      <c r="AA15" s="4">
        <f t="shared" si="0"/>
        <v>7.3651189438365622E-3</v>
      </c>
      <c r="AB15" s="4"/>
      <c r="AC15" s="4"/>
      <c r="AD15" s="4"/>
      <c r="AE15" s="14"/>
      <c r="AF15" s="7"/>
      <c r="AH15" s="3"/>
      <c r="AI15" s="8"/>
      <c r="AL15" s="3" t="s">
        <v>17</v>
      </c>
      <c r="AM15" s="18">
        <f>_xlfn.COVARIANCE.S(ICFR, SMM)*12</f>
        <v>5.1135659324308956E-4</v>
      </c>
      <c r="AN15" s="18">
        <f>_xlfn.COVARIANCE.S(HCFR, SMM)*12</f>
        <v>1.7349597827995072E-4</v>
      </c>
      <c r="AO15" s="18">
        <f>_xlfn.COVARIANCE.S(SCFR, SMM)*12</f>
        <v>2.213850916297518E-4</v>
      </c>
      <c r="AP15" s="18">
        <f>_xlfn.COVARIANCE.S(ILF, SMM)*12</f>
        <v>-1.5420382723046314E-4</v>
      </c>
      <c r="AQ15" s="18">
        <f>_xlfn.COVARIANCE.S(HLF, SMM)*12</f>
        <v>-1.3821562301112884E-4</v>
      </c>
      <c r="AR15" s="18">
        <f>_xlfn.COVARIANCE.S(SLF, SMM)*12</f>
        <v>-1.6115019959309424E-4</v>
      </c>
      <c r="AS15" s="18">
        <f>_xlfn.COVARIANCE.S(SN50ETF, SMM)*12</f>
        <v>2.1336792154452396E-2</v>
      </c>
      <c r="AT15" s="18">
        <f>_xlfn.COVARIANCE.S(HGE, SMM)*12</f>
        <v>-2.9348717200157136E-3</v>
      </c>
      <c r="AU15" s="18">
        <f>_xlfn.COVARIANCE.S(IM, SMM)*12</f>
        <v>3.3890748963546644E-2</v>
      </c>
      <c r="AV15" s="18">
        <f>_xlfn.COVARIANCE.S(SMM, HEF)*12</f>
        <v>3.8405490976126042E-2</v>
      </c>
      <c r="AW15" s="18">
        <f>_xlfn.COVARIANCE.S(SMM, SMM)*12</f>
        <v>3.5746743520389875E-2</v>
      </c>
    </row>
    <row r="16" spans="2:52" x14ac:dyDescent="0.35">
      <c r="B16" s="1">
        <v>43770</v>
      </c>
      <c r="C16" s="2">
        <v>21.190100000000001</v>
      </c>
      <c r="D16" s="2">
        <v>16.218599000000001</v>
      </c>
      <c r="E16" s="2">
        <v>32.229098999999998</v>
      </c>
      <c r="F16" s="2">
        <v>287.19101000000001</v>
      </c>
      <c r="G16" s="2">
        <v>3836.419922</v>
      </c>
      <c r="H16" s="2">
        <v>3038.1499020000001</v>
      </c>
      <c r="I16" s="2">
        <v>124.300003</v>
      </c>
      <c r="J16" s="2">
        <v>3411.25</v>
      </c>
      <c r="K16" s="2">
        <v>315.57000699999998</v>
      </c>
      <c r="L16" s="2">
        <v>672.74499500000002</v>
      </c>
      <c r="M16" s="2">
        <v>53.875301</v>
      </c>
      <c r="N16" s="2"/>
      <c r="O16" s="2"/>
      <c r="P16" s="7"/>
      <c r="Q16" s="4">
        <f t="shared" si="1"/>
        <v>1.3332455976794525E-2</v>
      </c>
      <c r="R16" s="4">
        <f t="shared" si="0"/>
        <v>1.1361589883016179E-2</v>
      </c>
      <c r="S16" s="4">
        <f t="shared" si="0"/>
        <v>2.8409227041629116E-3</v>
      </c>
      <c r="T16" s="4">
        <f t="shared" si="0"/>
        <v>4.2977877277865784E-3</v>
      </c>
      <c r="U16" s="4">
        <f t="shared" si="0"/>
        <v>4.3325569962043044E-3</v>
      </c>
      <c r="V16" s="4">
        <f t="shared" si="0"/>
        <v>4.2474639843567349E-3</v>
      </c>
      <c r="W16" s="4">
        <f t="shared" si="0"/>
        <v>1.8435067142112238E-2</v>
      </c>
      <c r="X16" s="4">
        <f t="shared" si="0"/>
        <v>-2.2018046737035207E-2</v>
      </c>
      <c r="Y16" s="4">
        <f t="shared" si="0"/>
        <v>9.3717753947778256E-3</v>
      </c>
      <c r="Z16" s="4">
        <f t="shared" si="0"/>
        <v>9.3077227823591333E-3</v>
      </c>
      <c r="AA16" s="4">
        <f t="shared" si="0"/>
        <v>1.5821097817466546E-3</v>
      </c>
      <c r="AB16" s="4"/>
      <c r="AC16" s="4"/>
      <c r="AD16" s="4"/>
      <c r="AE16" s="14"/>
      <c r="AF16" s="7"/>
      <c r="AL16" s="3"/>
    </row>
    <row r="17" spans="2:42" x14ac:dyDescent="0.35">
      <c r="B17" s="1">
        <v>43739</v>
      </c>
      <c r="C17" s="2">
        <v>20.911301000000002</v>
      </c>
      <c r="D17" s="2">
        <v>16.0364</v>
      </c>
      <c r="E17" s="2">
        <v>32.137797999999997</v>
      </c>
      <c r="F17" s="2">
        <v>285.96200599999997</v>
      </c>
      <c r="G17" s="2">
        <v>3819.8701169999999</v>
      </c>
      <c r="H17" s="2">
        <v>3025.3000489999999</v>
      </c>
      <c r="I17" s="2">
        <v>122.050003</v>
      </c>
      <c r="J17" s="2">
        <v>3488.0500489999999</v>
      </c>
      <c r="K17" s="2">
        <v>312.64001500000001</v>
      </c>
      <c r="L17" s="2">
        <v>666.54101600000001</v>
      </c>
      <c r="M17" s="2">
        <v>53.790199000000001</v>
      </c>
      <c r="N17" s="2"/>
      <c r="O17" s="2"/>
      <c r="P17" s="7"/>
      <c r="Q17" s="4">
        <f t="shared" si="1"/>
        <v>1.0354157107109454E-2</v>
      </c>
      <c r="R17" s="4">
        <f t="shared" si="0"/>
        <v>1.1084069959522378E-2</v>
      </c>
      <c r="S17" s="4">
        <f t="shared" si="0"/>
        <v>1.0759253609764732E-2</v>
      </c>
      <c r="T17" s="4">
        <f t="shared" si="0"/>
        <v>4.8845812095398679E-3</v>
      </c>
      <c r="U17" s="4">
        <f t="shared" si="0"/>
        <v>4.8587929384336119E-3</v>
      </c>
      <c r="V17" s="4">
        <f t="shared" si="0"/>
        <v>4.8026333439732055E-3</v>
      </c>
      <c r="W17" s="4">
        <f t="shared" si="0"/>
        <v>3.6342074458913333E-2</v>
      </c>
      <c r="X17" s="4">
        <f t="shared" si="0"/>
        <v>2.7907509766179176E-2</v>
      </c>
      <c r="Y17" s="4">
        <f t="shared" si="0"/>
        <v>4.0676391289551084E-2</v>
      </c>
      <c r="Z17" s="4">
        <f t="shared" si="0"/>
        <v>3.7103149612612407E-2</v>
      </c>
      <c r="AA17" s="4">
        <f t="shared" si="0"/>
        <v>1.8695869198797989E-2</v>
      </c>
      <c r="AB17" s="4"/>
      <c r="AC17" s="4"/>
      <c r="AD17" s="4"/>
      <c r="AE17" s="14"/>
      <c r="AF17" s="7"/>
      <c r="AH17" s="3" t="s">
        <v>21</v>
      </c>
      <c r="AI17" s="3" t="s">
        <v>10</v>
      </c>
    </row>
    <row r="18" spans="2:42" x14ac:dyDescent="0.35">
      <c r="B18" s="1">
        <v>43709</v>
      </c>
      <c r="C18" s="2">
        <v>20.697001</v>
      </c>
      <c r="D18" s="2">
        <v>15.8606</v>
      </c>
      <c r="E18" s="2">
        <v>31.7957</v>
      </c>
      <c r="F18" s="2">
        <v>284.57199100000003</v>
      </c>
      <c r="G18" s="2">
        <v>3801.3999020000001</v>
      </c>
      <c r="H18" s="2">
        <v>3010.8400879999999</v>
      </c>
      <c r="I18" s="2">
        <v>117.769997</v>
      </c>
      <c r="J18" s="2">
        <v>3393.3500979999999</v>
      </c>
      <c r="K18" s="2">
        <v>300.42001299999998</v>
      </c>
      <c r="L18" s="2">
        <v>642.69500700000003</v>
      </c>
      <c r="M18" s="2">
        <v>52.803001000000002</v>
      </c>
      <c r="N18" s="2"/>
      <c r="O18" s="2"/>
      <c r="P18" s="7"/>
      <c r="Q18" s="4">
        <f t="shared" si="1"/>
        <v>7.3101403960646565E-3</v>
      </c>
      <c r="R18" s="4">
        <f t="shared" si="0"/>
        <v>5.751463230584849E-3</v>
      </c>
      <c r="S18" s="4">
        <f t="shared" si="0"/>
        <v>6.059321229456887E-3</v>
      </c>
      <c r="T18" s="4">
        <f t="shared" si="0"/>
        <v>4.4899507726066006E-3</v>
      </c>
      <c r="U18" s="4">
        <f t="shared" si="0"/>
        <v>4.7018044927746409E-3</v>
      </c>
      <c r="V18" s="4">
        <f t="shared" si="0"/>
        <v>4.5039934087052454E-3</v>
      </c>
      <c r="W18" s="4">
        <f t="shared" si="0"/>
        <v>4.0371025804885913E-2</v>
      </c>
      <c r="X18" s="4">
        <f t="shared" si="0"/>
        <v>-2.4577086563503894E-2</v>
      </c>
      <c r="Y18" s="4">
        <f t="shared" si="0"/>
        <v>3.6145447084600595E-2</v>
      </c>
      <c r="Z18" s="4">
        <f t="shared" si="0"/>
        <v>3.3025898451399104E-2</v>
      </c>
      <c r="AA18" s="4">
        <f t="shared" si="0"/>
        <v>5.6089590508534209E-2</v>
      </c>
      <c r="AB18" s="4"/>
      <c r="AC18" s="4"/>
      <c r="AD18" s="4"/>
      <c r="AE18" s="14"/>
      <c r="AF18" s="7"/>
      <c r="AH18" s="15" t="s">
        <v>11</v>
      </c>
      <c r="AI18" s="2">
        <f>1/11</f>
        <v>9.0909090909090912E-2</v>
      </c>
      <c r="AL18" s="3" t="s">
        <v>59</v>
      </c>
      <c r="AM18" s="4">
        <v>5.6000000000000001E-2</v>
      </c>
      <c r="AN18" s="18" t="s">
        <v>61</v>
      </c>
    </row>
    <row r="19" spans="2:42" x14ac:dyDescent="0.35">
      <c r="B19" s="1">
        <v>43678</v>
      </c>
      <c r="C19" s="2">
        <v>20.546800999999999</v>
      </c>
      <c r="D19" s="2">
        <v>15.7699</v>
      </c>
      <c r="E19" s="2">
        <v>31.604199999999999</v>
      </c>
      <c r="F19" s="2">
        <v>283.29998799999998</v>
      </c>
      <c r="G19" s="2">
        <v>3783.610107</v>
      </c>
      <c r="H19" s="2">
        <v>2997.3400879999999</v>
      </c>
      <c r="I19" s="2">
        <v>113.199997</v>
      </c>
      <c r="J19" s="2">
        <v>3478.8500979999999</v>
      </c>
      <c r="K19" s="2">
        <v>289.94000199999999</v>
      </c>
      <c r="L19" s="2">
        <v>622.14801</v>
      </c>
      <c r="M19" s="2">
        <v>49.998600000000003</v>
      </c>
      <c r="N19" s="2"/>
      <c r="O19" s="2"/>
      <c r="P19" s="7"/>
      <c r="Q19" s="4">
        <f t="shared" si="1"/>
        <v>7.1319474739354573E-3</v>
      </c>
      <c r="R19" s="4">
        <f t="shared" si="0"/>
        <v>6.1890269190768479E-3</v>
      </c>
      <c r="S19" s="4">
        <f t="shared" si="0"/>
        <v>8.0377134618941862E-3</v>
      </c>
      <c r="T19" s="4">
        <f t="shared" si="0"/>
        <v>5.0945630824656722E-3</v>
      </c>
      <c r="U19" s="4">
        <f t="shared" si="0"/>
        <v>4.9962966838029881E-3</v>
      </c>
      <c r="V19" s="4">
        <f t="shared" si="0"/>
        <v>5.0363541328656385E-3</v>
      </c>
      <c r="W19" s="4">
        <f t="shared" si="0"/>
        <v>-1.1871517316192664E-2</v>
      </c>
      <c r="X19" s="4">
        <f t="shared" si="0"/>
        <v>0.10441440407508235</v>
      </c>
      <c r="Y19" s="4">
        <f t="shared" si="0"/>
        <v>-2.8318685529742049E-2</v>
      </c>
      <c r="Z19" s="4">
        <f t="shared" si="0"/>
        <v>-3.7633172373234818E-2</v>
      </c>
      <c r="AA19" s="4">
        <f t="shared" si="0"/>
        <v>-1.0536067385805313E-2</v>
      </c>
      <c r="AB19" s="4"/>
      <c r="AC19" s="4"/>
      <c r="AD19" s="4"/>
      <c r="AE19" s="14"/>
      <c r="AF19" s="7"/>
      <c r="AH19" s="15" t="s">
        <v>12</v>
      </c>
      <c r="AI19" s="2">
        <f t="shared" ref="AI19:AI28" si="2">1/11</f>
        <v>9.0909090909090912E-2</v>
      </c>
      <c r="AL19" s="3" t="s">
        <v>25</v>
      </c>
      <c r="AM19" s="2">
        <f>(AI31-AM18)/AI32</f>
        <v>0.45475179432069579</v>
      </c>
    </row>
    <row r="20" spans="2:42" x14ac:dyDescent="0.35">
      <c r="B20" s="1">
        <v>43647</v>
      </c>
      <c r="C20" s="2">
        <v>20.401299999999999</v>
      </c>
      <c r="D20" s="2">
        <v>15.6729</v>
      </c>
      <c r="E20" s="2">
        <v>31.3522</v>
      </c>
      <c r="F20" s="2">
        <v>281.864014</v>
      </c>
      <c r="G20" s="2">
        <v>3764.8000489999999</v>
      </c>
      <c r="H20" s="2">
        <v>2982.320068</v>
      </c>
      <c r="I20" s="2">
        <v>114.55999799999999</v>
      </c>
      <c r="J20" s="2">
        <v>3149.9499510000001</v>
      </c>
      <c r="K20" s="2">
        <v>298.39001500000001</v>
      </c>
      <c r="L20" s="2">
        <v>646.47699</v>
      </c>
      <c r="M20" s="2">
        <v>50.530997999999997</v>
      </c>
      <c r="N20" s="2"/>
      <c r="O20" s="2"/>
      <c r="P20" s="7"/>
      <c r="Q20" s="4">
        <f t="shared" si="1"/>
        <v>1.0030348487773982E-2</v>
      </c>
      <c r="R20" s="4">
        <f t="shared" si="0"/>
        <v>1.0190269935803299E-2</v>
      </c>
      <c r="S20" s="4">
        <f t="shared" si="0"/>
        <v>1.0810268299226213E-2</v>
      </c>
      <c r="T20" s="4">
        <f t="shared" si="0"/>
        <v>5.669503287903041E-3</v>
      </c>
      <c r="U20" s="4">
        <f t="shared" si="0"/>
        <v>5.6522947197902174E-3</v>
      </c>
      <c r="V20" s="4">
        <f t="shared" si="0"/>
        <v>5.4922029921228351E-3</v>
      </c>
      <c r="W20" s="4">
        <f t="shared" si="0"/>
        <v>-5.2204888255028871E-2</v>
      </c>
      <c r="X20" s="4">
        <f t="shared" si="0"/>
        <v>2.6410131183222912E-2</v>
      </c>
      <c r="Y20" s="4">
        <f t="shared" si="0"/>
        <v>-5.8617490429323051E-2</v>
      </c>
      <c r="Z20" s="4">
        <f t="shared" si="0"/>
        <v>-7.6373016129174229E-2</v>
      </c>
      <c r="AA20" s="4">
        <f t="shared" si="0"/>
        <v>-4.7106320072155282E-2</v>
      </c>
      <c r="AB20" s="4"/>
      <c r="AC20" s="4"/>
      <c r="AD20" s="4"/>
      <c r="AE20" s="14"/>
      <c r="AF20" s="7"/>
      <c r="AH20" s="15" t="s">
        <v>13</v>
      </c>
      <c r="AI20" s="2">
        <f t="shared" si="2"/>
        <v>9.0909090909090912E-2</v>
      </c>
    </row>
    <row r="21" spans="2:42" x14ac:dyDescent="0.35">
      <c r="B21" s="1">
        <v>43617</v>
      </c>
      <c r="C21" s="2">
        <v>20.198699999999999</v>
      </c>
      <c r="D21" s="2">
        <v>15.514799999999999</v>
      </c>
      <c r="E21" s="2">
        <v>31.016898999999999</v>
      </c>
      <c r="F21" s="2">
        <v>280.27499399999999</v>
      </c>
      <c r="G21" s="2">
        <v>3743.639893</v>
      </c>
      <c r="H21" s="2">
        <v>2966.030029</v>
      </c>
      <c r="I21" s="2">
        <v>120.870003</v>
      </c>
      <c r="J21" s="2">
        <v>3068.8999020000001</v>
      </c>
      <c r="K21" s="2">
        <v>316.97000100000002</v>
      </c>
      <c r="L21" s="2">
        <v>699.93298300000004</v>
      </c>
      <c r="M21" s="2">
        <v>53.028998999999999</v>
      </c>
      <c r="N21" s="2"/>
      <c r="O21" s="2"/>
      <c r="P21" s="7"/>
      <c r="Q21" s="4">
        <f t="shared" si="1"/>
        <v>4.7154529859651769E-3</v>
      </c>
      <c r="R21" s="4">
        <f t="shared" si="1"/>
        <v>3.7329123833059726E-3</v>
      </c>
      <c r="S21" s="4">
        <f t="shared" si="1"/>
        <v>-6.2832673892596329E-4</v>
      </c>
      <c r="T21" s="4">
        <f t="shared" si="1"/>
        <v>5.5033059955654799E-3</v>
      </c>
      <c r="U21" s="4">
        <f t="shared" si="1"/>
        <v>5.5276664017952443E-3</v>
      </c>
      <c r="V21" s="4">
        <f t="shared" si="1"/>
        <v>5.3623532593041747E-3</v>
      </c>
      <c r="W21" s="4">
        <f t="shared" si="1"/>
        <v>-8.6121638551864953E-3</v>
      </c>
      <c r="X21" s="4">
        <f t="shared" si="1"/>
        <v>4.7370328438520203E-2</v>
      </c>
      <c r="Y21" s="4">
        <f t="shared" si="1"/>
        <v>-5.9907616850701686E-4</v>
      </c>
      <c r="Z21" s="4">
        <f t="shared" si="1"/>
        <v>4.9707381358795226E-3</v>
      </c>
      <c r="AA21" s="4">
        <f t="shared" si="1"/>
        <v>-8.9611932489453983E-3</v>
      </c>
      <c r="AB21" s="4"/>
      <c r="AC21" s="4"/>
      <c r="AD21" s="4"/>
      <c r="AE21" s="14"/>
      <c r="AF21" s="7"/>
      <c r="AH21" s="15" t="s">
        <v>16</v>
      </c>
      <c r="AI21" s="2">
        <f t="shared" si="2"/>
        <v>9.0909090909090912E-2</v>
      </c>
    </row>
    <row r="22" spans="2:42" x14ac:dyDescent="0.35">
      <c r="B22" s="1">
        <v>43586</v>
      </c>
      <c r="C22" s="2">
        <v>20.103901</v>
      </c>
      <c r="D22" s="2">
        <v>15.457100000000001</v>
      </c>
      <c r="E22" s="2">
        <v>31.0364</v>
      </c>
      <c r="F22" s="2">
        <v>278.74099699999999</v>
      </c>
      <c r="G22" s="2">
        <v>3723.0600589999999</v>
      </c>
      <c r="H22" s="2">
        <v>2950.209961</v>
      </c>
      <c r="I22" s="2">
        <v>121.91999800000001</v>
      </c>
      <c r="J22" s="2">
        <v>2930.1000979999999</v>
      </c>
      <c r="K22" s="2">
        <v>317.16000400000001</v>
      </c>
      <c r="L22" s="2">
        <v>696.47100799999998</v>
      </c>
      <c r="M22" s="2">
        <v>53.508499</v>
      </c>
      <c r="N22" s="2"/>
      <c r="O22" s="2"/>
      <c r="P22" s="7"/>
      <c r="Q22" s="4">
        <f t="shared" si="1"/>
        <v>9.5614030682703386E-3</v>
      </c>
      <c r="R22" s="4">
        <f t="shared" si="1"/>
        <v>1.238538118941576E-2</v>
      </c>
      <c r="S22" s="4">
        <f t="shared" si="1"/>
        <v>1.2623370691202163E-2</v>
      </c>
      <c r="T22" s="4">
        <f t="shared" si="1"/>
        <v>6.2488247265864881E-3</v>
      </c>
      <c r="U22" s="4">
        <f t="shared" si="1"/>
        <v>6.319499910729008E-3</v>
      </c>
      <c r="V22" s="4">
        <f t="shared" si="1"/>
        <v>5.9740444276307932E-3</v>
      </c>
      <c r="W22" s="4">
        <f t="shared" si="1"/>
        <v>1.3634843811397131E-2</v>
      </c>
      <c r="X22" s="4">
        <f t="shared" si="1"/>
        <v>1.5421402304097094E-2</v>
      </c>
      <c r="Y22" s="4">
        <f t="shared" si="1"/>
        <v>1.5692031778260663E-2</v>
      </c>
      <c r="Z22" s="4">
        <f t="shared" si="1"/>
        <v>3.303480697222947E-2</v>
      </c>
      <c r="AA22" s="4">
        <f t="shared" si="1"/>
        <v>3.2880933206980302E-2</v>
      </c>
      <c r="AB22" s="4"/>
      <c r="AC22" s="4"/>
      <c r="AD22" s="4"/>
      <c r="AE22" s="14"/>
      <c r="AF22" s="7"/>
      <c r="AH22" s="15" t="s">
        <v>15</v>
      </c>
      <c r="AI22" s="2">
        <f t="shared" si="2"/>
        <v>9.0909090909090912E-2</v>
      </c>
    </row>
    <row r="23" spans="2:42" x14ac:dyDescent="0.35">
      <c r="B23" s="1">
        <v>43556</v>
      </c>
      <c r="C23" s="2">
        <v>19.913499999999999</v>
      </c>
      <c r="D23" s="2">
        <v>15.268000000000001</v>
      </c>
      <c r="E23" s="2">
        <v>30.6495</v>
      </c>
      <c r="F23" s="2">
        <v>277.01001000000002</v>
      </c>
      <c r="G23" s="2">
        <v>3699.679932</v>
      </c>
      <c r="H23" s="2">
        <v>2932.6899410000001</v>
      </c>
      <c r="I23" s="2">
        <v>120.279999</v>
      </c>
      <c r="J23" s="2">
        <v>2885.6000979999999</v>
      </c>
      <c r="K23" s="2">
        <v>312.26001000000002</v>
      </c>
      <c r="L23" s="2">
        <v>674.19897500000002</v>
      </c>
      <c r="M23" s="2">
        <v>51.805098999999998</v>
      </c>
      <c r="N23" s="2"/>
      <c r="O23" s="2"/>
      <c r="P23" s="7"/>
      <c r="Q23" s="4">
        <f t="shared" si="1"/>
        <v>5.5850405748651983E-3</v>
      </c>
      <c r="R23" s="4">
        <f t="shared" si="1"/>
        <v>8.4561884222326522E-4</v>
      </c>
      <c r="S23" s="4">
        <f t="shared" si="1"/>
        <v>-8.4533881862200715E-3</v>
      </c>
      <c r="T23" s="4">
        <f t="shared" si="1"/>
        <v>7.2285380017395873E-3</v>
      </c>
      <c r="U23" s="4">
        <f t="shared" si="1"/>
        <v>7.2254364857102325E-3</v>
      </c>
      <c r="V23" s="4">
        <f t="shared" si="1"/>
        <v>7.2780151124850045E-3</v>
      </c>
      <c r="W23" s="4">
        <f t="shared" si="1"/>
        <v>6.0220894282719088E-3</v>
      </c>
      <c r="X23" s="4">
        <f t="shared" si="1"/>
        <v>3.4077643900895368E-3</v>
      </c>
      <c r="Y23" s="4">
        <f t="shared" si="1"/>
        <v>1.8294525060385394E-2</v>
      </c>
      <c r="Z23" s="4">
        <f t="shared" si="1"/>
        <v>7.2653734555819154E-3</v>
      </c>
      <c r="AA23" s="4">
        <f t="shared" si="1"/>
        <v>2.735505848495794E-2</v>
      </c>
      <c r="AB23" s="4"/>
      <c r="AC23" s="4"/>
      <c r="AD23" s="4"/>
      <c r="AE23" s="14"/>
      <c r="AF23" s="7"/>
      <c r="AH23" s="15" t="s">
        <v>14</v>
      </c>
      <c r="AI23" s="2">
        <f t="shared" si="2"/>
        <v>9.0909090909090912E-2</v>
      </c>
    </row>
    <row r="24" spans="2:42" x14ac:dyDescent="0.35">
      <c r="B24" s="1">
        <v>43525</v>
      </c>
      <c r="C24" s="2">
        <v>19.802900000000001</v>
      </c>
      <c r="D24" s="2">
        <v>15.255100000000001</v>
      </c>
      <c r="E24" s="2">
        <v>30.910800999999999</v>
      </c>
      <c r="F24" s="2">
        <v>275.02200299999998</v>
      </c>
      <c r="G24" s="2">
        <v>3673.139893</v>
      </c>
      <c r="H24" s="2">
        <v>2911.5</v>
      </c>
      <c r="I24" s="2">
        <v>119.55999799999999</v>
      </c>
      <c r="J24" s="2">
        <v>2875.8000489999999</v>
      </c>
      <c r="K24" s="2">
        <v>306.64999399999999</v>
      </c>
      <c r="L24" s="2">
        <v>669.33599900000002</v>
      </c>
      <c r="M24" s="2">
        <v>50.425700999999997</v>
      </c>
      <c r="N24" s="2"/>
      <c r="O24" s="2"/>
      <c r="P24" s="7"/>
      <c r="Q24" s="4">
        <f t="shared" si="1"/>
        <v>1.0181959159937368E-2</v>
      </c>
      <c r="R24" s="4">
        <f t="shared" si="1"/>
        <v>1.4801165467051618E-2</v>
      </c>
      <c r="S24" s="4">
        <f t="shared" si="1"/>
        <v>9.9984972944929147E-3</v>
      </c>
      <c r="T24" s="4">
        <f t="shared" si="1"/>
        <v>5.1055386021013572E-3</v>
      </c>
      <c r="U24" s="4">
        <f t="shared" si="1"/>
        <v>5.1225560826504233E-3</v>
      </c>
      <c r="V24" s="4">
        <f t="shared" si="1"/>
        <v>5.0017051891374153E-3</v>
      </c>
      <c r="W24" s="4">
        <f t="shared" si="1"/>
        <v>8.4739583698606541E-2</v>
      </c>
      <c r="X24" s="4">
        <f t="shared" si="1"/>
        <v>-5.1517134234828517E-2</v>
      </c>
      <c r="Y24" s="4">
        <f t="shared" si="1"/>
        <v>5.3961097619751867E-2</v>
      </c>
      <c r="Z24" s="4">
        <f t="shared" si="1"/>
        <v>8.679439639978101E-2</v>
      </c>
      <c r="AA24" s="4">
        <f t="shared" si="1"/>
        <v>6.2034147593124978E-2</v>
      </c>
      <c r="AB24" s="4"/>
      <c r="AC24" s="4"/>
      <c r="AD24" s="4"/>
      <c r="AE24" s="14"/>
      <c r="AF24" s="7"/>
      <c r="AH24" s="15" t="s">
        <v>4</v>
      </c>
      <c r="AI24" s="2">
        <f t="shared" si="2"/>
        <v>9.0909090909090912E-2</v>
      </c>
    </row>
    <row r="25" spans="2:42" x14ac:dyDescent="0.35">
      <c r="B25" s="1">
        <v>43497</v>
      </c>
      <c r="C25" s="2">
        <v>19.603300000000001</v>
      </c>
      <c r="D25" s="2">
        <v>15.0326</v>
      </c>
      <c r="E25" s="2">
        <v>30.604799</v>
      </c>
      <c r="F25" s="2">
        <v>273.625</v>
      </c>
      <c r="G25" s="2">
        <v>3654.419922</v>
      </c>
      <c r="H25" s="2">
        <v>2897.01001</v>
      </c>
      <c r="I25" s="2">
        <v>110.220001</v>
      </c>
      <c r="J25" s="2">
        <v>3032</v>
      </c>
      <c r="K25" s="2">
        <v>290.95001200000002</v>
      </c>
      <c r="L25" s="2">
        <v>615.88098100000002</v>
      </c>
      <c r="M25" s="2">
        <v>47.480300999999997</v>
      </c>
      <c r="N25" s="2"/>
      <c r="O25" s="2"/>
      <c r="P25" s="7"/>
      <c r="Q25" s="4">
        <f t="shared" si="1"/>
        <v>2.7109045533365338E-3</v>
      </c>
      <c r="R25" s="4">
        <f t="shared" si="1"/>
        <v>1.672497084790946E-3</v>
      </c>
      <c r="S25" s="4">
        <f t="shared" si="1"/>
        <v>4.8395465417122811E-3</v>
      </c>
      <c r="T25" s="4">
        <f t="shared" si="1"/>
        <v>5.224031271984079E-3</v>
      </c>
      <c r="U25" s="4">
        <f t="shared" si="1"/>
        <v>5.2761116330039071E-3</v>
      </c>
      <c r="V25" s="4">
        <f t="shared" si="1"/>
        <v>5.2534959541342954E-3</v>
      </c>
      <c r="W25" s="4">
        <f t="shared" si="1"/>
        <v>0.39784405574747128</v>
      </c>
      <c r="X25" s="4">
        <f t="shared" si="1"/>
        <v>9.3712738923765401E-3</v>
      </c>
      <c r="Y25" s="4">
        <f t="shared" si="1"/>
        <v>2.135587186176529E-3</v>
      </c>
      <c r="Z25" s="4">
        <f t="shared" si="1"/>
        <v>-2.1615972852196279E-2</v>
      </c>
      <c r="AA25" s="4">
        <f t="shared" si="1"/>
        <v>-5.5586156332692585E-3</v>
      </c>
      <c r="AB25" s="4"/>
      <c r="AC25" s="4"/>
      <c r="AD25" s="4"/>
      <c r="AE25" s="14"/>
      <c r="AF25" s="7"/>
      <c r="AH25" s="15" t="s">
        <v>3</v>
      </c>
      <c r="AI25" s="2">
        <f t="shared" si="2"/>
        <v>9.0909090909090912E-2</v>
      </c>
    </row>
    <row r="26" spans="2:42" x14ac:dyDescent="0.35">
      <c r="B26" s="1">
        <v>43466</v>
      </c>
      <c r="C26" s="2">
        <v>19.550301000000001</v>
      </c>
      <c r="D26" s="2">
        <v>15.0075</v>
      </c>
      <c r="E26" s="2">
        <v>30.457398999999999</v>
      </c>
      <c r="F26" s="2">
        <v>272.20300300000002</v>
      </c>
      <c r="G26" s="2">
        <v>3635.23999</v>
      </c>
      <c r="H26" s="2">
        <v>2881.8701169999999</v>
      </c>
      <c r="I26" s="2">
        <v>78.849997999999999</v>
      </c>
      <c r="J26" s="2">
        <v>3003.8500979999999</v>
      </c>
      <c r="K26" s="2">
        <v>290.32998700000002</v>
      </c>
      <c r="L26" s="2">
        <v>629.487976</v>
      </c>
      <c r="M26" s="2">
        <v>47.745700999999997</v>
      </c>
      <c r="N26" s="2"/>
      <c r="O26" s="2"/>
      <c r="P26" s="7"/>
      <c r="Q26" s="4">
        <f t="shared" si="1"/>
        <v>6.3209882897955275E-3</v>
      </c>
      <c r="R26" s="4">
        <f t="shared" si="1"/>
        <v>5.0966419759701223E-3</v>
      </c>
      <c r="S26" s="4">
        <f t="shared" si="1"/>
        <v>7.7922960570878637E-3</v>
      </c>
      <c r="T26" s="4">
        <f t="shared" si="1"/>
        <v>6.0428803195506668E-3</v>
      </c>
      <c r="U26" s="4">
        <f t="shared" si="1"/>
        <v>6.1304593742529763E-3</v>
      </c>
      <c r="V26" s="4">
        <f t="shared" si="1"/>
        <v>6.0393177996440426E-3</v>
      </c>
      <c r="W26" s="4">
        <f t="shared" si="1"/>
        <v>0</v>
      </c>
      <c r="X26" s="4">
        <f t="shared" si="1"/>
        <v>4.3311463537684107E-2</v>
      </c>
      <c r="Y26" s="4">
        <f t="shared" si="1"/>
        <v>-2.3674237879985169E-2</v>
      </c>
      <c r="Z26" s="4">
        <f t="shared" si="1"/>
        <v>-2.0813062510104534E-4</v>
      </c>
      <c r="AA26" s="4">
        <f t="shared" si="1"/>
        <v>-1.5107832196393856E-2</v>
      </c>
      <c r="AB26" s="4"/>
      <c r="AC26" s="4"/>
      <c r="AD26" s="4"/>
      <c r="AE26" s="14"/>
      <c r="AF26" s="7"/>
      <c r="AH26" s="15" t="s">
        <v>18</v>
      </c>
      <c r="AI26" s="2">
        <f t="shared" si="2"/>
        <v>9.0909090909090912E-2</v>
      </c>
      <c r="AO26" s="34" t="s">
        <v>33</v>
      </c>
      <c r="AP26" s="34">
        <v>250</v>
      </c>
    </row>
    <row r="27" spans="2:42" x14ac:dyDescent="0.35">
      <c r="B27" s="1">
        <v>43435</v>
      </c>
      <c r="C27" s="2">
        <v>19.427499999999998</v>
      </c>
      <c r="D27" s="2">
        <v>14.9314</v>
      </c>
      <c r="E27" s="2">
        <v>30.221900999999999</v>
      </c>
      <c r="F27" s="2">
        <v>270.567993</v>
      </c>
      <c r="G27" s="2">
        <v>3613.0900879999999</v>
      </c>
      <c r="H27" s="2">
        <v>2864.570068</v>
      </c>
      <c r="I27" s="2">
        <v>78.849997999999999</v>
      </c>
      <c r="J27" s="2">
        <v>2879.1499020000001</v>
      </c>
      <c r="K27" s="2">
        <v>297.36999500000002</v>
      </c>
      <c r="L27" s="2">
        <v>629.61901899999998</v>
      </c>
      <c r="M27" s="2">
        <v>48.478099999999998</v>
      </c>
      <c r="N27" s="2"/>
      <c r="O27" s="2"/>
      <c r="P27" s="7"/>
      <c r="Q27" s="4">
        <f t="shared" si="1"/>
        <v>6.7574920583920936E-3</v>
      </c>
      <c r="R27" s="4">
        <f t="shared" si="1"/>
        <v>8.0746431898891524E-3</v>
      </c>
      <c r="S27" s="4">
        <f t="shared" si="1"/>
        <v>8.6810872510996936E-3</v>
      </c>
      <c r="T27" s="4">
        <f t="shared" si="1"/>
        <v>6.3340452023895859E-3</v>
      </c>
      <c r="U27" s="4">
        <f t="shared" si="1"/>
        <v>6.2804059431350477E-3</v>
      </c>
      <c r="V27" s="4">
        <f t="shared" si="1"/>
        <v>6.0972345692070903E-3</v>
      </c>
      <c r="W27" s="4">
        <f t="shared" si="1"/>
        <v>0</v>
      </c>
      <c r="X27" s="4">
        <f t="shared" si="1"/>
        <v>3.8673119246372734E-2</v>
      </c>
      <c r="Y27" s="4">
        <f t="shared" si="1"/>
        <v>1.3807404552530376E-2</v>
      </c>
      <c r="Z27" s="4">
        <f t="shared" si="1"/>
        <v>2.1026417911862473E-2</v>
      </c>
      <c r="AA27" s="4">
        <f t="shared" si="1"/>
        <v>1.4850728615180967E-2</v>
      </c>
      <c r="AB27" s="4"/>
      <c r="AC27" s="4"/>
      <c r="AD27" s="4"/>
      <c r="AE27" s="14"/>
      <c r="AF27" s="7"/>
      <c r="AH27" s="15" t="s">
        <v>19</v>
      </c>
      <c r="AI27" s="2">
        <f t="shared" si="2"/>
        <v>9.0909090909090912E-2</v>
      </c>
      <c r="AO27" s="34" t="s">
        <v>78</v>
      </c>
      <c r="AP27" s="34">
        <v>30</v>
      </c>
    </row>
    <row r="28" spans="2:42" x14ac:dyDescent="0.35">
      <c r="B28" s="1">
        <v>43405</v>
      </c>
      <c r="C28" s="2">
        <v>19.2971</v>
      </c>
      <c r="D28" s="2">
        <v>14.8118</v>
      </c>
      <c r="E28" s="2">
        <v>29.9618</v>
      </c>
      <c r="F28" s="2">
        <v>268.86498999999998</v>
      </c>
      <c r="G28" s="2">
        <v>3590.540039</v>
      </c>
      <c r="H28" s="2">
        <v>2847.209961</v>
      </c>
      <c r="I28" s="2">
        <v>78.849997999999999</v>
      </c>
      <c r="J28" s="2">
        <v>2771.9499510000001</v>
      </c>
      <c r="K28" s="2">
        <v>293.32000699999998</v>
      </c>
      <c r="L28" s="2">
        <v>616.65301499999998</v>
      </c>
      <c r="M28" s="2">
        <v>47.768700000000003</v>
      </c>
      <c r="N28" s="2"/>
      <c r="O28" s="2"/>
      <c r="P28" s="7"/>
      <c r="Q28" s="4">
        <f t="shared" si="1"/>
        <v>1.0240033505222044E-2</v>
      </c>
      <c r="R28" s="4">
        <f t="shared" si="1"/>
        <v>1.1244546702077534E-2</v>
      </c>
      <c r="S28" s="4">
        <f t="shared" si="1"/>
        <v>1.0304759207181024E-2</v>
      </c>
      <c r="T28" s="4">
        <f t="shared" si="1"/>
        <v>6.3103914916421179E-3</v>
      </c>
      <c r="U28" s="4">
        <f t="shared" si="1"/>
        <v>6.356732416582949E-3</v>
      </c>
      <c r="V28" s="4">
        <f t="shared" si="1"/>
        <v>6.0705829351466603E-3</v>
      </c>
      <c r="W28" s="4">
        <f t="shared" si="1"/>
        <v>0</v>
      </c>
      <c r="X28" s="4">
        <f t="shared" si="1"/>
        <v>-4.6243619133320202E-2</v>
      </c>
      <c r="Y28" s="4">
        <f t="shared" si="1"/>
        <v>1.2530653370633008E-2</v>
      </c>
      <c r="Z28" s="4">
        <f t="shared" si="1"/>
        <v>8.8359643425239501E-3</v>
      </c>
      <c r="AA28" s="4">
        <f t="shared" si="1"/>
        <v>4.9102910242795478E-2</v>
      </c>
      <c r="AB28" s="4"/>
      <c r="AC28" s="4"/>
      <c r="AD28" s="4"/>
      <c r="AE28" s="14"/>
      <c r="AF28" s="7"/>
      <c r="AH28" s="15" t="s">
        <v>17</v>
      </c>
      <c r="AI28" s="2">
        <f t="shared" si="2"/>
        <v>9.0909090909090912E-2</v>
      </c>
      <c r="AO28" s="34" t="s">
        <v>64</v>
      </c>
      <c r="AP28" s="34">
        <v>30</v>
      </c>
    </row>
    <row r="29" spans="2:42" x14ac:dyDescent="0.35">
      <c r="B29" s="1">
        <v>43374</v>
      </c>
      <c r="C29" s="2">
        <v>19.101500000000001</v>
      </c>
      <c r="D29" s="2">
        <v>14.6471</v>
      </c>
      <c r="E29" s="2">
        <v>29.656199999999998</v>
      </c>
      <c r="F29" s="2">
        <v>267.17898600000001</v>
      </c>
      <c r="G29" s="2">
        <v>3567.860107</v>
      </c>
      <c r="H29" s="2">
        <v>2830.030029</v>
      </c>
      <c r="I29" s="2">
        <v>78.849997999999999</v>
      </c>
      <c r="J29" s="2">
        <v>2906.3500979999999</v>
      </c>
      <c r="K29" s="2">
        <v>289.69000199999999</v>
      </c>
      <c r="L29" s="2">
        <v>611.25201400000003</v>
      </c>
      <c r="M29" s="2">
        <v>45.532902</v>
      </c>
      <c r="N29" s="2"/>
      <c r="O29" s="2"/>
      <c r="P29" s="7"/>
      <c r="Q29" s="4">
        <f t="shared" si="1"/>
        <v>6.2265784255941328E-3</v>
      </c>
      <c r="R29" s="4">
        <f t="shared" si="1"/>
        <v>5.6782291065887291E-3</v>
      </c>
      <c r="S29" s="4">
        <f t="shared" si="1"/>
        <v>7.3472059126289072E-3</v>
      </c>
      <c r="T29" s="4">
        <f t="shared" si="1"/>
        <v>6.16854305937003E-3</v>
      </c>
      <c r="U29" s="4">
        <f t="shared" si="1"/>
        <v>6.2243019911647941E-3</v>
      </c>
      <c r="V29" s="4">
        <f t="shared" si="1"/>
        <v>6.2149934029494206E-3</v>
      </c>
      <c r="W29" s="4">
        <f t="shared" si="1"/>
        <v>0</v>
      </c>
      <c r="X29" s="4">
        <f t="shared" si="1"/>
        <v>4.9489057370106573E-2</v>
      </c>
      <c r="Y29" s="4">
        <f t="shared" si="1"/>
        <v>-2.7788028902949971E-2</v>
      </c>
      <c r="Z29" s="4">
        <f t="shared" si="1"/>
        <v>-3.3863800197185415E-3</v>
      </c>
      <c r="AA29" s="4">
        <f t="shared" si="1"/>
        <v>-4.1545743992324129E-2</v>
      </c>
      <c r="AB29" s="4"/>
      <c r="AC29" s="4"/>
      <c r="AD29" s="4"/>
      <c r="AE29" s="14"/>
      <c r="AF29" s="7"/>
      <c r="AH29" s="15"/>
      <c r="AI29" s="2"/>
      <c r="AO29" s="34" t="s">
        <v>74</v>
      </c>
      <c r="AP29" s="34">
        <v>30</v>
      </c>
    </row>
    <row r="30" spans="2:42" x14ac:dyDescent="0.35">
      <c r="B30" s="1">
        <v>43344</v>
      </c>
      <c r="C30" s="2">
        <v>18.983298999999999</v>
      </c>
      <c r="D30" s="2">
        <v>14.564399999999999</v>
      </c>
      <c r="E30" s="2">
        <v>29.439899</v>
      </c>
      <c r="F30" s="2">
        <v>265.54098499999998</v>
      </c>
      <c r="G30" s="2">
        <v>3545.790039</v>
      </c>
      <c r="H30" s="2">
        <v>2812.5500489999999</v>
      </c>
      <c r="I30" s="2">
        <v>78.849997999999999</v>
      </c>
      <c r="J30" s="2">
        <v>2769.3000489999999</v>
      </c>
      <c r="K30" s="2">
        <v>297.97000100000002</v>
      </c>
      <c r="L30" s="2">
        <v>613.328979</v>
      </c>
      <c r="M30" s="2">
        <v>47.506599000000001</v>
      </c>
      <c r="N30" s="2"/>
      <c r="O30" s="2"/>
      <c r="P30" s="7"/>
      <c r="Q30" s="4">
        <f t="shared" si="1"/>
        <v>-1.0104985654256745E-3</v>
      </c>
      <c r="R30" s="4">
        <f t="shared" si="1"/>
        <v>-1.6040801217456046E-3</v>
      </c>
      <c r="S30" s="4">
        <f t="shared" si="1"/>
        <v>8.8390182872719264E-4</v>
      </c>
      <c r="T30" s="4">
        <f t="shared" si="1"/>
        <v>5.6846536465614958E-3</v>
      </c>
      <c r="U30" s="4">
        <f t="shared" si="1"/>
        <v>5.689618636081686E-3</v>
      </c>
      <c r="V30" s="4">
        <f t="shared" si="1"/>
        <v>5.8220518346078802E-3</v>
      </c>
      <c r="W30" s="4">
        <f t="shared" si="1"/>
        <v>0</v>
      </c>
      <c r="X30" s="4">
        <f t="shared" si="1"/>
        <v>9.2167669648502554E-4</v>
      </c>
      <c r="Y30" s="4">
        <f t="shared" si="1"/>
        <v>-6.9425390902233916E-2</v>
      </c>
      <c r="Z30" s="4">
        <f t="shared" si="1"/>
        <v>-7.9068990578892967E-2</v>
      </c>
      <c r="AA30" s="4">
        <f t="shared" si="1"/>
        <v>-8.8137082904657285E-2</v>
      </c>
      <c r="AB30" s="4"/>
      <c r="AC30" s="4"/>
      <c r="AD30" s="4"/>
      <c r="AE30" s="14"/>
      <c r="AF30" s="7"/>
      <c r="AH30" s="15" t="s">
        <v>24</v>
      </c>
      <c r="AI30" s="2">
        <f>SUM(AI18:AI28)</f>
        <v>1.0000000000000002</v>
      </c>
      <c r="AO30" s="34" t="s">
        <v>57</v>
      </c>
      <c r="AP30" s="34">
        <v>50</v>
      </c>
    </row>
    <row r="31" spans="2:42" x14ac:dyDescent="0.35">
      <c r="B31" s="1">
        <v>43313</v>
      </c>
      <c r="C31" s="2">
        <v>19.002500999999999</v>
      </c>
      <c r="D31" s="2">
        <v>14.5878</v>
      </c>
      <c r="E31" s="2">
        <v>29.413900000000002</v>
      </c>
      <c r="F31" s="2">
        <v>264.040009</v>
      </c>
      <c r="G31" s="2">
        <v>3525.7299800000001</v>
      </c>
      <c r="H31" s="2">
        <v>2796.2700199999999</v>
      </c>
      <c r="I31" s="2">
        <v>78.849997999999999</v>
      </c>
      <c r="J31" s="2">
        <v>2766.75</v>
      </c>
      <c r="K31" s="2">
        <v>320.20001200000002</v>
      </c>
      <c r="L31" s="2">
        <v>665.987976</v>
      </c>
      <c r="M31" s="2">
        <v>52.098399999999998</v>
      </c>
      <c r="N31" s="2"/>
      <c r="O31" s="2"/>
      <c r="P31" s="7"/>
      <c r="Q31" s="4">
        <f t="shared" si="1"/>
        <v>5.3754583115089077E-3</v>
      </c>
      <c r="R31" s="4">
        <f t="shared" si="1"/>
        <v>4.8078247692518918E-3</v>
      </c>
      <c r="S31" s="4">
        <f t="shared" si="1"/>
        <v>5.8166519336288183E-3</v>
      </c>
      <c r="T31" s="4">
        <f t="shared" si="1"/>
        <v>5.9778068898185292E-3</v>
      </c>
      <c r="U31" s="4">
        <f t="shared" si="1"/>
        <v>5.9373847229369104E-3</v>
      </c>
      <c r="V31" s="4">
        <f t="shared" si="1"/>
        <v>5.9647224517548596E-3</v>
      </c>
      <c r="W31" s="4">
        <f t="shared" si="1"/>
        <v>0</v>
      </c>
      <c r="X31" s="4">
        <f t="shared" si="1"/>
        <v>1.8010872807957646E-2</v>
      </c>
      <c r="Y31" s="4">
        <f t="shared" si="1"/>
        <v>5.5094241445773594E-2</v>
      </c>
      <c r="Z31" s="4">
        <f t="shared" si="1"/>
        <v>5.1977480893982894E-2</v>
      </c>
      <c r="AA31" s="4">
        <f t="shared" si="1"/>
        <v>2.9329907976463034E-2</v>
      </c>
      <c r="AB31" s="4"/>
      <c r="AC31" s="4"/>
      <c r="AD31" s="4"/>
      <c r="AE31" s="14"/>
      <c r="AF31" s="7"/>
      <c r="AH31" s="3" t="s">
        <v>22</v>
      </c>
      <c r="AI31" s="8">
        <f t="array" ref="AI31">MMULT(TRANSPOSE(AI18:AI28), AI4:AI14)</f>
        <v>8.6080635961029328E-2</v>
      </c>
      <c r="AO31" s="34" t="s">
        <v>56</v>
      </c>
      <c r="AP31" s="34">
        <v>110</v>
      </c>
    </row>
    <row r="32" spans="2:42" x14ac:dyDescent="0.35">
      <c r="B32" s="1">
        <v>43282</v>
      </c>
      <c r="C32" s="2">
        <v>18.9009</v>
      </c>
      <c r="D32" s="2">
        <v>14.518000000000001</v>
      </c>
      <c r="E32" s="2">
        <v>29.243798999999999</v>
      </c>
      <c r="F32" s="2">
        <v>262.47100799999998</v>
      </c>
      <c r="G32" s="2">
        <v>3504.919922</v>
      </c>
      <c r="H32" s="2">
        <v>2779.6899410000001</v>
      </c>
      <c r="I32" s="2">
        <v>78.849997999999999</v>
      </c>
      <c r="J32" s="2">
        <v>2717.8000489999999</v>
      </c>
      <c r="K32" s="2">
        <v>303.48001099999999</v>
      </c>
      <c r="L32" s="2">
        <v>633.08196999999996</v>
      </c>
      <c r="M32" s="2">
        <v>50.613899000000004</v>
      </c>
      <c r="N32" s="2"/>
      <c r="O32" s="2"/>
      <c r="P32" s="7"/>
      <c r="Q32" s="4">
        <f t="shared" si="1"/>
        <v>7.9243612783497629E-3</v>
      </c>
      <c r="R32" s="4">
        <f t="shared" si="1"/>
        <v>8.6427301022677719E-3</v>
      </c>
      <c r="S32" s="4">
        <f t="shared" si="1"/>
        <v>1.0487071661316525E-2</v>
      </c>
      <c r="T32" s="4">
        <f t="shared" si="1"/>
        <v>6.1758149683248231E-3</v>
      </c>
      <c r="U32" s="4">
        <f t="shared" si="1"/>
        <v>6.261592177683079E-3</v>
      </c>
      <c r="V32" s="4">
        <f t="shared" si="1"/>
        <v>6.1279050437682151E-3</v>
      </c>
      <c r="W32" s="4">
        <f t="shared" si="1"/>
        <v>0</v>
      </c>
      <c r="X32" s="4">
        <f t="shared" si="1"/>
        <v>-2.2497184453495377E-2</v>
      </c>
      <c r="Y32" s="4">
        <f t="shared" si="1"/>
        <v>6.2121580921368463E-2</v>
      </c>
      <c r="Z32" s="4">
        <f t="shared" si="1"/>
        <v>7.0386002870839612E-2</v>
      </c>
      <c r="AA32" s="4">
        <f t="shared" si="1"/>
        <v>5.0440526339536482E-2</v>
      </c>
      <c r="AB32" s="4"/>
      <c r="AC32" s="4"/>
      <c r="AD32" s="4"/>
      <c r="AE32" s="14"/>
      <c r="AF32" s="7"/>
      <c r="AH32" s="3" t="s">
        <v>8</v>
      </c>
      <c r="AI32" s="8">
        <f t="array" ref="AI32">SQRT(MMULT(MMULT(TRANSPOSE(AI18:AI28),AM5:AW15),AI18:AI28))</f>
        <v>6.6147371679893013E-2</v>
      </c>
    </row>
    <row r="33" spans="2:46" x14ac:dyDescent="0.35">
      <c r="B33" s="1">
        <v>43252</v>
      </c>
      <c r="C33" s="2">
        <v>18.752300000000002</v>
      </c>
      <c r="D33" s="2">
        <v>14.393599999999999</v>
      </c>
      <c r="E33" s="2">
        <v>28.940300000000001</v>
      </c>
      <c r="F33" s="2">
        <v>260.85998499999999</v>
      </c>
      <c r="G33" s="2">
        <v>3483.110107</v>
      </c>
      <c r="H33" s="2">
        <v>2762.76001</v>
      </c>
      <c r="I33" s="2">
        <v>78.849997999999999</v>
      </c>
      <c r="J33" s="2">
        <v>2780.3500979999999</v>
      </c>
      <c r="K33" s="2">
        <v>285.73001099999999</v>
      </c>
      <c r="L33" s="2">
        <v>591.45202600000005</v>
      </c>
      <c r="M33" s="2">
        <v>48.183498</v>
      </c>
      <c r="N33" s="2"/>
      <c r="O33" s="2"/>
      <c r="P33" s="7"/>
      <c r="Q33" s="4">
        <f t="shared" si="1"/>
        <v>5.5769158582821363E-3</v>
      </c>
      <c r="R33" s="4">
        <f t="shared" si="1"/>
        <v>4.7467470821466202E-3</v>
      </c>
      <c r="S33" s="4">
        <f t="shared" si="1"/>
        <v>6.3321070164336409E-3</v>
      </c>
      <c r="T33" s="4">
        <f t="shared" si="1"/>
        <v>6.1247723688855485E-3</v>
      </c>
      <c r="U33" s="4">
        <f t="shared" si="1"/>
        <v>5.9262050888190636E-3</v>
      </c>
      <c r="V33" s="4">
        <f t="shared" si="1"/>
        <v>6.0118379608556996E-3</v>
      </c>
      <c r="W33" s="4">
        <f t="shared" si="1"/>
        <v>0</v>
      </c>
      <c r="X33" s="4">
        <f t="shared" si="1"/>
        <v>-2.9546213612565483E-2</v>
      </c>
      <c r="Y33" s="4">
        <f t="shared" si="1"/>
        <v>-4.3903238576369413E-3</v>
      </c>
      <c r="Z33" s="4">
        <f t="shared" si="1"/>
        <v>-3.410069639753914E-2</v>
      </c>
      <c r="AA33" s="4">
        <f t="shared" si="1"/>
        <v>-2.9233719071083967E-2</v>
      </c>
      <c r="AB33" s="4"/>
      <c r="AC33" s="4"/>
      <c r="AD33" s="4"/>
      <c r="AE33" s="14"/>
      <c r="AF33" s="7"/>
    </row>
    <row r="34" spans="2:46" x14ac:dyDescent="0.35">
      <c r="B34" s="1">
        <v>43221</v>
      </c>
      <c r="C34" s="2">
        <v>18.648299999999999</v>
      </c>
      <c r="D34" s="2">
        <v>14.3256</v>
      </c>
      <c r="E34" s="2">
        <v>28.758199999999999</v>
      </c>
      <c r="F34" s="2">
        <v>259.27200299999998</v>
      </c>
      <c r="G34" s="2">
        <v>3462.5900879999999</v>
      </c>
      <c r="H34" s="2">
        <v>2746.25</v>
      </c>
      <c r="I34" s="2">
        <v>78.849997999999999</v>
      </c>
      <c r="J34" s="2">
        <v>2865</v>
      </c>
      <c r="K34" s="2">
        <v>286.98998999999998</v>
      </c>
      <c r="L34" s="2">
        <v>612.33300799999995</v>
      </c>
      <c r="M34" s="2">
        <v>49.634498999999998</v>
      </c>
      <c r="N34" s="2"/>
      <c r="O34" s="2"/>
      <c r="P34" s="7"/>
      <c r="Q34" s="4">
        <f t="shared" si="1"/>
        <v>5.4510117673293897E-3</v>
      </c>
      <c r="R34" s="4">
        <f t="shared" si="1"/>
        <v>4.8188732217309578E-4</v>
      </c>
      <c r="S34" s="4">
        <f t="shared" si="1"/>
        <v>1.699791705852437E-3</v>
      </c>
      <c r="T34" s="4">
        <f t="shared" si="1"/>
        <v>5.6747943506546827E-3</v>
      </c>
      <c r="U34" s="4">
        <f t="shared" si="1"/>
        <v>6.2421661417647722E-3</v>
      </c>
      <c r="V34" s="4">
        <f t="shared" si="1"/>
        <v>5.742365736648076E-3</v>
      </c>
      <c r="W34" s="4">
        <f t="shared" si="1"/>
        <v>0</v>
      </c>
      <c r="X34" s="4">
        <f t="shared" si="1"/>
        <v>1.0475064538751418E-2</v>
      </c>
      <c r="Y34" s="4">
        <f t="shared" si="1"/>
        <v>-1.4863438473005386E-2</v>
      </c>
      <c r="Z34" s="4">
        <f t="shared" si="1"/>
        <v>-1.795746873323412E-2</v>
      </c>
      <c r="AA34" s="4">
        <f t="shared" si="1"/>
        <v>-1.7123043872438435E-2</v>
      </c>
      <c r="AB34" s="4"/>
      <c r="AC34" s="4"/>
      <c r="AD34" s="4"/>
      <c r="AE34" s="14"/>
      <c r="AF34" s="7"/>
    </row>
    <row r="35" spans="2:46" x14ac:dyDescent="0.35">
      <c r="B35" s="1">
        <v>43191</v>
      </c>
      <c r="C35" s="2">
        <v>18.547198999999999</v>
      </c>
      <c r="D35" s="2">
        <v>14.3187</v>
      </c>
      <c r="E35" s="2">
        <v>28.709399999999999</v>
      </c>
      <c r="F35" s="2">
        <v>257.80898999999999</v>
      </c>
      <c r="G35" s="2">
        <v>3441.110107</v>
      </c>
      <c r="H35" s="2">
        <v>2730.570068</v>
      </c>
      <c r="I35" s="2">
        <v>78.849997999999999</v>
      </c>
      <c r="J35" s="2">
        <v>2835.3000489999999</v>
      </c>
      <c r="K35" s="2">
        <v>291.32000699999998</v>
      </c>
      <c r="L35" s="2">
        <v>623.53002900000001</v>
      </c>
      <c r="M35" s="2">
        <v>50.499198999999997</v>
      </c>
      <c r="N35" s="2"/>
      <c r="O35" s="2"/>
      <c r="P35" s="7"/>
      <c r="Q35" s="4">
        <f t="shared" si="1"/>
        <v>-9.3199380904452082E-4</v>
      </c>
      <c r="R35" s="4">
        <f t="shared" si="1"/>
        <v>-6.3910400532933833E-3</v>
      </c>
      <c r="S35" s="4">
        <f t="shared" si="1"/>
        <v>-1.8357080416556558E-3</v>
      </c>
      <c r="T35" s="4">
        <f t="shared" si="1"/>
        <v>5.5423420752922043E-3</v>
      </c>
      <c r="U35" s="4">
        <f t="shared" si="1"/>
        <v>5.6021339738644704E-3</v>
      </c>
      <c r="V35" s="4">
        <f t="shared" si="1"/>
        <v>5.5162890990785168E-3</v>
      </c>
      <c r="W35" s="4">
        <f t="shared" si="1"/>
        <v>0</v>
      </c>
      <c r="X35" s="4">
        <f t="shared" si="1"/>
        <v>1.0802156506238839E-2</v>
      </c>
      <c r="Y35" s="4">
        <f t="shared" si="1"/>
        <v>3.550997213816371E-2</v>
      </c>
      <c r="Z35" s="4">
        <f t="shared" si="1"/>
        <v>5.4022176278685205E-2</v>
      </c>
      <c r="AA35" s="4">
        <f t="shared" si="1"/>
        <v>5.233854380458882E-2</v>
      </c>
      <c r="AB35" s="4"/>
      <c r="AC35" s="4"/>
      <c r="AD35" s="4"/>
      <c r="AE35" s="14"/>
      <c r="AF35" s="7"/>
      <c r="AH35" s="3" t="s">
        <v>23</v>
      </c>
      <c r="AI35" s="3" t="s">
        <v>10</v>
      </c>
      <c r="AK35" s="39" t="s">
        <v>80</v>
      </c>
      <c r="AL35" s="37"/>
      <c r="AM35" s="38"/>
      <c r="AO35" s="25"/>
      <c r="AP35" s="30" t="s">
        <v>30</v>
      </c>
      <c r="AQ35" s="26" t="s">
        <v>34</v>
      </c>
      <c r="AS35" s="31" t="s">
        <v>42</v>
      </c>
      <c r="AT35" s="31" t="s">
        <v>68</v>
      </c>
    </row>
    <row r="36" spans="2:46" x14ac:dyDescent="0.35">
      <c r="B36" s="1">
        <v>43160</v>
      </c>
      <c r="C36" s="2">
        <v>18.564501</v>
      </c>
      <c r="D36" s="2">
        <v>14.4108</v>
      </c>
      <c r="E36" s="2">
        <v>28.762198999999999</v>
      </c>
      <c r="F36" s="2">
        <v>256.38799999999998</v>
      </c>
      <c r="G36" s="2">
        <v>3421.9399410000001</v>
      </c>
      <c r="H36" s="2">
        <v>2715.5900879999999</v>
      </c>
      <c r="I36" s="2">
        <v>78.849997999999999</v>
      </c>
      <c r="J36" s="2">
        <v>2805</v>
      </c>
      <c r="K36" s="2">
        <v>281.32998700000002</v>
      </c>
      <c r="L36" s="2">
        <v>591.57202099999995</v>
      </c>
      <c r="M36" s="2">
        <v>47.987597999999998</v>
      </c>
      <c r="N36" s="2"/>
      <c r="O36" s="2"/>
      <c r="P36" s="7"/>
      <c r="Q36" s="4">
        <f t="shared" si="1"/>
        <v>1.1551559103579384E-2</v>
      </c>
      <c r="R36" s="4">
        <f t="shared" si="1"/>
        <v>1.5660459805759613E-2</v>
      </c>
      <c r="S36" s="4">
        <f t="shared" si="1"/>
        <v>1.2503925088886505E-2</v>
      </c>
      <c r="T36" s="4">
        <f t="shared" si="1"/>
        <v>7.0465370051108417E-3</v>
      </c>
      <c r="U36" s="4">
        <f t="shared" si="1"/>
        <v>5.994294279454874E-3</v>
      </c>
      <c r="V36" s="4">
        <f t="shared" si="1"/>
        <v>6.7659247275458877E-3</v>
      </c>
      <c r="W36" s="4">
        <f t="shared" si="1"/>
        <v>1.6108247837841438E-2</v>
      </c>
      <c r="X36" s="4">
        <f t="shared" si="1"/>
        <v>3.0215625867384775E-3</v>
      </c>
      <c r="Y36" s="4">
        <f t="shared" si="1"/>
        <v>-2.1631025072412692E-2</v>
      </c>
      <c r="Z36" s="4">
        <f t="shared" si="1"/>
        <v>-5.7488598565821517E-2</v>
      </c>
      <c r="AA36" s="4">
        <f t="shared" si="1"/>
        <v>-2.3810969097666491E-2</v>
      </c>
      <c r="AB36" s="4"/>
      <c r="AC36" s="4"/>
      <c r="AD36" s="4"/>
      <c r="AE36" s="14"/>
      <c r="AF36" s="7"/>
      <c r="AH36" s="15" t="s">
        <v>11</v>
      </c>
      <c r="AI36" s="5">
        <v>0</v>
      </c>
      <c r="AK36" s="37"/>
      <c r="AL36" s="37"/>
      <c r="AM36" s="38"/>
      <c r="AO36" s="26" t="s">
        <v>31</v>
      </c>
      <c r="AP36" s="27">
        <f>AI36</f>
        <v>0</v>
      </c>
      <c r="AQ36" s="28">
        <f>AP36*AP31</f>
        <v>0</v>
      </c>
      <c r="AS36" s="31" t="s">
        <v>44</v>
      </c>
      <c r="AT36" s="32">
        <f>SUM(AQ36:AQ37)</f>
        <v>0</v>
      </c>
    </row>
    <row r="37" spans="2:46" x14ac:dyDescent="0.35">
      <c r="B37" s="1">
        <v>43132</v>
      </c>
      <c r="C37" s="2">
        <v>18.352501</v>
      </c>
      <c r="D37" s="2">
        <v>14.188599999999999</v>
      </c>
      <c r="E37" s="2">
        <v>28.407</v>
      </c>
      <c r="F37" s="2">
        <v>254.59399400000001</v>
      </c>
      <c r="G37" s="2">
        <v>3401.5500489999999</v>
      </c>
      <c r="H37" s="2">
        <v>2697.3400879999999</v>
      </c>
      <c r="I37" s="2">
        <v>77.599997999999999</v>
      </c>
      <c r="J37" s="2">
        <v>2796.5500489999999</v>
      </c>
      <c r="K37" s="2">
        <v>287.54998799999998</v>
      </c>
      <c r="L37" s="2">
        <v>627.65502900000001</v>
      </c>
      <c r="M37" s="2">
        <v>49.158099999999997</v>
      </c>
      <c r="N37" s="2"/>
      <c r="O37" s="2"/>
      <c r="P37" s="7"/>
      <c r="Q37" s="4">
        <f t="shared" si="1"/>
        <v>2.9073244827574466E-3</v>
      </c>
      <c r="R37" s="4">
        <f t="shared" si="1"/>
        <v>-3.1405225773362909E-3</v>
      </c>
      <c r="S37" s="4">
        <f t="shared" si="1"/>
        <v>1.6678949942311068E-3</v>
      </c>
      <c r="T37" s="4">
        <f t="shared" si="1"/>
        <v>5.0371510720125115E-3</v>
      </c>
      <c r="U37" s="4">
        <f t="shared" si="1"/>
        <v>5.0376862165755487E-3</v>
      </c>
      <c r="V37" s="4">
        <f t="shared" si="1"/>
        <v>4.9852185555758748E-3</v>
      </c>
      <c r="W37" s="4">
        <f t="shared" si="1"/>
        <v>0</v>
      </c>
      <c r="X37" s="4">
        <f t="shared" si="1"/>
        <v>1.238074457859688E-2</v>
      </c>
      <c r="Y37" s="4">
        <f t="shared" si="1"/>
        <v>-3.5649625224855507E-2</v>
      </c>
      <c r="Z37" s="4">
        <f t="shared" si="1"/>
        <v>-6.6432665138096605E-2</v>
      </c>
      <c r="AA37" s="4">
        <f t="shared" si="1"/>
        <v>-3.4690473004633508E-2</v>
      </c>
      <c r="AB37" s="4"/>
      <c r="AC37" s="4"/>
      <c r="AD37" s="4"/>
      <c r="AE37" s="14"/>
      <c r="AF37" s="7"/>
      <c r="AH37" s="15" t="s">
        <v>12</v>
      </c>
      <c r="AI37" s="5">
        <v>0</v>
      </c>
      <c r="AO37" s="26" t="s">
        <v>41</v>
      </c>
      <c r="AP37" s="27">
        <f>AI38</f>
        <v>0</v>
      </c>
      <c r="AQ37" s="28">
        <f>AP37*AP31</f>
        <v>0</v>
      </c>
      <c r="AS37" s="31" t="s">
        <v>45</v>
      </c>
      <c r="AT37" s="32">
        <f>SUM(AQ38:AQ39)</f>
        <v>2.1882977543251578</v>
      </c>
    </row>
    <row r="38" spans="2:46" x14ac:dyDescent="0.35">
      <c r="B38" s="1">
        <v>43101</v>
      </c>
      <c r="C38" s="2">
        <v>18.299299000000001</v>
      </c>
      <c r="D38" s="2">
        <v>14.2333</v>
      </c>
      <c r="E38" s="2">
        <v>28.359698999999999</v>
      </c>
      <c r="F38" s="2">
        <v>253.317993</v>
      </c>
      <c r="G38" s="2">
        <v>3384.5</v>
      </c>
      <c r="H38" s="2">
        <v>2683.959961</v>
      </c>
      <c r="I38" s="2">
        <v>77.599997999999999</v>
      </c>
      <c r="J38" s="2">
        <v>2762.3500979999999</v>
      </c>
      <c r="K38" s="2">
        <v>298.17999300000002</v>
      </c>
      <c r="L38" s="2">
        <v>672.31897000000004</v>
      </c>
      <c r="M38" s="2">
        <v>50.924702000000003</v>
      </c>
      <c r="N38" s="2"/>
      <c r="O38" s="2"/>
      <c r="P38" s="7"/>
      <c r="Q38" s="4">
        <f t="shared" si="1"/>
        <v>4.5121890970573142E-3</v>
      </c>
      <c r="R38" s="4">
        <f t="shared" si="1"/>
        <v>4.3325171642474899E-3</v>
      </c>
      <c r="S38" s="4">
        <f t="shared" si="1"/>
        <v>5.246014951243585E-3</v>
      </c>
      <c r="T38" s="4">
        <f t="shared" si="1"/>
        <v>5.4815172917279994E-3</v>
      </c>
      <c r="U38" s="4">
        <f t="shared" si="1"/>
        <v>5.4632476108720553E-3</v>
      </c>
      <c r="V38" s="4">
        <f t="shared" si="1"/>
        <v>5.4431205800984529E-3</v>
      </c>
      <c r="W38" s="4">
        <f t="shared" si="1"/>
        <v>0</v>
      </c>
      <c r="X38" s="4">
        <f t="shared" si="1"/>
        <v>2.6705109830886409E-2</v>
      </c>
      <c r="Y38" s="4">
        <f t="shared" si="1"/>
        <v>1.4769932817450895E-2</v>
      </c>
      <c r="Z38" s="4">
        <f t="shared" si="1"/>
        <v>3.0088112105847588E-2</v>
      </c>
      <c r="AA38" s="4">
        <f t="shared" si="1"/>
        <v>4.0161076474023519E-3</v>
      </c>
      <c r="AB38" s="4"/>
      <c r="AC38" s="4"/>
      <c r="AD38" s="4"/>
      <c r="AE38" s="14"/>
      <c r="AF38" s="7"/>
      <c r="AH38" s="15" t="s">
        <v>13</v>
      </c>
      <c r="AI38" s="5">
        <v>0</v>
      </c>
      <c r="AO38" s="26" t="s">
        <v>4</v>
      </c>
      <c r="AP38" s="27">
        <f>AI42</f>
        <v>6.8866713789541003E-3</v>
      </c>
      <c r="AQ38" s="28">
        <f>AP38*AP31</f>
        <v>0.75753385168495102</v>
      </c>
      <c r="AS38" s="31" t="s">
        <v>50</v>
      </c>
      <c r="AT38" s="32">
        <f>SUM(AQ42:AQ43)</f>
        <v>107.44487690889967</v>
      </c>
    </row>
    <row r="39" spans="2:46" x14ac:dyDescent="0.35">
      <c r="B39" s="1">
        <v>43070</v>
      </c>
      <c r="C39" s="2">
        <v>18.217099999999999</v>
      </c>
      <c r="D39" s="2">
        <v>14.171900000000001</v>
      </c>
      <c r="E39" s="2">
        <v>28.2117</v>
      </c>
      <c r="F39" s="2">
        <v>251.93699599999999</v>
      </c>
      <c r="G39" s="2">
        <v>3366.110107</v>
      </c>
      <c r="H39" s="2">
        <v>2669.429932</v>
      </c>
      <c r="I39" s="2">
        <v>77.599997999999999</v>
      </c>
      <c r="J39" s="2">
        <v>2690.5</v>
      </c>
      <c r="K39" s="2">
        <v>293.83999599999999</v>
      </c>
      <c r="L39" s="2">
        <v>652.68102999999996</v>
      </c>
      <c r="M39" s="2">
        <v>50.721001000000001</v>
      </c>
      <c r="N39" s="2"/>
      <c r="O39" s="2"/>
      <c r="P39" s="7"/>
      <c r="Q39" s="4">
        <f t="shared" si="1"/>
        <v>2.7459767267902692E-4</v>
      </c>
      <c r="R39" s="4">
        <f t="shared" si="1"/>
        <v>-1.9859015077358612E-3</v>
      </c>
      <c r="S39" s="4">
        <f t="shared" si="1"/>
        <v>1.205319001853774E-4</v>
      </c>
      <c r="T39" s="4">
        <f t="shared" si="1"/>
        <v>5.3431749758488627E-3</v>
      </c>
      <c r="U39" s="4">
        <f t="shared" si="1"/>
        <v>5.3672231669801207E-3</v>
      </c>
      <c r="V39" s="4">
        <f t="shared" si="1"/>
        <v>5.3479179231020659E-3</v>
      </c>
      <c r="W39" s="4">
        <f t="shared" si="1"/>
        <v>0</v>
      </c>
      <c r="X39" s="4">
        <f t="shared" si="1"/>
        <v>-1.1509124915393767E-3</v>
      </c>
      <c r="Y39" s="4">
        <f t="shared" si="1"/>
        <v>3.6472649029982311E-2</v>
      </c>
      <c r="Z39" s="4">
        <f t="shared" si="1"/>
        <v>2.7591684301887739E-2</v>
      </c>
      <c r="AA39" s="4">
        <f t="shared" si="1"/>
        <v>3.3593215491088263E-2</v>
      </c>
      <c r="AB39" s="4"/>
      <c r="AC39" s="4"/>
      <c r="AD39" s="4"/>
      <c r="AE39" s="14"/>
      <c r="AF39" s="7"/>
      <c r="AH39" s="15" t="s">
        <v>16</v>
      </c>
      <c r="AI39" s="5">
        <v>4.7217003806560546E-4</v>
      </c>
      <c r="AO39" s="26" t="s">
        <v>3</v>
      </c>
      <c r="AP39" s="27">
        <f>AI43</f>
        <v>1.3006944569456426E-2</v>
      </c>
      <c r="AQ39" s="28">
        <f>AP39*AP31</f>
        <v>1.4307639026402068</v>
      </c>
      <c r="AS39" s="31" t="s">
        <v>79</v>
      </c>
      <c r="AT39" s="32">
        <f>AP27</f>
        <v>30</v>
      </c>
    </row>
    <row r="40" spans="2:46" x14ac:dyDescent="0.35">
      <c r="B40" s="1">
        <v>43040</v>
      </c>
      <c r="C40" s="2">
        <v>18.212098999999998</v>
      </c>
      <c r="D40" s="2">
        <v>14.200100000000001</v>
      </c>
      <c r="E40" s="2">
        <v>28.208300000000001</v>
      </c>
      <c r="F40" s="2">
        <v>250.598007</v>
      </c>
      <c r="G40" s="2">
        <v>3348.139893</v>
      </c>
      <c r="H40" s="2">
        <v>2655.2299800000001</v>
      </c>
      <c r="I40" s="2">
        <v>77.599997999999999</v>
      </c>
      <c r="J40" s="2">
        <v>2693.6000979999999</v>
      </c>
      <c r="K40" s="2">
        <v>283.5</v>
      </c>
      <c r="L40" s="2">
        <v>635.15600600000005</v>
      </c>
      <c r="M40" s="2">
        <v>49.072498000000003</v>
      </c>
      <c r="N40" s="2"/>
      <c r="O40" s="2"/>
      <c r="P40" s="7"/>
      <c r="Q40" s="4">
        <f>(C40-C41)/C41</f>
        <v>2.1735469883230403E-3</v>
      </c>
      <c r="R40" s="4">
        <f t="shared" si="1"/>
        <v>-9.1464916168885742E-4</v>
      </c>
      <c r="S40" s="4">
        <f t="shared" si="1"/>
        <v>2.6729723111576413E-3</v>
      </c>
      <c r="T40" s="4">
        <f t="shared" si="1"/>
        <v>5.1541755920601279E-3</v>
      </c>
      <c r="U40" s="4">
        <f t="shared" si="1"/>
        <v>5.1365084826739084E-3</v>
      </c>
      <c r="V40" s="4">
        <f t="shared" si="1"/>
        <v>5.117904387536224E-3</v>
      </c>
      <c r="W40" s="4">
        <f t="shared" si="1"/>
        <v>0</v>
      </c>
      <c r="X40" s="4">
        <f t="shared" si="1"/>
        <v>-1.2420894198492919E-3</v>
      </c>
      <c r="Y40" s="4">
        <f t="shared" si="1"/>
        <v>1.6606048887419344E-3</v>
      </c>
      <c r="Z40" s="4">
        <f t="shared" si="1"/>
        <v>1.0104936020862147E-2</v>
      </c>
      <c r="AA40" s="4">
        <f t="shared" si="1"/>
        <v>9.8634580586696181E-3</v>
      </c>
      <c r="AB40" s="2"/>
      <c r="AC40" s="2"/>
      <c r="AD40" s="2"/>
      <c r="AE40" s="19"/>
      <c r="AF40" s="7"/>
      <c r="AH40" s="15" t="s">
        <v>15</v>
      </c>
      <c r="AI40" s="5">
        <v>0.97629943822465859</v>
      </c>
      <c r="AO40" s="26" t="s">
        <v>36</v>
      </c>
      <c r="AP40" s="27">
        <f>AI46</f>
        <v>3.3348020516635146E-3</v>
      </c>
      <c r="AQ40" s="28">
        <f>AP40*AP31</f>
        <v>0.36682822568298662</v>
      </c>
      <c r="AS40" s="31" t="s">
        <v>69</v>
      </c>
      <c r="AT40" s="33">
        <f>AP28</f>
        <v>30</v>
      </c>
    </row>
    <row r="41" spans="2:46" x14ac:dyDescent="0.35">
      <c r="B41" s="1">
        <v>43009</v>
      </c>
      <c r="C41" s="2">
        <v>18.172599999999999</v>
      </c>
      <c r="D41" s="2">
        <v>14.213100000000001</v>
      </c>
      <c r="E41" s="2">
        <v>28.133101</v>
      </c>
      <c r="F41" s="2">
        <v>249.31300400000001</v>
      </c>
      <c r="G41" s="2">
        <v>3331.030029</v>
      </c>
      <c r="H41" s="2">
        <v>2641.709961</v>
      </c>
      <c r="I41" s="2">
        <v>77.599997999999999</v>
      </c>
      <c r="J41" s="2">
        <v>2696.9499510000001</v>
      </c>
      <c r="K41" s="2">
        <v>283.02999899999998</v>
      </c>
      <c r="L41" s="2">
        <v>628.80200200000002</v>
      </c>
      <c r="M41" s="2">
        <v>48.593201000000001</v>
      </c>
      <c r="P41" s="7"/>
      <c r="Q41" s="4">
        <f t="shared" si="1"/>
        <v>5.7502196754486336E-3</v>
      </c>
      <c r="R41" s="4">
        <f t="shared" si="1"/>
        <v>9.1879264681866551E-3</v>
      </c>
      <c r="S41" s="4">
        <f t="shared" si="1"/>
        <v>6.3170284662610659E-3</v>
      </c>
      <c r="T41" s="4">
        <f t="shared" si="1"/>
        <v>5.3348883960061622E-3</v>
      </c>
      <c r="U41" s="4">
        <f t="shared" si="1"/>
        <v>5.469547159844392E-3</v>
      </c>
      <c r="V41" s="4">
        <f t="shared" si="1"/>
        <v>5.2933677375085839E-3</v>
      </c>
      <c r="W41" s="4">
        <f t="shared" si="1"/>
        <v>0</v>
      </c>
      <c r="X41" s="4">
        <f t="shared" si="1"/>
        <v>-1.5783519733374378E-2</v>
      </c>
      <c r="Y41" s="4">
        <f t="shared" si="1"/>
        <v>6.0752535697220042E-2</v>
      </c>
      <c r="Z41" s="4">
        <f t="shared" si="1"/>
        <v>8.8308870184743579E-2</v>
      </c>
      <c r="AA41" s="4">
        <f t="shared" si="1"/>
        <v>4.9896575039066658E-2</v>
      </c>
      <c r="AD41" s="4"/>
      <c r="AE41" s="7"/>
      <c r="AF41" s="7"/>
      <c r="AH41" s="15" t="s">
        <v>14</v>
      </c>
      <c r="AI41" s="5">
        <v>0</v>
      </c>
      <c r="AO41" s="26" t="s">
        <v>18</v>
      </c>
      <c r="AP41" s="27">
        <f>AI44</f>
        <v>0</v>
      </c>
      <c r="AQ41" s="28">
        <f>AP41*AP31</f>
        <v>0</v>
      </c>
      <c r="AS41" s="31" t="s">
        <v>55</v>
      </c>
      <c r="AT41" s="33">
        <f>AP30</f>
        <v>50</v>
      </c>
    </row>
    <row r="42" spans="2:46" x14ac:dyDescent="0.35">
      <c r="B42" s="1">
        <v>42979</v>
      </c>
      <c r="C42" s="2">
        <v>18.068701000000001</v>
      </c>
      <c r="D42" s="2">
        <v>14.0837</v>
      </c>
      <c r="E42" s="2">
        <v>27.956499000000001</v>
      </c>
      <c r="F42" s="2">
        <v>247.990005</v>
      </c>
      <c r="G42" s="2">
        <v>3312.9099120000001</v>
      </c>
      <c r="H42" s="2">
        <v>2627.8000489999999</v>
      </c>
      <c r="I42" s="2">
        <v>77.599997999999999</v>
      </c>
      <c r="J42" s="2">
        <v>2740.1999510000001</v>
      </c>
      <c r="K42" s="2">
        <v>266.82000699999998</v>
      </c>
      <c r="L42" s="2">
        <v>577.77899200000002</v>
      </c>
      <c r="M42" s="2">
        <v>46.283797999999997</v>
      </c>
      <c r="P42" s="7"/>
      <c r="Q42" s="4">
        <f t="shared" si="1"/>
        <v>3.1423876172129049E-3</v>
      </c>
      <c r="R42" s="4">
        <f t="shared" si="1"/>
        <v>2.0990166640577567E-3</v>
      </c>
      <c r="S42" s="4">
        <f t="shared" si="1"/>
        <v>3.5141032387089612E-3</v>
      </c>
      <c r="T42" s="4">
        <f t="shared" si="1"/>
        <v>5.1760872573729669E-3</v>
      </c>
      <c r="U42" s="4">
        <f t="shared" si="1"/>
        <v>4.9779802821174205E-3</v>
      </c>
      <c r="V42" s="4">
        <f t="shared" si="1"/>
        <v>5.1523604893475078E-3</v>
      </c>
      <c r="W42" s="4">
        <f t="shared" si="1"/>
        <v>0</v>
      </c>
      <c r="X42" s="4">
        <f t="shared" si="1"/>
        <v>9.8210467906501876E-3</v>
      </c>
      <c r="Y42" s="4">
        <f t="shared" si="1"/>
        <v>-2.0196664807563451E-3</v>
      </c>
      <c r="Z42" s="4">
        <f t="shared" si="1"/>
        <v>-1.7912153984150265E-2</v>
      </c>
      <c r="AA42" s="4">
        <f t="shared" ref="AA42:AA63" si="3">(M42-M43)/M43</f>
        <v>-3.6660702213122441E-3</v>
      </c>
      <c r="AE42" s="7"/>
      <c r="AF42" s="7"/>
      <c r="AH42" s="15" t="s">
        <v>4</v>
      </c>
      <c r="AI42" s="5">
        <v>6.8866713789541003E-3</v>
      </c>
      <c r="AK42" s="3" t="s">
        <v>29</v>
      </c>
      <c r="AL42" s="5">
        <f>SUM(AI36:AI38)</f>
        <v>0</v>
      </c>
      <c r="AO42" s="26" t="s">
        <v>16</v>
      </c>
      <c r="AP42" s="27">
        <f>AI39</f>
        <v>4.7217003806560546E-4</v>
      </c>
      <c r="AQ42" s="28">
        <f>AP42*AP31</f>
        <v>5.1938704187216599E-2</v>
      </c>
      <c r="AS42" s="31" t="s">
        <v>75</v>
      </c>
      <c r="AT42" s="33">
        <v>30</v>
      </c>
    </row>
    <row r="43" spans="2:46" x14ac:dyDescent="0.35">
      <c r="B43" s="1">
        <v>42948</v>
      </c>
      <c r="C43" s="2">
        <v>18.0121</v>
      </c>
      <c r="D43" s="2">
        <v>14.0542</v>
      </c>
      <c r="E43" s="2">
        <v>27.858601</v>
      </c>
      <c r="F43" s="2">
        <v>246.712997</v>
      </c>
      <c r="G43" s="2">
        <v>3296.5</v>
      </c>
      <c r="H43" s="2">
        <v>2614.330078</v>
      </c>
      <c r="I43" s="2">
        <v>77.599997999999999</v>
      </c>
      <c r="J43" s="2">
        <v>2713.5500489999999</v>
      </c>
      <c r="K43" s="2">
        <v>267.35998499999999</v>
      </c>
      <c r="L43" s="2">
        <v>588.31701699999996</v>
      </c>
      <c r="M43" s="2">
        <v>46.454101999999999</v>
      </c>
      <c r="P43" s="7"/>
      <c r="Q43" s="4">
        <f t="shared" ref="Q43:Z63" si="4">(C43-C44)/C44</f>
        <v>5.9085349848935044E-3</v>
      </c>
      <c r="R43" s="4">
        <f t="shared" si="4"/>
        <v>6.4738824675230899E-3</v>
      </c>
      <c r="S43" s="4">
        <f t="shared" si="4"/>
        <v>7.2164937271774563E-3</v>
      </c>
      <c r="T43" s="4">
        <f t="shared" si="4"/>
        <v>5.3668398077693358E-3</v>
      </c>
      <c r="U43" s="4">
        <f t="shared" si="4"/>
        <v>5.3646146042697143E-3</v>
      </c>
      <c r="V43" s="4">
        <f t="shared" si="4"/>
        <v>5.3453261050988203E-3</v>
      </c>
      <c r="W43" s="4">
        <f t="shared" si="4"/>
        <v>0</v>
      </c>
      <c r="X43" s="4">
        <f t="shared" si="4"/>
        <v>3.4896359066409262E-2</v>
      </c>
      <c r="Y43" s="4">
        <f t="shared" si="4"/>
        <v>-1.2630231230630815E-2</v>
      </c>
      <c r="Z43" s="4">
        <f t="shared" si="4"/>
        <v>-3.2419465616534374E-2</v>
      </c>
      <c r="AA43" s="4">
        <f t="shared" si="3"/>
        <v>1.2080736823834306E-2</v>
      </c>
      <c r="AB43" s="3"/>
      <c r="AC43" s="3"/>
      <c r="AD43" s="3"/>
      <c r="AE43" s="13"/>
      <c r="AF43" s="7"/>
      <c r="AH43" s="15" t="s">
        <v>3</v>
      </c>
      <c r="AI43" s="5">
        <v>1.3006944569456426E-2</v>
      </c>
      <c r="AK43" s="3" t="s">
        <v>28</v>
      </c>
      <c r="AL43" s="5">
        <f>SUM(AI39:AI41)</f>
        <v>0.97677160826272424</v>
      </c>
      <c r="AO43" s="26" t="s">
        <v>15</v>
      </c>
      <c r="AP43" s="27">
        <f>AI40</f>
        <v>0.97629943822465859</v>
      </c>
      <c r="AQ43" s="28">
        <f>AP43*AP31</f>
        <v>107.39293820471245</v>
      </c>
      <c r="AS43" s="31" t="s">
        <v>46</v>
      </c>
      <c r="AT43" s="32">
        <f>SUM(AQ40:AQ41)</f>
        <v>0.36682822568298662</v>
      </c>
    </row>
    <row r="44" spans="2:46" x14ac:dyDescent="0.35">
      <c r="B44" s="1">
        <v>42917</v>
      </c>
      <c r="C44" s="2">
        <v>17.906300000000002</v>
      </c>
      <c r="D44" s="2">
        <v>13.963800000000001</v>
      </c>
      <c r="E44" s="2">
        <v>27.658999999999999</v>
      </c>
      <c r="F44" s="2">
        <v>245.395996</v>
      </c>
      <c r="G44" s="2">
        <v>3278.9099120000001</v>
      </c>
      <c r="H44" s="2">
        <v>2600.429932</v>
      </c>
      <c r="I44" s="2">
        <v>77.599997999999999</v>
      </c>
      <c r="J44" s="2">
        <v>2622.0500489999999</v>
      </c>
      <c r="K44" s="2">
        <v>270.77999899999998</v>
      </c>
      <c r="L44" s="2">
        <v>608.02899200000002</v>
      </c>
      <c r="M44" s="2">
        <v>45.899600999999997</v>
      </c>
      <c r="P44" s="7"/>
      <c r="Q44" s="4">
        <f t="shared" si="4"/>
        <v>9.0898276083502729E-3</v>
      </c>
      <c r="R44" s="4">
        <f t="shared" si="4"/>
        <v>8.9377966922205235E-3</v>
      </c>
      <c r="S44" s="4">
        <f t="shared" si="4"/>
        <v>1.0164130579719642E-2</v>
      </c>
      <c r="T44" s="4">
        <f t="shared" si="4"/>
        <v>5.5317070238457234E-3</v>
      </c>
      <c r="U44" s="4">
        <f t="shared" si="4"/>
        <v>5.5199317018114541E-3</v>
      </c>
      <c r="V44" s="4">
        <f t="shared" si="4"/>
        <v>5.4361187161829829E-3</v>
      </c>
      <c r="W44" s="4">
        <f t="shared" si="4"/>
        <v>0</v>
      </c>
      <c r="X44" s="4">
        <f t="shared" si="4"/>
        <v>-2.5487212553495218E-3</v>
      </c>
      <c r="Y44" s="4">
        <f t="shared" si="4"/>
        <v>2.7511099409976474E-2</v>
      </c>
      <c r="Z44" s="4">
        <f t="shared" si="4"/>
        <v>6.5442723867058974E-2</v>
      </c>
      <c r="AA44" s="4">
        <f t="shared" si="3"/>
        <v>5.0367745182505974E-2</v>
      </c>
      <c r="AB44" s="8"/>
      <c r="AC44" s="8"/>
      <c r="AD44" s="8"/>
      <c r="AE44" s="20"/>
      <c r="AF44" s="7"/>
      <c r="AH44" s="15" t="s">
        <v>18</v>
      </c>
      <c r="AI44" s="5">
        <v>0</v>
      </c>
      <c r="AK44" s="3" t="s">
        <v>53</v>
      </c>
      <c r="AL44" s="5">
        <f>SUM(AI44:AI46)</f>
        <v>3.3348020516635146E-3</v>
      </c>
      <c r="AO44" s="26"/>
      <c r="AP44" s="27"/>
      <c r="AQ44" s="28"/>
      <c r="AS44" s="31" t="s">
        <v>24</v>
      </c>
      <c r="AT44" s="32">
        <f>SUM(AT36:AT43)</f>
        <v>250.00000288890783</v>
      </c>
    </row>
    <row r="45" spans="2:46" x14ac:dyDescent="0.35">
      <c r="B45" s="1">
        <v>42887</v>
      </c>
      <c r="C45" s="2">
        <v>17.745000999999998</v>
      </c>
      <c r="D45" s="2">
        <v>13.8401</v>
      </c>
      <c r="E45" s="2">
        <v>27.380699</v>
      </c>
      <c r="F45" s="2">
        <v>244.04600500000001</v>
      </c>
      <c r="G45" s="2">
        <v>3260.9099120000001</v>
      </c>
      <c r="H45" s="2">
        <v>2586.3701169999999</v>
      </c>
      <c r="I45" s="2">
        <v>77.599997999999999</v>
      </c>
      <c r="J45" s="2">
        <v>2628.75</v>
      </c>
      <c r="K45" s="2">
        <v>263.52999899999998</v>
      </c>
      <c r="L45" s="2">
        <v>570.682007</v>
      </c>
      <c r="M45" s="2">
        <v>43.698600999999996</v>
      </c>
      <c r="P45" s="7"/>
      <c r="Q45" s="4">
        <f t="shared" si="4"/>
        <v>9.25368125899333E-3</v>
      </c>
      <c r="R45" s="4">
        <f t="shared" si="4"/>
        <v>8.1217312763136439E-3</v>
      </c>
      <c r="S45" s="4">
        <f t="shared" si="4"/>
        <v>8.9171183586538721E-3</v>
      </c>
      <c r="T45" s="4">
        <f t="shared" si="4"/>
        <v>5.2974543849368776E-3</v>
      </c>
      <c r="U45" s="4">
        <f t="shared" si="4"/>
        <v>5.2901462813102354E-3</v>
      </c>
      <c r="V45" s="4">
        <f t="shared" si="4"/>
        <v>5.2627023897844757E-3</v>
      </c>
      <c r="W45" s="4">
        <f t="shared" si="4"/>
        <v>0</v>
      </c>
      <c r="X45" s="4">
        <f t="shared" si="4"/>
        <v>-1.5523163718311391E-2</v>
      </c>
      <c r="Y45" s="4">
        <f t="shared" si="4"/>
        <v>5.6861164281213922E-3</v>
      </c>
      <c r="Z45" s="4">
        <f t="shared" si="4"/>
        <v>-4.6029660062118965E-3</v>
      </c>
      <c r="AA45" s="4">
        <f t="shared" si="3"/>
        <v>-4.3721990948428708E-3</v>
      </c>
      <c r="AB45" s="8"/>
      <c r="AC45" s="8"/>
      <c r="AD45" s="8"/>
      <c r="AE45" s="20"/>
      <c r="AF45" s="7"/>
      <c r="AH45" s="15" t="s">
        <v>19</v>
      </c>
      <c r="AI45" s="5">
        <v>0</v>
      </c>
      <c r="AK45" s="3" t="s">
        <v>27</v>
      </c>
      <c r="AL45" s="5">
        <f>SUM(AI42:AI43)</f>
        <v>1.9893615948410527E-2</v>
      </c>
      <c r="AO45" s="29"/>
      <c r="AP45" s="27"/>
      <c r="AQ45" s="28"/>
    </row>
    <row r="46" spans="2:46" x14ac:dyDescent="0.35">
      <c r="B46" s="1">
        <v>42856</v>
      </c>
      <c r="C46" s="2">
        <v>17.5823</v>
      </c>
      <c r="D46" s="2">
        <v>13.7286</v>
      </c>
      <c r="E46" s="2">
        <v>27.1387</v>
      </c>
      <c r="F46" s="2">
        <v>242.759995</v>
      </c>
      <c r="G46" s="2">
        <v>3243.75</v>
      </c>
      <c r="H46" s="2">
        <v>2572.830078</v>
      </c>
      <c r="I46" s="2">
        <v>77.599997999999999</v>
      </c>
      <c r="J46" s="2">
        <v>2670.1999510000001</v>
      </c>
      <c r="K46" s="2">
        <v>262.040009</v>
      </c>
      <c r="L46" s="2">
        <v>573.32098399999995</v>
      </c>
      <c r="M46" s="2">
        <v>43.890498999999998</v>
      </c>
      <c r="P46" s="7"/>
      <c r="Q46" s="4">
        <f t="shared" si="4"/>
        <v>8.0091270796785619E-3</v>
      </c>
      <c r="R46" s="4">
        <f t="shared" si="4"/>
        <v>8.3955840550009962E-3</v>
      </c>
      <c r="S46" s="4">
        <f t="shared" si="4"/>
        <v>8.4686814041693061E-3</v>
      </c>
      <c r="T46" s="4">
        <f t="shared" si="4"/>
        <v>5.8337613561570056E-3</v>
      </c>
      <c r="U46" s="4">
        <f t="shared" si="4"/>
        <v>5.8264410185649368E-3</v>
      </c>
      <c r="V46" s="4">
        <f t="shared" si="4"/>
        <v>5.4162835660723626E-3</v>
      </c>
      <c r="W46" s="4">
        <f t="shared" si="4"/>
        <v>0</v>
      </c>
      <c r="X46" s="4">
        <f t="shared" si="4"/>
        <v>-1.0633944215097479E-2</v>
      </c>
      <c r="Y46" s="4">
        <f t="shared" si="4"/>
        <v>-1.5109332594973594E-2</v>
      </c>
      <c r="Z46" s="4">
        <f t="shared" si="4"/>
        <v>1.8793572744258587E-2</v>
      </c>
      <c r="AA46" s="4">
        <f t="shared" si="3"/>
        <v>1.7719998754356429E-2</v>
      </c>
      <c r="AB46" s="8"/>
      <c r="AC46" s="8"/>
      <c r="AD46" s="8"/>
      <c r="AE46" s="20"/>
      <c r="AF46" s="7"/>
      <c r="AH46" s="15" t="s">
        <v>17</v>
      </c>
      <c r="AI46" s="5">
        <v>3.3348020516635146E-3</v>
      </c>
      <c r="AK46" s="3"/>
      <c r="AL46" s="5"/>
      <c r="AO46" s="29" t="s">
        <v>35</v>
      </c>
      <c r="AP46" s="27">
        <f>SUM(AP36:AP43)</f>
        <v>1.0000000262627982</v>
      </c>
      <c r="AQ46" s="28">
        <f>SUM(AQ36:AQ45)</f>
        <v>110.00000288890782</v>
      </c>
    </row>
    <row r="47" spans="2:46" x14ac:dyDescent="0.35">
      <c r="B47" s="1">
        <v>42826</v>
      </c>
      <c r="C47" s="2">
        <v>17.442599999999999</v>
      </c>
      <c r="D47" s="2">
        <v>13.6143</v>
      </c>
      <c r="E47" s="2">
        <v>26.910800999999999</v>
      </c>
      <c r="F47" s="2">
        <v>241.35200499999999</v>
      </c>
      <c r="G47" s="2">
        <v>3224.959961</v>
      </c>
      <c r="H47" s="2">
        <v>2558.969971</v>
      </c>
      <c r="I47" s="2">
        <v>77.599997999999999</v>
      </c>
      <c r="J47" s="2">
        <v>2698.8999020000001</v>
      </c>
      <c r="K47" s="2">
        <v>266.05999800000001</v>
      </c>
      <c r="L47" s="2">
        <v>562.74499500000002</v>
      </c>
      <c r="M47" s="2">
        <v>43.126300999999998</v>
      </c>
      <c r="P47" s="7"/>
      <c r="Q47" s="4">
        <f t="shared" si="4"/>
        <v>4.208584254502541E-3</v>
      </c>
      <c r="R47" s="4">
        <f t="shared" si="4"/>
        <v>4.1525298716625046E-3</v>
      </c>
      <c r="S47" s="4">
        <f t="shared" si="4"/>
        <v>5.1732572407579202E-3</v>
      </c>
      <c r="T47" s="4">
        <f t="shared" si="4"/>
        <v>4.9800919823758246E-3</v>
      </c>
      <c r="U47" s="4">
        <f t="shared" si="4"/>
        <v>4.9985787710161433E-3</v>
      </c>
      <c r="V47" s="4">
        <f t="shared" si="4"/>
        <v>5.2166722215916143E-3</v>
      </c>
      <c r="W47" s="4">
        <f t="shared" si="4"/>
        <v>1.6108169431327649E-2</v>
      </c>
      <c r="X47" s="4">
        <f t="shared" si="4"/>
        <v>1.7090257263883312E-2</v>
      </c>
      <c r="Y47" s="4">
        <f t="shared" si="4"/>
        <v>1.105834720254645E-2</v>
      </c>
      <c r="Z47" s="4">
        <f t="shared" si="4"/>
        <v>3.4897196471570649E-2</v>
      </c>
      <c r="AA47" s="4">
        <f t="shared" si="3"/>
        <v>3.1241181659377094E-2</v>
      </c>
      <c r="AB47" s="8"/>
      <c r="AC47" s="8"/>
      <c r="AD47" s="8"/>
      <c r="AE47" s="20"/>
      <c r="AF47" s="7"/>
      <c r="AH47" s="15"/>
      <c r="AI47" s="2"/>
    </row>
    <row r="48" spans="2:46" x14ac:dyDescent="0.35">
      <c r="B48" s="1">
        <v>42795</v>
      </c>
      <c r="C48" s="2">
        <v>17.369499000000001</v>
      </c>
      <c r="D48" s="2">
        <v>13.558</v>
      </c>
      <c r="E48" s="2">
        <v>26.772300999999999</v>
      </c>
      <c r="F48" s="2">
        <v>240.15600599999999</v>
      </c>
      <c r="G48" s="2">
        <v>3208.919922</v>
      </c>
      <c r="H48" s="2">
        <v>2545.6899410000001</v>
      </c>
      <c r="I48" s="2">
        <v>76.369820000000004</v>
      </c>
      <c r="J48" s="2">
        <v>2653.5500489999999</v>
      </c>
      <c r="K48" s="2">
        <v>263.14999399999999</v>
      </c>
      <c r="L48" s="2">
        <v>543.76898200000005</v>
      </c>
      <c r="M48" s="2">
        <v>41.819800999999998</v>
      </c>
      <c r="P48" s="7"/>
      <c r="Q48" s="4">
        <f t="shared" si="4"/>
        <v>6.1225801967122722E-3</v>
      </c>
      <c r="R48" s="4">
        <f t="shared" si="4"/>
        <v>7.9473054248351098E-3</v>
      </c>
      <c r="S48" s="4">
        <f t="shared" si="4"/>
        <v>7.8718302011805963E-3</v>
      </c>
      <c r="T48" s="4">
        <f t="shared" si="4"/>
        <v>5.7205621677788691E-3</v>
      </c>
      <c r="U48" s="4">
        <f t="shared" si="4"/>
        <v>5.7449667598917578E-3</v>
      </c>
      <c r="V48" s="4">
        <f t="shared" si="4"/>
        <v>5.6530661778985249E-3</v>
      </c>
      <c r="W48" s="4">
        <f t="shared" si="4"/>
        <v>0</v>
      </c>
      <c r="X48" s="4">
        <f t="shared" si="4"/>
        <v>-3.5686363586808413E-2</v>
      </c>
      <c r="Y48" s="4">
        <f t="shared" si="4"/>
        <v>6.4608792994018727E-2</v>
      </c>
      <c r="Z48" s="4">
        <f t="shared" si="4"/>
        <v>3.8853136086498534E-2</v>
      </c>
      <c r="AA48" s="4">
        <f t="shared" si="3"/>
        <v>3.2233380833901953E-2</v>
      </c>
      <c r="AE48" s="7"/>
      <c r="AF48" s="7"/>
    </row>
    <row r="49" spans="2:36" x14ac:dyDescent="0.35">
      <c r="B49" s="1">
        <v>42767</v>
      </c>
      <c r="C49" s="2">
        <v>17.2638</v>
      </c>
      <c r="D49" s="2">
        <v>13.4511</v>
      </c>
      <c r="E49" s="2">
        <v>26.563199999999998</v>
      </c>
      <c r="F49" s="2">
        <v>238.78999300000001</v>
      </c>
      <c r="G49" s="2">
        <v>3190.5900879999999</v>
      </c>
      <c r="H49" s="2">
        <v>2531.3798830000001</v>
      </c>
      <c r="I49" s="2">
        <v>76.369820000000004</v>
      </c>
      <c r="J49" s="2">
        <v>2751.75</v>
      </c>
      <c r="K49" s="2">
        <v>247.179993</v>
      </c>
      <c r="L49" s="2">
        <v>523.432007</v>
      </c>
      <c r="M49" s="2">
        <v>40.513900999999997</v>
      </c>
      <c r="P49" s="7"/>
      <c r="Q49" s="4">
        <f t="shared" si="4"/>
        <v>1.6012810248198341E-3</v>
      </c>
      <c r="R49" s="4">
        <f t="shared" si="4"/>
        <v>-1.5513657957244101E-3</v>
      </c>
      <c r="S49" s="4">
        <f t="shared" si="4"/>
        <v>1.8178767421412622E-3</v>
      </c>
      <c r="T49" s="4">
        <f t="shared" si="4"/>
        <v>5.0337930680183791E-3</v>
      </c>
      <c r="U49" s="4">
        <f t="shared" si="4"/>
        <v>5.0336830229211994E-3</v>
      </c>
      <c r="V49" s="4">
        <f t="shared" si="4"/>
        <v>4.9545362997913808E-3</v>
      </c>
      <c r="W49" s="4">
        <f t="shared" si="4"/>
        <v>0</v>
      </c>
      <c r="X49" s="4">
        <f t="shared" si="4"/>
        <v>1.8223866790009251E-2</v>
      </c>
      <c r="Y49" s="4">
        <f t="shared" si="4"/>
        <v>4.5954577176362352E-2</v>
      </c>
      <c r="Z49" s="4">
        <f t="shared" si="4"/>
        <v>3.5748368721372457E-2</v>
      </c>
      <c r="AA49" s="4">
        <f t="shared" si="3"/>
        <v>5.437407427465922E-2</v>
      </c>
      <c r="AE49" s="7"/>
      <c r="AF49" s="7"/>
      <c r="AH49" s="3" t="s">
        <v>24</v>
      </c>
      <c r="AI49" s="2">
        <f>SUM(AI36:AI46)</f>
        <v>1.0000000262627982</v>
      </c>
    </row>
    <row r="50" spans="2:36" x14ac:dyDescent="0.35">
      <c r="B50" s="1">
        <v>42736</v>
      </c>
      <c r="C50" s="2">
        <v>17.2362</v>
      </c>
      <c r="D50" s="2">
        <v>13.472</v>
      </c>
      <c r="E50" s="2">
        <v>26.514999</v>
      </c>
      <c r="F50" s="2">
        <v>237.59399400000001</v>
      </c>
      <c r="G50" s="2">
        <v>3174.610107</v>
      </c>
      <c r="H50" s="2">
        <v>2518.8999020000001</v>
      </c>
      <c r="I50" s="2">
        <v>76.369820000000004</v>
      </c>
      <c r="J50" s="2">
        <v>2702.5</v>
      </c>
      <c r="K50" s="2">
        <v>236.320007</v>
      </c>
      <c r="L50" s="2">
        <v>505.36599699999999</v>
      </c>
      <c r="M50" s="2">
        <v>38.424599000000001</v>
      </c>
      <c r="P50" s="7"/>
      <c r="Q50" s="4">
        <f t="shared" si="4"/>
        <v>1.0245408363053852E-2</v>
      </c>
      <c r="R50" s="4">
        <f t="shared" si="4"/>
        <v>1.3061819931871006E-2</v>
      </c>
      <c r="S50" s="4">
        <f t="shared" si="4"/>
        <v>1.2405412732291916E-2</v>
      </c>
      <c r="T50" s="4">
        <f t="shared" si="4"/>
        <v>5.6803540527925736E-3</v>
      </c>
      <c r="U50" s="4">
        <f t="shared" si="4"/>
        <v>5.7278333593828636E-3</v>
      </c>
      <c r="V50" s="4">
        <f t="shared" si="4"/>
        <v>5.4404842157493982E-3</v>
      </c>
      <c r="W50" s="4">
        <f t="shared" si="4"/>
        <v>0</v>
      </c>
      <c r="X50" s="4">
        <f t="shared" si="4"/>
        <v>3.6771373833692486E-2</v>
      </c>
      <c r="Y50" s="4">
        <f t="shared" si="4"/>
        <v>4.2067237155248426E-2</v>
      </c>
      <c r="Z50" s="4">
        <f t="shared" si="4"/>
        <v>5.9674073192964319E-2</v>
      </c>
      <c r="AA50" s="4">
        <f t="shared" si="3"/>
        <v>4.9763517297715304E-2</v>
      </c>
      <c r="AE50" s="7"/>
      <c r="AF50" s="7"/>
      <c r="AH50" s="3" t="s">
        <v>22</v>
      </c>
      <c r="AI50" s="8">
        <f t="array" ref="AI50">MMULT(TRANSPOSE(AI36:AI46), AI4:AI14)</f>
        <v>6.5701674937070492E-2</v>
      </c>
      <c r="AJ50" s="18" t="s">
        <v>66</v>
      </c>
    </row>
    <row r="51" spans="2:36" x14ac:dyDescent="0.35">
      <c r="B51" s="1">
        <v>42705</v>
      </c>
      <c r="C51" s="2">
        <v>17.061399000000002</v>
      </c>
      <c r="D51" s="2">
        <v>13.298299999999999</v>
      </c>
      <c r="E51" s="2">
        <v>26.190100000000001</v>
      </c>
      <c r="F51" s="2">
        <v>236.25199900000001</v>
      </c>
      <c r="G51" s="2">
        <v>3156.530029</v>
      </c>
      <c r="H51" s="2">
        <v>2505.2700199999999</v>
      </c>
      <c r="I51" s="2">
        <v>76.369820000000004</v>
      </c>
      <c r="J51" s="2">
        <v>2606.6499020000001</v>
      </c>
      <c r="K51" s="2">
        <v>226.779999</v>
      </c>
      <c r="L51" s="2">
        <v>476.90701300000001</v>
      </c>
      <c r="M51" s="2">
        <v>36.603099999999998</v>
      </c>
      <c r="P51" s="7"/>
      <c r="Q51" s="4">
        <f t="shared" si="4"/>
        <v>-1.422242075082805E-3</v>
      </c>
      <c r="R51" s="4">
        <f t="shared" si="4"/>
        <v>-6.2472444122285004E-3</v>
      </c>
      <c r="S51" s="4">
        <f t="shared" si="4"/>
        <v>-2.9845253053856426E-3</v>
      </c>
      <c r="T51" s="4">
        <f t="shared" si="4"/>
        <v>5.1394333365813042E-3</v>
      </c>
      <c r="U51" s="4">
        <f t="shared" si="4"/>
        <v>5.190718228860405E-3</v>
      </c>
      <c r="V51" s="4">
        <f t="shared" si="4"/>
        <v>5.3008196781986231E-3</v>
      </c>
      <c r="W51" s="4">
        <f t="shared" si="4"/>
        <v>0</v>
      </c>
      <c r="X51" s="4">
        <f t="shared" si="4"/>
        <v>-2.8981746883013481E-2</v>
      </c>
      <c r="Y51" s="4">
        <f t="shared" si="4"/>
        <v>-1.8395879402657141E-2</v>
      </c>
      <c r="Z51" s="4">
        <f t="shared" si="4"/>
        <v>-2.0099040866950302E-2</v>
      </c>
      <c r="AA51" s="4">
        <f t="shared" si="3"/>
        <v>-2.3792404793349521E-2</v>
      </c>
      <c r="AE51" s="7"/>
      <c r="AF51" s="7"/>
      <c r="AH51" s="3" t="s">
        <v>8</v>
      </c>
      <c r="AI51" s="8">
        <f t="array" ref="AI51">SQRT(MMULT(MMULT(TRANSPOSE(AI36:AI46),AM5:AW15), AI36:AI46))</f>
        <v>4.4301983253378164E-3</v>
      </c>
      <c r="AJ51" s="18" t="s">
        <v>66</v>
      </c>
    </row>
    <row r="52" spans="2:36" x14ac:dyDescent="0.35">
      <c r="B52" s="1">
        <v>42675</v>
      </c>
      <c r="C52" s="2">
        <v>17.085699000000002</v>
      </c>
      <c r="D52" s="2">
        <v>13.3819</v>
      </c>
      <c r="E52" s="2">
        <v>26.268498999999998</v>
      </c>
      <c r="F52" s="2">
        <v>235.044006</v>
      </c>
      <c r="G52" s="2">
        <v>3140.2299800000001</v>
      </c>
      <c r="H52" s="2">
        <v>2492.0600589999999</v>
      </c>
      <c r="I52" s="2">
        <v>76.369820000000004</v>
      </c>
      <c r="J52" s="2">
        <v>2684.4499510000001</v>
      </c>
      <c r="K52" s="2">
        <v>231.029999</v>
      </c>
      <c r="L52" s="2">
        <v>486.68899499999998</v>
      </c>
      <c r="M52" s="2">
        <v>37.495201000000002</v>
      </c>
      <c r="P52" s="7"/>
      <c r="Q52" s="4">
        <f t="shared" si="4"/>
        <v>1.495182369015101E-2</v>
      </c>
      <c r="R52" s="4">
        <f t="shared" si="4"/>
        <v>1.9386931151637046E-2</v>
      </c>
      <c r="S52" s="4">
        <f t="shared" si="4"/>
        <v>1.8411505179579315E-2</v>
      </c>
      <c r="T52" s="4">
        <f t="shared" si="4"/>
        <v>5.7208598556275385E-3</v>
      </c>
      <c r="U52" s="4">
        <f t="shared" si="4"/>
        <v>5.6298587903627108E-3</v>
      </c>
      <c r="V52" s="4">
        <f t="shared" si="4"/>
        <v>5.4385900700360396E-3</v>
      </c>
      <c r="W52" s="4">
        <f t="shared" si="4"/>
        <v>0</v>
      </c>
      <c r="X52" s="4">
        <f t="shared" si="4"/>
        <v>-5.3771606979203364E-2</v>
      </c>
      <c r="Y52" s="4">
        <f t="shared" si="4"/>
        <v>-5.7020412244897942E-2</v>
      </c>
      <c r="Z52" s="4">
        <f t="shared" si="4"/>
        <v>-4.8158356188675651E-2</v>
      </c>
      <c r="AA52" s="4">
        <f t="shared" si="3"/>
        <v>-5.1731457756980855E-2</v>
      </c>
      <c r="AE52" s="7"/>
      <c r="AF52" s="7"/>
      <c r="AH52" s="3" t="s">
        <v>9</v>
      </c>
      <c r="AI52" s="2">
        <f>(AI50-AM18)/AI51</f>
        <v>2.1898963036447601</v>
      </c>
      <c r="AJ52" s="18" t="s">
        <v>66</v>
      </c>
    </row>
    <row r="53" spans="2:36" x14ac:dyDescent="0.35">
      <c r="B53" s="1">
        <v>42644</v>
      </c>
      <c r="C53" s="2">
        <v>16.834</v>
      </c>
      <c r="D53" s="2">
        <v>13.1274</v>
      </c>
      <c r="E53" s="2">
        <v>25.793600000000001</v>
      </c>
      <c r="F53" s="2">
        <v>233.70700099999999</v>
      </c>
      <c r="G53" s="2">
        <v>3122.6499020000001</v>
      </c>
      <c r="H53" s="2">
        <v>2478.580078</v>
      </c>
      <c r="I53" s="2">
        <v>76.369820000000004</v>
      </c>
      <c r="J53" s="2">
        <v>2837</v>
      </c>
      <c r="K53" s="2">
        <v>245</v>
      </c>
      <c r="L53" s="2">
        <v>511.31298800000002</v>
      </c>
      <c r="M53" s="2">
        <v>39.540698999999996</v>
      </c>
      <c r="P53" s="7"/>
      <c r="Q53" s="4">
        <f t="shared" si="4"/>
        <v>6.9386290226103398E-3</v>
      </c>
      <c r="R53" s="4">
        <f t="shared" si="4"/>
        <v>6.4940541452306487E-3</v>
      </c>
      <c r="S53" s="4">
        <f t="shared" si="4"/>
        <v>6.3595858075893756E-3</v>
      </c>
      <c r="T53" s="4">
        <f t="shared" si="4"/>
        <v>5.7321183431952279E-3</v>
      </c>
      <c r="U53" s="4">
        <f t="shared" si="4"/>
        <v>5.8301050762026765E-3</v>
      </c>
      <c r="V53" s="4">
        <f t="shared" si="4"/>
        <v>5.6111483923318621E-3</v>
      </c>
      <c r="W53" s="4">
        <f t="shared" si="4"/>
        <v>0</v>
      </c>
      <c r="X53" s="4">
        <f t="shared" si="4"/>
        <v>-3.1955335891908972E-2</v>
      </c>
      <c r="Y53" s="4">
        <f t="shared" si="4"/>
        <v>2.0918426884214133E-2</v>
      </c>
      <c r="Z53" s="4">
        <f t="shared" si="4"/>
        <v>2.5758659357817411E-2</v>
      </c>
      <c r="AA53" s="4">
        <f t="shared" si="3"/>
        <v>2.7036424758755742E-2</v>
      </c>
      <c r="AE53" s="7"/>
      <c r="AF53" s="7"/>
    </row>
    <row r="54" spans="2:36" x14ac:dyDescent="0.35">
      <c r="B54" s="1">
        <v>42614</v>
      </c>
      <c r="C54" s="2">
        <v>16.718</v>
      </c>
      <c r="D54" s="2">
        <v>13.0427</v>
      </c>
      <c r="E54" s="2">
        <v>25.630600000000001</v>
      </c>
      <c r="F54" s="2">
        <v>232.375</v>
      </c>
      <c r="G54" s="2">
        <v>3104.5500489999999</v>
      </c>
      <c r="H54" s="2">
        <v>2464.75</v>
      </c>
      <c r="I54" s="2">
        <v>76.369820000000004</v>
      </c>
      <c r="J54" s="2">
        <v>2930.6499020000001</v>
      </c>
      <c r="K54" s="2">
        <v>239.979996</v>
      </c>
      <c r="L54" s="2">
        <v>498.47299199999998</v>
      </c>
      <c r="M54" s="2">
        <v>38.499802000000003</v>
      </c>
      <c r="P54" s="7"/>
      <c r="Q54" s="4">
        <f t="shared" si="4"/>
        <v>9.8032701728104719E-3</v>
      </c>
      <c r="R54" s="4">
        <f t="shared" si="4"/>
        <v>1.1728658418337612E-2</v>
      </c>
      <c r="S54" s="4">
        <f t="shared" si="4"/>
        <v>9.523884547517068E-3</v>
      </c>
      <c r="T54" s="4">
        <f t="shared" si="4"/>
        <v>5.6693916805280941E-3</v>
      </c>
      <c r="U54" s="4">
        <f t="shared" si="4"/>
        <v>5.6557989894333209E-3</v>
      </c>
      <c r="V54" s="4">
        <f t="shared" si="4"/>
        <v>5.5894211566954646E-3</v>
      </c>
      <c r="W54" s="4">
        <f t="shared" si="4"/>
        <v>0</v>
      </c>
      <c r="X54" s="4">
        <f t="shared" si="4"/>
        <v>1.6527888310787414E-2</v>
      </c>
      <c r="Y54" s="4">
        <f t="shared" si="4"/>
        <v>-1.9962196873760819E-3</v>
      </c>
      <c r="Z54" s="4">
        <f t="shared" si="4"/>
        <v>-1.0981582025459476E-3</v>
      </c>
      <c r="AA54" s="4">
        <f t="shared" si="3"/>
        <v>-1.3270908172954985E-2</v>
      </c>
      <c r="AE54" s="7"/>
      <c r="AF54" s="7"/>
      <c r="AH54" s="3"/>
    </row>
    <row r="55" spans="2:36" x14ac:dyDescent="0.35">
      <c r="B55" s="1">
        <v>42583</v>
      </c>
      <c r="C55" s="2">
        <v>16.555700000000002</v>
      </c>
      <c r="D55" s="2">
        <v>12.891500000000001</v>
      </c>
      <c r="E55" s="2">
        <v>25.3888</v>
      </c>
      <c r="F55" s="2">
        <v>231.06500199999999</v>
      </c>
      <c r="G55" s="2">
        <v>3087.0900879999999</v>
      </c>
      <c r="H55" s="2">
        <v>2451.0500489999999</v>
      </c>
      <c r="I55" s="2">
        <v>76.369820000000004</v>
      </c>
      <c r="J55" s="2">
        <v>2883</v>
      </c>
      <c r="K55" s="2">
        <v>240.46000699999999</v>
      </c>
      <c r="L55" s="2">
        <v>499.02099600000003</v>
      </c>
      <c r="M55" s="2">
        <v>39.017600999999999</v>
      </c>
      <c r="P55" s="7"/>
      <c r="Q55" s="4">
        <f t="shared" si="4"/>
        <v>1.064017792375385E-2</v>
      </c>
      <c r="R55" s="4">
        <f t="shared" si="4"/>
        <v>1.1185278729929627E-2</v>
      </c>
      <c r="S55" s="4">
        <f t="shared" si="4"/>
        <v>1.1199836352332987E-2</v>
      </c>
      <c r="T55" s="4">
        <f t="shared" si="4"/>
        <v>5.9250471460019702E-3</v>
      </c>
      <c r="U55" s="4">
        <f t="shared" si="4"/>
        <v>5.9665596187962909E-3</v>
      </c>
      <c r="V55" s="4">
        <f t="shared" si="4"/>
        <v>5.82717460202185E-3</v>
      </c>
      <c r="W55" s="4">
        <f t="shared" si="4"/>
        <v>0</v>
      </c>
      <c r="X55" s="4">
        <f t="shared" si="4"/>
        <v>1.9113814074717638E-3</v>
      </c>
      <c r="Y55" s="4">
        <f t="shared" si="4"/>
        <v>4.3572645981882173E-2</v>
      </c>
      <c r="Z55" s="4">
        <f t="shared" si="4"/>
        <v>2.9030222527619907E-2</v>
      </c>
      <c r="AA55" s="4">
        <f t="shared" si="3"/>
        <v>1.7718626483663239E-2</v>
      </c>
      <c r="AE55" s="7"/>
      <c r="AF55" s="7"/>
    </row>
    <row r="56" spans="2:36" x14ac:dyDescent="0.35">
      <c r="B56" s="1">
        <v>42552</v>
      </c>
      <c r="C56" s="2">
        <v>16.381398999999998</v>
      </c>
      <c r="D56" s="2">
        <v>12.748900000000001</v>
      </c>
      <c r="E56" s="2">
        <v>25.107599</v>
      </c>
      <c r="F56" s="2">
        <v>229.70399499999999</v>
      </c>
      <c r="G56" s="2">
        <v>3068.780029</v>
      </c>
      <c r="H56" s="2">
        <v>2436.8500979999999</v>
      </c>
      <c r="I56" s="2">
        <v>76.369820000000004</v>
      </c>
      <c r="J56" s="2">
        <v>2877.5</v>
      </c>
      <c r="K56" s="2">
        <v>230.41999799999999</v>
      </c>
      <c r="L56" s="2">
        <v>484.942993</v>
      </c>
      <c r="M56" s="2">
        <v>38.338298999999999</v>
      </c>
      <c r="P56" s="7"/>
      <c r="Q56" s="4">
        <f t="shared" si="4"/>
        <v>1.4284148674670309E-2</v>
      </c>
      <c r="R56" s="4">
        <f t="shared" si="4"/>
        <v>1.6447945402069793E-2</v>
      </c>
      <c r="S56" s="4">
        <f t="shared" si="4"/>
        <v>1.3175364014323954E-2</v>
      </c>
      <c r="T56" s="4">
        <f t="shared" si="4"/>
        <v>6.1630158017364862E-3</v>
      </c>
      <c r="U56" s="4">
        <f t="shared" si="4"/>
        <v>6.2134448527791245E-3</v>
      </c>
      <c r="V56" s="4">
        <f t="shared" si="4"/>
        <v>6.1147044481207726E-3</v>
      </c>
      <c r="W56" s="4">
        <f t="shared" si="4"/>
        <v>0</v>
      </c>
      <c r="X56" s="4">
        <f t="shared" si="4"/>
        <v>9.8617600078796837E-3</v>
      </c>
      <c r="Y56" s="4">
        <f t="shared" si="4"/>
        <v>3.7180382837947765E-2</v>
      </c>
      <c r="Z56" s="4">
        <f t="shared" si="4"/>
        <v>5.3939808350746049E-2</v>
      </c>
      <c r="AA56" s="4">
        <f t="shared" si="3"/>
        <v>5.608460224516363E-2</v>
      </c>
      <c r="AE56" s="7"/>
      <c r="AF56" s="7"/>
    </row>
    <row r="57" spans="2:36" x14ac:dyDescent="0.35">
      <c r="B57" s="1">
        <v>42522</v>
      </c>
      <c r="C57" s="2">
        <v>16.150700000000001</v>
      </c>
      <c r="D57" s="2">
        <v>12.5426</v>
      </c>
      <c r="E57" s="2">
        <v>24.781099000000001</v>
      </c>
      <c r="F57" s="2">
        <v>228.296997</v>
      </c>
      <c r="G57" s="2">
        <v>3049.830078</v>
      </c>
      <c r="H57" s="2">
        <v>2422.040039</v>
      </c>
      <c r="I57" s="2">
        <v>76.369820000000004</v>
      </c>
      <c r="J57" s="2">
        <v>2849.3999020000001</v>
      </c>
      <c r="K57" s="2">
        <v>222.16000399999999</v>
      </c>
      <c r="L57" s="2">
        <v>460.12399299999998</v>
      </c>
      <c r="M57" s="2">
        <v>36.302298999999998</v>
      </c>
      <c r="P57" s="7"/>
      <c r="Q57" s="4">
        <f t="shared" si="4"/>
        <v>7.5735679303795128E-3</v>
      </c>
      <c r="R57" s="4">
        <f t="shared" si="4"/>
        <v>7.1950534007870224E-3</v>
      </c>
      <c r="S57" s="4">
        <f t="shared" si="4"/>
        <v>8.8914899420666927E-3</v>
      </c>
      <c r="T57" s="4">
        <f t="shared" si="4"/>
        <v>6.3298894505406838E-3</v>
      </c>
      <c r="U57" s="4">
        <f t="shared" si="4"/>
        <v>6.2888499867106472E-3</v>
      </c>
      <c r="V57" s="4">
        <f t="shared" si="4"/>
        <v>6.1439563817634142E-3</v>
      </c>
      <c r="W57" s="4">
        <f t="shared" si="4"/>
        <v>0</v>
      </c>
      <c r="X57" s="4">
        <f t="shared" si="4"/>
        <v>6.1940948880108281E-2</v>
      </c>
      <c r="Y57" s="4">
        <f t="shared" si="4"/>
        <v>7.0702195992524988E-2</v>
      </c>
      <c r="Z57" s="4">
        <f t="shared" si="4"/>
        <v>2.8154928821725947E-2</v>
      </c>
      <c r="AA57" s="4">
        <f t="shared" si="3"/>
        <v>3.4784161827029189E-2</v>
      </c>
      <c r="AE57" s="7"/>
      <c r="AF57" s="7"/>
    </row>
    <row r="58" spans="2:36" x14ac:dyDescent="0.35">
      <c r="B58" s="1">
        <v>42491</v>
      </c>
      <c r="C58" s="2">
        <v>16.029301</v>
      </c>
      <c r="D58" s="2">
        <v>12.452999999999999</v>
      </c>
      <c r="E58" s="2">
        <v>24.5627</v>
      </c>
      <c r="F58" s="2">
        <v>226.86099200000001</v>
      </c>
      <c r="G58" s="2">
        <v>3030.7700199999999</v>
      </c>
      <c r="H58" s="2">
        <v>2407.25</v>
      </c>
      <c r="I58" s="2">
        <v>76.369820000000004</v>
      </c>
      <c r="J58" s="2">
        <v>2683.1999510000001</v>
      </c>
      <c r="K58" s="2">
        <v>207.490005</v>
      </c>
      <c r="L58" s="2">
        <v>447.52398699999998</v>
      </c>
      <c r="M58" s="2">
        <v>35.082000999999998</v>
      </c>
      <c r="P58" s="7"/>
      <c r="Q58" s="4">
        <f t="shared" si="4"/>
        <v>5.1419989590714412E-3</v>
      </c>
      <c r="R58" s="4">
        <f t="shared" si="4"/>
        <v>5.3768649486533072E-3</v>
      </c>
      <c r="S58" s="4">
        <f t="shared" si="4"/>
        <v>6.6763254894025136E-3</v>
      </c>
      <c r="T58" s="4">
        <f t="shared" si="4"/>
        <v>6.8525277415706657E-3</v>
      </c>
      <c r="U58" s="4">
        <f t="shared" si="4"/>
        <v>6.8802484316144406E-3</v>
      </c>
      <c r="V58" s="4">
        <f t="shared" si="4"/>
        <v>6.6026775515812108E-3</v>
      </c>
      <c r="W58" s="4">
        <f t="shared" si="4"/>
        <v>0</v>
      </c>
      <c r="X58" s="4">
        <f t="shared" si="4"/>
        <v>-4.1611601971271381E-2</v>
      </c>
      <c r="Y58" s="4">
        <f t="shared" si="4"/>
        <v>1.6111694653942625E-2</v>
      </c>
      <c r="Z58" s="4">
        <f t="shared" si="4"/>
        <v>4.3500507199171708E-2</v>
      </c>
      <c r="AA58" s="4">
        <f t="shared" si="3"/>
        <v>3.6022435871122457E-2</v>
      </c>
      <c r="AE58" s="7"/>
      <c r="AF58" s="7"/>
    </row>
    <row r="59" spans="2:36" x14ac:dyDescent="0.35">
      <c r="B59" s="1">
        <v>42461</v>
      </c>
      <c r="C59" s="2">
        <v>15.9473</v>
      </c>
      <c r="D59" s="2">
        <v>12.3864</v>
      </c>
      <c r="E59" s="2">
        <v>24.399799000000002</v>
      </c>
      <c r="F59" s="2">
        <v>225.317001</v>
      </c>
      <c r="G59" s="2">
        <v>3010.0600589999999</v>
      </c>
      <c r="H59" s="2">
        <v>2391.459961</v>
      </c>
      <c r="I59" s="2">
        <v>76.369820000000004</v>
      </c>
      <c r="J59" s="2">
        <v>2799.6999510000001</v>
      </c>
      <c r="K59" s="2">
        <v>204.199997</v>
      </c>
      <c r="L59" s="2">
        <v>428.86801100000002</v>
      </c>
      <c r="M59" s="2">
        <v>33.862202000000003</v>
      </c>
      <c r="P59" s="7"/>
      <c r="Q59" s="4">
        <f t="shared" si="4"/>
        <v>9.9747938542603855E-3</v>
      </c>
      <c r="R59" s="4">
        <f t="shared" si="4"/>
        <v>9.3384833520754381E-3</v>
      </c>
      <c r="S59" s="4">
        <f t="shared" si="4"/>
        <v>9.8167829620984647E-3</v>
      </c>
      <c r="T59" s="4">
        <f t="shared" si="4"/>
        <v>6.5354962335183488E-3</v>
      </c>
      <c r="U59" s="4">
        <f t="shared" si="4"/>
        <v>6.641732434434066E-3</v>
      </c>
      <c r="V59" s="4">
        <f t="shared" si="4"/>
        <v>6.4727965788702107E-3</v>
      </c>
      <c r="W59" s="4">
        <f t="shared" si="4"/>
        <v>0</v>
      </c>
      <c r="X59" s="4">
        <f t="shared" si="4"/>
        <v>6.5720065769481695E-2</v>
      </c>
      <c r="Y59" s="4">
        <f t="shared" si="4"/>
        <v>3.6863993735513439E-2</v>
      </c>
      <c r="Z59" s="4">
        <f t="shared" si="4"/>
        <v>2.9198447618755306E-2</v>
      </c>
      <c r="AA59" s="4">
        <f t="shared" si="3"/>
        <v>1.754599791617981E-2</v>
      </c>
      <c r="AE59" s="7"/>
      <c r="AF59" s="7"/>
    </row>
    <row r="60" spans="2:36" x14ac:dyDescent="0.35">
      <c r="B60" s="1">
        <v>42430</v>
      </c>
      <c r="C60" s="2">
        <v>15.7898</v>
      </c>
      <c r="D60" s="2">
        <v>12.271800000000001</v>
      </c>
      <c r="E60" s="2">
        <v>24.162600000000001</v>
      </c>
      <c r="F60" s="2">
        <v>223.854004</v>
      </c>
      <c r="G60" s="2">
        <v>2990.1999510000001</v>
      </c>
      <c r="H60" s="2">
        <v>2376.080078</v>
      </c>
      <c r="I60" s="2">
        <v>76.369820000000004</v>
      </c>
      <c r="J60" s="2">
        <v>2627.0500489999999</v>
      </c>
      <c r="K60" s="2">
        <v>196.94000199999999</v>
      </c>
      <c r="L60" s="2">
        <v>416.70098899999999</v>
      </c>
      <c r="M60" s="2">
        <v>33.278300999999999</v>
      </c>
      <c r="P60" s="7"/>
      <c r="Q60" s="4">
        <f t="shared" si="4"/>
        <v>1.2991345518466878E-2</v>
      </c>
      <c r="R60" s="4">
        <f t="shared" si="4"/>
        <v>1.5524403766902365E-2</v>
      </c>
      <c r="S60" s="4">
        <f t="shared" si="4"/>
        <v>1.5149987396017209E-2</v>
      </c>
      <c r="T60" s="4">
        <f t="shared" si="4"/>
        <v>7.6206401578278364E-3</v>
      </c>
      <c r="U60" s="4">
        <f t="shared" si="4"/>
        <v>7.5918244252771768E-3</v>
      </c>
      <c r="V60" s="4">
        <f t="shared" si="4"/>
        <v>8.1121942317118282E-3</v>
      </c>
      <c r="W60" s="4">
        <f t="shared" si="4"/>
        <v>0</v>
      </c>
      <c r="X60" s="4">
        <f t="shared" si="4"/>
        <v>-2.8816987430683939E-2</v>
      </c>
      <c r="Y60" s="4">
        <f t="shared" si="4"/>
        <v>9.7770393459433461E-2</v>
      </c>
      <c r="Z60" s="4">
        <f t="shared" si="4"/>
        <v>0.15446266860856786</v>
      </c>
      <c r="AA60" s="4">
        <f t="shared" si="3"/>
        <v>0.13171868145321722</v>
      </c>
      <c r="AE60" s="7"/>
      <c r="AF60" s="7"/>
    </row>
    <row r="61" spans="2:36" x14ac:dyDescent="0.35">
      <c r="B61" s="1">
        <v>42401</v>
      </c>
      <c r="C61" s="2">
        <v>15.587300000000001</v>
      </c>
      <c r="D61" s="2">
        <v>12.084199999999999</v>
      </c>
      <c r="E61" s="2">
        <v>23.802</v>
      </c>
      <c r="F61" s="2">
        <v>222.16099500000001</v>
      </c>
      <c r="G61" s="2">
        <v>2967.669922</v>
      </c>
      <c r="H61" s="2">
        <v>2356.959961</v>
      </c>
      <c r="I61" s="2">
        <v>76.369820000000004</v>
      </c>
      <c r="J61" s="2">
        <v>2705</v>
      </c>
      <c r="K61" s="2">
        <v>179.39999399999999</v>
      </c>
      <c r="L61" s="2">
        <v>360.94799799999998</v>
      </c>
      <c r="M61" s="2">
        <v>29.405100000000001</v>
      </c>
      <c r="P61" s="7"/>
      <c r="Q61" s="4">
        <f t="shared" si="4"/>
        <v>-3.5161069663668205E-3</v>
      </c>
      <c r="R61" s="4">
        <f t="shared" si="4"/>
        <v>3.4044107878303601E-3</v>
      </c>
      <c r="S61" s="4">
        <f t="shared" si="4"/>
        <v>5.6446570110358658E-3</v>
      </c>
      <c r="T61" s="4">
        <f t="shared" si="4"/>
        <v>6.0409235472279202E-3</v>
      </c>
      <c r="U61" s="4">
        <f t="shared" si="4"/>
        <v>6.0682364654313327E-3</v>
      </c>
      <c r="V61" s="4">
        <f t="shared" si="4"/>
        <v>5.9538588996468078E-3</v>
      </c>
      <c r="W61" s="4">
        <f t="shared" si="4"/>
        <v>0</v>
      </c>
      <c r="X61" s="4">
        <f t="shared" si="4"/>
        <v>8.6192661093066975E-2</v>
      </c>
      <c r="Y61" s="4">
        <f t="shared" si="4"/>
        <v>-6.9502120287830135E-2</v>
      </c>
      <c r="Z61" s="4">
        <f t="shared" si="4"/>
        <v>-0.11105746422404511</v>
      </c>
      <c r="AA61" s="4">
        <f t="shared" si="3"/>
        <v>-9.0517946489604498E-2</v>
      </c>
      <c r="AE61" s="7"/>
      <c r="AF61" s="7"/>
    </row>
    <row r="62" spans="2:36" x14ac:dyDescent="0.35">
      <c r="B62" s="1">
        <v>42370</v>
      </c>
      <c r="C62" s="2">
        <v>15.642300000000001</v>
      </c>
      <c r="D62" s="2">
        <v>12.043200000000001</v>
      </c>
      <c r="E62" s="2">
        <v>23.668399999999998</v>
      </c>
      <c r="F62" s="2">
        <v>220.82699600000001</v>
      </c>
      <c r="G62" s="2">
        <v>2949.7700199999999</v>
      </c>
      <c r="H62" s="2">
        <v>2343.01001</v>
      </c>
      <c r="I62" s="2">
        <v>76.369820000000004</v>
      </c>
      <c r="J62" s="2">
        <v>2490.3500979999999</v>
      </c>
      <c r="K62" s="2">
        <v>192.800003</v>
      </c>
      <c r="L62" s="2">
        <v>406.04199199999999</v>
      </c>
      <c r="M62" s="2">
        <v>32.331699</v>
      </c>
      <c r="P62" s="7"/>
      <c r="Q62" s="4">
        <f t="shared" si="4"/>
        <v>4.3210272873195022E-3</v>
      </c>
      <c r="R62" s="4">
        <f t="shared" si="4"/>
        <v>4.8560700876096076E-3</v>
      </c>
      <c r="S62" s="4">
        <f t="shared" si="4"/>
        <v>6.0357725788900756E-3</v>
      </c>
      <c r="T62" s="4">
        <f t="shared" si="4"/>
        <v>6.2976552480868446E-3</v>
      </c>
      <c r="U62" s="4">
        <f t="shared" si="4"/>
        <v>6.366159004206921E-3</v>
      </c>
      <c r="V62" s="4">
        <f t="shared" si="4"/>
        <v>6.253112287746102E-3</v>
      </c>
      <c r="W62" s="4">
        <f t="shared" si="4"/>
        <v>0</v>
      </c>
      <c r="X62" s="4">
        <f t="shared" si="4"/>
        <v>4.9540646734873676E-2</v>
      </c>
      <c r="Y62" s="4">
        <f t="shared" si="4"/>
        <v>-5.3370624572795393E-2</v>
      </c>
      <c r="Z62" s="4">
        <f t="shared" si="4"/>
        <v>-8.6745674413947316E-2</v>
      </c>
      <c r="AA62" s="4">
        <f t="shared" si="3"/>
        <v>-5.5247497099925796E-2</v>
      </c>
      <c r="AE62" s="7"/>
      <c r="AF62" s="7"/>
    </row>
    <row r="63" spans="2:36" x14ac:dyDescent="0.35">
      <c r="B63" s="1">
        <v>42339</v>
      </c>
      <c r="C63" s="2">
        <v>15.574999999999999</v>
      </c>
      <c r="D63" s="2">
        <v>11.984999999999999</v>
      </c>
      <c r="E63" s="2">
        <v>23.526399999999999</v>
      </c>
      <c r="F63" s="2">
        <v>219.445007</v>
      </c>
      <c r="G63" s="2">
        <v>2931.110107</v>
      </c>
      <c r="H63" s="2">
        <v>2328.4499510000001</v>
      </c>
      <c r="I63" s="2">
        <v>76.369820000000004</v>
      </c>
      <c r="J63" s="2">
        <v>2372.8000489999999</v>
      </c>
      <c r="K63" s="2">
        <v>203.66999799999999</v>
      </c>
      <c r="L63" s="2">
        <v>444.60998499999999</v>
      </c>
      <c r="M63" s="2">
        <v>34.222400999999998</v>
      </c>
      <c r="P63" s="7"/>
      <c r="Q63" s="4">
        <f t="shared" si="4"/>
        <v>4.4110249829104175E-3</v>
      </c>
      <c r="R63" s="4">
        <f t="shared" si="4"/>
        <v>7.5238535580681139E-3</v>
      </c>
      <c r="S63" s="4">
        <f t="shared" si="4"/>
        <v>5.2728282698799381E-3</v>
      </c>
      <c r="T63" s="4">
        <f t="shared" si="4"/>
        <v>6.3330583299640933E-3</v>
      </c>
      <c r="U63" s="4">
        <f t="shared" si="4"/>
        <v>6.3931951917197615E-3</v>
      </c>
      <c r="V63" s="4">
        <f t="shared" si="4"/>
        <v>6.3184730542689823E-3</v>
      </c>
      <c r="W63" s="4">
        <f t="shared" si="4"/>
        <v>7.0242646345220587E-3</v>
      </c>
      <c r="X63" s="4">
        <f t="shared" si="4"/>
        <v>4.3598091005290773E-3</v>
      </c>
      <c r="Y63" s="4">
        <f t="shared" si="4"/>
        <v>-1.8457840963855457E-2</v>
      </c>
      <c r="Z63" s="4">
        <f t="shared" si="4"/>
        <v>-2.2181916466063406E-2</v>
      </c>
      <c r="AA63" s="4">
        <f t="shared" si="3"/>
        <v>2.0440201688289465E-2</v>
      </c>
      <c r="AE63" s="7"/>
      <c r="AF63" s="7"/>
    </row>
    <row r="64" spans="2:36" x14ac:dyDescent="0.35">
      <c r="B64" s="1">
        <v>42309</v>
      </c>
      <c r="C64" s="2">
        <v>15.506600000000001</v>
      </c>
      <c r="D64" s="2">
        <v>11.8955</v>
      </c>
      <c r="E64" s="2">
        <v>23.402999999999999</v>
      </c>
      <c r="F64" s="2">
        <v>218.06399500000001</v>
      </c>
      <c r="G64" s="2">
        <v>2912.48999</v>
      </c>
      <c r="H64" s="2">
        <v>2313.830078</v>
      </c>
      <c r="I64" s="2">
        <v>75.837119999999999</v>
      </c>
      <c r="J64" s="2">
        <v>2362.5</v>
      </c>
      <c r="K64" s="2">
        <v>207.5</v>
      </c>
      <c r="L64" s="2">
        <v>454.69601399999999</v>
      </c>
      <c r="M64" s="2">
        <v>33.536900000000003</v>
      </c>
      <c r="P64" s="7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6" spans="16:27" x14ac:dyDescent="0.35">
      <c r="Q66" s="3" t="s">
        <v>11</v>
      </c>
      <c r="R66" s="3" t="s">
        <v>12</v>
      </c>
      <c r="S66" s="3" t="s">
        <v>13</v>
      </c>
      <c r="T66" s="3" t="s">
        <v>16</v>
      </c>
      <c r="U66" s="3" t="s">
        <v>15</v>
      </c>
      <c r="V66" s="3" t="s">
        <v>14</v>
      </c>
      <c r="W66" s="3" t="s">
        <v>4</v>
      </c>
      <c r="X66" s="3" t="s">
        <v>3</v>
      </c>
      <c r="Y66" s="3" t="s">
        <v>18</v>
      </c>
      <c r="Z66" s="3" t="s">
        <v>19</v>
      </c>
      <c r="AA66" s="3" t="s">
        <v>17</v>
      </c>
    </row>
    <row r="67" spans="16:27" x14ac:dyDescent="0.35">
      <c r="P67" s="3" t="s">
        <v>5</v>
      </c>
      <c r="Q67" s="8">
        <f>AVERAGE(Q5:Q63)</f>
        <v>6.6519314917109686E-3</v>
      </c>
      <c r="R67" s="8">
        <f>AVERAGE(R5:R63)</f>
        <v>6.6119225204143419E-3</v>
      </c>
      <c r="S67" s="8">
        <f>AVERAGE(S5:S63)</f>
        <v>6.8828980484478049E-3</v>
      </c>
      <c r="T67" s="8">
        <f t="shared" ref="T67:AA67" si="5">AVERAGE(T5:T63)</f>
        <v>5.3563134159825823E-3</v>
      </c>
      <c r="U67" s="8">
        <f t="shared" si="5"/>
        <v>5.3468537486211056E-3</v>
      </c>
      <c r="V67" s="8">
        <f t="shared" si="5"/>
        <v>5.2692921073550329E-3</v>
      </c>
      <c r="W67" s="8">
        <f t="shared" si="5"/>
        <v>1.0281184646422465E-2</v>
      </c>
      <c r="X67" s="8">
        <f t="shared" si="5"/>
        <v>1.1789081326628091E-2</v>
      </c>
      <c r="Y67" s="8">
        <f t="shared" si="5"/>
        <v>6.6770142146405217E-3</v>
      </c>
      <c r="Z67" s="8">
        <f t="shared" si="5"/>
        <v>5.5433695083489136E-3</v>
      </c>
      <c r="AA67" s="8">
        <f t="shared" si="5"/>
        <v>8.4973886023717079E-3</v>
      </c>
    </row>
    <row r="68" spans="16:27" x14ac:dyDescent="0.35">
      <c r="P68" s="3" t="s">
        <v>6</v>
      </c>
      <c r="Q68" s="8">
        <f>_xlfn.VAR.S(Q5:Q63)</f>
        <v>2.1669243038584048E-5</v>
      </c>
      <c r="R68" s="8">
        <f t="shared" ref="R68:Z68" si="6">_xlfn.VAR.S(R5:R63)</f>
        <v>5.0779322041918526E-5</v>
      </c>
      <c r="S68" s="8">
        <f t="shared" si="6"/>
        <v>3.1273386261601646E-5</v>
      </c>
      <c r="T68" s="8">
        <f t="shared" si="6"/>
        <v>1.7206266668469146E-6</v>
      </c>
      <c r="U68" s="8">
        <f t="shared" si="6"/>
        <v>1.7134409783851719E-6</v>
      </c>
      <c r="V68" s="8">
        <f t="shared" si="6"/>
        <v>1.999478202641968E-6</v>
      </c>
      <c r="W68" s="8">
        <f t="shared" si="6"/>
        <v>4.8718189642342037E-3</v>
      </c>
      <c r="X68" s="8">
        <f t="shared" si="6"/>
        <v>1.4462898565844936E-3</v>
      </c>
      <c r="Y68" s="8">
        <f t="shared" si="6"/>
        <v>2.9755802124420941E-3</v>
      </c>
      <c r="Z68" s="8">
        <f t="shared" si="6"/>
        <v>3.8224446529894203E-3</v>
      </c>
      <c r="AA68" s="8">
        <f>_xlfn.VAR.S(AA5:AA63)</f>
        <v>2.9788952933658239E-3</v>
      </c>
    </row>
    <row r="69" spans="16:27" x14ac:dyDescent="0.35">
      <c r="P69" s="3" t="s">
        <v>39</v>
      </c>
      <c r="Q69" s="8">
        <f>Q67*12</f>
        <v>7.9823177900531617E-2</v>
      </c>
      <c r="R69" s="8">
        <f t="shared" ref="R69:AA70" si="7">R67*12</f>
        <v>7.93430702449721E-2</v>
      </c>
      <c r="S69" s="8">
        <f t="shared" si="7"/>
        <v>8.2594776581373652E-2</v>
      </c>
      <c r="T69" s="8">
        <f t="shared" si="7"/>
        <v>6.4275760991790984E-2</v>
      </c>
      <c r="U69" s="8">
        <f t="shared" si="7"/>
        <v>6.416224498345327E-2</v>
      </c>
      <c r="V69" s="8">
        <f t="shared" si="7"/>
        <v>6.3231505288260395E-2</v>
      </c>
      <c r="W69" s="8">
        <f t="shared" si="7"/>
        <v>0.12337421575706958</v>
      </c>
      <c r="X69" s="8">
        <f t="shared" si="7"/>
        <v>0.14146897591953708</v>
      </c>
      <c r="Y69" s="8">
        <f t="shared" si="7"/>
        <v>8.0124170575686257E-2</v>
      </c>
      <c r="Z69" s="8">
        <f t="shared" si="7"/>
        <v>6.6520434100186959E-2</v>
      </c>
      <c r="AA69" s="8">
        <f t="shared" si="7"/>
        <v>0.10196866322846049</v>
      </c>
    </row>
    <row r="70" spans="16:27" x14ac:dyDescent="0.35">
      <c r="P70" s="3" t="s">
        <v>38</v>
      </c>
      <c r="Q70" s="8">
        <f>Q68*12</f>
        <v>2.6003091646300858E-4</v>
      </c>
      <c r="R70" s="8">
        <f t="shared" si="7"/>
        <v>6.0935186450302228E-4</v>
      </c>
      <c r="S70" s="8">
        <f t="shared" si="7"/>
        <v>3.7528063513921973E-4</v>
      </c>
      <c r="T70" s="8">
        <f t="shared" si="7"/>
        <v>2.0647520002162976E-5</v>
      </c>
      <c r="U70" s="8">
        <f t="shared" si="7"/>
        <v>2.0561291740622063E-5</v>
      </c>
      <c r="V70" s="8">
        <f t="shared" si="7"/>
        <v>2.3993738431703614E-5</v>
      </c>
      <c r="W70" s="8">
        <f t="shared" si="7"/>
        <v>5.8461827570810448E-2</v>
      </c>
      <c r="X70" s="8">
        <f t="shared" si="7"/>
        <v>1.7355478279013924E-2</v>
      </c>
      <c r="Y70" s="8">
        <f t="shared" si="7"/>
        <v>3.5706962549305131E-2</v>
      </c>
      <c r="Z70" s="8">
        <f t="shared" si="7"/>
        <v>4.5869335835873042E-2</v>
      </c>
      <c r="AA70" s="8">
        <f t="shared" si="7"/>
        <v>3.5746743520389888E-2</v>
      </c>
    </row>
  </sheetData>
  <mergeCells count="3">
    <mergeCell ref="AM2:AW2"/>
    <mergeCell ref="C3:M3"/>
    <mergeCell ref="Q3:A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2C6C8-1882-47DD-A29F-95DC5545D08C}">
  <dimension ref="B1:AZ71"/>
  <sheetViews>
    <sheetView topLeftCell="AM22" zoomScale="70" zoomScaleNormal="70" workbookViewId="0">
      <selection activeCell="AS39" sqref="AS39"/>
    </sheetView>
  </sheetViews>
  <sheetFormatPr defaultRowHeight="14.5" x14ac:dyDescent="0.35"/>
  <cols>
    <col min="1" max="1" width="8.7265625" style="18"/>
    <col min="2" max="2" width="11.54296875" style="18" bestFit="1" customWidth="1"/>
    <col min="3" max="3" width="22.453125" style="18" bestFit="1" customWidth="1"/>
    <col min="4" max="4" width="19.81640625" style="18" bestFit="1" customWidth="1"/>
    <col min="5" max="5" width="17.81640625" style="18" bestFit="1" customWidth="1"/>
    <col min="6" max="6" width="14.81640625" style="18" bestFit="1" customWidth="1"/>
    <col min="7" max="7" width="18.36328125" style="18" customWidth="1"/>
    <col min="8" max="8" width="15.7265625" style="18" customWidth="1"/>
    <col min="9" max="9" width="16.81640625" style="18" customWidth="1"/>
    <col min="10" max="10" width="16.453125" style="18" customWidth="1"/>
    <col min="11" max="11" width="12.453125" style="18" bestFit="1" customWidth="1"/>
    <col min="12" max="12" width="15.81640625" style="18" bestFit="1" customWidth="1"/>
    <col min="13" max="13" width="19.7265625" style="18" bestFit="1" customWidth="1"/>
    <col min="14" max="14" width="11.81640625" style="18" bestFit="1" customWidth="1"/>
    <col min="15" max="15" width="19.7265625" style="18" customWidth="1"/>
    <col min="16" max="16" width="23" style="6" bestFit="1" customWidth="1"/>
    <col min="17" max="17" width="22.7265625" style="18" bestFit="1" customWidth="1"/>
    <col min="18" max="18" width="20" style="18" bestFit="1" customWidth="1"/>
    <col min="19" max="19" width="18" style="18" bestFit="1" customWidth="1"/>
    <col min="20" max="20" width="14.81640625" style="18" bestFit="1" customWidth="1"/>
    <col min="21" max="21" width="16" style="18" bestFit="1" customWidth="1"/>
    <col min="22" max="22" width="13.54296875" style="18" bestFit="1" customWidth="1"/>
    <col min="23" max="23" width="13.7265625" style="18" bestFit="1" customWidth="1"/>
    <col min="24" max="24" width="13.1796875" style="18" bestFit="1" customWidth="1"/>
    <col min="25" max="25" width="12.453125" style="18" bestFit="1" customWidth="1"/>
    <col min="26" max="26" width="15.81640625" style="18" bestFit="1" customWidth="1"/>
    <col min="27" max="27" width="19.7265625" style="18" bestFit="1" customWidth="1"/>
    <col min="28" max="28" width="7.6328125" style="18" bestFit="1" customWidth="1"/>
    <col min="29" max="30" width="19.7265625" style="18" customWidth="1"/>
    <col min="31" max="31" width="17.26953125" style="18" customWidth="1"/>
    <col min="32" max="32" width="8.7265625" style="18"/>
    <col min="33" max="33" width="8.7265625" style="6"/>
    <col min="34" max="34" width="25.6328125" style="18" bestFit="1" customWidth="1"/>
    <col min="35" max="35" width="7.81640625" style="18" bestFit="1" customWidth="1"/>
    <col min="36" max="36" width="8.7265625" style="18"/>
    <col min="37" max="37" width="15.36328125" style="18" bestFit="1" customWidth="1"/>
    <col min="38" max="38" width="36.453125" style="18" bestFit="1" customWidth="1"/>
    <col min="39" max="39" width="22.7265625" style="18" bestFit="1" customWidth="1"/>
    <col min="40" max="40" width="23.453125" style="18" customWidth="1"/>
    <col min="41" max="41" width="35.7265625" style="18" bestFit="1" customWidth="1"/>
    <col min="42" max="42" width="16.6328125" style="18" bestFit="1" customWidth="1"/>
    <col min="43" max="43" width="16" style="18" bestFit="1" customWidth="1"/>
    <col min="44" max="44" width="16.81640625" style="18" bestFit="1" customWidth="1"/>
    <col min="45" max="45" width="13.7265625" style="18" bestFit="1" customWidth="1"/>
    <col min="46" max="46" width="13.1796875" style="18" bestFit="1" customWidth="1"/>
    <col min="47" max="47" width="12.453125" style="18" bestFit="1" customWidth="1"/>
    <col min="48" max="48" width="15.81640625" style="18" bestFit="1" customWidth="1"/>
    <col min="49" max="49" width="19.7265625" style="18" bestFit="1" customWidth="1"/>
    <col min="50" max="52" width="19.7265625" style="18" customWidth="1"/>
    <col min="53" max="16384" width="8.7265625" style="18"/>
  </cols>
  <sheetData>
    <row r="1" spans="2:52" x14ac:dyDescent="0.35">
      <c r="P1" s="7"/>
      <c r="AE1" s="7"/>
      <c r="AF1" s="7"/>
    </row>
    <row r="2" spans="2:52" ht="14" customHeight="1" x14ac:dyDescent="0.35">
      <c r="C2" s="3"/>
      <c r="P2" s="7"/>
      <c r="AE2" s="7"/>
      <c r="AF2" s="7"/>
      <c r="AM2" s="54" t="s">
        <v>20</v>
      </c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11"/>
      <c r="AY2" s="11"/>
      <c r="AZ2" s="11"/>
    </row>
    <row r="3" spans="2:52" x14ac:dyDescent="0.35">
      <c r="C3" s="55" t="s">
        <v>2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17"/>
      <c r="O3" s="17"/>
      <c r="P3" s="7"/>
      <c r="Q3" s="56" t="s">
        <v>7</v>
      </c>
      <c r="R3" s="56"/>
      <c r="S3" s="56"/>
      <c r="T3" s="56"/>
      <c r="U3" s="56"/>
      <c r="V3" s="56"/>
      <c r="W3" s="56"/>
      <c r="X3" s="56"/>
      <c r="Y3" s="56"/>
      <c r="Z3" s="56"/>
      <c r="AA3" s="56"/>
      <c r="AB3" s="10"/>
      <c r="AC3" s="10"/>
      <c r="AD3" s="10"/>
      <c r="AE3" s="12"/>
      <c r="AF3" s="7"/>
      <c r="AI3" s="9" t="s">
        <v>7</v>
      </c>
    </row>
    <row r="4" spans="2:52" x14ac:dyDescent="0.35">
      <c r="B4" s="3" t="s">
        <v>0</v>
      </c>
      <c r="C4" s="3" t="s">
        <v>11</v>
      </c>
      <c r="D4" s="3" t="s">
        <v>12</v>
      </c>
      <c r="E4" s="3" t="s">
        <v>13</v>
      </c>
      <c r="F4" s="3" t="s">
        <v>16</v>
      </c>
      <c r="G4" s="3" t="s">
        <v>15</v>
      </c>
      <c r="H4" s="3" t="s">
        <v>14</v>
      </c>
      <c r="I4" s="3" t="s">
        <v>4</v>
      </c>
      <c r="J4" s="3" t="s">
        <v>3</v>
      </c>
      <c r="K4" s="3" t="s">
        <v>18</v>
      </c>
      <c r="L4" s="3" t="s">
        <v>19</v>
      </c>
      <c r="M4" s="3" t="s">
        <v>17</v>
      </c>
      <c r="N4" s="3"/>
      <c r="O4" s="3"/>
      <c r="P4" s="7"/>
      <c r="Q4" s="3" t="s">
        <v>11</v>
      </c>
      <c r="R4" s="3" t="s">
        <v>12</v>
      </c>
      <c r="S4" s="3" t="s">
        <v>13</v>
      </c>
      <c r="T4" s="3" t="s">
        <v>16</v>
      </c>
      <c r="U4" s="3" t="s">
        <v>15</v>
      </c>
      <c r="V4" s="3" t="s">
        <v>14</v>
      </c>
      <c r="W4" s="3" t="s">
        <v>4</v>
      </c>
      <c r="X4" s="3" t="s">
        <v>3</v>
      </c>
      <c r="Y4" s="3" t="s">
        <v>18</v>
      </c>
      <c r="Z4" s="3" t="s">
        <v>19</v>
      </c>
      <c r="AA4" s="3" t="s">
        <v>17</v>
      </c>
      <c r="AB4" s="3"/>
      <c r="AC4" s="3"/>
      <c r="AD4" s="3"/>
      <c r="AE4" s="13"/>
      <c r="AF4" s="7"/>
      <c r="AH4" s="3" t="s">
        <v>11</v>
      </c>
      <c r="AI4" s="8">
        <f>Q69</f>
        <v>7.9823177900531617E-2</v>
      </c>
      <c r="AM4" s="3" t="s">
        <v>11</v>
      </c>
      <c r="AN4" s="3" t="s">
        <v>12</v>
      </c>
      <c r="AO4" s="3" t="s">
        <v>13</v>
      </c>
      <c r="AP4" s="3" t="s">
        <v>16</v>
      </c>
      <c r="AQ4" s="3" t="s">
        <v>15</v>
      </c>
      <c r="AR4" s="3" t="s">
        <v>14</v>
      </c>
      <c r="AS4" s="3" t="s">
        <v>4</v>
      </c>
      <c r="AT4" s="3" t="s">
        <v>3</v>
      </c>
      <c r="AU4" s="3" t="s">
        <v>18</v>
      </c>
      <c r="AV4" s="3" t="s">
        <v>19</v>
      </c>
      <c r="AW4" s="3" t="s">
        <v>17</v>
      </c>
      <c r="AX4" s="3"/>
      <c r="AY4" s="3"/>
      <c r="AZ4" s="3"/>
    </row>
    <row r="5" spans="2:52" x14ac:dyDescent="0.35">
      <c r="B5" s="1">
        <v>44105</v>
      </c>
      <c r="C5" s="2">
        <v>22.915400000000002</v>
      </c>
      <c r="D5" s="2">
        <v>17.523099999999999</v>
      </c>
      <c r="E5" s="2">
        <v>35.046199999999999</v>
      </c>
      <c r="F5" s="2">
        <v>298.84298699999999</v>
      </c>
      <c r="G5" s="2">
        <v>3989.169922</v>
      </c>
      <c r="H5" s="2">
        <v>3154.780029</v>
      </c>
      <c r="I5" s="2">
        <v>121.25</v>
      </c>
      <c r="J5" s="2">
        <v>4529.75</v>
      </c>
      <c r="K5" s="2">
        <v>280.29998799999998</v>
      </c>
      <c r="L5" s="2">
        <v>561.31500200000005</v>
      </c>
      <c r="M5" s="2">
        <v>50.433498</v>
      </c>
      <c r="N5" s="2"/>
      <c r="O5" s="2"/>
      <c r="P5" s="7"/>
      <c r="Q5" s="4">
        <f>(C5-C6)/C6</f>
        <v>7.6645368957527276E-3</v>
      </c>
      <c r="R5" s="4">
        <f t="shared" ref="R5:AA20" si="0">(D5-D6)/D6</f>
        <v>1.1913344954803706E-2</v>
      </c>
      <c r="S5" s="4">
        <f t="shared" si="0"/>
        <v>1.0573941072566095E-2</v>
      </c>
      <c r="T5" s="4">
        <f t="shared" si="0"/>
        <v>1.3805100676538649E-3</v>
      </c>
      <c r="U5" s="4">
        <f t="shared" si="0"/>
        <v>1.4309009585854E-3</v>
      </c>
      <c r="V5" s="4">
        <f t="shared" si="0"/>
        <v>1.8073242017765348E-4</v>
      </c>
      <c r="W5" s="4">
        <f t="shared" si="0"/>
        <v>4.2831367751733893E-2</v>
      </c>
      <c r="X5" s="4">
        <f t="shared" si="0"/>
        <v>1.270999115826702E-3</v>
      </c>
      <c r="Y5" s="4">
        <f t="shared" si="0"/>
        <v>6.4255677285717373E-4</v>
      </c>
      <c r="Z5" s="4">
        <f t="shared" si="0"/>
        <v>5.7912424382576795E-3</v>
      </c>
      <c r="AA5" s="4">
        <f t="shared" si="0"/>
        <v>1.0784500960318978E-2</v>
      </c>
      <c r="AB5" s="4"/>
      <c r="AC5" s="4"/>
      <c r="AD5" s="4"/>
      <c r="AE5" s="14"/>
      <c r="AF5" s="7"/>
      <c r="AH5" s="3" t="s">
        <v>12</v>
      </c>
      <c r="AI5" s="8">
        <f>R69</f>
        <v>7.93430702449721E-2</v>
      </c>
      <c r="AL5" s="3" t="s">
        <v>11</v>
      </c>
      <c r="AM5" s="18">
        <f>_xlfn.COVARIANCE.S(ICFR, ICFR)*12</f>
        <v>2.6003091646300804E-4</v>
      </c>
      <c r="AN5" s="18">
        <f>_xlfn.COVARIANCE.S(ICFR, HCFR)*12</f>
        <v>3.6290863013469275E-4</v>
      </c>
      <c r="AO5" s="18">
        <f>_xlfn.COVARIANCE.S(ICFR, SCFR)*12</f>
        <v>2.5692358074492523E-4</v>
      </c>
      <c r="AP5" s="18">
        <f>_xlfn.COVARIANCE.S(ICFR, ILF)*12</f>
        <v>-7.1934706792068851E-6</v>
      </c>
      <c r="AQ5" s="18">
        <f>_xlfn.COVARIANCE.S(ICFR, HLF)*12</f>
        <v>-9.138994578844932E-6</v>
      </c>
      <c r="AR5" s="18">
        <f>_xlfn.COVARIANCE.S(ICFR, SLF)*12</f>
        <v>-9.8110315636994874E-6</v>
      </c>
      <c r="AS5" s="18">
        <f>_xlfn.COVARIANCE.S(ICFR, SN50ETF)*12</f>
        <v>-5.0587777910318689E-5</v>
      </c>
      <c r="AT5" s="18">
        <f>_xlfn.COVARIANCE.S(ICFR, HGE)*12</f>
        <v>-3.5489072415028353E-4</v>
      </c>
      <c r="AU5" s="18">
        <f>_xlfn.COVARIANCE.S(ICFR, IM)*12</f>
        <v>3.2736427687492394E-4</v>
      </c>
      <c r="AV5" s="18">
        <f>_xlfn.COVARIANCE.S(ICFR, HEF)*12</f>
        <v>5.2987546522684692E-4</v>
      </c>
      <c r="AW5" s="18">
        <f>_xlfn.COVARIANCE.S(ICFR, SMM)*12</f>
        <v>5.1135659324308956E-4</v>
      </c>
    </row>
    <row r="6" spans="2:52" x14ac:dyDescent="0.35">
      <c r="B6" s="1">
        <v>44075</v>
      </c>
      <c r="C6" s="2">
        <v>22.741099999999999</v>
      </c>
      <c r="D6" s="2">
        <v>17.316799</v>
      </c>
      <c r="E6" s="2">
        <v>34.679501000000002</v>
      </c>
      <c r="F6" s="2">
        <v>298.43099999999998</v>
      </c>
      <c r="G6" s="2">
        <v>3983.469971</v>
      </c>
      <c r="H6" s="2">
        <v>3154.209961</v>
      </c>
      <c r="I6" s="2">
        <v>116.269997</v>
      </c>
      <c r="J6" s="2">
        <v>4524</v>
      </c>
      <c r="K6" s="2">
        <v>280.11999500000002</v>
      </c>
      <c r="L6" s="2">
        <v>558.08300799999995</v>
      </c>
      <c r="M6" s="2">
        <v>49.895401</v>
      </c>
      <c r="N6" s="2"/>
      <c r="O6" s="2"/>
      <c r="P6" s="7"/>
      <c r="Q6" s="4">
        <f t="shared" ref="Q6:AA42" si="1">(C6-C7)/C7</f>
        <v>9.4324099397029189E-3</v>
      </c>
      <c r="R6" s="4">
        <f t="shared" si="0"/>
        <v>6.8492358188984729E-3</v>
      </c>
      <c r="S6" s="4">
        <f t="shared" si="0"/>
        <v>8.0342180801794769E-3</v>
      </c>
      <c r="T6" s="4">
        <f t="shared" si="0"/>
        <v>2.6036565175170442E-3</v>
      </c>
      <c r="U6" s="4">
        <f t="shared" si="0"/>
        <v>2.6226505761292114E-3</v>
      </c>
      <c r="V6" s="4">
        <f t="shared" si="0"/>
        <v>2.6479326324615293E-3</v>
      </c>
      <c r="W6" s="4">
        <f t="shared" si="0"/>
        <v>-1.5245218937918097E-2</v>
      </c>
      <c r="X6" s="4">
        <f t="shared" si="0"/>
        <v>-2.7086353556094452E-2</v>
      </c>
      <c r="Y6" s="4">
        <f t="shared" si="0"/>
        <v>-3.2434163502671302E-2</v>
      </c>
      <c r="Z6" s="4">
        <f t="shared" si="0"/>
        <v>-5.2667545602711349E-2</v>
      </c>
      <c r="AA6" s="4">
        <f t="shared" si="0"/>
        <v>-1.4740718944998538E-2</v>
      </c>
      <c r="AB6" s="4"/>
      <c r="AC6" s="4"/>
      <c r="AD6" s="4"/>
      <c r="AE6" s="14"/>
      <c r="AF6" s="7"/>
      <c r="AH6" s="3" t="s">
        <v>13</v>
      </c>
      <c r="AI6" s="8">
        <f>S69</f>
        <v>8.2594776581373652E-2</v>
      </c>
      <c r="AL6" s="3" t="s">
        <v>12</v>
      </c>
      <c r="AM6" s="18">
        <f>_xlfn.COVARIANCE.S(ICFR,HCFR)*12</f>
        <v>3.6290863013469275E-4</v>
      </c>
      <c r="AN6" s="18">
        <f>_xlfn.COVARIANCE.S(HCFR, HCFR)*12</f>
        <v>6.0935186450302196E-4</v>
      </c>
      <c r="AO6" s="18">
        <f>_xlfn.COVARIANCE.S(HCFR, SCFR)*12</f>
        <v>4.3385194983488275E-4</v>
      </c>
      <c r="AP6" s="18">
        <f>_xlfn.COVARIANCE.S(HCFR, ILF)*12</f>
        <v>-5.9491947648587582E-6</v>
      </c>
      <c r="AQ6" s="18">
        <f>_xlfn.COVARIANCE.S(HCFR, HLF)*12</f>
        <v>-1.0010622877790591E-5</v>
      </c>
      <c r="AR6" s="18">
        <f>_xlfn.COVARIANCE.S(HCFR, SLF)*12</f>
        <v>-1.0769423528608551E-5</v>
      </c>
      <c r="AS6" s="18">
        <f>_xlfn.COVARIANCE.S(HCFR, SN50ETF)*12</f>
        <v>-3.2326273346706529E-4</v>
      </c>
      <c r="AT6" s="18">
        <f>_xlfn.COVARIANCE.S(HCFR, HGE)*12</f>
        <v>-5.821989080555108E-4</v>
      </c>
      <c r="AU6" s="18">
        <f>_xlfn.COVARIANCE.S(HCFR, IM)*12</f>
        <v>-7.78986836026869E-5</v>
      </c>
      <c r="AV6" s="18">
        <f>_xlfn.COVARIANCE.S(HCFR, HEF)*12</f>
        <v>2.3538939638994202E-4</v>
      </c>
      <c r="AW6" s="18">
        <f>_xlfn.COVARIANCE.S(HCFR, SMM)*12</f>
        <v>1.7349597827995072E-4</v>
      </c>
    </row>
    <row r="7" spans="2:52" x14ac:dyDescent="0.35">
      <c r="B7" s="1">
        <v>44044</v>
      </c>
      <c r="C7" s="2">
        <v>22.528600999999998</v>
      </c>
      <c r="D7" s="2">
        <v>17.198999000000001</v>
      </c>
      <c r="E7" s="2">
        <v>34.403098999999997</v>
      </c>
      <c r="F7" s="2">
        <v>297.65600599999999</v>
      </c>
      <c r="G7" s="2">
        <v>3973.0500489999999</v>
      </c>
      <c r="H7" s="2">
        <v>3145.8798830000001</v>
      </c>
      <c r="I7" s="2">
        <v>118.07</v>
      </c>
      <c r="J7" s="2">
        <v>4649.9501950000003</v>
      </c>
      <c r="K7" s="2">
        <v>289.51001000000002</v>
      </c>
      <c r="L7" s="2">
        <v>589.10998500000005</v>
      </c>
      <c r="M7" s="2">
        <v>50.641899000000002</v>
      </c>
      <c r="N7" s="2"/>
      <c r="O7" s="2"/>
      <c r="P7" s="7"/>
      <c r="Q7" s="4">
        <f t="shared" si="1"/>
        <v>7.5521064695521127E-4</v>
      </c>
      <c r="R7" s="4">
        <f t="shared" si="0"/>
        <v>1.5781014331553154E-3</v>
      </c>
      <c r="S7" s="4">
        <f t="shared" si="0"/>
        <v>3.2544216496798984E-3</v>
      </c>
      <c r="T7" s="4">
        <f t="shared" si="0"/>
        <v>2.7861023422205543E-3</v>
      </c>
      <c r="U7" s="4">
        <f t="shared" si="0"/>
        <v>2.7839407535351153E-3</v>
      </c>
      <c r="V7" s="4">
        <f t="shared" si="0"/>
        <v>2.7475800451745463E-3</v>
      </c>
      <c r="W7" s="4">
        <f t="shared" si="0"/>
        <v>2.9111800859972059E-2</v>
      </c>
      <c r="X7" s="4">
        <f t="shared" si="0"/>
        <v>-3.8769985529715688E-2</v>
      </c>
      <c r="Y7" s="4">
        <f t="shared" si="0"/>
        <v>5.1272719528338805E-2</v>
      </c>
      <c r="Z7" s="4">
        <f t="shared" si="0"/>
        <v>5.46223971412488E-2</v>
      </c>
      <c r="AA7" s="4">
        <f t="shared" si="0"/>
        <v>4.6549430247120244E-2</v>
      </c>
      <c r="AB7" s="4"/>
      <c r="AC7" s="4"/>
      <c r="AD7" s="4"/>
      <c r="AE7" s="14"/>
      <c r="AF7" s="7"/>
      <c r="AH7" s="3" t="s">
        <v>16</v>
      </c>
      <c r="AI7" s="8">
        <f>T69</f>
        <v>6.4275760991790984E-2</v>
      </c>
      <c r="AL7" s="3" t="s">
        <v>13</v>
      </c>
      <c r="AM7" s="18">
        <f>_xlfn.COVARIANCE.S(ICFR, SCFR)*12</f>
        <v>2.5692358074492523E-4</v>
      </c>
      <c r="AN7" s="18">
        <f>_xlfn.COVARIANCE.S(HCFR, SCFR)*12</f>
        <v>4.3385194983488275E-4</v>
      </c>
      <c r="AO7" s="18">
        <f>_xlfn.COVARIANCE.S(SCFR, SCFR)*12</f>
        <v>3.7528063513922032E-4</v>
      </c>
      <c r="AP7" s="18">
        <f>_xlfn.COVARIANCE.S(SCFR, ILF)*12</f>
        <v>-7.3538632345916629E-6</v>
      </c>
      <c r="AQ7" s="18">
        <f>_xlfn.COVARIANCE.S(SCFR, HLF)*12</f>
        <v>-1.0475826343026968E-5</v>
      </c>
      <c r="AR7" s="18">
        <f>_xlfn.COVARIANCE.S(SCFR, SLF)*12</f>
        <v>-1.1345954318133625E-5</v>
      </c>
      <c r="AS7" s="18">
        <f>_xlfn.COVARIANCE.S(SCFR, SN50ETF)*12</f>
        <v>-3.2900999768079142E-5</v>
      </c>
      <c r="AT7" s="18">
        <f>_xlfn.COVARIANCE.S(SCFR, HGE)*12</f>
        <v>-3.3801109231861926E-4</v>
      </c>
      <c r="AU7" s="18">
        <f>_xlfn.COVARIANCE.S(SCFR, IM)*12</f>
        <v>6.979711882658076E-5</v>
      </c>
      <c r="AV7" s="18">
        <f>_xlfn.COVARIANCE.S(SCFR, HEF)*12</f>
        <v>2.5689285759388885E-4</v>
      </c>
      <c r="AW7" s="18">
        <f>_xlfn.COVARIANCE.S(SCFR, SMM)*12</f>
        <v>2.213850916297518E-4</v>
      </c>
    </row>
    <row r="8" spans="2:52" x14ac:dyDescent="0.35">
      <c r="B8" s="1">
        <v>44013</v>
      </c>
      <c r="C8" s="2">
        <v>22.511600000000001</v>
      </c>
      <c r="D8" s="2">
        <v>17.171900000000001</v>
      </c>
      <c r="E8" s="2">
        <v>34.291499999999999</v>
      </c>
      <c r="F8" s="2">
        <v>296.82900999999998</v>
      </c>
      <c r="G8" s="2">
        <v>3962.0200199999999</v>
      </c>
      <c r="H8" s="2">
        <v>3137.26001</v>
      </c>
      <c r="I8" s="2">
        <v>114.730003</v>
      </c>
      <c r="J8" s="2">
        <v>4837.5</v>
      </c>
      <c r="K8" s="2">
        <v>275.39001500000001</v>
      </c>
      <c r="L8" s="2">
        <v>558.59802200000001</v>
      </c>
      <c r="M8" s="2">
        <v>48.389400000000002</v>
      </c>
      <c r="N8" s="2"/>
      <c r="O8" s="2"/>
      <c r="P8" s="7"/>
      <c r="Q8" s="4">
        <f t="shared" si="1"/>
        <v>1.4607323943662034E-2</v>
      </c>
      <c r="R8" s="4">
        <f t="shared" si="0"/>
        <v>1.5127689761172881E-2</v>
      </c>
      <c r="S8" s="4">
        <f t="shared" si="0"/>
        <v>1.1760605075417105E-2</v>
      </c>
      <c r="T8" s="4">
        <f t="shared" si="0"/>
        <v>2.7329944938278236E-3</v>
      </c>
      <c r="U8" s="4">
        <f t="shared" si="0"/>
        <v>2.7079436279166891E-3</v>
      </c>
      <c r="V8" s="4">
        <f t="shared" si="0"/>
        <v>2.6045433753731423E-3</v>
      </c>
      <c r="W8" s="4">
        <f t="shared" si="0"/>
        <v>8.2256398787729446E-2</v>
      </c>
      <c r="X8" s="4">
        <f t="shared" si="0"/>
        <v>0.10839980492695005</v>
      </c>
      <c r="Y8" s="4">
        <f t="shared" si="0"/>
        <v>5.0705870643894597E-2</v>
      </c>
      <c r="Z8" s="4">
        <f t="shared" si="0"/>
        <v>4.5732746987570537E-2</v>
      </c>
      <c r="AA8" s="4">
        <f t="shared" si="0"/>
        <v>5.03200943897626E-2</v>
      </c>
      <c r="AB8" s="4"/>
      <c r="AC8" s="4"/>
      <c r="AD8" s="4"/>
      <c r="AE8" s="14"/>
      <c r="AF8" s="7"/>
      <c r="AH8" s="3" t="s">
        <v>15</v>
      </c>
      <c r="AI8" s="8">
        <f>U69</f>
        <v>6.416224498345327E-2</v>
      </c>
      <c r="AL8" s="3" t="s">
        <v>16</v>
      </c>
      <c r="AM8" s="18">
        <f>_xlfn.COVARIANCE.S(ICFR, ILF)*12</f>
        <v>-7.1934706792068851E-6</v>
      </c>
      <c r="AN8" s="18">
        <f>_xlfn.COVARIANCE.S(HCFR, ILF)*12</f>
        <v>-5.9491947648587582E-6</v>
      </c>
      <c r="AO8" s="18">
        <f>_xlfn.COVARIANCE.S(SCFR, ILF)*12</f>
        <v>-7.3538632345916629E-6</v>
      </c>
      <c r="AP8" s="18">
        <f>_xlfn.COVARIANCE.S(ILF, ILF)*12</f>
        <v>2.0647520002162976E-5</v>
      </c>
      <c r="AQ8" s="18">
        <f>_xlfn.COVARIANCE.S(ILF, HLF)*12</f>
        <v>2.0410587263978206E-5</v>
      </c>
      <c r="AR8" s="18">
        <f>_xlfn.COVARIANCE.S(ILF, SLF)*12</f>
        <v>2.2057820497243423E-5</v>
      </c>
      <c r="AS8" s="18">
        <f>_xlfn.COVARIANCE.S(ILF, SN50ETF)*12</f>
        <v>-3.65787729462935E-4</v>
      </c>
      <c r="AT8" s="18">
        <f>_xlfn.COVARIANCE.S(ILF, HGE)*12</f>
        <v>-4.9444736531587303E-5</v>
      </c>
      <c r="AU8" s="18">
        <f>_xlfn.COVARIANCE.S(ILF, IM)*12</f>
        <v>-1.4367328686871943E-4</v>
      </c>
      <c r="AV8" s="18">
        <f>_xlfn.COVARIANCE.S(ILF, HEF)*12</f>
        <v>-1.0366263419429476E-4</v>
      </c>
      <c r="AW8" s="18">
        <f>_xlfn.COVARIANCE.S(ILF, SMM)*12</f>
        <v>-1.5420382723046314E-4</v>
      </c>
    </row>
    <row r="9" spans="2:52" x14ac:dyDescent="0.35">
      <c r="B9" s="1">
        <v>43983</v>
      </c>
      <c r="C9" s="2">
        <v>22.1875</v>
      </c>
      <c r="D9" s="2">
        <v>16.916</v>
      </c>
      <c r="E9" s="2">
        <v>33.892899</v>
      </c>
      <c r="F9" s="2">
        <v>296.01998900000001</v>
      </c>
      <c r="G9" s="2">
        <v>3951.320068</v>
      </c>
      <c r="H9" s="2">
        <v>3129.110107</v>
      </c>
      <c r="I9" s="2">
        <v>106.010002</v>
      </c>
      <c r="J9" s="2">
        <v>4364.3999020000001</v>
      </c>
      <c r="K9" s="2">
        <v>262.10000600000001</v>
      </c>
      <c r="L9" s="2">
        <v>534.16900599999997</v>
      </c>
      <c r="M9" s="2">
        <v>46.071097999999999</v>
      </c>
      <c r="N9" s="2"/>
      <c r="O9" s="2"/>
      <c r="P9" s="7"/>
      <c r="Q9" s="4">
        <f t="shared" si="1"/>
        <v>1.3817666531917433E-2</v>
      </c>
      <c r="R9" s="4">
        <f t="shared" si="0"/>
        <v>2.2534938826829248E-2</v>
      </c>
      <c r="S9" s="4">
        <f t="shared" si="0"/>
        <v>1.7083927994456644E-2</v>
      </c>
      <c r="T9" s="4">
        <f t="shared" si="0"/>
        <v>3.3249434707787154E-3</v>
      </c>
      <c r="U9" s="4">
        <f t="shared" si="0"/>
        <v>3.0207863684555813E-3</v>
      </c>
      <c r="V9" s="4">
        <f t="shared" si="0"/>
        <v>3.1900240066947533E-3</v>
      </c>
      <c r="W9" s="4">
        <f t="shared" si="0"/>
        <v>7.7118514064590749E-2</v>
      </c>
      <c r="X9" s="4">
        <f t="shared" si="0"/>
        <v>4.0753523786812948E-2</v>
      </c>
      <c r="Y9" s="4">
        <f t="shared" si="0"/>
        <v>6.0790043218471396E-2</v>
      </c>
      <c r="Z9" s="4">
        <f t="shared" si="0"/>
        <v>6.9266113601283569E-2</v>
      </c>
      <c r="AA9" s="4">
        <f t="shared" si="0"/>
        <v>6.4878123939798873E-2</v>
      </c>
      <c r="AB9" s="4"/>
      <c r="AC9" s="4"/>
      <c r="AD9" s="4"/>
      <c r="AE9" s="14"/>
      <c r="AF9" s="7"/>
      <c r="AH9" s="3" t="s">
        <v>14</v>
      </c>
      <c r="AI9" s="8">
        <f>V69</f>
        <v>6.3231505288260395E-2</v>
      </c>
      <c r="AL9" s="3" t="s">
        <v>15</v>
      </c>
      <c r="AM9" s="18">
        <f>_xlfn.COVARIANCE.S(ICFR, HLF)*12</f>
        <v>-9.138994578844932E-6</v>
      </c>
      <c r="AN9" s="18">
        <f>_xlfn.COVARIANCE.S(HCFR, HLF)*12</f>
        <v>-1.0010622877790591E-5</v>
      </c>
      <c r="AO9" s="18">
        <f>_xlfn.COVARIANCE.S(SCFR, HLF)*12</f>
        <v>-1.0475826343026968E-5</v>
      </c>
      <c r="AP9" s="18">
        <f>_xlfn.COVARIANCE.S(ILF, HLF)*12</f>
        <v>2.0410587263978206E-5</v>
      </c>
      <c r="AQ9" s="18">
        <f>_xlfn.COVARIANCE.S(HLF, HLF)*12</f>
        <v>2.0561291740622063E-5</v>
      </c>
      <c r="AR9" s="18">
        <f>_xlfn.COVARIANCE.S(HLF, SLF)*12</f>
        <v>2.1881777060258298E-5</v>
      </c>
      <c r="AS9" s="18">
        <f>_xlfn.COVARIANCE.S(HLF, SN50ETF)*12</f>
        <v>-3.5688724921232733E-4</v>
      </c>
      <c r="AT9" s="18">
        <f>_xlfn.COVARIANCE.S(HLF, HGE)*12</f>
        <v>-5.011019161225542E-5</v>
      </c>
      <c r="AU9" s="18">
        <f>_xlfn.COVARIANCE.S(HLF, IM)*12</f>
        <v>-1.3067867381100933E-4</v>
      </c>
      <c r="AV9" s="18">
        <f>_xlfn.COVARIANCE.S(HLF, HEF)*12</f>
        <v>-7.9610865183473873E-5</v>
      </c>
      <c r="AW9" s="18">
        <f>_xlfn.COVARIANCE.S(HLF, SMM)*12</f>
        <v>-1.3821562301112884E-4</v>
      </c>
    </row>
    <row r="10" spans="2:52" x14ac:dyDescent="0.35">
      <c r="B10" s="1">
        <v>43952</v>
      </c>
      <c r="C10" s="2">
        <v>21.885099</v>
      </c>
      <c r="D10" s="2">
        <v>16.543199999999999</v>
      </c>
      <c r="E10" s="2">
        <v>33.323600999999996</v>
      </c>
      <c r="F10" s="2">
        <v>295.03900099999998</v>
      </c>
      <c r="G10" s="2">
        <v>3939.419922</v>
      </c>
      <c r="H10" s="2">
        <v>3119.1599120000001</v>
      </c>
      <c r="I10" s="2">
        <v>98.419998000000007</v>
      </c>
      <c r="J10" s="2">
        <v>4193.5</v>
      </c>
      <c r="K10" s="2">
        <v>247.08000200000001</v>
      </c>
      <c r="L10" s="2">
        <v>499.56601000000001</v>
      </c>
      <c r="M10" s="2">
        <v>43.264198</v>
      </c>
      <c r="N10" s="2"/>
      <c r="O10" s="2"/>
      <c r="P10" s="7"/>
      <c r="Q10" s="4">
        <f t="shared" si="1"/>
        <v>1.2936414633243293E-2</v>
      </c>
      <c r="R10" s="4">
        <f t="shared" si="0"/>
        <v>1.5561980883625785E-2</v>
      </c>
      <c r="S10" s="4">
        <f t="shared" si="0"/>
        <v>1.7520686079262215E-2</v>
      </c>
      <c r="T10" s="4">
        <f t="shared" si="0"/>
        <v>4.4564394204853466E-3</v>
      </c>
      <c r="U10" s="4">
        <f t="shared" si="0"/>
        <v>4.1624927375361661E-3</v>
      </c>
      <c r="V10" s="4">
        <f t="shared" si="0"/>
        <v>4.2207507262224837E-3</v>
      </c>
      <c r="W10" s="4">
        <f t="shared" si="0"/>
        <v>-2.3126570719602911E-2</v>
      </c>
      <c r="X10" s="4">
        <f t="shared" si="0"/>
        <v>-3.2384622178041909E-2</v>
      </c>
      <c r="Y10" s="4">
        <f t="shared" si="0"/>
        <v>-1.5460650668534541E-2</v>
      </c>
      <c r="Z10" s="4">
        <f t="shared" si="0"/>
        <v>-3.912064293573126E-2</v>
      </c>
      <c r="AA10" s="4">
        <f t="shared" si="0"/>
        <v>-2.9106061531243843E-2</v>
      </c>
      <c r="AB10" s="4"/>
      <c r="AC10" s="4"/>
      <c r="AD10" s="4"/>
      <c r="AE10" s="14"/>
      <c r="AF10" s="7"/>
      <c r="AH10" s="3" t="s">
        <v>4</v>
      </c>
      <c r="AI10" s="8">
        <f>W69</f>
        <v>0.12337421575706958</v>
      </c>
      <c r="AL10" s="3" t="s">
        <v>14</v>
      </c>
      <c r="AM10" s="18">
        <f>_xlfn.COVARIANCE.S(ICFR, SLF)*12</f>
        <v>-9.8110315636994874E-6</v>
      </c>
      <c r="AN10" s="18">
        <f>_xlfn.COVARIANCE.S(HCFR, SLF)*12</f>
        <v>-1.0769423528608551E-5</v>
      </c>
      <c r="AO10" s="18">
        <f>_xlfn.COVARIANCE.S(SCFR, SLF)*12</f>
        <v>-1.1345954318133625E-5</v>
      </c>
      <c r="AP10" s="18">
        <f>_xlfn.COVARIANCE.S(ILF, SLF)*12</f>
        <v>2.2057820497243423E-5</v>
      </c>
      <c r="AQ10" s="18">
        <f>_xlfn.COVARIANCE.S(HLF, SLF)*12</f>
        <v>2.1881777060258298E-5</v>
      </c>
      <c r="AR10" s="18">
        <f>_xlfn.COVARIANCE.S(SLF, SLF)*12</f>
        <v>2.3993738431703614E-5</v>
      </c>
      <c r="AS10" s="18">
        <f>_xlfn.COVARIANCE.S(SLF, SN50ETF)*12</f>
        <v>-3.8769057535818259E-4</v>
      </c>
      <c r="AT10" s="18">
        <f>_xlfn.COVARIANCE.S(SLF, HGE)*12</f>
        <v>-5.12568941298134E-5</v>
      </c>
      <c r="AU10" s="18">
        <f>_xlfn.COVARIANCE.S(SLF, IM)*12</f>
        <v>-1.4891994733027734E-4</v>
      </c>
      <c r="AV10" s="18">
        <f>_xlfn.COVARIANCE.S(SLF, HEF)*12</f>
        <v>-1.0396277826779158E-4</v>
      </c>
      <c r="AW10" s="18">
        <f>_xlfn.COVARIANCE.S(SLF, SMM)*12</f>
        <v>-1.6115019959309424E-4</v>
      </c>
    </row>
    <row r="11" spans="2:52" x14ac:dyDescent="0.35">
      <c r="B11" s="1">
        <v>43922</v>
      </c>
      <c r="C11" s="2">
        <v>21.605599999999999</v>
      </c>
      <c r="D11" s="2">
        <v>16.2897</v>
      </c>
      <c r="E11" s="2">
        <v>32.749802000000003</v>
      </c>
      <c r="F11" s="2">
        <v>293.73001099999999</v>
      </c>
      <c r="G11" s="2">
        <v>3923.0900879999999</v>
      </c>
      <c r="H11" s="2">
        <v>3106.0500489999999</v>
      </c>
      <c r="I11" s="2">
        <v>100.75</v>
      </c>
      <c r="J11" s="2">
        <v>4333.8500979999999</v>
      </c>
      <c r="K11" s="2">
        <v>250.96000699999999</v>
      </c>
      <c r="L11" s="2">
        <v>519.90502900000001</v>
      </c>
      <c r="M11" s="2">
        <v>44.561199000000002</v>
      </c>
      <c r="N11" s="2"/>
      <c r="O11" s="2"/>
      <c r="P11" s="7"/>
      <c r="Q11" s="4">
        <f t="shared" si="1"/>
        <v>-6.5386380903522164E-3</v>
      </c>
      <c r="R11" s="4">
        <f t="shared" si="0"/>
        <v>-2.1410361670923601E-2</v>
      </c>
      <c r="S11" s="4">
        <f t="shared" si="0"/>
        <v>-1.0884772996984976E-2</v>
      </c>
      <c r="T11" s="4">
        <f t="shared" si="0"/>
        <v>4.2051658119657796E-3</v>
      </c>
      <c r="U11" s="4">
        <f t="shared" si="0"/>
        <v>4.2184862447548956E-3</v>
      </c>
      <c r="V11" s="4">
        <f t="shared" si="0"/>
        <v>4.0211731827006127E-3</v>
      </c>
      <c r="W11" s="4">
        <f t="shared" si="0"/>
        <v>0.12695746919558235</v>
      </c>
      <c r="X11" s="4">
        <f t="shared" si="0"/>
        <v>9.6178164350096088E-2</v>
      </c>
      <c r="Y11" s="4">
        <f t="shared" si="0"/>
        <v>0.14358628585444907</v>
      </c>
      <c r="Z11" s="4">
        <f t="shared" si="0"/>
        <v>0.13582104500926451</v>
      </c>
      <c r="AA11" s="4">
        <f t="shared" si="0"/>
        <v>0.12954426548645648</v>
      </c>
      <c r="AB11" s="4"/>
      <c r="AC11" s="4"/>
      <c r="AD11" s="4"/>
      <c r="AE11" s="14"/>
      <c r="AF11" s="7"/>
      <c r="AH11" s="3" t="s">
        <v>3</v>
      </c>
      <c r="AI11" s="8">
        <f>X69</f>
        <v>0.14146897591953708</v>
      </c>
      <c r="AL11" s="3" t="s">
        <v>4</v>
      </c>
      <c r="AM11" s="18">
        <f>_xlfn.COVARIANCE.S(ICFR, SN50ETF)*12</f>
        <v>-5.0587777910318689E-5</v>
      </c>
      <c r="AN11" s="18">
        <f>_xlfn.COVARIANCE.S(HCFR, SN50ETF)*12</f>
        <v>-3.2326273346706529E-4</v>
      </c>
      <c r="AO11" s="18">
        <f>_xlfn.COVARIANCE.S(SCFR, SN50ETF)*12</f>
        <v>-3.2900999768079142E-5</v>
      </c>
      <c r="AP11" s="18">
        <f>_xlfn.COVARIANCE.S(ILF, SN50ETF)*12</f>
        <v>-3.65787729462935E-4</v>
      </c>
      <c r="AQ11" s="18">
        <f>_xlfn.COVARIANCE.S(HLF, SN50ETF)*12</f>
        <v>-3.5688724921232733E-4</v>
      </c>
      <c r="AR11" s="18">
        <f>_xlfn.COVARIANCE.S(SLF, SN50ETF)*12</f>
        <v>-3.8769057535818259E-4</v>
      </c>
      <c r="AS11" s="18">
        <f>_xlfn.COVARIANCE.S(SN50ETF, SN50ETF)*12</f>
        <v>5.846182757081024E-2</v>
      </c>
      <c r="AT11" s="18">
        <f>_xlfn.COVARIANCE.S(SN50ETF, HGE)*12</f>
        <v>8.539728235516038E-4</v>
      </c>
      <c r="AU11" s="18">
        <f>_xlfn.COVARIANCE.S(SN50ETF, IM)*12</f>
        <v>2.2866349085361552E-2</v>
      </c>
      <c r="AV11" s="18">
        <f>_xlfn.COVARIANCE.S(SN50ETF, HEF)*12</f>
        <v>2.1248064782937285E-2</v>
      </c>
      <c r="AW11" s="18">
        <f>_xlfn.COVARIANCE.S(SN50ETF, SMM)*12</f>
        <v>2.1336792154452396E-2</v>
      </c>
    </row>
    <row r="12" spans="2:52" x14ac:dyDescent="0.35">
      <c r="B12" s="1">
        <v>43891</v>
      </c>
      <c r="C12" s="2">
        <v>21.747800999999999</v>
      </c>
      <c r="D12" s="2">
        <v>16.646099</v>
      </c>
      <c r="E12" s="2">
        <v>33.110199000000001</v>
      </c>
      <c r="F12" s="2">
        <v>292.5</v>
      </c>
      <c r="G12" s="2">
        <v>3906.610107</v>
      </c>
      <c r="H12" s="2">
        <v>3093.610107</v>
      </c>
      <c r="I12" s="2">
        <v>89.400002000000001</v>
      </c>
      <c r="J12" s="2">
        <v>3953.6000979999999</v>
      </c>
      <c r="K12" s="2">
        <v>219.449997</v>
      </c>
      <c r="L12" s="2">
        <v>457.73498499999999</v>
      </c>
      <c r="M12" s="2">
        <v>39.450600000000001</v>
      </c>
      <c r="N12" s="2"/>
      <c r="O12" s="2"/>
      <c r="P12" s="7"/>
      <c r="Q12" s="4">
        <f t="shared" si="1"/>
        <v>9.2973913363648703E-4</v>
      </c>
      <c r="R12" s="4">
        <f t="shared" si="0"/>
        <v>2.2216000770656163E-3</v>
      </c>
      <c r="S12" s="4">
        <f t="shared" si="0"/>
        <v>7.9189336235032965E-4</v>
      </c>
      <c r="T12" s="4">
        <f t="shared" si="0"/>
        <v>8.4850623244286227E-3</v>
      </c>
      <c r="U12" s="4">
        <f t="shared" si="0"/>
        <v>8.3604277099525552E-3</v>
      </c>
      <c r="V12" s="4">
        <f t="shared" si="0"/>
        <v>8.71898351735775E-3</v>
      </c>
      <c r="W12" s="4">
        <f t="shared" si="0"/>
        <v>-0.28883937068522286</v>
      </c>
      <c r="X12" s="4">
        <f t="shared" si="0"/>
        <v>3.470298298874637E-2</v>
      </c>
      <c r="Y12" s="4">
        <f t="shared" si="0"/>
        <v>-0.25647975110580556</v>
      </c>
      <c r="Z12" s="4">
        <f t="shared" si="0"/>
        <v>-0.24611231040967882</v>
      </c>
      <c r="AA12" s="4">
        <f t="shared" si="0"/>
        <v>-0.24676082006852218</v>
      </c>
      <c r="AB12" s="4"/>
      <c r="AC12" s="4"/>
      <c r="AD12" s="4"/>
      <c r="AE12" s="14"/>
      <c r="AF12" s="7"/>
      <c r="AH12" s="3" t="s">
        <v>18</v>
      </c>
      <c r="AI12" s="8">
        <f>Y69</f>
        <v>8.0124170575686257E-2</v>
      </c>
      <c r="AL12" s="3" t="s">
        <v>3</v>
      </c>
      <c r="AM12" s="18">
        <f>_xlfn.COVARIANCE.S(ICFR, HGE)*12</f>
        <v>-3.5489072415028353E-4</v>
      </c>
      <c r="AN12" s="18">
        <f>_xlfn.COVARIANCE.S(HCFR, HGE)*12</f>
        <v>-5.821989080555108E-4</v>
      </c>
      <c r="AO12" s="18">
        <f>_xlfn.COVARIANCE.S(SCFR, HGE)*12</f>
        <v>-3.3801109231861926E-4</v>
      </c>
      <c r="AP12" s="18">
        <f>_xlfn.COVARIANCE.S(ILF, HGE)*12</f>
        <v>-4.9444736531587303E-5</v>
      </c>
      <c r="AQ12" s="18">
        <f>_xlfn.COVARIANCE.S(HLF, HGE)*12</f>
        <v>-5.011019161225542E-5</v>
      </c>
      <c r="AR12" s="18">
        <f>_xlfn.COVARIANCE.S(SLF, HGE)*12</f>
        <v>-5.12568941298134E-5</v>
      </c>
      <c r="AS12" s="18">
        <f>_xlfn.COVARIANCE.S(SN50ETF, HGE)*12</f>
        <v>8.539728235516038E-4</v>
      </c>
      <c r="AT12" s="18">
        <f>_xlfn.COVARIANCE.S(HGE, HGE)*12</f>
        <v>1.7355478279013931E-2</v>
      </c>
      <c r="AU12" s="18">
        <f>_xlfn.COVARIANCE.S(HGE, IM)*12</f>
        <v>-1.6845643033706363E-3</v>
      </c>
      <c r="AV12" s="18">
        <f>_xlfn.COVARIANCE.S(HGE, HEF)*12</f>
        <v>-3.9275728309937996E-3</v>
      </c>
      <c r="AW12" s="18">
        <f>_xlfn.COVARIANCE.S(HGE, SMM)*12</f>
        <v>-2.9348717200157136E-3</v>
      </c>
    </row>
    <row r="13" spans="2:52" x14ac:dyDescent="0.35">
      <c r="B13" s="1">
        <v>43862</v>
      </c>
      <c r="C13" s="2">
        <v>21.727599999999999</v>
      </c>
      <c r="D13" s="2">
        <v>16.609200000000001</v>
      </c>
      <c r="E13" s="2">
        <v>33.084000000000003</v>
      </c>
      <c r="F13" s="2">
        <v>290.03900099999998</v>
      </c>
      <c r="G13" s="2">
        <v>3874.219971</v>
      </c>
      <c r="H13" s="2">
        <v>3066.8701169999999</v>
      </c>
      <c r="I13" s="2">
        <v>125.709999</v>
      </c>
      <c r="J13" s="2">
        <v>3821</v>
      </c>
      <c r="K13" s="2">
        <v>295.14999399999999</v>
      </c>
      <c r="L13" s="2">
        <v>607.16601600000001</v>
      </c>
      <c r="M13" s="2">
        <v>52.374599000000003</v>
      </c>
      <c r="N13" s="2"/>
      <c r="O13" s="2"/>
      <c r="P13" s="7"/>
      <c r="Q13" s="4">
        <f t="shared" si="1"/>
        <v>1.1305766955357384E-2</v>
      </c>
      <c r="R13" s="4">
        <f t="shared" si="0"/>
        <v>1.3992735896992408E-2</v>
      </c>
      <c r="S13" s="4">
        <f t="shared" si="0"/>
        <v>1.1715242953091762E-2</v>
      </c>
      <c r="T13" s="4">
        <f t="shared" si="0"/>
        <v>1.4017912517121955E-3</v>
      </c>
      <c r="U13" s="4">
        <f t="shared" si="0"/>
        <v>1.4294322068546194E-3</v>
      </c>
      <c r="V13" s="4">
        <f t="shared" si="0"/>
        <v>9.9223485722303782E-4</v>
      </c>
      <c r="W13" s="4">
        <f t="shared" si="0"/>
        <v>1.493620204314385E-2</v>
      </c>
      <c r="X13" s="4">
        <f t="shared" si="0"/>
        <v>4.3746642914303815E-2</v>
      </c>
      <c r="Y13" s="4">
        <f t="shared" si="0"/>
        <v>-7.0891233287417629E-2</v>
      </c>
      <c r="Z13" s="4">
        <f t="shared" si="0"/>
        <v>-7.9566140556619341E-2</v>
      </c>
      <c r="AA13" s="4">
        <f t="shared" si="0"/>
        <v>-4.8390291933200422E-2</v>
      </c>
      <c r="AB13" s="4"/>
      <c r="AC13" s="4"/>
      <c r="AD13" s="4"/>
      <c r="AE13" s="14"/>
      <c r="AF13" s="7"/>
      <c r="AH13" s="3" t="s">
        <v>19</v>
      </c>
      <c r="AI13" s="8">
        <f>Z69</f>
        <v>6.6520434100186959E-2</v>
      </c>
      <c r="AL13" s="3" t="s">
        <v>18</v>
      </c>
      <c r="AM13" s="18">
        <f>_xlfn.COVARIANCE.S(ICFR, IM)*12</f>
        <v>3.2736427687492394E-4</v>
      </c>
      <c r="AN13" s="18">
        <f>_xlfn.COVARIANCE.S(HCFR, IM)*12</f>
        <v>-7.78986836026869E-5</v>
      </c>
      <c r="AO13" s="18">
        <f>_xlfn.COVARIANCE.S(SCFR, IM)*12</f>
        <v>6.979711882658076E-5</v>
      </c>
      <c r="AP13" s="18">
        <f>_xlfn.COVARIANCE.S(ILF, IM)*12</f>
        <v>-1.4367328686871943E-4</v>
      </c>
      <c r="AQ13" s="18">
        <f>_xlfn.COVARIANCE.S(HLF, IM)*12</f>
        <v>-1.3067867381100933E-4</v>
      </c>
      <c r="AR13" s="18">
        <f>_xlfn.COVARIANCE.S(SLF, IM)*12</f>
        <v>-1.4891994733027734E-4</v>
      </c>
      <c r="AS13" s="18">
        <f>_xlfn.COVARIANCE.S(SN50ETF, IM)*12</f>
        <v>2.2866349085361552E-2</v>
      </c>
      <c r="AT13" s="18">
        <f>_xlfn.COVARIANCE.S(HGE, IM)*12</f>
        <v>-1.6845643033706363E-3</v>
      </c>
      <c r="AU13" s="18">
        <f>_xlfn.COVARIANCE.S(IM, IM)*12</f>
        <v>3.5706962549305124E-2</v>
      </c>
      <c r="AV13" s="18">
        <f>_xlfn.COVARIANCE.S(IM, HEF)*12</f>
        <v>3.8260170796480121E-2</v>
      </c>
      <c r="AW13" s="18">
        <f>_xlfn.COVARIANCE.S(IM, SMM)*12</f>
        <v>3.3890748963546644E-2</v>
      </c>
    </row>
    <row r="14" spans="2:52" x14ac:dyDescent="0.35">
      <c r="B14" s="1">
        <v>43831</v>
      </c>
      <c r="C14" s="2">
        <v>21.484698999999999</v>
      </c>
      <c r="D14" s="2">
        <v>16.379999000000002</v>
      </c>
      <c r="E14" s="2">
        <v>32.700901000000002</v>
      </c>
      <c r="F14" s="2">
        <v>289.63299599999999</v>
      </c>
      <c r="G14" s="2">
        <v>3868.6899410000001</v>
      </c>
      <c r="H14" s="2">
        <v>3063.830078</v>
      </c>
      <c r="I14" s="2">
        <v>123.860001</v>
      </c>
      <c r="J14" s="2">
        <v>3660.8500979999999</v>
      </c>
      <c r="K14" s="2">
        <v>317.67001299999998</v>
      </c>
      <c r="L14" s="2">
        <v>659.65197799999999</v>
      </c>
      <c r="M14" s="2">
        <v>55.037899000000003</v>
      </c>
      <c r="N14" s="2"/>
      <c r="O14" s="2"/>
      <c r="P14" s="7"/>
      <c r="Q14" s="4">
        <f t="shared" si="1"/>
        <v>1.0165268362379527E-2</v>
      </c>
      <c r="R14" s="4">
        <f t="shared" si="0"/>
        <v>9.7023898941976435E-3</v>
      </c>
      <c r="S14" s="4">
        <f t="shared" si="0"/>
        <v>1.0116298558922016E-2</v>
      </c>
      <c r="T14" s="4">
        <f t="shared" si="0"/>
        <v>4.2230361180682994E-3</v>
      </c>
      <c r="U14" s="4">
        <f t="shared" si="0"/>
        <v>4.2154966856310589E-3</v>
      </c>
      <c r="V14" s="4">
        <f t="shared" si="0"/>
        <v>4.1788480387436096E-3</v>
      </c>
      <c r="W14" s="4">
        <f t="shared" si="0"/>
        <v>-1.5499539233757848E-2</v>
      </c>
      <c r="X14" s="4">
        <f t="shared" si="0"/>
        <v>4.0516740191194521E-2</v>
      </c>
      <c r="Y14" s="4">
        <f t="shared" si="0"/>
        <v>-1.7597271804764112E-3</v>
      </c>
      <c r="Z14" s="4">
        <f t="shared" si="0"/>
        <v>-1.9269622297622784E-2</v>
      </c>
      <c r="AA14" s="4">
        <f t="shared" si="0"/>
        <v>1.4110381100240951E-2</v>
      </c>
      <c r="AB14" s="4"/>
      <c r="AC14" s="4"/>
      <c r="AD14" s="4"/>
      <c r="AE14" s="14"/>
      <c r="AF14" s="7"/>
      <c r="AH14" s="3" t="s">
        <v>17</v>
      </c>
      <c r="AI14" s="8">
        <f>AA69</f>
        <v>0.10196866322846049</v>
      </c>
      <c r="AL14" s="3" t="s">
        <v>19</v>
      </c>
      <c r="AM14" s="18">
        <f>_xlfn.COVARIANCE.S(ICFR, HEF)*12</f>
        <v>5.2987546522684692E-4</v>
      </c>
      <c r="AN14" s="18">
        <f>_xlfn.COVARIANCE.S(HCFR, HEF)*12</f>
        <v>2.3538939638994202E-4</v>
      </c>
      <c r="AO14" s="18">
        <f>_xlfn.COVARIANCE.S(SCFR, HEF)*12</f>
        <v>2.5689285759388885E-4</v>
      </c>
      <c r="AP14" s="18">
        <f>_xlfn.COVARIANCE.S(ILF, HEF)*12</f>
        <v>-1.0366263419429476E-4</v>
      </c>
      <c r="AQ14" s="18">
        <f>_xlfn.COVARIANCE.S(HLF, HEF)*12</f>
        <v>-7.9610865183473873E-5</v>
      </c>
      <c r="AR14" s="18">
        <f>_xlfn.COVARIANCE.S(SLF, HEF)*12</f>
        <v>-1.0396277826779158E-4</v>
      </c>
      <c r="AS14" s="18">
        <f>_xlfn.COVARIANCE.S(SN50ETF, HEF)*12</f>
        <v>2.1248064782937285E-2</v>
      </c>
      <c r="AT14" s="18">
        <f>_xlfn.COVARIANCE.S(HGE, HEF)*12</f>
        <v>-3.9275728309937996E-3</v>
      </c>
      <c r="AU14" s="18">
        <f>_xlfn.COVARIANCE.S(IM, HEF)*12</f>
        <v>3.8260170796480121E-2</v>
      </c>
      <c r="AV14" s="18">
        <f>_xlfn.COVARIANCE.S(HEF, HEF)*12</f>
        <v>4.5869335835873028E-2</v>
      </c>
      <c r="AW14" s="18">
        <f>_xlfn.COVARIANCE.S(SMM, HEF)*12</f>
        <v>3.8405490976126042E-2</v>
      </c>
    </row>
    <row r="15" spans="2:52" x14ac:dyDescent="0.35">
      <c r="B15" s="1">
        <v>43800</v>
      </c>
      <c r="C15" s="2">
        <v>21.268498999999998</v>
      </c>
      <c r="D15" s="2">
        <v>16.222601000000001</v>
      </c>
      <c r="E15" s="2">
        <v>32.373401999999999</v>
      </c>
      <c r="F15" s="2">
        <v>288.415009</v>
      </c>
      <c r="G15" s="2">
        <v>3852.4499510000001</v>
      </c>
      <c r="H15" s="2">
        <v>3051.080078</v>
      </c>
      <c r="I15" s="2">
        <v>125.80999799999999</v>
      </c>
      <c r="J15" s="2">
        <v>3518.3000489999999</v>
      </c>
      <c r="K15" s="2">
        <v>318.23001099999999</v>
      </c>
      <c r="L15" s="2">
        <v>672.612976</v>
      </c>
      <c r="M15" s="2">
        <v>54.272098999999997</v>
      </c>
      <c r="N15" s="2"/>
      <c r="O15" s="2"/>
      <c r="P15" s="7"/>
      <c r="Q15" s="4">
        <f t="shared" si="1"/>
        <v>3.6997937716196452E-3</v>
      </c>
      <c r="R15" s="4">
        <f t="shared" si="0"/>
        <v>2.4675374241633566E-4</v>
      </c>
      <c r="S15" s="4">
        <f t="shared" si="0"/>
        <v>4.477413408299151E-3</v>
      </c>
      <c r="T15" s="4">
        <f t="shared" si="0"/>
        <v>4.2619683673245619E-3</v>
      </c>
      <c r="U15" s="4">
        <f t="shared" si="0"/>
        <v>4.1783822745981485E-3</v>
      </c>
      <c r="V15" s="4">
        <f t="shared" si="0"/>
        <v>4.2559374675647079E-3</v>
      </c>
      <c r="W15" s="4">
        <f t="shared" si="0"/>
        <v>1.2147988443733097E-2</v>
      </c>
      <c r="X15" s="4">
        <f t="shared" si="0"/>
        <v>3.138147277390984E-2</v>
      </c>
      <c r="Y15" s="4">
        <f t="shared" si="0"/>
        <v>8.4292041100091468E-3</v>
      </c>
      <c r="Z15" s="4">
        <f t="shared" si="0"/>
        <v>-1.9623928974754227E-4</v>
      </c>
      <c r="AA15" s="4">
        <f t="shared" si="0"/>
        <v>7.3651189438365622E-3</v>
      </c>
      <c r="AB15" s="4"/>
      <c r="AC15" s="4"/>
      <c r="AD15" s="4"/>
      <c r="AE15" s="14"/>
      <c r="AF15" s="7"/>
      <c r="AH15" s="3"/>
      <c r="AI15" s="8"/>
      <c r="AL15" s="3" t="s">
        <v>17</v>
      </c>
      <c r="AM15" s="18">
        <f>_xlfn.COVARIANCE.S(ICFR, SMM)*12</f>
        <v>5.1135659324308956E-4</v>
      </c>
      <c r="AN15" s="18">
        <f>_xlfn.COVARIANCE.S(HCFR, SMM)*12</f>
        <v>1.7349597827995072E-4</v>
      </c>
      <c r="AO15" s="18">
        <f>_xlfn.COVARIANCE.S(SCFR, SMM)*12</f>
        <v>2.213850916297518E-4</v>
      </c>
      <c r="AP15" s="18">
        <f>_xlfn.COVARIANCE.S(ILF, SMM)*12</f>
        <v>-1.5420382723046314E-4</v>
      </c>
      <c r="AQ15" s="18">
        <f>_xlfn.COVARIANCE.S(HLF, SMM)*12</f>
        <v>-1.3821562301112884E-4</v>
      </c>
      <c r="AR15" s="18">
        <f>_xlfn.COVARIANCE.S(SLF, SMM)*12</f>
        <v>-1.6115019959309424E-4</v>
      </c>
      <c r="AS15" s="18">
        <f>_xlfn.COVARIANCE.S(SN50ETF, SMM)*12</f>
        <v>2.1336792154452396E-2</v>
      </c>
      <c r="AT15" s="18">
        <f>_xlfn.COVARIANCE.S(HGE, SMM)*12</f>
        <v>-2.9348717200157136E-3</v>
      </c>
      <c r="AU15" s="18">
        <f>_xlfn.COVARIANCE.S(IM, SMM)*12</f>
        <v>3.3890748963546644E-2</v>
      </c>
      <c r="AV15" s="18">
        <f>_xlfn.COVARIANCE.S(SMM, HEF)*12</f>
        <v>3.8405490976126042E-2</v>
      </c>
      <c r="AW15" s="18">
        <f>_xlfn.COVARIANCE.S(SMM, SMM)*12</f>
        <v>3.5746743520389875E-2</v>
      </c>
    </row>
    <row r="16" spans="2:52" x14ac:dyDescent="0.35">
      <c r="B16" s="1">
        <v>43770</v>
      </c>
      <c r="C16" s="2">
        <v>21.190100000000001</v>
      </c>
      <c r="D16" s="2">
        <v>16.218599000000001</v>
      </c>
      <c r="E16" s="2">
        <v>32.229098999999998</v>
      </c>
      <c r="F16" s="2">
        <v>287.19101000000001</v>
      </c>
      <c r="G16" s="2">
        <v>3836.419922</v>
      </c>
      <c r="H16" s="2">
        <v>3038.1499020000001</v>
      </c>
      <c r="I16" s="2">
        <v>124.300003</v>
      </c>
      <c r="J16" s="2">
        <v>3411.25</v>
      </c>
      <c r="K16" s="2">
        <v>315.57000699999998</v>
      </c>
      <c r="L16" s="2">
        <v>672.74499500000002</v>
      </c>
      <c r="M16" s="2">
        <v>53.875301</v>
      </c>
      <c r="N16" s="2"/>
      <c r="O16" s="2"/>
      <c r="P16" s="7"/>
      <c r="Q16" s="4">
        <f t="shared" si="1"/>
        <v>1.3332455976794525E-2</v>
      </c>
      <c r="R16" s="4">
        <f t="shared" si="0"/>
        <v>1.1361589883016179E-2</v>
      </c>
      <c r="S16" s="4">
        <f t="shared" si="0"/>
        <v>2.8409227041629116E-3</v>
      </c>
      <c r="T16" s="4">
        <f t="shared" si="0"/>
        <v>4.2977877277865784E-3</v>
      </c>
      <c r="U16" s="4">
        <f t="shared" si="0"/>
        <v>4.3325569962043044E-3</v>
      </c>
      <c r="V16" s="4">
        <f t="shared" si="0"/>
        <v>4.2474639843567349E-3</v>
      </c>
      <c r="W16" s="4">
        <f t="shared" si="0"/>
        <v>1.8435067142112238E-2</v>
      </c>
      <c r="X16" s="4">
        <f t="shared" si="0"/>
        <v>-2.2018046737035207E-2</v>
      </c>
      <c r="Y16" s="4">
        <f t="shared" si="0"/>
        <v>9.3717753947778256E-3</v>
      </c>
      <c r="Z16" s="4">
        <f t="shared" si="0"/>
        <v>9.3077227823591333E-3</v>
      </c>
      <c r="AA16" s="4">
        <f t="shared" si="0"/>
        <v>1.5821097817466546E-3</v>
      </c>
      <c r="AB16" s="4"/>
      <c r="AC16" s="4"/>
      <c r="AD16" s="4"/>
      <c r="AE16" s="14"/>
      <c r="AF16" s="7"/>
      <c r="AL16" s="3"/>
    </row>
    <row r="17" spans="2:43" x14ac:dyDescent="0.35">
      <c r="B17" s="1">
        <v>43739</v>
      </c>
      <c r="C17" s="2">
        <v>20.911301000000002</v>
      </c>
      <c r="D17" s="2">
        <v>16.0364</v>
      </c>
      <c r="E17" s="2">
        <v>32.137797999999997</v>
      </c>
      <c r="F17" s="2">
        <v>285.96200599999997</v>
      </c>
      <c r="G17" s="2">
        <v>3819.8701169999999</v>
      </c>
      <c r="H17" s="2">
        <v>3025.3000489999999</v>
      </c>
      <c r="I17" s="2">
        <v>122.050003</v>
      </c>
      <c r="J17" s="2">
        <v>3488.0500489999999</v>
      </c>
      <c r="K17" s="2">
        <v>312.64001500000001</v>
      </c>
      <c r="L17" s="2">
        <v>666.54101600000001</v>
      </c>
      <c r="M17" s="2">
        <v>53.790199000000001</v>
      </c>
      <c r="N17" s="2"/>
      <c r="O17" s="2"/>
      <c r="P17" s="7"/>
      <c r="Q17" s="4">
        <f t="shared" si="1"/>
        <v>1.0354157107109454E-2</v>
      </c>
      <c r="R17" s="4">
        <f t="shared" si="0"/>
        <v>1.1084069959522378E-2</v>
      </c>
      <c r="S17" s="4">
        <f t="shared" si="0"/>
        <v>1.0759253609764732E-2</v>
      </c>
      <c r="T17" s="4">
        <f t="shared" si="0"/>
        <v>4.8845812095398679E-3</v>
      </c>
      <c r="U17" s="4">
        <f t="shared" si="0"/>
        <v>4.8587929384336119E-3</v>
      </c>
      <c r="V17" s="4">
        <f t="shared" si="0"/>
        <v>4.8026333439732055E-3</v>
      </c>
      <c r="W17" s="4">
        <f t="shared" si="0"/>
        <v>3.6342074458913333E-2</v>
      </c>
      <c r="X17" s="4">
        <f t="shared" si="0"/>
        <v>2.7907509766179176E-2</v>
      </c>
      <c r="Y17" s="4">
        <f t="shared" si="0"/>
        <v>4.0676391289551084E-2</v>
      </c>
      <c r="Z17" s="4">
        <f t="shared" si="0"/>
        <v>3.7103149612612407E-2</v>
      </c>
      <c r="AA17" s="4">
        <f t="shared" si="0"/>
        <v>1.8695869198797989E-2</v>
      </c>
      <c r="AB17" s="4"/>
      <c r="AC17" s="4"/>
      <c r="AD17" s="4"/>
      <c r="AE17" s="14"/>
      <c r="AF17" s="7"/>
      <c r="AH17" s="3" t="s">
        <v>21</v>
      </c>
      <c r="AI17" s="3" t="s">
        <v>10</v>
      </c>
    </row>
    <row r="18" spans="2:43" x14ac:dyDescent="0.35">
      <c r="B18" s="1">
        <v>43709</v>
      </c>
      <c r="C18" s="2">
        <v>20.697001</v>
      </c>
      <c r="D18" s="2">
        <v>15.8606</v>
      </c>
      <c r="E18" s="2">
        <v>31.7957</v>
      </c>
      <c r="F18" s="2">
        <v>284.57199100000003</v>
      </c>
      <c r="G18" s="2">
        <v>3801.3999020000001</v>
      </c>
      <c r="H18" s="2">
        <v>3010.8400879999999</v>
      </c>
      <c r="I18" s="2">
        <v>117.769997</v>
      </c>
      <c r="J18" s="2">
        <v>3393.3500979999999</v>
      </c>
      <c r="K18" s="2">
        <v>300.42001299999998</v>
      </c>
      <c r="L18" s="2">
        <v>642.69500700000003</v>
      </c>
      <c r="M18" s="2">
        <v>52.803001000000002</v>
      </c>
      <c r="N18" s="2"/>
      <c r="O18" s="2"/>
      <c r="P18" s="7"/>
      <c r="Q18" s="4">
        <f t="shared" si="1"/>
        <v>7.3101403960646565E-3</v>
      </c>
      <c r="R18" s="4">
        <f t="shared" si="0"/>
        <v>5.751463230584849E-3</v>
      </c>
      <c r="S18" s="4">
        <f t="shared" si="0"/>
        <v>6.059321229456887E-3</v>
      </c>
      <c r="T18" s="4">
        <f t="shared" si="0"/>
        <v>4.4899507726066006E-3</v>
      </c>
      <c r="U18" s="4">
        <f t="shared" si="0"/>
        <v>4.7018044927746409E-3</v>
      </c>
      <c r="V18" s="4">
        <f t="shared" si="0"/>
        <v>4.5039934087052454E-3</v>
      </c>
      <c r="W18" s="4">
        <f t="shared" si="0"/>
        <v>4.0371025804885913E-2</v>
      </c>
      <c r="X18" s="4">
        <f t="shared" si="0"/>
        <v>-2.4577086563503894E-2</v>
      </c>
      <c r="Y18" s="4">
        <f t="shared" si="0"/>
        <v>3.6145447084600595E-2</v>
      </c>
      <c r="Z18" s="4">
        <f t="shared" si="0"/>
        <v>3.3025898451399104E-2</v>
      </c>
      <c r="AA18" s="4">
        <f t="shared" si="0"/>
        <v>5.6089590508534209E-2</v>
      </c>
      <c r="AB18" s="4"/>
      <c r="AC18" s="4"/>
      <c r="AD18" s="4"/>
      <c r="AE18" s="14"/>
      <c r="AF18" s="7"/>
      <c r="AH18" s="15" t="s">
        <v>11</v>
      </c>
      <c r="AI18" s="2">
        <f>1/11</f>
        <v>9.0909090909090912E-2</v>
      </c>
      <c r="AL18" s="3" t="s">
        <v>49</v>
      </c>
      <c r="AM18" s="4">
        <v>5.7799999999999997E-2</v>
      </c>
      <c r="AN18" s="18" t="s">
        <v>60</v>
      </c>
    </row>
    <row r="19" spans="2:43" x14ac:dyDescent="0.35">
      <c r="B19" s="1">
        <v>43678</v>
      </c>
      <c r="C19" s="2">
        <v>20.546800999999999</v>
      </c>
      <c r="D19" s="2">
        <v>15.7699</v>
      </c>
      <c r="E19" s="2">
        <v>31.604199999999999</v>
      </c>
      <c r="F19" s="2">
        <v>283.29998799999998</v>
      </c>
      <c r="G19" s="2">
        <v>3783.610107</v>
      </c>
      <c r="H19" s="2">
        <v>2997.3400879999999</v>
      </c>
      <c r="I19" s="2">
        <v>113.199997</v>
      </c>
      <c r="J19" s="2">
        <v>3478.8500979999999</v>
      </c>
      <c r="K19" s="2">
        <v>289.94000199999999</v>
      </c>
      <c r="L19" s="2">
        <v>622.14801</v>
      </c>
      <c r="M19" s="2">
        <v>49.998600000000003</v>
      </c>
      <c r="N19" s="2"/>
      <c r="O19" s="2"/>
      <c r="P19" s="7"/>
      <c r="Q19" s="4">
        <f t="shared" si="1"/>
        <v>7.1319474739354573E-3</v>
      </c>
      <c r="R19" s="4">
        <f t="shared" si="0"/>
        <v>6.1890269190768479E-3</v>
      </c>
      <c r="S19" s="4">
        <f t="shared" si="0"/>
        <v>8.0377134618941862E-3</v>
      </c>
      <c r="T19" s="4">
        <f t="shared" si="0"/>
        <v>5.0945630824656722E-3</v>
      </c>
      <c r="U19" s="4">
        <f t="shared" si="0"/>
        <v>4.9962966838029881E-3</v>
      </c>
      <c r="V19" s="4">
        <f t="shared" si="0"/>
        <v>5.0363541328656385E-3</v>
      </c>
      <c r="W19" s="4">
        <f t="shared" si="0"/>
        <v>-1.1871517316192664E-2</v>
      </c>
      <c r="X19" s="4">
        <f t="shared" si="0"/>
        <v>0.10441440407508235</v>
      </c>
      <c r="Y19" s="4">
        <f t="shared" si="0"/>
        <v>-2.8318685529742049E-2</v>
      </c>
      <c r="Z19" s="4">
        <f t="shared" si="0"/>
        <v>-3.7633172373234818E-2</v>
      </c>
      <c r="AA19" s="4">
        <f t="shared" si="0"/>
        <v>-1.0536067385805313E-2</v>
      </c>
      <c r="AB19" s="4"/>
      <c r="AC19" s="4"/>
      <c r="AD19" s="4"/>
      <c r="AE19" s="14"/>
      <c r="AF19" s="7"/>
      <c r="AH19" s="15" t="s">
        <v>12</v>
      </c>
      <c r="AI19" s="2">
        <f t="shared" ref="AI19:AI28" si="2">1/11</f>
        <v>9.0909090909090912E-2</v>
      </c>
      <c r="AL19" s="3" t="s">
        <v>25</v>
      </c>
      <c r="AM19" s="2">
        <f>(AI31-AM18)/AI32</f>
        <v>0.42753982876126684</v>
      </c>
    </row>
    <row r="20" spans="2:43" x14ac:dyDescent="0.35">
      <c r="B20" s="1">
        <v>43647</v>
      </c>
      <c r="C20" s="2">
        <v>20.401299999999999</v>
      </c>
      <c r="D20" s="2">
        <v>15.6729</v>
      </c>
      <c r="E20" s="2">
        <v>31.3522</v>
      </c>
      <c r="F20" s="2">
        <v>281.864014</v>
      </c>
      <c r="G20" s="2">
        <v>3764.8000489999999</v>
      </c>
      <c r="H20" s="2">
        <v>2982.320068</v>
      </c>
      <c r="I20" s="2">
        <v>114.55999799999999</v>
      </c>
      <c r="J20" s="2">
        <v>3149.9499510000001</v>
      </c>
      <c r="K20" s="2">
        <v>298.39001500000001</v>
      </c>
      <c r="L20" s="2">
        <v>646.47699</v>
      </c>
      <c r="M20" s="2">
        <v>50.530997999999997</v>
      </c>
      <c r="N20" s="2"/>
      <c r="O20" s="2"/>
      <c r="P20" s="7"/>
      <c r="Q20" s="4">
        <f t="shared" si="1"/>
        <v>1.0030348487773982E-2</v>
      </c>
      <c r="R20" s="4">
        <f t="shared" si="0"/>
        <v>1.0190269935803299E-2</v>
      </c>
      <c r="S20" s="4">
        <f t="shared" si="0"/>
        <v>1.0810268299226213E-2</v>
      </c>
      <c r="T20" s="4">
        <f t="shared" si="0"/>
        <v>5.669503287903041E-3</v>
      </c>
      <c r="U20" s="4">
        <f t="shared" si="0"/>
        <v>5.6522947197902174E-3</v>
      </c>
      <c r="V20" s="4">
        <f t="shared" si="0"/>
        <v>5.4922029921228351E-3</v>
      </c>
      <c r="W20" s="4">
        <f t="shared" si="0"/>
        <v>-5.2204888255028871E-2</v>
      </c>
      <c r="X20" s="4">
        <f t="shared" si="0"/>
        <v>2.6410131183222912E-2</v>
      </c>
      <c r="Y20" s="4">
        <f t="shared" si="0"/>
        <v>-5.8617490429323051E-2</v>
      </c>
      <c r="Z20" s="4">
        <f t="shared" si="0"/>
        <v>-7.6373016129174229E-2</v>
      </c>
      <c r="AA20" s="4">
        <f t="shared" si="0"/>
        <v>-4.7106320072155282E-2</v>
      </c>
      <c r="AB20" s="4"/>
      <c r="AC20" s="4"/>
      <c r="AD20" s="4"/>
      <c r="AE20" s="14"/>
      <c r="AF20" s="7"/>
      <c r="AH20" s="15" t="s">
        <v>13</v>
      </c>
      <c r="AI20" s="2">
        <f t="shared" si="2"/>
        <v>9.0909090909090912E-2</v>
      </c>
    </row>
    <row r="21" spans="2:43" x14ac:dyDescent="0.35">
      <c r="B21" s="1">
        <v>43617</v>
      </c>
      <c r="C21" s="2">
        <v>20.198699999999999</v>
      </c>
      <c r="D21" s="2">
        <v>15.514799999999999</v>
      </c>
      <c r="E21" s="2">
        <v>31.016898999999999</v>
      </c>
      <c r="F21" s="2">
        <v>280.27499399999999</v>
      </c>
      <c r="G21" s="2">
        <v>3743.639893</v>
      </c>
      <c r="H21" s="2">
        <v>2966.030029</v>
      </c>
      <c r="I21" s="2">
        <v>120.870003</v>
      </c>
      <c r="J21" s="2">
        <v>3068.8999020000001</v>
      </c>
      <c r="K21" s="2">
        <v>316.97000100000002</v>
      </c>
      <c r="L21" s="2">
        <v>699.93298300000004</v>
      </c>
      <c r="M21" s="2">
        <v>53.028998999999999</v>
      </c>
      <c r="N21" s="2"/>
      <c r="O21" s="2"/>
      <c r="P21" s="7"/>
      <c r="Q21" s="4">
        <f t="shared" si="1"/>
        <v>4.7154529859651769E-3</v>
      </c>
      <c r="R21" s="4">
        <f t="shared" si="1"/>
        <v>3.7329123833059726E-3</v>
      </c>
      <c r="S21" s="4">
        <f t="shared" si="1"/>
        <v>-6.2832673892596329E-4</v>
      </c>
      <c r="T21" s="4">
        <f t="shared" si="1"/>
        <v>5.5033059955654799E-3</v>
      </c>
      <c r="U21" s="4">
        <f t="shared" si="1"/>
        <v>5.5276664017952443E-3</v>
      </c>
      <c r="V21" s="4">
        <f t="shared" si="1"/>
        <v>5.3623532593041747E-3</v>
      </c>
      <c r="W21" s="4">
        <f t="shared" si="1"/>
        <v>-8.6121638551864953E-3</v>
      </c>
      <c r="X21" s="4">
        <f t="shared" si="1"/>
        <v>4.7370328438520203E-2</v>
      </c>
      <c r="Y21" s="4">
        <f t="shared" si="1"/>
        <v>-5.9907616850701686E-4</v>
      </c>
      <c r="Z21" s="4">
        <f t="shared" si="1"/>
        <v>4.9707381358795226E-3</v>
      </c>
      <c r="AA21" s="4">
        <f t="shared" si="1"/>
        <v>-8.9611932489453983E-3</v>
      </c>
      <c r="AB21" s="4"/>
      <c r="AC21" s="4"/>
      <c r="AD21" s="4"/>
      <c r="AE21" s="14"/>
      <c r="AF21" s="7"/>
      <c r="AH21" s="15" t="s">
        <v>16</v>
      </c>
      <c r="AI21" s="2">
        <f t="shared" si="2"/>
        <v>9.0909090909090912E-2</v>
      </c>
    </row>
    <row r="22" spans="2:43" x14ac:dyDescent="0.35">
      <c r="B22" s="1">
        <v>43586</v>
      </c>
      <c r="C22" s="2">
        <v>20.103901</v>
      </c>
      <c r="D22" s="2">
        <v>15.457100000000001</v>
      </c>
      <c r="E22" s="2">
        <v>31.0364</v>
      </c>
      <c r="F22" s="2">
        <v>278.74099699999999</v>
      </c>
      <c r="G22" s="2">
        <v>3723.0600589999999</v>
      </c>
      <c r="H22" s="2">
        <v>2950.209961</v>
      </c>
      <c r="I22" s="2">
        <v>121.91999800000001</v>
      </c>
      <c r="J22" s="2">
        <v>2930.1000979999999</v>
      </c>
      <c r="K22" s="2">
        <v>317.16000400000001</v>
      </c>
      <c r="L22" s="2">
        <v>696.47100799999998</v>
      </c>
      <c r="M22" s="2">
        <v>53.508499</v>
      </c>
      <c r="N22" s="2"/>
      <c r="O22" s="2"/>
      <c r="P22" s="7"/>
      <c r="Q22" s="4">
        <f t="shared" si="1"/>
        <v>9.5614030682703386E-3</v>
      </c>
      <c r="R22" s="4">
        <f t="shared" si="1"/>
        <v>1.238538118941576E-2</v>
      </c>
      <c r="S22" s="4">
        <f t="shared" si="1"/>
        <v>1.2623370691202163E-2</v>
      </c>
      <c r="T22" s="4">
        <f t="shared" si="1"/>
        <v>6.2488247265864881E-3</v>
      </c>
      <c r="U22" s="4">
        <f t="shared" si="1"/>
        <v>6.319499910729008E-3</v>
      </c>
      <c r="V22" s="4">
        <f t="shared" si="1"/>
        <v>5.9740444276307932E-3</v>
      </c>
      <c r="W22" s="4">
        <f t="shared" si="1"/>
        <v>1.3634843811397131E-2</v>
      </c>
      <c r="X22" s="4">
        <f t="shared" si="1"/>
        <v>1.5421402304097094E-2</v>
      </c>
      <c r="Y22" s="4">
        <f t="shared" si="1"/>
        <v>1.5692031778260663E-2</v>
      </c>
      <c r="Z22" s="4">
        <f t="shared" si="1"/>
        <v>3.303480697222947E-2</v>
      </c>
      <c r="AA22" s="4">
        <f t="shared" si="1"/>
        <v>3.2880933206980302E-2</v>
      </c>
      <c r="AB22" s="4"/>
      <c r="AC22" s="4"/>
      <c r="AD22" s="4"/>
      <c r="AE22" s="14"/>
      <c r="AF22" s="7"/>
      <c r="AH22" s="15" t="s">
        <v>15</v>
      </c>
      <c r="AI22" s="2">
        <f t="shared" si="2"/>
        <v>9.0909090909090912E-2</v>
      </c>
    </row>
    <row r="23" spans="2:43" x14ac:dyDescent="0.35">
      <c r="B23" s="1">
        <v>43556</v>
      </c>
      <c r="C23" s="2">
        <v>19.913499999999999</v>
      </c>
      <c r="D23" s="2">
        <v>15.268000000000001</v>
      </c>
      <c r="E23" s="2">
        <v>30.6495</v>
      </c>
      <c r="F23" s="2">
        <v>277.01001000000002</v>
      </c>
      <c r="G23" s="2">
        <v>3699.679932</v>
      </c>
      <c r="H23" s="2">
        <v>2932.6899410000001</v>
      </c>
      <c r="I23" s="2">
        <v>120.279999</v>
      </c>
      <c r="J23" s="2">
        <v>2885.6000979999999</v>
      </c>
      <c r="K23" s="2">
        <v>312.26001000000002</v>
      </c>
      <c r="L23" s="2">
        <v>674.19897500000002</v>
      </c>
      <c r="M23" s="2">
        <v>51.805098999999998</v>
      </c>
      <c r="N23" s="2"/>
      <c r="O23" s="2"/>
      <c r="P23" s="7"/>
      <c r="Q23" s="4">
        <f t="shared" si="1"/>
        <v>5.5850405748651983E-3</v>
      </c>
      <c r="R23" s="4">
        <f t="shared" si="1"/>
        <v>8.4561884222326522E-4</v>
      </c>
      <c r="S23" s="4">
        <f t="shared" si="1"/>
        <v>-8.4533881862200715E-3</v>
      </c>
      <c r="T23" s="4">
        <f t="shared" si="1"/>
        <v>7.2285380017395873E-3</v>
      </c>
      <c r="U23" s="4">
        <f t="shared" si="1"/>
        <v>7.2254364857102325E-3</v>
      </c>
      <c r="V23" s="4">
        <f t="shared" si="1"/>
        <v>7.2780151124850045E-3</v>
      </c>
      <c r="W23" s="4">
        <f t="shared" si="1"/>
        <v>6.0220894282719088E-3</v>
      </c>
      <c r="X23" s="4">
        <f t="shared" si="1"/>
        <v>3.4077643900895368E-3</v>
      </c>
      <c r="Y23" s="4">
        <f t="shared" si="1"/>
        <v>1.8294525060385394E-2</v>
      </c>
      <c r="Z23" s="4">
        <f t="shared" si="1"/>
        <v>7.2653734555819154E-3</v>
      </c>
      <c r="AA23" s="4">
        <f t="shared" si="1"/>
        <v>2.735505848495794E-2</v>
      </c>
      <c r="AB23" s="4"/>
      <c r="AC23" s="4"/>
      <c r="AD23" s="4"/>
      <c r="AE23" s="14"/>
      <c r="AF23" s="7"/>
      <c r="AH23" s="15" t="s">
        <v>14</v>
      </c>
      <c r="AI23" s="2">
        <f t="shared" si="2"/>
        <v>9.0909090909090912E-2</v>
      </c>
    </row>
    <row r="24" spans="2:43" x14ac:dyDescent="0.35">
      <c r="B24" s="1">
        <v>43525</v>
      </c>
      <c r="C24" s="2">
        <v>19.802900000000001</v>
      </c>
      <c r="D24" s="2">
        <v>15.255100000000001</v>
      </c>
      <c r="E24" s="2">
        <v>30.910800999999999</v>
      </c>
      <c r="F24" s="2">
        <v>275.02200299999998</v>
      </c>
      <c r="G24" s="2">
        <v>3673.139893</v>
      </c>
      <c r="H24" s="2">
        <v>2911.5</v>
      </c>
      <c r="I24" s="2">
        <v>119.55999799999999</v>
      </c>
      <c r="J24" s="2">
        <v>2875.8000489999999</v>
      </c>
      <c r="K24" s="2">
        <v>306.64999399999999</v>
      </c>
      <c r="L24" s="2">
        <v>669.33599900000002</v>
      </c>
      <c r="M24" s="2">
        <v>50.425700999999997</v>
      </c>
      <c r="N24" s="2"/>
      <c r="O24" s="2"/>
      <c r="P24" s="7"/>
      <c r="Q24" s="4">
        <f t="shared" si="1"/>
        <v>1.0181959159937368E-2</v>
      </c>
      <c r="R24" s="4">
        <f t="shared" si="1"/>
        <v>1.4801165467051618E-2</v>
      </c>
      <c r="S24" s="4">
        <f t="shared" si="1"/>
        <v>9.9984972944929147E-3</v>
      </c>
      <c r="T24" s="4">
        <f t="shared" si="1"/>
        <v>5.1055386021013572E-3</v>
      </c>
      <c r="U24" s="4">
        <f t="shared" si="1"/>
        <v>5.1225560826504233E-3</v>
      </c>
      <c r="V24" s="4">
        <f t="shared" si="1"/>
        <v>5.0017051891374153E-3</v>
      </c>
      <c r="W24" s="4">
        <f t="shared" si="1"/>
        <v>8.4739583698606541E-2</v>
      </c>
      <c r="X24" s="4">
        <f t="shared" si="1"/>
        <v>-5.1517134234828517E-2</v>
      </c>
      <c r="Y24" s="4">
        <f t="shared" si="1"/>
        <v>5.3961097619751867E-2</v>
      </c>
      <c r="Z24" s="4">
        <f t="shared" si="1"/>
        <v>8.679439639978101E-2</v>
      </c>
      <c r="AA24" s="4">
        <f t="shared" si="1"/>
        <v>6.2034147593124978E-2</v>
      </c>
      <c r="AB24" s="4"/>
      <c r="AC24" s="4"/>
      <c r="AD24" s="4"/>
      <c r="AE24" s="14"/>
      <c r="AF24" s="7"/>
      <c r="AH24" s="15" t="s">
        <v>4</v>
      </c>
      <c r="AI24" s="2">
        <f t="shared" si="2"/>
        <v>9.0909090909090912E-2</v>
      </c>
    </row>
    <row r="25" spans="2:43" x14ac:dyDescent="0.35">
      <c r="B25" s="1">
        <v>43497</v>
      </c>
      <c r="C25" s="2">
        <v>19.603300000000001</v>
      </c>
      <c r="D25" s="2">
        <v>15.0326</v>
      </c>
      <c r="E25" s="2">
        <v>30.604799</v>
      </c>
      <c r="F25" s="2">
        <v>273.625</v>
      </c>
      <c r="G25" s="2">
        <v>3654.419922</v>
      </c>
      <c r="H25" s="2">
        <v>2897.01001</v>
      </c>
      <c r="I25" s="2">
        <v>110.220001</v>
      </c>
      <c r="J25" s="2">
        <v>3032</v>
      </c>
      <c r="K25" s="2">
        <v>290.95001200000002</v>
      </c>
      <c r="L25" s="2">
        <v>615.88098100000002</v>
      </c>
      <c r="M25" s="2">
        <v>47.480300999999997</v>
      </c>
      <c r="N25" s="2"/>
      <c r="O25" s="2"/>
      <c r="P25" s="7"/>
      <c r="Q25" s="4">
        <f t="shared" si="1"/>
        <v>2.7109045533365338E-3</v>
      </c>
      <c r="R25" s="4">
        <f t="shared" si="1"/>
        <v>1.672497084790946E-3</v>
      </c>
      <c r="S25" s="4">
        <f t="shared" si="1"/>
        <v>4.8395465417122811E-3</v>
      </c>
      <c r="T25" s="4">
        <f t="shared" si="1"/>
        <v>5.224031271984079E-3</v>
      </c>
      <c r="U25" s="4">
        <f t="shared" si="1"/>
        <v>5.2761116330039071E-3</v>
      </c>
      <c r="V25" s="4">
        <f t="shared" si="1"/>
        <v>5.2534959541342954E-3</v>
      </c>
      <c r="W25" s="4">
        <f t="shared" si="1"/>
        <v>0.39784405574747128</v>
      </c>
      <c r="X25" s="4">
        <f t="shared" si="1"/>
        <v>9.3712738923765401E-3</v>
      </c>
      <c r="Y25" s="4">
        <f t="shared" si="1"/>
        <v>2.135587186176529E-3</v>
      </c>
      <c r="Z25" s="4">
        <f t="shared" si="1"/>
        <v>-2.1615972852196279E-2</v>
      </c>
      <c r="AA25" s="4">
        <f t="shared" si="1"/>
        <v>-5.5586156332692585E-3</v>
      </c>
      <c r="AB25" s="4"/>
      <c r="AC25" s="4"/>
      <c r="AD25" s="4"/>
      <c r="AE25" s="14"/>
      <c r="AF25" s="7"/>
      <c r="AH25" s="15" t="s">
        <v>3</v>
      </c>
      <c r="AI25" s="2">
        <f t="shared" si="2"/>
        <v>9.0909090909090912E-2</v>
      </c>
    </row>
    <row r="26" spans="2:43" x14ac:dyDescent="0.35">
      <c r="B26" s="1">
        <v>43466</v>
      </c>
      <c r="C26" s="2">
        <v>19.550301000000001</v>
      </c>
      <c r="D26" s="2">
        <v>15.0075</v>
      </c>
      <c r="E26" s="2">
        <v>30.457398999999999</v>
      </c>
      <c r="F26" s="2">
        <v>272.20300300000002</v>
      </c>
      <c r="G26" s="2">
        <v>3635.23999</v>
      </c>
      <c r="H26" s="2">
        <v>2881.8701169999999</v>
      </c>
      <c r="I26" s="2">
        <v>78.849997999999999</v>
      </c>
      <c r="J26" s="2">
        <v>3003.8500979999999</v>
      </c>
      <c r="K26" s="2">
        <v>290.32998700000002</v>
      </c>
      <c r="L26" s="2">
        <v>629.487976</v>
      </c>
      <c r="M26" s="2">
        <v>47.745700999999997</v>
      </c>
      <c r="N26" s="2"/>
      <c r="O26" s="2"/>
      <c r="P26" s="7"/>
      <c r="Q26" s="4">
        <f t="shared" si="1"/>
        <v>6.3209882897955275E-3</v>
      </c>
      <c r="R26" s="4">
        <f t="shared" si="1"/>
        <v>5.0966419759701223E-3</v>
      </c>
      <c r="S26" s="4">
        <f t="shared" si="1"/>
        <v>7.7922960570878637E-3</v>
      </c>
      <c r="T26" s="4">
        <f t="shared" si="1"/>
        <v>6.0428803195506668E-3</v>
      </c>
      <c r="U26" s="4">
        <f t="shared" si="1"/>
        <v>6.1304593742529763E-3</v>
      </c>
      <c r="V26" s="4">
        <f t="shared" si="1"/>
        <v>6.0393177996440426E-3</v>
      </c>
      <c r="W26" s="4">
        <f t="shared" si="1"/>
        <v>0</v>
      </c>
      <c r="X26" s="4">
        <f t="shared" si="1"/>
        <v>4.3311463537684107E-2</v>
      </c>
      <c r="Y26" s="4">
        <f t="shared" si="1"/>
        <v>-2.3674237879985169E-2</v>
      </c>
      <c r="Z26" s="4">
        <f t="shared" si="1"/>
        <v>-2.0813062510104534E-4</v>
      </c>
      <c r="AA26" s="4">
        <f t="shared" si="1"/>
        <v>-1.5107832196393856E-2</v>
      </c>
      <c r="AB26" s="4"/>
      <c r="AC26" s="4"/>
      <c r="AD26" s="4"/>
      <c r="AE26" s="14"/>
      <c r="AF26" s="7"/>
      <c r="AH26" s="15" t="s">
        <v>18</v>
      </c>
      <c r="AI26" s="2">
        <f t="shared" si="2"/>
        <v>9.0909090909090912E-2</v>
      </c>
    </row>
    <row r="27" spans="2:43" x14ac:dyDescent="0.35">
      <c r="B27" s="1">
        <v>43435</v>
      </c>
      <c r="C27" s="2">
        <v>19.427499999999998</v>
      </c>
      <c r="D27" s="2">
        <v>14.9314</v>
      </c>
      <c r="E27" s="2">
        <v>30.221900999999999</v>
      </c>
      <c r="F27" s="2">
        <v>270.567993</v>
      </c>
      <c r="G27" s="2">
        <v>3613.0900879999999</v>
      </c>
      <c r="H27" s="2">
        <v>2864.570068</v>
      </c>
      <c r="I27" s="2">
        <v>78.849997999999999</v>
      </c>
      <c r="J27" s="2">
        <v>2879.1499020000001</v>
      </c>
      <c r="K27" s="2">
        <v>297.36999500000002</v>
      </c>
      <c r="L27" s="2">
        <v>629.61901899999998</v>
      </c>
      <c r="M27" s="2">
        <v>48.478099999999998</v>
      </c>
      <c r="N27" s="2"/>
      <c r="O27" s="2"/>
      <c r="P27" s="7"/>
      <c r="Q27" s="4">
        <f t="shared" si="1"/>
        <v>6.7574920583920936E-3</v>
      </c>
      <c r="R27" s="4">
        <f t="shared" si="1"/>
        <v>8.0746431898891524E-3</v>
      </c>
      <c r="S27" s="4">
        <f t="shared" si="1"/>
        <v>8.6810872510996936E-3</v>
      </c>
      <c r="T27" s="4">
        <f t="shared" si="1"/>
        <v>6.3340452023895859E-3</v>
      </c>
      <c r="U27" s="4">
        <f t="shared" si="1"/>
        <v>6.2804059431350477E-3</v>
      </c>
      <c r="V27" s="4">
        <f t="shared" si="1"/>
        <v>6.0972345692070903E-3</v>
      </c>
      <c r="W27" s="4">
        <f t="shared" si="1"/>
        <v>0</v>
      </c>
      <c r="X27" s="4">
        <f t="shared" si="1"/>
        <v>3.8673119246372734E-2</v>
      </c>
      <c r="Y27" s="4">
        <f t="shared" si="1"/>
        <v>1.3807404552530376E-2</v>
      </c>
      <c r="Z27" s="4">
        <f t="shared" si="1"/>
        <v>2.1026417911862473E-2</v>
      </c>
      <c r="AA27" s="4">
        <f t="shared" si="1"/>
        <v>1.4850728615180967E-2</v>
      </c>
      <c r="AB27" s="4"/>
      <c r="AC27" s="4"/>
      <c r="AD27" s="4"/>
      <c r="AE27" s="14"/>
      <c r="AF27" s="7"/>
      <c r="AH27" s="15" t="s">
        <v>19</v>
      </c>
      <c r="AI27" s="2">
        <f t="shared" si="2"/>
        <v>9.0909090909090912E-2</v>
      </c>
    </row>
    <row r="28" spans="2:43" x14ac:dyDescent="0.35">
      <c r="B28" s="1">
        <v>43405</v>
      </c>
      <c r="C28" s="2">
        <v>19.2971</v>
      </c>
      <c r="D28" s="2">
        <v>14.8118</v>
      </c>
      <c r="E28" s="2">
        <v>29.9618</v>
      </c>
      <c r="F28" s="2">
        <v>268.86498999999998</v>
      </c>
      <c r="G28" s="2">
        <v>3590.540039</v>
      </c>
      <c r="H28" s="2">
        <v>2847.209961</v>
      </c>
      <c r="I28" s="2">
        <v>78.849997999999999</v>
      </c>
      <c r="J28" s="2">
        <v>2771.9499510000001</v>
      </c>
      <c r="K28" s="2">
        <v>293.32000699999998</v>
      </c>
      <c r="L28" s="2">
        <v>616.65301499999998</v>
      </c>
      <c r="M28" s="2">
        <v>47.768700000000003</v>
      </c>
      <c r="N28" s="2"/>
      <c r="O28" s="2"/>
      <c r="P28" s="7"/>
      <c r="Q28" s="4">
        <f t="shared" si="1"/>
        <v>1.0240033505222044E-2</v>
      </c>
      <c r="R28" s="4">
        <f t="shared" si="1"/>
        <v>1.1244546702077534E-2</v>
      </c>
      <c r="S28" s="4">
        <f t="shared" si="1"/>
        <v>1.0304759207181024E-2</v>
      </c>
      <c r="T28" s="4">
        <f t="shared" si="1"/>
        <v>6.3103914916421179E-3</v>
      </c>
      <c r="U28" s="4">
        <f t="shared" si="1"/>
        <v>6.356732416582949E-3</v>
      </c>
      <c r="V28" s="4">
        <f t="shared" si="1"/>
        <v>6.0705829351466603E-3</v>
      </c>
      <c r="W28" s="4">
        <f t="shared" si="1"/>
        <v>0</v>
      </c>
      <c r="X28" s="4">
        <f t="shared" si="1"/>
        <v>-4.6243619133320202E-2</v>
      </c>
      <c r="Y28" s="4">
        <f t="shared" si="1"/>
        <v>1.2530653370633008E-2</v>
      </c>
      <c r="Z28" s="4">
        <f t="shared" si="1"/>
        <v>8.8359643425239501E-3</v>
      </c>
      <c r="AA28" s="4">
        <f t="shared" si="1"/>
        <v>4.9102910242795478E-2</v>
      </c>
      <c r="AB28" s="4"/>
      <c r="AC28" s="4"/>
      <c r="AD28" s="4"/>
      <c r="AE28" s="14"/>
      <c r="AF28" s="7"/>
      <c r="AH28" s="15" t="s">
        <v>17</v>
      </c>
      <c r="AI28" s="2">
        <f t="shared" si="2"/>
        <v>9.0909090909090912E-2</v>
      </c>
      <c r="AO28" s="34" t="s">
        <v>33</v>
      </c>
      <c r="AP28" s="34">
        <v>375</v>
      </c>
    </row>
    <row r="29" spans="2:43" x14ac:dyDescent="0.35">
      <c r="B29" s="1">
        <v>43374</v>
      </c>
      <c r="C29" s="2">
        <v>19.101500000000001</v>
      </c>
      <c r="D29" s="2">
        <v>14.6471</v>
      </c>
      <c r="E29" s="2">
        <v>29.656199999999998</v>
      </c>
      <c r="F29" s="2">
        <v>267.17898600000001</v>
      </c>
      <c r="G29" s="2">
        <v>3567.860107</v>
      </c>
      <c r="H29" s="2">
        <v>2830.030029</v>
      </c>
      <c r="I29" s="2">
        <v>78.849997999999999</v>
      </c>
      <c r="J29" s="2">
        <v>2906.3500979999999</v>
      </c>
      <c r="K29" s="2">
        <v>289.69000199999999</v>
      </c>
      <c r="L29" s="2">
        <v>611.25201400000003</v>
      </c>
      <c r="M29" s="2">
        <v>45.532902</v>
      </c>
      <c r="N29" s="2"/>
      <c r="O29" s="2"/>
      <c r="P29" s="7"/>
      <c r="Q29" s="4">
        <f t="shared" si="1"/>
        <v>6.2265784255941328E-3</v>
      </c>
      <c r="R29" s="4">
        <f t="shared" si="1"/>
        <v>5.6782291065887291E-3</v>
      </c>
      <c r="S29" s="4">
        <f t="shared" si="1"/>
        <v>7.3472059126289072E-3</v>
      </c>
      <c r="T29" s="4">
        <f t="shared" si="1"/>
        <v>6.16854305937003E-3</v>
      </c>
      <c r="U29" s="4">
        <f t="shared" si="1"/>
        <v>6.2243019911647941E-3</v>
      </c>
      <c r="V29" s="4">
        <f t="shared" si="1"/>
        <v>6.2149934029494206E-3</v>
      </c>
      <c r="W29" s="4">
        <f t="shared" si="1"/>
        <v>0</v>
      </c>
      <c r="X29" s="4">
        <f t="shared" si="1"/>
        <v>4.9489057370106573E-2</v>
      </c>
      <c r="Y29" s="4">
        <f t="shared" si="1"/>
        <v>-2.7788028902949971E-2</v>
      </c>
      <c r="Z29" s="4">
        <f t="shared" si="1"/>
        <v>-3.3863800197185415E-3</v>
      </c>
      <c r="AA29" s="4">
        <f t="shared" si="1"/>
        <v>-4.1545743992324129E-2</v>
      </c>
      <c r="AB29" s="4"/>
      <c r="AC29" s="4"/>
      <c r="AD29" s="4"/>
      <c r="AE29" s="14"/>
      <c r="AF29" s="7"/>
      <c r="AH29" s="15"/>
      <c r="AI29" s="2"/>
      <c r="AO29" s="22" t="s">
        <v>76</v>
      </c>
      <c r="AP29" s="22">
        <v>30</v>
      </c>
    </row>
    <row r="30" spans="2:43" x14ac:dyDescent="0.35">
      <c r="B30" s="1">
        <v>43344</v>
      </c>
      <c r="C30" s="2">
        <v>18.983298999999999</v>
      </c>
      <c r="D30" s="2">
        <v>14.564399999999999</v>
      </c>
      <c r="E30" s="2">
        <v>29.439899</v>
      </c>
      <c r="F30" s="2">
        <v>265.54098499999998</v>
      </c>
      <c r="G30" s="2">
        <v>3545.790039</v>
      </c>
      <c r="H30" s="2">
        <v>2812.5500489999999</v>
      </c>
      <c r="I30" s="2">
        <v>78.849997999999999</v>
      </c>
      <c r="J30" s="2">
        <v>2769.3000489999999</v>
      </c>
      <c r="K30" s="2">
        <v>297.97000100000002</v>
      </c>
      <c r="L30" s="2">
        <v>613.328979</v>
      </c>
      <c r="M30" s="2">
        <v>47.506599000000001</v>
      </c>
      <c r="N30" s="2"/>
      <c r="O30" s="2"/>
      <c r="P30" s="7"/>
      <c r="Q30" s="4">
        <f t="shared" si="1"/>
        <v>-1.0104985654256745E-3</v>
      </c>
      <c r="R30" s="4">
        <f t="shared" si="1"/>
        <v>-1.6040801217456046E-3</v>
      </c>
      <c r="S30" s="4">
        <f t="shared" si="1"/>
        <v>8.8390182872719264E-4</v>
      </c>
      <c r="T30" s="4">
        <f t="shared" si="1"/>
        <v>5.6846536465614958E-3</v>
      </c>
      <c r="U30" s="4">
        <f t="shared" si="1"/>
        <v>5.689618636081686E-3</v>
      </c>
      <c r="V30" s="4">
        <f t="shared" si="1"/>
        <v>5.8220518346078802E-3</v>
      </c>
      <c r="W30" s="4">
        <f t="shared" si="1"/>
        <v>0</v>
      </c>
      <c r="X30" s="4">
        <f t="shared" si="1"/>
        <v>9.2167669648502554E-4</v>
      </c>
      <c r="Y30" s="4">
        <f t="shared" si="1"/>
        <v>-6.9425390902233916E-2</v>
      </c>
      <c r="Z30" s="4">
        <f t="shared" si="1"/>
        <v>-7.9068990578892967E-2</v>
      </c>
      <c r="AA30" s="4">
        <f t="shared" si="1"/>
        <v>-8.8137082904657285E-2</v>
      </c>
      <c r="AB30" s="4"/>
      <c r="AC30" s="4"/>
      <c r="AD30" s="4"/>
      <c r="AE30" s="14"/>
      <c r="AF30" s="7"/>
      <c r="AH30" s="15" t="s">
        <v>24</v>
      </c>
      <c r="AI30" s="2">
        <f>SUM(AI18:AI28)</f>
        <v>1.0000000000000002</v>
      </c>
      <c r="AO30" s="34" t="s">
        <v>58</v>
      </c>
      <c r="AP30" s="34">
        <v>65</v>
      </c>
      <c r="AQ30" s="3"/>
    </row>
    <row r="31" spans="2:43" x14ac:dyDescent="0.35">
      <c r="B31" s="1">
        <v>43313</v>
      </c>
      <c r="C31" s="2">
        <v>19.002500999999999</v>
      </c>
      <c r="D31" s="2">
        <v>14.5878</v>
      </c>
      <c r="E31" s="2">
        <v>29.413900000000002</v>
      </c>
      <c r="F31" s="2">
        <v>264.040009</v>
      </c>
      <c r="G31" s="2">
        <v>3525.7299800000001</v>
      </c>
      <c r="H31" s="2">
        <v>2796.2700199999999</v>
      </c>
      <c r="I31" s="2">
        <v>78.849997999999999</v>
      </c>
      <c r="J31" s="2">
        <v>2766.75</v>
      </c>
      <c r="K31" s="2">
        <v>320.20001200000002</v>
      </c>
      <c r="L31" s="2">
        <v>665.987976</v>
      </c>
      <c r="M31" s="2">
        <v>52.098399999999998</v>
      </c>
      <c r="N31" s="2"/>
      <c r="O31" s="2"/>
      <c r="P31" s="7"/>
      <c r="Q31" s="4">
        <f t="shared" si="1"/>
        <v>5.3754583115089077E-3</v>
      </c>
      <c r="R31" s="4">
        <f t="shared" si="1"/>
        <v>4.8078247692518918E-3</v>
      </c>
      <c r="S31" s="4">
        <f t="shared" si="1"/>
        <v>5.8166519336288183E-3</v>
      </c>
      <c r="T31" s="4">
        <f t="shared" si="1"/>
        <v>5.9778068898185292E-3</v>
      </c>
      <c r="U31" s="4">
        <f t="shared" si="1"/>
        <v>5.9373847229369104E-3</v>
      </c>
      <c r="V31" s="4">
        <f t="shared" si="1"/>
        <v>5.9647224517548596E-3</v>
      </c>
      <c r="W31" s="4">
        <f t="shared" si="1"/>
        <v>0</v>
      </c>
      <c r="X31" s="4">
        <f t="shared" si="1"/>
        <v>1.8010872807957646E-2</v>
      </c>
      <c r="Y31" s="4">
        <f t="shared" si="1"/>
        <v>5.5094241445773594E-2</v>
      </c>
      <c r="Z31" s="4">
        <f t="shared" si="1"/>
        <v>5.1977480893982894E-2</v>
      </c>
      <c r="AA31" s="4">
        <f t="shared" si="1"/>
        <v>2.9329907976463034E-2</v>
      </c>
      <c r="AB31" s="4"/>
      <c r="AC31" s="4"/>
      <c r="AD31" s="4"/>
      <c r="AE31" s="14"/>
      <c r="AF31" s="7"/>
      <c r="AH31" s="3" t="s">
        <v>22</v>
      </c>
      <c r="AI31" s="8">
        <f t="array" ref="AI31">MMULT(TRANSPOSE(AI18:AI28), AI4:AI14)</f>
        <v>8.6080635961029328E-2</v>
      </c>
      <c r="AO31" s="34" t="s">
        <v>56</v>
      </c>
      <c r="AP31" s="34">
        <v>280</v>
      </c>
    </row>
    <row r="32" spans="2:43" x14ac:dyDescent="0.35">
      <c r="B32" s="1">
        <v>43282</v>
      </c>
      <c r="C32" s="2">
        <v>18.9009</v>
      </c>
      <c r="D32" s="2">
        <v>14.518000000000001</v>
      </c>
      <c r="E32" s="2">
        <v>29.243798999999999</v>
      </c>
      <c r="F32" s="2">
        <v>262.47100799999998</v>
      </c>
      <c r="G32" s="2">
        <v>3504.919922</v>
      </c>
      <c r="H32" s="2">
        <v>2779.6899410000001</v>
      </c>
      <c r="I32" s="2">
        <v>78.849997999999999</v>
      </c>
      <c r="J32" s="2">
        <v>2717.8000489999999</v>
      </c>
      <c r="K32" s="2">
        <v>303.48001099999999</v>
      </c>
      <c r="L32" s="2">
        <v>633.08196999999996</v>
      </c>
      <c r="M32" s="2">
        <v>50.613899000000004</v>
      </c>
      <c r="N32" s="2"/>
      <c r="O32" s="2"/>
      <c r="P32" s="7"/>
      <c r="Q32" s="4">
        <f t="shared" si="1"/>
        <v>7.9243612783497629E-3</v>
      </c>
      <c r="R32" s="4">
        <f t="shared" si="1"/>
        <v>8.6427301022677719E-3</v>
      </c>
      <c r="S32" s="4">
        <f t="shared" si="1"/>
        <v>1.0487071661316525E-2</v>
      </c>
      <c r="T32" s="4">
        <f t="shared" si="1"/>
        <v>6.1758149683248231E-3</v>
      </c>
      <c r="U32" s="4">
        <f t="shared" si="1"/>
        <v>6.261592177683079E-3</v>
      </c>
      <c r="V32" s="4">
        <f t="shared" si="1"/>
        <v>6.1279050437682151E-3</v>
      </c>
      <c r="W32" s="4">
        <f t="shared" si="1"/>
        <v>0</v>
      </c>
      <c r="X32" s="4">
        <f t="shared" si="1"/>
        <v>-2.2497184453495377E-2</v>
      </c>
      <c r="Y32" s="4">
        <f t="shared" si="1"/>
        <v>6.2121580921368463E-2</v>
      </c>
      <c r="Z32" s="4">
        <f t="shared" si="1"/>
        <v>7.0386002870839612E-2</v>
      </c>
      <c r="AA32" s="4">
        <f t="shared" si="1"/>
        <v>5.0440526339536482E-2</v>
      </c>
      <c r="AB32" s="4"/>
      <c r="AC32" s="4"/>
      <c r="AD32" s="4"/>
      <c r="AE32" s="14"/>
      <c r="AF32" s="7"/>
      <c r="AH32" s="3" t="s">
        <v>8</v>
      </c>
      <c r="AI32" s="8">
        <f t="array" ref="AI32">SQRT(MMULT(MMULT(TRANSPOSE(AI18:AI28),AM5:AW15),AI18:AI28))</f>
        <v>6.6147371679893013E-2</v>
      </c>
    </row>
    <row r="33" spans="2:45" x14ac:dyDescent="0.35">
      <c r="B33" s="1">
        <v>43252</v>
      </c>
      <c r="C33" s="2">
        <v>18.752300000000002</v>
      </c>
      <c r="D33" s="2">
        <v>14.393599999999999</v>
      </c>
      <c r="E33" s="2">
        <v>28.940300000000001</v>
      </c>
      <c r="F33" s="2">
        <v>260.85998499999999</v>
      </c>
      <c r="G33" s="2">
        <v>3483.110107</v>
      </c>
      <c r="H33" s="2">
        <v>2762.76001</v>
      </c>
      <c r="I33" s="2">
        <v>78.849997999999999</v>
      </c>
      <c r="J33" s="2">
        <v>2780.3500979999999</v>
      </c>
      <c r="K33" s="2">
        <v>285.73001099999999</v>
      </c>
      <c r="L33" s="2">
        <v>591.45202600000005</v>
      </c>
      <c r="M33" s="2">
        <v>48.183498</v>
      </c>
      <c r="N33" s="2"/>
      <c r="O33" s="2"/>
      <c r="P33" s="7"/>
      <c r="Q33" s="4">
        <f t="shared" si="1"/>
        <v>5.5769158582821363E-3</v>
      </c>
      <c r="R33" s="4">
        <f t="shared" si="1"/>
        <v>4.7467470821466202E-3</v>
      </c>
      <c r="S33" s="4">
        <f t="shared" si="1"/>
        <v>6.3321070164336409E-3</v>
      </c>
      <c r="T33" s="4">
        <f t="shared" si="1"/>
        <v>6.1247723688855485E-3</v>
      </c>
      <c r="U33" s="4">
        <f t="shared" si="1"/>
        <v>5.9262050888190636E-3</v>
      </c>
      <c r="V33" s="4">
        <f t="shared" si="1"/>
        <v>6.0118379608556996E-3</v>
      </c>
      <c r="W33" s="4">
        <f t="shared" si="1"/>
        <v>0</v>
      </c>
      <c r="X33" s="4">
        <f t="shared" si="1"/>
        <v>-2.9546213612565483E-2</v>
      </c>
      <c r="Y33" s="4">
        <f t="shared" si="1"/>
        <v>-4.3903238576369413E-3</v>
      </c>
      <c r="Z33" s="4">
        <f t="shared" si="1"/>
        <v>-3.410069639753914E-2</v>
      </c>
      <c r="AA33" s="4">
        <f t="shared" si="1"/>
        <v>-2.9233719071083967E-2</v>
      </c>
      <c r="AB33" s="4"/>
      <c r="AC33" s="4"/>
      <c r="AD33" s="4"/>
      <c r="AE33" s="14"/>
      <c r="AF33" s="7"/>
    </row>
    <row r="34" spans="2:45" x14ac:dyDescent="0.35">
      <c r="B34" s="1">
        <v>43221</v>
      </c>
      <c r="C34" s="2">
        <v>18.648299999999999</v>
      </c>
      <c r="D34" s="2">
        <v>14.3256</v>
      </c>
      <c r="E34" s="2">
        <v>28.758199999999999</v>
      </c>
      <c r="F34" s="2">
        <v>259.27200299999998</v>
      </c>
      <c r="G34" s="2">
        <v>3462.5900879999999</v>
      </c>
      <c r="H34" s="2">
        <v>2746.25</v>
      </c>
      <c r="I34" s="2">
        <v>78.849997999999999</v>
      </c>
      <c r="J34" s="2">
        <v>2865</v>
      </c>
      <c r="K34" s="2">
        <v>286.98998999999998</v>
      </c>
      <c r="L34" s="2">
        <v>612.33300799999995</v>
      </c>
      <c r="M34" s="2">
        <v>49.634498999999998</v>
      </c>
      <c r="N34" s="2"/>
      <c r="O34" s="2"/>
      <c r="P34" s="7"/>
      <c r="Q34" s="4">
        <f t="shared" si="1"/>
        <v>5.4510117673293897E-3</v>
      </c>
      <c r="R34" s="4">
        <f t="shared" si="1"/>
        <v>4.8188732217309578E-4</v>
      </c>
      <c r="S34" s="4">
        <f t="shared" si="1"/>
        <v>1.699791705852437E-3</v>
      </c>
      <c r="T34" s="4">
        <f t="shared" si="1"/>
        <v>5.6747943506546827E-3</v>
      </c>
      <c r="U34" s="4">
        <f t="shared" si="1"/>
        <v>6.2421661417647722E-3</v>
      </c>
      <c r="V34" s="4">
        <f t="shared" si="1"/>
        <v>5.742365736648076E-3</v>
      </c>
      <c r="W34" s="4">
        <f t="shared" si="1"/>
        <v>0</v>
      </c>
      <c r="X34" s="4">
        <f t="shared" si="1"/>
        <v>1.0475064538751418E-2</v>
      </c>
      <c r="Y34" s="4">
        <f t="shared" si="1"/>
        <v>-1.4863438473005386E-2</v>
      </c>
      <c r="Z34" s="4">
        <f t="shared" si="1"/>
        <v>-1.795746873323412E-2</v>
      </c>
      <c r="AA34" s="4">
        <f t="shared" si="1"/>
        <v>-1.7123043872438435E-2</v>
      </c>
      <c r="AB34" s="4"/>
      <c r="AC34" s="4"/>
      <c r="AD34" s="4"/>
      <c r="AE34" s="14"/>
      <c r="AF34" s="7"/>
      <c r="AN34" s="25"/>
      <c r="AO34" s="26" t="s">
        <v>30</v>
      </c>
      <c r="AP34" s="26" t="s">
        <v>34</v>
      </c>
      <c r="AR34" s="31" t="s">
        <v>42</v>
      </c>
      <c r="AS34" s="31" t="s">
        <v>68</v>
      </c>
    </row>
    <row r="35" spans="2:45" x14ac:dyDescent="0.35">
      <c r="B35" s="1">
        <v>43191</v>
      </c>
      <c r="C35" s="2">
        <v>18.547198999999999</v>
      </c>
      <c r="D35" s="2">
        <v>14.3187</v>
      </c>
      <c r="E35" s="2">
        <v>28.709399999999999</v>
      </c>
      <c r="F35" s="2">
        <v>257.80898999999999</v>
      </c>
      <c r="G35" s="2">
        <v>3441.110107</v>
      </c>
      <c r="H35" s="2">
        <v>2730.570068</v>
      </c>
      <c r="I35" s="2">
        <v>78.849997999999999</v>
      </c>
      <c r="J35" s="2">
        <v>2835.3000489999999</v>
      </c>
      <c r="K35" s="2">
        <v>291.32000699999998</v>
      </c>
      <c r="L35" s="2">
        <v>623.53002900000001</v>
      </c>
      <c r="M35" s="2">
        <v>50.499198999999997</v>
      </c>
      <c r="N35" s="2"/>
      <c r="O35" s="2"/>
      <c r="P35" s="7"/>
      <c r="Q35" s="4">
        <f t="shared" si="1"/>
        <v>-9.3199380904452082E-4</v>
      </c>
      <c r="R35" s="4">
        <f t="shared" si="1"/>
        <v>-6.3910400532933833E-3</v>
      </c>
      <c r="S35" s="4">
        <f t="shared" si="1"/>
        <v>-1.8357080416556558E-3</v>
      </c>
      <c r="T35" s="4">
        <f t="shared" si="1"/>
        <v>5.5423420752922043E-3</v>
      </c>
      <c r="U35" s="4">
        <f t="shared" si="1"/>
        <v>5.6021339738644704E-3</v>
      </c>
      <c r="V35" s="4">
        <f t="shared" si="1"/>
        <v>5.5162890990785168E-3</v>
      </c>
      <c r="W35" s="4">
        <f t="shared" si="1"/>
        <v>0</v>
      </c>
      <c r="X35" s="4">
        <f t="shared" si="1"/>
        <v>1.0802156506238839E-2</v>
      </c>
      <c r="Y35" s="4">
        <f t="shared" si="1"/>
        <v>3.550997213816371E-2</v>
      </c>
      <c r="Z35" s="4">
        <f t="shared" si="1"/>
        <v>5.4022176278685205E-2</v>
      </c>
      <c r="AA35" s="4">
        <f t="shared" si="1"/>
        <v>5.233854380458882E-2</v>
      </c>
      <c r="AB35" s="4"/>
      <c r="AC35" s="4"/>
      <c r="AD35" s="4"/>
      <c r="AE35" s="14"/>
      <c r="AF35" s="7"/>
      <c r="AH35" s="3" t="s">
        <v>23</v>
      </c>
      <c r="AI35" s="3" t="s">
        <v>10</v>
      </c>
      <c r="AN35" s="26" t="s">
        <v>31</v>
      </c>
      <c r="AO35" s="27">
        <f>AI36</f>
        <v>0.17638993651936521</v>
      </c>
      <c r="AP35" s="28">
        <f>AO35*AP31</f>
        <v>49.38918222542226</v>
      </c>
      <c r="AR35" s="31" t="s">
        <v>44</v>
      </c>
      <c r="AS35" s="32">
        <f>SUM(AP35:AP36)</f>
        <v>158.54406452998188</v>
      </c>
    </row>
    <row r="36" spans="2:45" x14ac:dyDescent="0.35">
      <c r="B36" s="1">
        <v>43160</v>
      </c>
      <c r="C36" s="2">
        <v>18.564501</v>
      </c>
      <c r="D36" s="2">
        <v>14.4108</v>
      </c>
      <c r="E36" s="2">
        <v>28.762198999999999</v>
      </c>
      <c r="F36" s="2">
        <v>256.38799999999998</v>
      </c>
      <c r="G36" s="2">
        <v>3421.9399410000001</v>
      </c>
      <c r="H36" s="2">
        <v>2715.5900879999999</v>
      </c>
      <c r="I36" s="2">
        <v>78.849997999999999</v>
      </c>
      <c r="J36" s="2">
        <v>2805</v>
      </c>
      <c r="K36" s="2">
        <v>281.32998700000002</v>
      </c>
      <c r="L36" s="2">
        <v>591.57202099999995</v>
      </c>
      <c r="M36" s="2">
        <v>47.987597999999998</v>
      </c>
      <c r="N36" s="2"/>
      <c r="O36" s="2"/>
      <c r="P36" s="7"/>
      <c r="Q36" s="4">
        <f t="shared" si="1"/>
        <v>1.1551559103579384E-2</v>
      </c>
      <c r="R36" s="4">
        <f t="shared" si="1"/>
        <v>1.5660459805759613E-2</v>
      </c>
      <c r="S36" s="4">
        <f t="shared" si="1"/>
        <v>1.2503925088886505E-2</v>
      </c>
      <c r="T36" s="4">
        <f t="shared" si="1"/>
        <v>7.0465370051108417E-3</v>
      </c>
      <c r="U36" s="4">
        <f t="shared" si="1"/>
        <v>5.994294279454874E-3</v>
      </c>
      <c r="V36" s="4">
        <f t="shared" si="1"/>
        <v>6.7659247275458877E-3</v>
      </c>
      <c r="W36" s="4">
        <f t="shared" si="1"/>
        <v>1.6108247837841438E-2</v>
      </c>
      <c r="X36" s="4">
        <f t="shared" si="1"/>
        <v>3.0215625867384775E-3</v>
      </c>
      <c r="Y36" s="4">
        <f t="shared" si="1"/>
        <v>-2.1631025072412692E-2</v>
      </c>
      <c r="Z36" s="4">
        <f t="shared" si="1"/>
        <v>-5.7488598565821517E-2</v>
      </c>
      <c r="AA36" s="4">
        <f t="shared" si="1"/>
        <v>-2.3810969097666491E-2</v>
      </c>
      <c r="AB36" s="4"/>
      <c r="AC36" s="4"/>
      <c r="AD36" s="4"/>
      <c r="AE36" s="14"/>
      <c r="AF36" s="7"/>
      <c r="AH36" s="15" t="s">
        <v>11</v>
      </c>
      <c r="AI36" s="5">
        <v>0.17638993651936521</v>
      </c>
      <c r="AN36" s="26" t="s">
        <v>41</v>
      </c>
      <c r="AO36" s="27">
        <f>AI38</f>
        <v>0.38983886537342727</v>
      </c>
      <c r="AP36" s="28">
        <f>AO36*AP31</f>
        <v>109.15488230455964</v>
      </c>
      <c r="AR36" s="31" t="s">
        <v>45</v>
      </c>
      <c r="AS36" s="32">
        <f>SUM(AP37:AP38)</f>
        <v>0</v>
      </c>
    </row>
    <row r="37" spans="2:45" x14ac:dyDescent="0.35">
      <c r="B37" s="1">
        <v>43132</v>
      </c>
      <c r="C37" s="2">
        <v>18.352501</v>
      </c>
      <c r="D37" s="2">
        <v>14.188599999999999</v>
      </c>
      <c r="E37" s="2">
        <v>28.407</v>
      </c>
      <c r="F37" s="2">
        <v>254.59399400000001</v>
      </c>
      <c r="G37" s="2">
        <v>3401.5500489999999</v>
      </c>
      <c r="H37" s="2">
        <v>2697.3400879999999</v>
      </c>
      <c r="I37" s="2">
        <v>77.599997999999999</v>
      </c>
      <c r="J37" s="2">
        <v>2796.5500489999999</v>
      </c>
      <c r="K37" s="2">
        <v>287.54998799999998</v>
      </c>
      <c r="L37" s="2">
        <v>627.65502900000001</v>
      </c>
      <c r="M37" s="2">
        <v>49.158099999999997</v>
      </c>
      <c r="N37" s="2"/>
      <c r="O37" s="2"/>
      <c r="P37" s="7"/>
      <c r="Q37" s="4">
        <f t="shared" si="1"/>
        <v>2.9073244827574466E-3</v>
      </c>
      <c r="R37" s="4">
        <f t="shared" si="1"/>
        <v>-3.1405225773362909E-3</v>
      </c>
      <c r="S37" s="4">
        <f t="shared" si="1"/>
        <v>1.6678949942311068E-3</v>
      </c>
      <c r="T37" s="4">
        <f t="shared" si="1"/>
        <v>5.0371510720125115E-3</v>
      </c>
      <c r="U37" s="4">
        <f t="shared" si="1"/>
        <v>5.0376862165755487E-3</v>
      </c>
      <c r="V37" s="4">
        <f t="shared" si="1"/>
        <v>4.9852185555758748E-3</v>
      </c>
      <c r="W37" s="4">
        <f t="shared" si="1"/>
        <v>0</v>
      </c>
      <c r="X37" s="4">
        <f t="shared" si="1"/>
        <v>1.238074457859688E-2</v>
      </c>
      <c r="Y37" s="4">
        <f t="shared" si="1"/>
        <v>-3.5649625224855507E-2</v>
      </c>
      <c r="Z37" s="4">
        <f t="shared" si="1"/>
        <v>-6.6432665138096605E-2</v>
      </c>
      <c r="AA37" s="4">
        <f t="shared" si="1"/>
        <v>-3.4690473004633508E-2</v>
      </c>
      <c r="AB37" s="4"/>
      <c r="AC37" s="4"/>
      <c r="AD37" s="4"/>
      <c r="AE37" s="14"/>
      <c r="AF37" s="7"/>
      <c r="AH37" s="15" t="s">
        <v>12</v>
      </c>
      <c r="AI37" s="5">
        <v>0</v>
      </c>
      <c r="AN37" s="26" t="s">
        <v>4</v>
      </c>
      <c r="AO37" s="27">
        <f>AI42</f>
        <v>0</v>
      </c>
      <c r="AP37" s="28">
        <f>AO37*AP31</f>
        <v>0</v>
      </c>
      <c r="AR37" s="31" t="s">
        <v>46</v>
      </c>
      <c r="AS37" s="32">
        <f>AP39+AP40</f>
        <v>14.000000401265721</v>
      </c>
    </row>
    <row r="38" spans="2:45" x14ac:dyDescent="0.35">
      <c r="B38" s="1">
        <v>43101</v>
      </c>
      <c r="C38" s="2">
        <v>18.299299000000001</v>
      </c>
      <c r="D38" s="2">
        <v>14.2333</v>
      </c>
      <c r="E38" s="2">
        <v>28.359698999999999</v>
      </c>
      <c r="F38" s="2">
        <v>253.317993</v>
      </c>
      <c r="G38" s="2">
        <v>3384.5</v>
      </c>
      <c r="H38" s="2">
        <v>2683.959961</v>
      </c>
      <c r="I38" s="2">
        <v>77.599997999999999</v>
      </c>
      <c r="J38" s="2">
        <v>2762.3500979999999</v>
      </c>
      <c r="K38" s="2">
        <v>298.17999300000002</v>
      </c>
      <c r="L38" s="2">
        <v>672.31897000000004</v>
      </c>
      <c r="M38" s="2">
        <v>50.924702000000003</v>
      </c>
      <c r="N38" s="2"/>
      <c r="O38" s="2"/>
      <c r="P38" s="7"/>
      <c r="Q38" s="4">
        <f t="shared" si="1"/>
        <v>4.5121890970573142E-3</v>
      </c>
      <c r="R38" s="4">
        <f t="shared" si="1"/>
        <v>4.3325171642474899E-3</v>
      </c>
      <c r="S38" s="4">
        <f t="shared" si="1"/>
        <v>5.246014951243585E-3</v>
      </c>
      <c r="T38" s="4">
        <f t="shared" si="1"/>
        <v>5.4815172917279994E-3</v>
      </c>
      <c r="U38" s="4">
        <f t="shared" si="1"/>
        <v>5.4632476108720553E-3</v>
      </c>
      <c r="V38" s="4">
        <f t="shared" si="1"/>
        <v>5.4431205800984529E-3</v>
      </c>
      <c r="W38" s="4">
        <f t="shared" si="1"/>
        <v>0</v>
      </c>
      <c r="X38" s="4">
        <f t="shared" si="1"/>
        <v>2.6705109830886409E-2</v>
      </c>
      <c r="Y38" s="4">
        <f t="shared" si="1"/>
        <v>1.4769932817450895E-2</v>
      </c>
      <c r="Z38" s="4">
        <f t="shared" si="1"/>
        <v>3.0088112105847588E-2</v>
      </c>
      <c r="AA38" s="4">
        <f t="shared" si="1"/>
        <v>4.0161076474023519E-3</v>
      </c>
      <c r="AB38" s="4"/>
      <c r="AC38" s="4"/>
      <c r="AD38" s="4"/>
      <c r="AE38" s="14"/>
      <c r="AF38" s="7"/>
      <c r="AH38" s="15" t="s">
        <v>13</v>
      </c>
      <c r="AI38" s="5">
        <v>0.38983886537342727</v>
      </c>
      <c r="AN38" s="26" t="s">
        <v>3</v>
      </c>
      <c r="AO38" s="27">
        <f>AI43</f>
        <v>0</v>
      </c>
      <c r="AP38" s="28">
        <f>AO38*AP31</f>
        <v>0</v>
      </c>
      <c r="AR38" s="31" t="s">
        <v>50</v>
      </c>
      <c r="AS38" s="32">
        <f>SUM(AP41:AP42)</f>
        <v>107.45594998234009</v>
      </c>
    </row>
    <row r="39" spans="2:45" x14ac:dyDescent="0.35">
      <c r="B39" s="1">
        <v>43070</v>
      </c>
      <c r="C39" s="2">
        <v>18.217099999999999</v>
      </c>
      <c r="D39" s="2">
        <v>14.171900000000001</v>
      </c>
      <c r="E39" s="2">
        <v>28.2117</v>
      </c>
      <c r="F39" s="2">
        <v>251.93699599999999</v>
      </c>
      <c r="G39" s="2">
        <v>3366.110107</v>
      </c>
      <c r="H39" s="2">
        <v>2669.429932</v>
      </c>
      <c r="I39" s="2">
        <v>77.599997999999999</v>
      </c>
      <c r="J39" s="2">
        <v>2690.5</v>
      </c>
      <c r="K39" s="2">
        <v>293.83999599999999</v>
      </c>
      <c r="L39" s="2">
        <v>652.68102999999996</v>
      </c>
      <c r="M39" s="2">
        <v>50.721001000000001</v>
      </c>
      <c r="N39" s="2"/>
      <c r="O39" s="2"/>
      <c r="P39" s="7"/>
      <c r="Q39" s="4">
        <f t="shared" si="1"/>
        <v>2.7459767267902692E-4</v>
      </c>
      <c r="R39" s="4">
        <f t="shared" si="1"/>
        <v>-1.9859015077358612E-3</v>
      </c>
      <c r="S39" s="4">
        <f t="shared" si="1"/>
        <v>1.205319001853774E-4</v>
      </c>
      <c r="T39" s="4">
        <f t="shared" si="1"/>
        <v>5.3431749758488627E-3</v>
      </c>
      <c r="U39" s="4">
        <f t="shared" si="1"/>
        <v>5.3672231669801207E-3</v>
      </c>
      <c r="V39" s="4">
        <f t="shared" si="1"/>
        <v>5.3479179231020659E-3</v>
      </c>
      <c r="W39" s="4">
        <f t="shared" si="1"/>
        <v>0</v>
      </c>
      <c r="X39" s="4">
        <f t="shared" si="1"/>
        <v>-1.1509124915393767E-3</v>
      </c>
      <c r="Y39" s="4">
        <f t="shared" si="1"/>
        <v>3.6472649029982311E-2</v>
      </c>
      <c r="Z39" s="4">
        <f t="shared" si="1"/>
        <v>2.7591684301887739E-2</v>
      </c>
      <c r="AA39" s="4">
        <f t="shared" si="1"/>
        <v>3.3593215491088263E-2</v>
      </c>
      <c r="AB39" s="4"/>
      <c r="AC39" s="4"/>
      <c r="AD39" s="4"/>
      <c r="AE39" s="14"/>
      <c r="AF39" s="7"/>
      <c r="AH39" s="15" t="s">
        <v>16</v>
      </c>
      <c r="AI39" s="5">
        <v>6.2694911386274846E-4</v>
      </c>
      <c r="AN39" s="26" t="s">
        <v>36</v>
      </c>
      <c r="AO39" s="27">
        <f>AI46</f>
        <v>5.0000001433091863E-2</v>
      </c>
      <c r="AP39" s="28">
        <f>AO39*AP31</f>
        <v>14.000000401265721</v>
      </c>
      <c r="AR39" s="31" t="s">
        <v>55</v>
      </c>
      <c r="AS39" s="32">
        <v>50</v>
      </c>
    </row>
    <row r="40" spans="2:45" x14ac:dyDescent="0.35">
      <c r="B40" s="1">
        <v>43040</v>
      </c>
      <c r="C40" s="2">
        <v>18.212098999999998</v>
      </c>
      <c r="D40" s="2">
        <v>14.200100000000001</v>
      </c>
      <c r="E40" s="2">
        <v>28.208300000000001</v>
      </c>
      <c r="F40" s="2">
        <v>250.598007</v>
      </c>
      <c r="G40" s="2">
        <v>3348.139893</v>
      </c>
      <c r="H40" s="2">
        <v>2655.2299800000001</v>
      </c>
      <c r="I40" s="2">
        <v>77.599997999999999</v>
      </c>
      <c r="J40" s="2">
        <v>2693.6000979999999</v>
      </c>
      <c r="K40" s="2">
        <v>283.5</v>
      </c>
      <c r="L40" s="2">
        <v>635.15600600000005</v>
      </c>
      <c r="M40" s="2">
        <v>49.072498000000003</v>
      </c>
      <c r="N40" s="2"/>
      <c r="O40" s="2"/>
      <c r="P40" s="7"/>
      <c r="Q40" s="4">
        <f>(C40-C41)/C41</f>
        <v>2.1735469883230403E-3</v>
      </c>
      <c r="R40" s="4">
        <f t="shared" si="1"/>
        <v>-9.1464916168885742E-4</v>
      </c>
      <c r="S40" s="4">
        <f t="shared" si="1"/>
        <v>2.6729723111576413E-3</v>
      </c>
      <c r="T40" s="4">
        <f t="shared" si="1"/>
        <v>5.1541755920601279E-3</v>
      </c>
      <c r="U40" s="4">
        <f t="shared" si="1"/>
        <v>5.1365084826739084E-3</v>
      </c>
      <c r="V40" s="4">
        <f t="shared" si="1"/>
        <v>5.117904387536224E-3</v>
      </c>
      <c r="W40" s="4">
        <f t="shared" si="1"/>
        <v>0</v>
      </c>
      <c r="X40" s="4">
        <f t="shared" si="1"/>
        <v>-1.2420894198492919E-3</v>
      </c>
      <c r="Y40" s="4">
        <f t="shared" si="1"/>
        <v>1.6606048887419344E-3</v>
      </c>
      <c r="Z40" s="4">
        <f t="shared" si="1"/>
        <v>1.0104936020862147E-2</v>
      </c>
      <c r="AA40" s="4">
        <f t="shared" si="1"/>
        <v>9.8634580586696181E-3</v>
      </c>
      <c r="AB40" s="2"/>
      <c r="AC40" s="2"/>
      <c r="AD40" s="2"/>
      <c r="AE40" s="19"/>
      <c r="AF40" s="7"/>
      <c r="AH40" s="15" t="s">
        <v>15</v>
      </c>
      <c r="AI40" s="5">
        <v>0.38314430082306611</v>
      </c>
      <c r="AN40" s="26" t="s">
        <v>18</v>
      </c>
      <c r="AO40" s="27">
        <f>AI44</f>
        <v>0</v>
      </c>
      <c r="AP40" s="28">
        <f>AO40*AP31</f>
        <v>0</v>
      </c>
      <c r="AR40" s="31" t="s">
        <v>77</v>
      </c>
      <c r="AS40" s="32">
        <v>25</v>
      </c>
    </row>
    <row r="41" spans="2:45" x14ac:dyDescent="0.35">
      <c r="B41" s="1">
        <v>43009</v>
      </c>
      <c r="C41" s="2">
        <v>18.172599999999999</v>
      </c>
      <c r="D41" s="2">
        <v>14.213100000000001</v>
      </c>
      <c r="E41" s="2">
        <v>28.133101</v>
      </c>
      <c r="F41" s="2">
        <v>249.31300400000001</v>
      </c>
      <c r="G41" s="2">
        <v>3331.030029</v>
      </c>
      <c r="H41" s="2">
        <v>2641.709961</v>
      </c>
      <c r="I41" s="2">
        <v>77.599997999999999</v>
      </c>
      <c r="J41" s="2">
        <v>2696.9499510000001</v>
      </c>
      <c r="K41" s="2">
        <v>283.02999899999998</v>
      </c>
      <c r="L41" s="2">
        <v>628.80200200000002</v>
      </c>
      <c r="M41" s="2">
        <v>48.593201000000001</v>
      </c>
      <c r="P41" s="7"/>
      <c r="Q41" s="4">
        <f t="shared" si="1"/>
        <v>5.7502196754486336E-3</v>
      </c>
      <c r="R41" s="4">
        <f t="shared" si="1"/>
        <v>9.1879264681866551E-3</v>
      </c>
      <c r="S41" s="4">
        <f t="shared" si="1"/>
        <v>6.3170284662610659E-3</v>
      </c>
      <c r="T41" s="4">
        <f t="shared" si="1"/>
        <v>5.3348883960061622E-3</v>
      </c>
      <c r="U41" s="4">
        <f t="shared" si="1"/>
        <v>5.469547159844392E-3</v>
      </c>
      <c r="V41" s="4">
        <f t="shared" si="1"/>
        <v>5.2933677375085839E-3</v>
      </c>
      <c r="W41" s="4">
        <f t="shared" si="1"/>
        <v>0</v>
      </c>
      <c r="X41" s="4">
        <f t="shared" si="1"/>
        <v>-1.5783519733374378E-2</v>
      </c>
      <c r="Y41" s="4">
        <f t="shared" si="1"/>
        <v>6.0752535697220042E-2</v>
      </c>
      <c r="Z41" s="4">
        <f t="shared" si="1"/>
        <v>8.8308870184743579E-2</v>
      </c>
      <c r="AA41" s="4">
        <f t="shared" si="1"/>
        <v>4.9896575039066658E-2</v>
      </c>
      <c r="AD41" s="4"/>
      <c r="AE41" s="7"/>
      <c r="AF41" s="7"/>
      <c r="AH41" s="15" t="s">
        <v>14</v>
      </c>
      <c r="AI41" s="5">
        <v>0</v>
      </c>
      <c r="AN41" s="26" t="s">
        <v>16</v>
      </c>
      <c r="AO41" s="27">
        <f>AI39</f>
        <v>6.2694911386274846E-4</v>
      </c>
      <c r="AP41" s="28">
        <f>AO41*AP31</f>
        <v>0.17554575188156957</v>
      </c>
      <c r="AR41" s="31" t="s">
        <v>24</v>
      </c>
      <c r="AS41" s="32">
        <f>SUM(AS35:AS40)</f>
        <v>355.00001491358768</v>
      </c>
    </row>
    <row r="42" spans="2:45" x14ac:dyDescent="0.35">
      <c r="B42" s="1">
        <v>42979</v>
      </c>
      <c r="C42" s="2">
        <v>18.068701000000001</v>
      </c>
      <c r="D42" s="2">
        <v>14.0837</v>
      </c>
      <c r="E42" s="2">
        <v>27.956499000000001</v>
      </c>
      <c r="F42" s="2">
        <v>247.990005</v>
      </c>
      <c r="G42" s="2">
        <v>3312.9099120000001</v>
      </c>
      <c r="H42" s="2">
        <v>2627.8000489999999</v>
      </c>
      <c r="I42" s="2">
        <v>77.599997999999999</v>
      </c>
      <c r="J42" s="2">
        <v>2740.1999510000001</v>
      </c>
      <c r="K42" s="2">
        <v>266.82000699999998</v>
      </c>
      <c r="L42" s="2">
        <v>577.77899200000002</v>
      </c>
      <c r="M42" s="2">
        <v>46.283797999999997</v>
      </c>
      <c r="P42" s="7"/>
      <c r="Q42" s="4">
        <f t="shared" si="1"/>
        <v>3.1423876172129049E-3</v>
      </c>
      <c r="R42" s="4">
        <f t="shared" si="1"/>
        <v>2.0990166640577567E-3</v>
      </c>
      <c r="S42" s="4">
        <f t="shared" si="1"/>
        <v>3.5141032387089612E-3</v>
      </c>
      <c r="T42" s="4">
        <f t="shared" si="1"/>
        <v>5.1760872573729669E-3</v>
      </c>
      <c r="U42" s="4">
        <f t="shared" si="1"/>
        <v>4.9779802821174205E-3</v>
      </c>
      <c r="V42" s="4">
        <f t="shared" si="1"/>
        <v>5.1523604893475078E-3</v>
      </c>
      <c r="W42" s="4">
        <f t="shared" si="1"/>
        <v>0</v>
      </c>
      <c r="X42" s="4">
        <f t="shared" si="1"/>
        <v>9.8210467906501876E-3</v>
      </c>
      <c r="Y42" s="4">
        <f t="shared" si="1"/>
        <v>-2.0196664807563451E-3</v>
      </c>
      <c r="Z42" s="4">
        <f t="shared" si="1"/>
        <v>-1.7912153984150265E-2</v>
      </c>
      <c r="AA42" s="4">
        <f t="shared" ref="AA42:AA63" si="3">(M42-M43)/M43</f>
        <v>-3.6660702213122441E-3</v>
      </c>
      <c r="AE42" s="7"/>
      <c r="AF42" s="7"/>
      <c r="AH42" s="15" t="s">
        <v>4</v>
      </c>
      <c r="AI42" s="5">
        <v>0</v>
      </c>
      <c r="AK42" s="3" t="s">
        <v>29</v>
      </c>
      <c r="AL42" s="5">
        <f>SUM(AI36:AI38)</f>
        <v>0.56622880189279245</v>
      </c>
      <c r="AN42" s="26" t="s">
        <v>15</v>
      </c>
      <c r="AO42" s="27">
        <f>AI40</f>
        <v>0.38314430082306611</v>
      </c>
      <c r="AP42" s="28">
        <f>AO42*AP31</f>
        <v>107.28040423045852</v>
      </c>
    </row>
    <row r="43" spans="2:45" x14ac:dyDescent="0.35">
      <c r="B43" s="1">
        <v>42948</v>
      </c>
      <c r="C43" s="2">
        <v>18.0121</v>
      </c>
      <c r="D43" s="2">
        <v>14.0542</v>
      </c>
      <c r="E43" s="2">
        <v>27.858601</v>
      </c>
      <c r="F43" s="2">
        <v>246.712997</v>
      </c>
      <c r="G43" s="2">
        <v>3296.5</v>
      </c>
      <c r="H43" s="2">
        <v>2614.330078</v>
      </c>
      <c r="I43" s="2">
        <v>77.599997999999999</v>
      </c>
      <c r="J43" s="2">
        <v>2713.5500489999999</v>
      </c>
      <c r="K43" s="2">
        <v>267.35998499999999</v>
      </c>
      <c r="L43" s="2">
        <v>588.31701699999996</v>
      </c>
      <c r="M43" s="2">
        <v>46.454101999999999</v>
      </c>
      <c r="P43" s="7"/>
      <c r="Q43" s="4">
        <f t="shared" ref="Q43:Z63" si="4">(C43-C44)/C44</f>
        <v>5.9085349848935044E-3</v>
      </c>
      <c r="R43" s="4">
        <f t="shared" si="4"/>
        <v>6.4738824675230899E-3</v>
      </c>
      <c r="S43" s="4">
        <f t="shared" si="4"/>
        <v>7.2164937271774563E-3</v>
      </c>
      <c r="T43" s="4">
        <f t="shared" si="4"/>
        <v>5.3668398077693358E-3</v>
      </c>
      <c r="U43" s="4">
        <f t="shared" si="4"/>
        <v>5.3646146042697143E-3</v>
      </c>
      <c r="V43" s="4">
        <f t="shared" si="4"/>
        <v>5.3453261050988203E-3</v>
      </c>
      <c r="W43" s="4">
        <f t="shared" si="4"/>
        <v>0</v>
      </c>
      <c r="X43" s="4">
        <f t="shared" si="4"/>
        <v>3.4896359066409262E-2</v>
      </c>
      <c r="Y43" s="4">
        <f t="shared" si="4"/>
        <v>-1.2630231230630815E-2</v>
      </c>
      <c r="Z43" s="4">
        <f t="shared" si="4"/>
        <v>-3.2419465616534374E-2</v>
      </c>
      <c r="AA43" s="4">
        <f t="shared" si="3"/>
        <v>1.2080736823834306E-2</v>
      </c>
      <c r="AB43" s="3"/>
      <c r="AC43" s="3"/>
      <c r="AD43" s="3"/>
      <c r="AE43" s="13"/>
      <c r="AF43" s="7"/>
      <c r="AH43" s="15" t="s">
        <v>3</v>
      </c>
      <c r="AI43" s="5">
        <v>0</v>
      </c>
      <c r="AK43" s="3" t="s">
        <v>28</v>
      </c>
      <c r="AL43" s="5">
        <f>SUM(AI39:AI41)</f>
        <v>0.38377124993692885</v>
      </c>
      <c r="AN43" s="26"/>
      <c r="AO43" s="27"/>
      <c r="AP43" s="28"/>
    </row>
    <row r="44" spans="2:45" x14ac:dyDescent="0.35">
      <c r="B44" s="1">
        <v>42917</v>
      </c>
      <c r="C44" s="2">
        <v>17.906300000000002</v>
      </c>
      <c r="D44" s="2">
        <v>13.963800000000001</v>
      </c>
      <c r="E44" s="2">
        <v>27.658999999999999</v>
      </c>
      <c r="F44" s="2">
        <v>245.395996</v>
      </c>
      <c r="G44" s="2">
        <v>3278.9099120000001</v>
      </c>
      <c r="H44" s="2">
        <v>2600.429932</v>
      </c>
      <c r="I44" s="2">
        <v>77.599997999999999</v>
      </c>
      <c r="J44" s="2">
        <v>2622.0500489999999</v>
      </c>
      <c r="K44" s="2">
        <v>270.77999899999998</v>
      </c>
      <c r="L44" s="2">
        <v>608.02899200000002</v>
      </c>
      <c r="M44" s="2">
        <v>45.899600999999997</v>
      </c>
      <c r="P44" s="7"/>
      <c r="Q44" s="4">
        <f t="shared" si="4"/>
        <v>9.0898276083502729E-3</v>
      </c>
      <c r="R44" s="4">
        <f t="shared" si="4"/>
        <v>8.9377966922205235E-3</v>
      </c>
      <c r="S44" s="4">
        <f t="shared" si="4"/>
        <v>1.0164130579719642E-2</v>
      </c>
      <c r="T44" s="4">
        <f t="shared" si="4"/>
        <v>5.5317070238457234E-3</v>
      </c>
      <c r="U44" s="4">
        <f t="shared" si="4"/>
        <v>5.5199317018114541E-3</v>
      </c>
      <c r="V44" s="4">
        <f t="shared" si="4"/>
        <v>5.4361187161829829E-3</v>
      </c>
      <c r="W44" s="4">
        <f t="shared" si="4"/>
        <v>0</v>
      </c>
      <c r="X44" s="4">
        <f t="shared" si="4"/>
        <v>-2.5487212553495218E-3</v>
      </c>
      <c r="Y44" s="4">
        <f t="shared" si="4"/>
        <v>2.7511099409976474E-2</v>
      </c>
      <c r="Z44" s="4">
        <f t="shared" si="4"/>
        <v>6.5442723867058974E-2</v>
      </c>
      <c r="AA44" s="4">
        <f t="shared" si="3"/>
        <v>5.0367745182505974E-2</v>
      </c>
      <c r="AB44" s="8"/>
      <c r="AC44" s="8"/>
      <c r="AD44" s="8"/>
      <c r="AE44" s="20"/>
      <c r="AF44" s="7"/>
      <c r="AH44" s="15" t="s">
        <v>18</v>
      </c>
      <c r="AI44" s="5">
        <v>0</v>
      </c>
      <c r="AK44" s="3" t="s">
        <v>53</v>
      </c>
      <c r="AL44" s="5">
        <f>SUM(AI44:AI46)</f>
        <v>5.0000001433091863E-2</v>
      </c>
      <c r="AN44" s="29"/>
      <c r="AO44" s="27"/>
      <c r="AP44" s="28"/>
    </row>
    <row r="45" spans="2:45" x14ac:dyDescent="0.35">
      <c r="B45" s="1">
        <v>42887</v>
      </c>
      <c r="C45" s="2">
        <v>17.745000999999998</v>
      </c>
      <c r="D45" s="2">
        <v>13.8401</v>
      </c>
      <c r="E45" s="2">
        <v>27.380699</v>
      </c>
      <c r="F45" s="2">
        <v>244.04600500000001</v>
      </c>
      <c r="G45" s="2">
        <v>3260.9099120000001</v>
      </c>
      <c r="H45" s="2">
        <v>2586.3701169999999</v>
      </c>
      <c r="I45" s="2">
        <v>77.599997999999999</v>
      </c>
      <c r="J45" s="2">
        <v>2628.75</v>
      </c>
      <c r="K45" s="2">
        <v>263.52999899999998</v>
      </c>
      <c r="L45" s="2">
        <v>570.682007</v>
      </c>
      <c r="M45" s="2">
        <v>43.698600999999996</v>
      </c>
      <c r="P45" s="7"/>
      <c r="Q45" s="4">
        <f t="shared" si="4"/>
        <v>9.25368125899333E-3</v>
      </c>
      <c r="R45" s="4">
        <f t="shared" si="4"/>
        <v>8.1217312763136439E-3</v>
      </c>
      <c r="S45" s="4">
        <f t="shared" si="4"/>
        <v>8.9171183586538721E-3</v>
      </c>
      <c r="T45" s="4">
        <f t="shared" si="4"/>
        <v>5.2974543849368776E-3</v>
      </c>
      <c r="U45" s="4">
        <f t="shared" si="4"/>
        <v>5.2901462813102354E-3</v>
      </c>
      <c r="V45" s="4">
        <f t="shared" si="4"/>
        <v>5.2627023897844757E-3</v>
      </c>
      <c r="W45" s="4">
        <f t="shared" si="4"/>
        <v>0</v>
      </c>
      <c r="X45" s="4">
        <f t="shared" si="4"/>
        <v>-1.5523163718311391E-2</v>
      </c>
      <c r="Y45" s="4">
        <f t="shared" si="4"/>
        <v>5.6861164281213922E-3</v>
      </c>
      <c r="Z45" s="4">
        <f t="shared" si="4"/>
        <v>-4.6029660062118965E-3</v>
      </c>
      <c r="AA45" s="4">
        <f t="shared" si="3"/>
        <v>-4.3721990948428708E-3</v>
      </c>
      <c r="AB45" s="8"/>
      <c r="AC45" s="8"/>
      <c r="AD45" s="8"/>
      <c r="AE45" s="20"/>
      <c r="AF45" s="7"/>
      <c r="AH45" s="15" t="s">
        <v>19</v>
      </c>
      <c r="AI45" s="5">
        <v>0</v>
      </c>
      <c r="AK45" s="3" t="s">
        <v>27</v>
      </c>
      <c r="AL45" s="5">
        <f>SUM(AI42:AI43)</f>
        <v>0</v>
      </c>
      <c r="AN45" s="29" t="s">
        <v>35</v>
      </c>
      <c r="AO45" s="27">
        <f>SUM(AO35:AO42)</f>
        <v>1.0000000532628133</v>
      </c>
      <c r="AP45" s="28">
        <f>SUM(AP35:AP44)</f>
        <v>280.00001491358768</v>
      </c>
    </row>
    <row r="46" spans="2:45" x14ac:dyDescent="0.35">
      <c r="B46" s="1">
        <v>42856</v>
      </c>
      <c r="C46" s="2">
        <v>17.5823</v>
      </c>
      <c r="D46" s="2">
        <v>13.7286</v>
      </c>
      <c r="E46" s="2">
        <v>27.1387</v>
      </c>
      <c r="F46" s="2">
        <v>242.759995</v>
      </c>
      <c r="G46" s="2">
        <v>3243.75</v>
      </c>
      <c r="H46" s="2">
        <v>2572.830078</v>
      </c>
      <c r="I46" s="2">
        <v>77.599997999999999</v>
      </c>
      <c r="J46" s="2">
        <v>2670.1999510000001</v>
      </c>
      <c r="K46" s="2">
        <v>262.040009</v>
      </c>
      <c r="L46" s="2">
        <v>573.32098399999995</v>
      </c>
      <c r="M46" s="2">
        <v>43.890498999999998</v>
      </c>
      <c r="P46" s="7"/>
      <c r="Q46" s="4">
        <f t="shared" si="4"/>
        <v>8.0091270796785619E-3</v>
      </c>
      <c r="R46" s="4">
        <f t="shared" si="4"/>
        <v>8.3955840550009962E-3</v>
      </c>
      <c r="S46" s="4">
        <f t="shared" si="4"/>
        <v>8.4686814041693061E-3</v>
      </c>
      <c r="T46" s="4">
        <f t="shared" si="4"/>
        <v>5.8337613561570056E-3</v>
      </c>
      <c r="U46" s="4">
        <f t="shared" si="4"/>
        <v>5.8264410185649368E-3</v>
      </c>
      <c r="V46" s="4">
        <f t="shared" si="4"/>
        <v>5.4162835660723626E-3</v>
      </c>
      <c r="W46" s="4">
        <f t="shared" si="4"/>
        <v>0</v>
      </c>
      <c r="X46" s="4">
        <f t="shared" si="4"/>
        <v>-1.0633944215097479E-2</v>
      </c>
      <c r="Y46" s="4">
        <f t="shared" si="4"/>
        <v>-1.5109332594973594E-2</v>
      </c>
      <c r="Z46" s="4">
        <f t="shared" si="4"/>
        <v>1.8793572744258587E-2</v>
      </c>
      <c r="AA46" s="4">
        <f t="shared" si="3"/>
        <v>1.7719998754356429E-2</v>
      </c>
      <c r="AB46" s="8"/>
      <c r="AC46" s="8"/>
      <c r="AD46" s="8"/>
      <c r="AE46" s="20"/>
      <c r="AF46" s="7"/>
      <c r="AH46" s="15" t="s">
        <v>17</v>
      </c>
      <c r="AI46" s="5">
        <v>5.0000001433091863E-2</v>
      </c>
      <c r="AK46" s="3"/>
      <c r="AL46" s="5"/>
    </row>
    <row r="47" spans="2:45" x14ac:dyDescent="0.35">
      <c r="B47" s="1">
        <v>42826</v>
      </c>
      <c r="C47" s="2">
        <v>17.442599999999999</v>
      </c>
      <c r="D47" s="2">
        <v>13.6143</v>
      </c>
      <c r="E47" s="2">
        <v>26.910800999999999</v>
      </c>
      <c r="F47" s="2">
        <v>241.35200499999999</v>
      </c>
      <c r="G47" s="2">
        <v>3224.959961</v>
      </c>
      <c r="H47" s="2">
        <v>2558.969971</v>
      </c>
      <c r="I47" s="2">
        <v>77.599997999999999</v>
      </c>
      <c r="J47" s="2">
        <v>2698.8999020000001</v>
      </c>
      <c r="K47" s="2">
        <v>266.05999800000001</v>
      </c>
      <c r="L47" s="2">
        <v>562.74499500000002</v>
      </c>
      <c r="M47" s="2">
        <v>43.126300999999998</v>
      </c>
      <c r="P47" s="7"/>
      <c r="Q47" s="4">
        <f t="shared" si="4"/>
        <v>4.208584254502541E-3</v>
      </c>
      <c r="R47" s="4">
        <f t="shared" si="4"/>
        <v>4.1525298716625046E-3</v>
      </c>
      <c r="S47" s="4">
        <f t="shared" si="4"/>
        <v>5.1732572407579202E-3</v>
      </c>
      <c r="T47" s="4">
        <f t="shared" si="4"/>
        <v>4.9800919823758246E-3</v>
      </c>
      <c r="U47" s="4">
        <f t="shared" si="4"/>
        <v>4.9985787710161433E-3</v>
      </c>
      <c r="V47" s="4">
        <f t="shared" si="4"/>
        <v>5.2166722215916143E-3</v>
      </c>
      <c r="W47" s="4">
        <f t="shared" si="4"/>
        <v>1.6108169431327649E-2</v>
      </c>
      <c r="X47" s="4">
        <f t="shared" si="4"/>
        <v>1.7090257263883312E-2</v>
      </c>
      <c r="Y47" s="4">
        <f t="shared" si="4"/>
        <v>1.105834720254645E-2</v>
      </c>
      <c r="Z47" s="4">
        <f t="shared" si="4"/>
        <v>3.4897196471570649E-2</v>
      </c>
      <c r="AA47" s="4">
        <f t="shared" si="3"/>
        <v>3.1241181659377094E-2</v>
      </c>
      <c r="AB47" s="8"/>
      <c r="AC47" s="8"/>
      <c r="AD47" s="8"/>
      <c r="AE47" s="20"/>
      <c r="AF47" s="7"/>
      <c r="AH47" s="15"/>
      <c r="AI47" s="2"/>
    </row>
    <row r="48" spans="2:45" x14ac:dyDescent="0.35">
      <c r="B48" s="1">
        <v>42795</v>
      </c>
      <c r="C48" s="2">
        <v>17.369499000000001</v>
      </c>
      <c r="D48" s="2">
        <v>13.558</v>
      </c>
      <c r="E48" s="2">
        <v>26.772300999999999</v>
      </c>
      <c r="F48" s="2">
        <v>240.15600599999999</v>
      </c>
      <c r="G48" s="2">
        <v>3208.919922</v>
      </c>
      <c r="H48" s="2">
        <v>2545.6899410000001</v>
      </c>
      <c r="I48" s="2">
        <v>76.369820000000004</v>
      </c>
      <c r="J48" s="2">
        <v>2653.5500489999999</v>
      </c>
      <c r="K48" s="2">
        <v>263.14999399999999</v>
      </c>
      <c r="L48" s="2">
        <v>543.76898200000005</v>
      </c>
      <c r="M48" s="2">
        <v>41.819800999999998</v>
      </c>
      <c r="P48" s="7"/>
      <c r="Q48" s="4">
        <f t="shared" si="4"/>
        <v>6.1225801967122722E-3</v>
      </c>
      <c r="R48" s="4">
        <f t="shared" si="4"/>
        <v>7.9473054248351098E-3</v>
      </c>
      <c r="S48" s="4">
        <f t="shared" si="4"/>
        <v>7.8718302011805963E-3</v>
      </c>
      <c r="T48" s="4">
        <f t="shared" si="4"/>
        <v>5.7205621677788691E-3</v>
      </c>
      <c r="U48" s="4">
        <f t="shared" si="4"/>
        <v>5.7449667598917578E-3</v>
      </c>
      <c r="V48" s="4">
        <f t="shared" si="4"/>
        <v>5.6530661778985249E-3</v>
      </c>
      <c r="W48" s="4">
        <f t="shared" si="4"/>
        <v>0</v>
      </c>
      <c r="X48" s="4">
        <f t="shared" si="4"/>
        <v>-3.5686363586808413E-2</v>
      </c>
      <c r="Y48" s="4">
        <f t="shared" si="4"/>
        <v>6.4608792994018727E-2</v>
      </c>
      <c r="Z48" s="4">
        <f t="shared" si="4"/>
        <v>3.8853136086498534E-2</v>
      </c>
      <c r="AA48" s="4">
        <f t="shared" si="3"/>
        <v>3.2233380833901953E-2</v>
      </c>
      <c r="AE48" s="7"/>
      <c r="AF48" s="7"/>
    </row>
    <row r="49" spans="2:36" x14ac:dyDescent="0.35">
      <c r="B49" s="1">
        <v>42767</v>
      </c>
      <c r="C49" s="2">
        <v>17.2638</v>
      </c>
      <c r="D49" s="2">
        <v>13.4511</v>
      </c>
      <c r="E49" s="2">
        <v>26.563199999999998</v>
      </c>
      <c r="F49" s="2">
        <v>238.78999300000001</v>
      </c>
      <c r="G49" s="2">
        <v>3190.5900879999999</v>
      </c>
      <c r="H49" s="2">
        <v>2531.3798830000001</v>
      </c>
      <c r="I49" s="2">
        <v>76.369820000000004</v>
      </c>
      <c r="J49" s="2">
        <v>2751.75</v>
      </c>
      <c r="K49" s="2">
        <v>247.179993</v>
      </c>
      <c r="L49" s="2">
        <v>523.432007</v>
      </c>
      <c r="M49" s="2">
        <v>40.513900999999997</v>
      </c>
      <c r="P49" s="7"/>
      <c r="Q49" s="4">
        <f t="shared" si="4"/>
        <v>1.6012810248198341E-3</v>
      </c>
      <c r="R49" s="4">
        <f t="shared" si="4"/>
        <v>-1.5513657957244101E-3</v>
      </c>
      <c r="S49" s="4">
        <f t="shared" si="4"/>
        <v>1.8178767421412622E-3</v>
      </c>
      <c r="T49" s="4">
        <f t="shared" si="4"/>
        <v>5.0337930680183791E-3</v>
      </c>
      <c r="U49" s="4">
        <f t="shared" si="4"/>
        <v>5.0336830229211994E-3</v>
      </c>
      <c r="V49" s="4">
        <f t="shared" si="4"/>
        <v>4.9545362997913808E-3</v>
      </c>
      <c r="W49" s="4">
        <f t="shared" si="4"/>
        <v>0</v>
      </c>
      <c r="X49" s="4">
        <f t="shared" si="4"/>
        <v>1.8223866790009251E-2</v>
      </c>
      <c r="Y49" s="4">
        <f t="shared" si="4"/>
        <v>4.5954577176362352E-2</v>
      </c>
      <c r="Z49" s="4">
        <f t="shared" si="4"/>
        <v>3.5748368721372457E-2</v>
      </c>
      <c r="AA49" s="4">
        <f t="shared" si="3"/>
        <v>5.437407427465922E-2</v>
      </c>
      <c r="AE49" s="7"/>
      <c r="AF49" s="7"/>
      <c r="AH49" s="3" t="s">
        <v>24</v>
      </c>
      <c r="AI49" s="2">
        <f>SUM(AI36:AI46)</f>
        <v>1.0000000532628133</v>
      </c>
    </row>
    <row r="50" spans="2:36" x14ac:dyDescent="0.35">
      <c r="B50" s="1">
        <v>42736</v>
      </c>
      <c r="C50" s="2">
        <v>17.2362</v>
      </c>
      <c r="D50" s="2">
        <v>13.472</v>
      </c>
      <c r="E50" s="2">
        <v>26.514999</v>
      </c>
      <c r="F50" s="2">
        <v>237.59399400000001</v>
      </c>
      <c r="G50" s="2">
        <v>3174.610107</v>
      </c>
      <c r="H50" s="2">
        <v>2518.8999020000001</v>
      </c>
      <c r="I50" s="2">
        <v>76.369820000000004</v>
      </c>
      <c r="J50" s="2">
        <v>2702.5</v>
      </c>
      <c r="K50" s="2">
        <v>236.320007</v>
      </c>
      <c r="L50" s="2">
        <v>505.36599699999999</v>
      </c>
      <c r="M50" s="2">
        <v>38.424599000000001</v>
      </c>
      <c r="P50" s="7"/>
      <c r="Q50" s="4">
        <f t="shared" si="4"/>
        <v>1.0245408363053852E-2</v>
      </c>
      <c r="R50" s="4">
        <f t="shared" si="4"/>
        <v>1.3061819931871006E-2</v>
      </c>
      <c r="S50" s="4">
        <f t="shared" si="4"/>
        <v>1.2405412732291916E-2</v>
      </c>
      <c r="T50" s="4">
        <f t="shared" si="4"/>
        <v>5.6803540527925736E-3</v>
      </c>
      <c r="U50" s="4">
        <f t="shared" si="4"/>
        <v>5.7278333593828636E-3</v>
      </c>
      <c r="V50" s="4">
        <f t="shared" si="4"/>
        <v>5.4404842157493982E-3</v>
      </c>
      <c r="W50" s="4">
        <f t="shared" si="4"/>
        <v>0</v>
      </c>
      <c r="X50" s="4">
        <f t="shared" si="4"/>
        <v>3.6771373833692486E-2</v>
      </c>
      <c r="Y50" s="4">
        <f t="shared" si="4"/>
        <v>4.2067237155248426E-2</v>
      </c>
      <c r="Z50" s="4">
        <f t="shared" si="4"/>
        <v>5.9674073192964319E-2</v>
      </c>
      <c r="AA50" s="4">
        <f t="shared" si="3"/>
        <v>4.9763517297715304E-2</v>
      </c>
      <c r="AE50" s="7"/>
      <c r="AF50" s="7"/>
      <c r="AH50" s="3" t="s">
        <v>22</v>
      </c>
      <c r="AI50" s="8">
        <f t="array" ref="AI50">MMULT(TRANSPOSE(AI36:AI46), AI4:AI14)</f>
        <v>7.6000788703276811E-2</v>
      </c>
      <c r="AJ50" s="18" t="s">
        <v>65</v>
      </c>
    </row>
    <row r="51" spans="2:36" x14ac:dyDescent="0.35">
      <c r="B51" s="1">
        <v>42705</v>
      </c>
      <c r="C51" s="2">
        <v>17.061399000000002</v>
      </c>
      <c r="D51" s="2">
        <v>13.298299999999999</v>
      </c>
      <c r="E51" s="2">
        <v>26.190100000000001</v>
      </c>
      <c r="F51" s="2">
        <v>236.25199900000001</v>
      </c>
      <c r="G51" s="2">
        <v>3156.530029</v>
      </c>
      <c r="H51" s="2">
        <v>2505.2700199999999</v>
      </c>
      <c r="I51" s="2">
        <v>76.369820000000004</v>
      </c>
      <c r="J51" s="2">
        <v>2606.6499020000001</v>
      </c>
      <c r="K51" s="2">
        <v>226.779999</v>
      </c>
      <c r="L51" s="2">
        <v>476.90701300000001</v>
      </c>
      <c r="M51" s="2">
        <v>36.603099999999998</v>
      </c>
      <c r="P51" s="7"/>
      <c r="Q51" s="4">
        <f t="shared" si="4"/>
        <v>-1.422242075082805E-3</v>
      </c>
      <c r="R51" s="4">
        <f t="shared" si="4"/>
        <v>-6.2472444122285004E-3</v>
      </c>
      <c r="S51" s="4">
        <f t="shared" si="4"/>
        <v>-2.9845253053856426E-3</v>
      </c>
      <c r="T51" s="4">
        <f t="shared" si="4"/>
        <v>5.1394333365813042E-3</v>
      </c>
      <c r="U51" s="4">
        <f t="shared" si="4"/>
        <v>5.190718228860405E-3</v>
      </c>
      <c r="V51" s="4">
        <f t="shared" si="4"/>
        <v>5.3008196781986231E-3</v>
      </c>
      <c r="W51" s="4">
        <f t="shared" si="4"/>
        <v>0</v>
      </c>
      <c r="X51" s="4">
        <f t="shared" si="4"/>
        <v>-2.8981746883013481E-2</v>
      </c>
      <c r="Y51" s="4">
        <f t="shared" si="4"/>
        <v>-1.8395879402657141E-2</v>
      </c>
      <c r="Z51" s="4">
        <f t="shared" si="4"/>
        <v>-2.0099040866950302E-2</v>
      </c>
      <c r="AA51" s="4">
        <f t="shared" si="3"/>
        <v>-2.3792404793349521E-2</v>
      </c>
      <c r="AE51" s="7"/>
      <c r="AF51" s="7"/>
      <c r="AH51" s="3" t="s">
        <v>8</v>
      </c>
      <c r="AI51" s="8">
        <f t="array" ref="AI51">SQRT(MMULT(MMULT(TRANSPOSE(AI36:AI46),AM5:AW15), AI36:AI46))</f>
        <v>1.4171365461669463E-2</v>
      </c>
      <c r="AJ51" s="18" t="s">
        <v>65</v>
      </c>
    </row>
    <row r="52" spans="2:36" x14ac:dyDescent="0.35">
      <c r="B52" s="1">
        <v>42675</v>
      </c>
      <c r="C52" s="2">
        <v>17.085699000000002</v>
      </c>
      <c r="D52" s="2">
        <v>13.3819</v>
      </c>
      <c r="E52" s="2">
        <v>26.268498999999998</v>
      </c>
      <c r="F52" s="2">
        <v>235.044006</v>
      </c>
      <c r="G52" s="2">
        <v>3140.2299800000001</v>
      </c>
      <c r="H52" s="2">
        <v>2492.0600589999999</v>
      </c>
      <c r="I52" s="2">
        <v>76.369820000000004</v>
      </c>
      <c r="J52" s="2">
        <v>2684.4499510000001</v>
      </c>
      <c r="K52" s="2">
        <v>231.029999</v>
      </c>
      <c r="L52" s="2">
        <v>486.68899499999998</v>
      </c>
      <c r="M52" s="2">
        <v>37.495201000000002</v>
      </c>
      <c r="P52" s="7"/>
      <c r="Q52" s="4">
        <f t="shared" si="4"/>
        <v>1.495182369015101E-2</v>
      </c>
      <c r="R52" s="4">
        <f t="shared" si="4"/>
        <v>1.9386931151637046E-2</v>
      </c>
      <c r="S52" s="4">
        <f t="shared" si="4"/>
        <v>1.8411505179579315E-2</v>
      </c>
      <c r="T52" s="4">
        <f t="shared" si="4"/>
        <v>5.7208598556275385E-3</v>
      </c>
      <c r="U52" s="4">
        <f t="shared" si="4"/>
        <v>5.6298587903627108E-3</v>
      </c>
      <c r="V52" s="4">
        <f t="shared" si="4"/>
        <v>5.4385900700360396E-3</v>
      </c>
      <c r="W52" s="4">
        <f t="shared" si="4"/>
        <v>0</v>
      </c>
      <c r="X52" s="4">
        <f t="shared" si="4"/>
        <v>-5.3771606979203364E-2</v>
      </c>
      <c r="Y52" s="4">
        <f t="shared" si="4"/>
        <v>-5.7020412244897942E-2</v>
      </c>
      <c r="Z52" s="4">
        <f t="shared" si="4"/>
        <v>-4.8158356188675651E-2</v>
      </c>
      <c r="AA52" s="4">
        <f t="shared" si="3"/>
        <v>-5.1731457756980855E-2</v>
      </c>
      <c r="AE52" s="7"/>
      <c r="AF52" s="7"/>
      <c r="AH52" s="3" t="s">
        <v>9</v>
      </c>
      <c r="AI52" s="2">
        <f>(AI50-AM18)/AI51</f>
        <v>1.2843355675574162</v>
      </c>
      <c r="AJ52" s="18" t="s">
        <v>65</v>
      </c>
    </row>
    <row r="53" spans="2:36" x14ac:dyDescent="0.35">
      <c r="B53" s="1">
        <v>42644</v>
      </c>
      <c r="C53" s="2">
        <v>16.834</v>
      </c>
      <c r="D53" s="2">
        <v>13.1274</v>
      </c>
      <c r="E53" s="2">
        <v>25.793600000000001</v>
      </c>
      <c r="F53" s="2">
        <v>233.70700099999999</v>
      </c>
      <c r="G53" s="2">
        <v>3122.6499020000001</v>
      </c>
      <c r="H53" s="2">
        <v>2478.580078</v>
      </c>
      <c r="I53" s="2">
        <v>76.369820000000004</v>
      </c>
      <c r="J53" s="2">
        <v>2837</v>
      </c>
      <c r="K53" s="2">
        <v>245</v>
      </c>
      <c r="L53" s="2">
        <v>511.31298800000002</v>
      </c>
      <c r="M53" s="2">
        <v>39.540698999999996</v>
      </c>
      <c r="P53" s="7"/>
      <c r="Q53" s="4">
        <f t="shared" si="4"/>
        <v>6.9386290226103398E-3</v>
      </c>
      <c r="R53" s="4">
        <f t="shared" si="4"/>
        <v>6.4940541452306487E-3</v>
      </c>
      <c r="S53" s="4">
        <f t="shared" si="4"/>
        <v>6.3595858075893756E-3</v>
      </c>
      <c r="T53" s="4">
        <f t="shared" si="4"/>
        <v>5.7321183431952279E-3</v>
      </c>
      <c r="U53" s="4">
        <f t="shared" si="4"/>
        <v>5.8301050762026765E-3</v>
      </c>
      <c r="V53" s="4">
        <f t="shared" si="4"/>
        <v>5.6111483923318621E-3</v>
      </c>
      <c r="W53" s="4">
        <f t="shared" si="4"/>
        <v>0</v>
      </c>
      <c r="X53" s="4">
        <f t="shared" si="4"/>
        <v>-3.1955335891908972E-2</v>
      </c>
      <c r="Y53" s="4">
        <f t="shared" si="4"/>
        <v>2.0918426884214133E-2</v>
      </c>
      <c r="Z53" s="4">
        <f t="shared" si="4"/>
        <v>2.5758659357817411E-2</v>
      </c>
      <c r="AA53" s="4">
        <f t="shared" si="3"/>
        <v>2.7036424758755742E-2</v>
      </c>
      <c r="AE53" s="7"/>
      <c r="AF53" s="7"/>
    </row>
    <row r="54" spans="2:36" x14ac:dyDescent="0.35">
      <c r="B54" s="1">
        <v>42614</v>
      </c>
      <c r="C54" s="2">
        <v>16.718</v>
      </c>
      <c r="D54" s="2">
        <v>13.0427</v>
      </c>
      <c r="E54" s="2">
        <v>25.630600000000001</v>
      </c>
      <c r="F54" s="2">
        <v>232.375</v>
      </c>
      <c r="G54" s="2">
        <v>3104.5500489999999</v>
      </c>
      <c r="H54" s="2">
        <v>2464.75</v>
      </c>
      <c r="I54" s="2">
        <v>76.369820000000004</v>
      </c>
      <c r="J54" s="2">
        <v>2930.6499020000001</v>
      </c>
      <c r="K54" s="2">
        <v>239.979996</v>
      </c>
      <c r="L54" s="2">
        <v>498.47299199999998</v>
      </c>
      <c r="M54" s="2">
        <v>38.499802000000003</v>
      </c>
      <c r="P54" s="7"/>
      <c r="Q54" s="4">
        <f t="shared" si="4"/>
        <v>9.8032701728104719E-3</v>
      </c>
      <c r="R54" s="4">
        <f t="shared" si="4"/>
        <v>1.1728658418337612E-2</v>
      </c>
      <c r="S54" s="4">
        <f t="shared" si="4"/>
        <v>9.523884547517068E-3</v>
      </c>
      <c r="T54" s="4">
        <f t="shared" si="4"/>
        <v>5.6693916805280941E-3</v>
      </c>
      <c r="U54" s="4">
        <f t="shared" si="4"/>
        <v>5.6557989894333209E-3</v>
      </c>
      <c r="V54" s="4">
        <f t="shared" si="4"/>
        <v>5.5894211566954646E-3</v>
      </c>
      <c r="W54" s="4">
        <f t="shared" si="4"/>
        <v>0</v>
      </c>
      <c r="X54" s="4">
        <f t="shared" si="4"/>
        <v>1.6527888310787414E-2</v>
      </c>
      <c r="Y54" s="4">
        <f t="shared" si="4"/>
        <v>-1.9962196873760819E-3</v>
      </c>
      <c r="Z54" s="4">
        <f t="shared" si="4"/>
        <v>-1.0981582025459476E-3</v>
      </c>
      <c r="AA54" s="4">
        <f t="shared" si="3"/>
        <v>-1.3270908172954985E-2</v>
      </c>
      <c r="AE54" s="7"/>
      <c r="AF54" s="7"/>
      <c r="AH54" s="3"/>
    </row>
    <row r="55" spans="2:36" x14ac:dyDescent="0.35">
      <c r="B55" s="1">
        <v>42583</v>
      </c>
      <c r="C55" s="2">
        <v>16.555700000000002</v>
      </c>
      <c r="D55" s="2">
        <v>12.891500000000001</v>
      </c>
      <c r="E55" s="2">
        <v>25.3888</v>
      </c>
      <c r="F55" s="2">
        <v>231.06500199999999</v>
      </c>
      <c r="G55" s="2">
        <v>3087.0900879999999</v>
      </c>
      <c r="H55" s="2">
        <v>2451.0500489999999</v>
      </c>
      <c r="I55" s="2">
        <v>76.369820000000004</v>
      </c>
      <c r="J55" s="2">
        <v>2883</v>
      </c>
      <c r="K55" s="2">
        <v>240.46000699999999</v>
      </c>
      <c r="L55" s="2">
        <v>499.02099600000003</v>
      </c>
      <c r="M55" s="2">
        <v>39.017600999999999</v>
      </c>
      <c r="P55" s="7"/>
      <c r="Q55" s="4">
        <f t="shared" si="4"/>
        <v>1.064017792375385E-2</v>
      </c>
      <c r="R55" s="4">
        <f t="shared" si="4"/>
        <v>1.1185278729929627E-2</v>
      </c>
      <c r="S55" s="4">
        <f t="shared" si="4"/>
        <v>1.1199836352332987E-2</v>
      </c>
      <c r="T55" s="4">
        <f t="shared" si="4"/>
        <v>5.9250471460019702E-3</v>
      </c>
      <c r="U55" s="4">
        <f t="shared" si="4"/>
        <v>5.9665596187962909E-3</v>
      </c>
      <c r="V55" s="4">
        <f t="shared" si="4"/>
        <v>5.82717460202185E-3</v>
      </c>
      <c r="W55" s="4">
        <f t="shared" si="4"/>
        <v>0</v>
      </c>
      <c r="X55" s="4">
        <f t="shared" si="4"/>
        <v>1.9113814074717638E-3</v>
      </c>
      <c r="Y55" s="4">
        <f t="shared" si="4"/>
        <v>4.3572645981882173E-2</v>
      </c>
      <c r="Z55" s="4">
        <f t="shared" si="4"/>
        <v>2.9030222527619907E-2</v>
      </c>
      <c r="AA55" s="4">
        <f t="shared" si="3"/>
        <v>1.7718626483663239E-2</v>
      </c>
      <c r="AE55" s="7"/>
      <c r="AF55" s="7"/>
    </row>
    <row r="56" spans="2:36" x14ac:dyDescent="0.35">
      <c r="B56" s="1">
        <v>42552</v>
      </c>
      <c r="C56" s="2">
        <v>16.381398999999998</v>
      </c>
      <c r="D56" s="2">
        <v>12.748900000000001</v>
      </c>
      <c r="E56" s="2">
        <v>25.107599</v>
      </c>
      <c r="F56" s="2">
        <v>229.70399499999999</v>
      </c>
      <c r="G56" s="2">
        <v>3068.780029</v>
      </c>
      <c r="H56" s="2">
        <v>2436.8500979999999</v>
      </c>
      <c r="I56" s="2">
        <v>76.369820000000004</v>
      </c>
      <c r="J56" s="2">
        <v>2877.5</v>
      </c>
      <c r="K56" s="2">
        <v>230.41999799999999</v>
      </c>
      <c r="L56" s="2">
        <v>484.942993</v>
      </c>
      <c r="M56" s="2">
        <v>38.338298999999999</v>
      </c>
      <c r="P56" s="7"/>
      <c r="Q56" s="4">
        <f t="shared" si="4"/>
        <v>1.4284148674670309E-2</v>
      </c>
      <c r="R56" s="4">
        <f t="shared" si="4"/>
        <v>1.6447945402069793E-2</v>
      </c>
      <c r="S56" s="4">
        <f t="shared" si="4"/>
        <v>1.3175364014323954E-2</v>
      </c>
      <c r="T56" s="4">
        <f t="shared" si="4"/>
        <v>6.1630158017364862E-3</v>
      </c>
      <c r="U56" s="4">
        <f t="shared" si="4"/>
        <v>6.2134448527791245E-3</v>
      </c>
      <c r="V56" s="4">
        <f t="shared" si="4"/>
        <v>6.1147044481207726E-3</v>
      </c>
      <c r="W56" s="4">
        <f t="shared" si="4"/>
        <v>0</v>
      </c>
      <c r="X56" s="4">
        <f t="shared" si="4"/>
        <v>9.8617600078796837E-3</v>
      </c>
      <c r="Y56" s="4">
        <f t="shared" si="4"/>
        <v>3.7180382837947765E-2</v>
      </c>
      <c r="Z56" s="4">
        <f t="shared" si="4"/>
        <v>5.3939808350746049E-2</v>
      </c>
      <c r="AA56" s="4">
        <f t="shared" si="3"/>
        <v>5.608460224516363E-2</v>
      </c>
      <c r="AE56" s="7"/>
      <c r="AF56" s="7"/>
    </row>
    <row r="57" spans="2:36" x14ac:dyDescent="0.35">
      <c r="B57" s="1">
        <v>42522</v>
      </c>
      <c r="C57" s="2">
        <v>16.150700000000001</v>
      </c>
      <c r="D57" s="2">
        <v>12.5426</v>
      </c>
      <c r="E57" s="2">
        <v>24.781099000000001</v>
      </c>
      <c r="F57" s="2">
        <v>228.296997</v>
      </c>
      <c r="G57" s="2">
        <v>3049.830078</v>
      </c>
      <c r="H57" s="2">
        <v>2422.040039</v>
      </c>
      <c r="I57" s="2">
        <v>76.369820000000004</v>
      </c>
      <c r="J57" s="2">
        <v>2849.3999020000001</v>
      </c>
      <c r="K57" s="2">
        <v>222.16000399999999</v>
      </c>
      <c r="L57" s="2">
        <v>460.12399299999998</v>
      </c>
      <c r="M57" s="2">
        <v>36.302298999999998</v>
      </c>
      <c r="P57" s="7"/>
      <c r="Q57" s="4">
        <f t="shared" si="4"/>
        <v>7.5735679303795128E-3</v>
      </c>
      <c r="R57" s="4">
        <f t="shared" si="4"/>
        <v>7.1950534007870224E-3</v>
      </c>
      <c r="S57" s="4">
        <f t="shared" si="4"/>
        <v>8.8914899420666927E-3</v>
      </c>
      <c r="T57" s="4">
        <f t="shared" si="4"/>
        <v>6.3298894505406838E-3</v>
      </c>
      <c r="U57" s="4">
        <f t="shared" si="4"/>
        <v>6.2888499867106472E-3</v>
      </c>
      <c r="V57" s="4">
        <f t="shared" si="4"/>
        <v>6.1439563817634142E-3</v>
      </c>
      <c r="W57" s="4">
        <f t="shared" si="4"/>
        <v>0</v>
      </c>
      <c r="X57" s="4">
        <f t="shared" si="4"/>
        <v>6.1940948880108281E-2</v>
      </c>
      <c r="Y57" s="4">
        <f t="shared" si="4"/>
        <v>7.0702195992524988E-2</v>
      </c>
      <c r="Z57" s="4">
        <f t="shared" si="4"/>
        <v>2.8154928821725947E-2</v>
      </c>
      <c r="AA57" s="4">
        <f t="shared" si="3"/>
        <v>3.4784161827029189E-2</v>
      </c>
      <c r="AE57" s="7"/>
      <c r="AF57" s="7"/>
    </row>
    <row r="58" spans="2:36" x14ac:dyDescent="0.35">
      <c r="B58" s="1">
        <v>42491</v>
      </c>
      <c r="C58" s="2">
        <v>16.029301</v>
      </c>
      <c r="D58" s="2">
        <v>12.452999999999999</v>
      </c>
      <c r="E58" s="2">
        <v>24.5627</v>
      </c>
      <c r="F58" s="2">
        <v>226.86099200000001</v>
      </c>
      <c r="G58" s="2">
        <v>3030.7700199999999</v>
      </c>
      <c r="H58" s="2">
        <v>2407.25</v>
      </c>
      <c r="I58" s="2">
        <v>76.369820000000004</v>
      </c>
      <c r="J58" s="2">
        <v>2683.1999510000001</v>
      </c>
      <c r="K58" s="2">
        <v>207.490005</v>
      </c>
      <c r="L58" s="2">
        <v>447.52398699999998</v>
      </c>
      <c r="M58" s="2">
        <v>35.082000999999998</v>
      </c>
      <c r="P58" s="7"/>
      <c r="Q58" s="4">
        <f t="shared" si="4"/>
        <v>5.1419989590714412E-3</v>
      </c>
      <c r="R58" s="4">
        <f t="shared" si="4"/>
        <v>5.3768649486533072E-3</v>
      </c>
      <c r="S58" s="4">
        <f t="shared" si="4"/>
        <v>6.6763254894025136E-3</v>
      </c>
      <c r="T58" s="4">
        <f t="shared" si="4"/>
        <v>6.8525277415706657E-3</v>
      </c>
      <c r="U58" s="4">
        <f t="shared" si="4"/>
        <v>6.8802484316144406E-3</v>
      </c>
      <c r="V58" s="4">
        <f t="shared" si="4"/>
        <v>6.6026775515812108E-3</v>
      </c>
      <c r="W58" s="4">
        <f t="shared" si="4"/>
        <v>0</v>
      </c>
      <c r="X58" s="4">
        <f t="shared" si="4"/>
        <v>-4.1611601971271381E-2</v>
      </c>
      <c r="Y58" s="4">
        <f t="shared" si="4"/>
        <v>1.6111694653942625E-2</v>
      </c>
      <c r="Z58" s="4">
        <f t="shared" si="4"/>
        <v>4.3500507199171708E-2</v>
      </c>
      <c r="AA58" s="4">
        <f t="shared" si="3"/>
        <v>3.6022435871122457E-2</v>
      </c>
      <c r="AE58" s="7"/>
      <c r="AF58" s="7"/>
    </row>
    <row r="59" spans="2:36" x14ac:dyDescent="0.35">
      <c r="B59" s="1">
        <v>42461</v>
      </c>
      <c r="C59" s="2">
        <v>15.9473</v>
      </c>
      <c r="D59" s="2">
        <v>12.3864</v>
      </c>
      <c r="E59" s="2">
        <v>24.399799000000002</v>
      </c>
      <c r="F59" s="2">
        <v>225.317001</v>
      </c>
      <c r="G59" s="2">
        <v>3010.0600589999999</v>
      </c>
      <c r="H59" s="2">
        <v>2391.459961</v>
      </c>
      <c r="I59" s="2">
        <v>76.369820000000004</v>
      </c>
      <c r="J59" s="2">
        <v>2799.6999510000001</v>
      </c>
      <c r="K59" s="2">
        <v>204.199997</v>
      </c>
      <c r="L59" s="2">
        <v>428.86801100000002</v>
      </c>
      <c r="M59" s="2">
        <v>33.862202000000003</v>
      </c>
      <c r="P59" s="7"/>
      <c r="Q59" s="4">
        <f t="shared" si="4"/>
        <v>9.9747938542603855E-3</v>
      </c>
      <c r="R59" s="4">
        <f t="shared" si="4"/>
        <v>9.3384833520754381E-3</v>
      </c>
      <c r="S59" s="4">
        <f t="shared" si="4"/>
        <v>9.8167829620984647E-3</v>
      </c>
      <c r="T59" s="4">
        <f t="shared" si="4"/>
        <v>6.5354962335183488E-3</v>
      </c>
      <c r="U59" s="4">
        <f t="shared" si="4"/>
        <v>6.641732434434066E-3</v>
      </c>
      <c r="V59" s="4">
        <f t="shared" si="4"/>
        <v>6.4727965788702107E-3</v>
      </c>
      <c r="W59" s="4">
        <f t="shared" si="4"/>
        <v>0</v>
      </c>
      <c r="X59" s="4">
        <f t="shared" si="4"/>
        <v>6.5720065769481695E-2</v>
      </c>
      <c r="Y59" s="4">
        <f t="shared" si="4"/>
        <v>3.6863993735513439E-2</v>
      </c>
      <c r="Z59" s="4">
        <f t="shared" si="4"/>
        <v>2.9198447618755306E-2</v>
      </c>
      <c r="AA59" s="4">
        <f t="shared" si="3"/>
        <v>1.754599791617981E-2</v>
      </c>
      <c r="AE59" s="7"/>
      <c r="AF59" s="7"/>
    </row>
    <row r="60" spans="2:36" x14ac:dyDescent="0.35">
      <c r="B60" s="1">
        <v>42430</v>
      </c>
      <c r="C60" s="2">
        <v>15.7898</v>
      </c>
      <c r="D60" s="2">
        <v>12.271800000000001</v>
      </c>
      <c r="E60" s="2">
        <v>24.162600000000001</v>
      </c>
      <c r="F60" s="2">
        <v>223.854004</v>
      </c>
      <c r="G60" s="2">
        <v>2990.1999510000001</v>
      </c>
      <c r="H60" s="2">
        <v>2376.080078</v>
      </c>
      <c r="I60" s="2">
        <v>76.369820000000004</v>
      </c>
      <c r="J60" s="2">
        <v>2627.0500489999999</v>
      </c>
      <c r="K60" s="2">
        <v>196.94000199999999</v>
      </c>
      <c r="L60" s="2">
        <v>416.70098899999999</v>
      </c>
      <c r="M60" s="2">
        <v>33.278300999999999</v>
      </c>
      <c r="P60" s="7"/>
      <c r="Q60" s="4">
        <f t="shared" si="4"/>
        <v>1.2991345518466878E-2</v>
      </c>
      <c r="R60" s="4">
        <f t="shared" si="4"/>
        <v>1.5524403766902365E-2</v>
      </c>
      <c r="S60" s="4">
        <f t="shared" si="4"/>
        <v>1.5149987396017209E-2</v>
      </c>
      <c r="T60" s="4">
        <f t="shared" si="4"/>
        <v>7.6206401578278364E-3</v>
      </c>
      <c r="U60" s="4">
        <f t="shared" si="4"/>
        <v>7.5918244252771768E-3</v>
      </c>
      <c r="V60" s="4">
        <f t="shared" si="4"/>
        <v>8.1121942317118282E-3</v>
      </c>
      <c r="W60" s="4">
        <f t="shared" si="4"/>
        <v>0</v>
      </c>
      <c r="X60" s="4">
        <f t="shared" si="4"/>
        <v>-2.8816987430683939E-2</v>
      </c>
      <c r="Y60" s="4">
        <f t="shared" si="4"/>
        <v>9.7770393459433461E-2</v>
      </c>
      <c r="Z60" s="4">
        <f t="shared" si="4"/>
        <v>0.15446266860856786</v>
      </c>
      <c r="AA60" s="4">
        <f t="shared" si="3"/>
        <v>0.13171868145321722</v>
      </c>
      <c r="AE60" s="7"/>
      <c r="AF60" s="7"/>
    </row>
    <row r="61" spans="2:36" x14ac:dyDescent="0.35">
      <c r="B61" s="1">
        <v>42401</v>
      </c>
      <c r="C61" s="2">
        <v>15.587300000000001</v>
      </c>
      <c r="D61" s="2">
        <v>12.084199999999999</v>
      </c>
      <c r="E61" s="2">
        <v>23.802</v>
      </c>
      <c r="F61" s="2">
        <v>222.16099500000001</v>
      </c>
      <c r="G61" s="2">
        <v>2967.669922</v>
      </c>
      <c r="H61" s="2">
        <v>2356.959961</v>
      </c>
      <c r="I61" s="2">
        <v>76.369820000000004</v>
      </c>
      <c r="J61" s="2">
        <v>2705</v>
      </c>
      <c r="K61" s="2">
        <v>179.39999399999999</v>
      </c>
      <c r="L61" s="2">
        <v>360.94799799999998</v>
      </c>
      <c r="M61" s="2">
        <v>29.405100000000001</v>
      </c>
      <c r="P61" s="7"/>
      <c r="Q61" s="4">
        <f t="shared" si="4"/>
        <v>-3.5161069663668205E-3</v>
      </c>
      <c r="R61" s="4">
        <f t="shared" si="4"/>
        <v>3.4044107878303601E-3</v>
      </c>
      <c r="S61" s="4">
        <f t="shared" si="4"/>
        <v>5.6446570110358658E-3</v>
      </c>
      <c r="T61" s="4">
        <f t="shared" si="4"/>
        <v>6.0409235472279202E-3</v>
      </c>
      <c r="U61" s="4">
        <f t="shared" si="4"/>
        <v>6.0682364654313327E-3</v>
      </c>
      <c r="V61" s="4">
        <f t="shared" si="4"/>
        <v>5.9538588996468078E-3</v>
      </c>
      <c r="W61" s="4">
        <f t="shared" si="4"/>
        <v>0</v>
      </c>
      <c r="X61" s="4">
        <f t="shared" si="4"/>
        <v>8.6192661093066975E-2</v>
      </c>
      <c r="Y61" s="4">
        <f t="shared" si="4"/>
        <v>-6.9502120287830135E-2</v>
      </c>
      <c r="Z61" s="4">
        <f t="shared" si="4"/>
        <v>-0.11105746422404511</v>
      </c>
      <c r="AA61" s="4">
        <f t="shared" si="3"/>
        <v>-9.0517946489604498E-2</v>
      </c>
      <c r="AE61" s="7"/>
      <c r="AF61" s="7"/>
    </row>
    <row r="62" spans="2:36" x14ac:dyDescent="0.35">
      <c r="B62" s="1">
        <v>42370</v>
      </c>
      <c r="C62" s="2">
        <v>15.642300000000001</v>
      </c>
      <c r="D62" s="2">
        <v>12.043200000000001</v>
      </c>
      <c r="E62" s="2">
        <v>23.668399999999998</v>
      </c>
      <c r="F62" s="2">
        <v>220.82699600000001</v>
      </c>
      <c r="G62" s="2">
        <v>2949.7700199999999</v>
      </c>
      <c r="H62" s="2">
        <v>2343.01001</v>
      </c>
      <c r="I62" s="2">
        <v>76.369820000000004</v>
      </c>
      <c r="J62" s="2">
        <v>2490.3500979999999</v>
      </c>
      <c r="K62" s="2">
        <v>192.800003</v>
      </c>
      <c r="L62" s="2">
        <v>406.04199199999999</v>
      </c>
      <c r="M62" s="2">
        <v>32.331699</v>
      </c>
      <c r="P62" s="7"/>
      <c r="Q62" s="4">
        <f t="shared" si="4"/>
        <v>4.3210272873195022E-3</v>
      </c>
      <c r="R62" s="4">
        <f t="shared" si="4"/>
        <v>4.8560700876096076E-3</v>
      </c>
      <c r="S62" s="4">
        <f t="shared" si="4"/>
        <v>6.0357725788900756E-3</v>
      </c>
      <c r="T62" s="4">
        <f t="shared" si="4"/>
        <v>6.2976552480868446E-3</v>
      </c>
      <c r="U62" s="4">
        <f t="shared" si="4"/>
        <v>6.366159004206921E-3</v>
      </c>
      <c r="V62" s="4">
        <f t="shared" si="4"/>
        <v>6.253112287746102E-3</v>
      </c>
      <c r="W62" s="4">
        <f t="shared" si="4"/>
        <v>0</v>
      </c>
      <c r="X62" s="4">
        <f t="shared" si="4"/>
        <v>4.9540646734873676E-2</v>
      </c>
      <c r="Y62" s="4">
        <f t="shared" si="4"/>
        <v>-5.3370624572795393E-2</v>
      </c>
      <c r="Z62" s="4">
        <f t="shared" si="4"/>
        <v>-8.6745674413947316E-2</v>
      </c>
      <c r="AA62" s="4">
        <f t="shared" si="3"/>
        <v>-5.5247497099925796E-2</v>
      </c>
      <c r="AE62" s="7"/>
      <c r="AF62" s="7"/>
    </row>
    <row r="63" spans="2:36" x14ac:dyDescent="0.35">
      <c r="B63" s="1">
        <v>42339</v>
      </c>
      <c r="C63" s="2">
        <v>15.574999999999999</v>
      </c>
      <c r="D63" s="2">
        <v>11.984999999999999</v>
      </c>
      <c r="E63" s="2">
        <v>23.526399999999999</v>
      </c>
      <c r="F63" s="2">
        <v>219.445007</v>
      </c>
      <c r="G63" s="2">
        <v>2931.110107</v>
      </c>
      <c r="H63" s="2">
        <v>2328.4499510000001</v>
      </c>
      <c r="I63" s="2">
        <v>76.369820000000004</v>
      </c>
      <c r="J63" s="2">
        <v>2372.8000489999999</v>
      </c>
      <c r="K63" s="2">
        <v>203.66999799999999</v>
      </c>
      <c r="L63" s="2">
        <v>444.60998499999999</v>
      </c>
      <c r="M63" s="2">
        <v>34.222400999999998</v>
      </c>
      <c r="P63" s="7"/>
      <c r="Q63" s="4">
        <f t="shared" si="4"/>
        <v>4.4110249829104175E-3</v>
      </c>
      <c r="R63" s="4">
        <f t="shared" si="4"/>
        <v>7.5238535580681139E-3</v>
      </c>
      <c r="S63" s="4">
        <f t="shared" si="4"/>
        <v>5.2728282698799381E-3</v>
      </c>
      <c r="T63" s="4">
        <f t="shared" si="4"/>
        <v>6.3330583299640933E-3</v>
      </c>
      <c r="U63" s="4">
        <f t="shared" si="4"/>
        <v>6.3931951917197615E-3</v>
      </c>
      <c r="V63" s="4">
        <f t="shared" si="4"/>
        <v>6.3184730542689823E-3</v>
      </c>
      <c r="W63" s="4">
        <f t="shared" si="4"/>
        <v>7.0242646345220587E-3</v>
      </c>
      <c r="X63" s="4">
        <f t="shared" si="4"/>
        <v>4.3598091005290773E-3</v>
      </c>
      <c r="Y63" s="4">
        <f t="shared" si="4"/>
        <v>-1.8457840963855457E-2</v>
      </c>
      <c r="Z63" s="4">
        <f t="shared" si="4"/>
        <v>-2.2181916466063406E-2</v>
      </c>
      <c r="AA63" s="4">
        <f t="shared" si="3"/>
        <v>2.0440201688289465E-2</v>
      </c>
      <c r="AE63" s="7"/>
      <c r="AF63" s="7"/>
    </row>
    <row r="64" spans="2:36" x14ac:dyDescent="0.35">
      <c r="B64" s="1">
        <v>42309</v>
      </c>
      <c r="C64" s="2">
        <v>15.506600000000001</v>
      </c>
      <c r="D64" s="2">
        <v>11.8955</v>
      </c>
      <c r="E64" s="2">
        <v>23.402999999999999</v>
      </c>
      <c r="F64" s="2">
        <v>218.06399500000001</v>
      </c>
      <c r="G64" s="2">
        <v>2912.48999</v>
      </c>
      <c r="H64" s="2">
        <v>2313.830078</v>
      </c>
      <c r="I64" s="2">
        <v>75.837119999999999</v>
      </c>
      <c r="J64" s="2">
        <v>2362.5</v>
      </c>
      <c r="K64" s="2">
        <v>207.5</v>
      </c>
      <c r="L64" s="2">
        <v>454.69601399999999</v>
      </c>
      <c r="M64" s="2">
        <v>33.536900000000003</v>
      </c>
      <c r="P64" s="7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6" spans="16:27" x14ac:dyDescent="0.35">
      <c r="Q66" s="3" t="s">
        <v>11</v>
      </c>
      <c r="R66" s="3" t="s">
        <v>12</v>
      </c>
      <c r="S66" s="3" t="s">
        <v>13</v>
      </c>
      <c r="T66" s="3" t="s">
        <v>16</v>
      </c>
      <c r="U66" s="3" t="s">
        <v>15</v>
      </c>
      <c r="V66" s="3" t="s">
        <v>14</v>
      </c>
      <c r="W66" s="3" t="s">
        <v>4</v>
      </c>
      <c r="X66" s="3" t="s">
        <v>3</v>
      </c>
      <c r="Y66" s="3" t="s">
        <v>18</v>
      </c>
      <c r="Z66" s="3" t="s">
        <v>19</v>
      </c>
      <c r="AA66" s="3" t="s">
        <v>17</v>
      </c>
    </row>
    <row r="67" spans="16:27" x14ac:dyDescent="0.35">
      <c r="P67" s="3" t="s">
        <v>5</v>
      </c>
      <c r="Q67" s="8">
        <f>AVERAGE(Q5:Q63)</f>
        <v>6.6519314917109686E-3</v>
      </c>
      <c r="R67" s="8">
        <f>AVERAGE(R5:R63)</f>
        <v>6.6119225204143419E-3</v>
      </c>
      <c r="S67" s="8">
        <f>AVERAGE(S5:S63)</f>
        <v>6.8828980484478049E-3</v>
      </c>
      <c r="T67" s="8">
        <f t="shared" ref="T67:AA67" si="5">AVERAGE(T5:T63)</f>
        <v>5.3563134159825823E-3</v>
      </c>
      <c r="U67" s="8">
        <f t="shared" si="5"/>
        <v>5.3468537486211056E-3</v>
      </c>
      <c r="V67" s="8">
        <f t="shared" si="5"/>
        <v>5.2692921073550329E-3</v>
      </c>
      <c r="W67" s="8">
        <f t="shared" si="5"/>
        <v>1.0281184646422465E-2</v>
      </c>
      <c r="X67" s="8">
        <f t="shared" si="5"/>
        <v>1.1789081326628091E-2</v>
      </c>
      <c r="Y67" s="8">
        <f t="shared" si="5"/>
        <v>6.6770142146405217E-3</v>
      </c>
      <c r="Z67" s="8">
        <f t="shared" si="5"/>
        <v>5.5433695083489136E-3</v>
      </c>
      <c r="AA67" s="8">
        <f t="shared" si="5"/>
        <v>8.4973886023717079E-3</v>
      </c>
    </row>
    <row r="68" spans="16:27" x14ac:dyDescent="0.35">
      <c r="P68" s="3" t="s">
        <v>6</v>
      </c>
      <c r="Q68" s="8">
        <f>_xlfn.VAR.S(Q5:Q63)</f>
        <v>2.1669243038584048E-5</v>
      </c>
      <c r="R68" s="8">
        <f t="shared" ref="R68:Z68" si="6">_xlfn.VAR.S(R5:R63)</f>
        <v>5.0779322041918526E-5</v>
      </c>
      <c r="S68" s="8">
        <f t="shared" si="6"/>
        <v>3.1273386261601646E-5</v>
      </c>
      <c r="T68" s="8">
        <f t="shared" si="6"/>
        <v>1.7206266668469146E-6</v>
      </c>
      <c r="U68" s="8">
        <f t="shared" si="6"/>
        <v>1.7134409783851719E-6</v>
      </c>
      <c r="V68" s="8">
        <f t="shared" si="6"/>
        <v>1.999478202641968E-6</v>
      </c>
      <c r="W68" s="8">
        <f t="shared" si="6"/>
        <v>4.8718189642342037E-3</v>
      </c>
      <c r="X68" s="8">
        <f t="shared" si="6"/>
        <v>1.4462898565844936E-3</v>
      </c>
      <c r="Y68" s="8">
        <f t="shared" si="6"/>
        <v>2.9755802124420941E-3</v>
      </c>
      <c r="Z68" s="8">
        <f t="shared" si="6"/>
        <v>3.8224446529894203E-3</v>
      </c>
      <c r="AA68" s="8">
        <f>_xlfn.VAR.S(AA5:AA63)</f>
        <v>2.9788952933658239E-3</v>
      </c>
    </row>
    <row r="69" spans="16:27" x14ac:dyDescent="0.35">
      <c r="P69" s="3" t="s">
        <v>39</v>
      </c>
      <c r="Q69" s="8">
        <f>Q67*12</f>
        <v>7.9823177900531617E-2</v>
      </c>
      <c r="R69" s="8">
        <f t="shared" ref="R69:AA70" si="7">R67*12</f>
        <v>7.93430702449721E-2</v>
      </c>
      <c r="S69" s="8">
        <f t="shared" si="7"/>
        <v>8.2594776581373652E-2</v>
      </c>
      <c r="T69" s="8">
        <f t="shared" si="7"/>
        <v>6.4275760991790984E-2</v>
      </c>
      <c r="U69" s="8">
        <f t="shared" si="7"/>
        <v>6.416224498345327E-2</v>
      </c>
      <c r="V69" s="8">
        <f t="shared" si="7"/>
        <v>6.3231505288260395E-2</v>
      </c>
      <c r="W69" s="8">
        <f t="shared" si="7"/>
        <v>0.12337421575706958</v>
      </c>
      <c r="X69" s="8">
        <f t="shared" si="7"/>
        <v>0.14146897591953708</v>
      </c>
      <c r="Y69" s="8">
        <f t="shared" si="7"/>
        <v>8.0124170575686257E-2</v>
      </c>
      <c r="Z69" s="8">
        <f t="shared" si="7"/>
        <v>6.6520434100186959E-2</v>
      </c>
      <c r="AA69" s="8">
        <f t="shared" si="7"/>
        <v>0.10196866322846049</v>
      </c>
    </row>
    <row r="70" spans="16:27" x14ac:dyDescent="0.35">
      <c r="P70" s="3" t="s">
        <v>38</v>
      </c>
      <c r="Q70" s="8">
        <f>Q68*12</f>
        <v>2.6003091646300858E-4</v>
      </c>
      <c r="R70" s="8">
        <f t="shared" si="7"/>
        <v>6.0935186450302228E-4</v>
      </c>
      <c r="S70" s="8">
        <f t="shared" si="7"/>
        <v>3.7528063513921973E-4</v>
      </c>
      <c r="T70" s="8">
        <f t="shared" si="7"/>
        <v>2.0647520002162976E-5</v>
      </c>
      <c r="U70" s="8">
        <f t="shared" si="7"/>
        <v>2.0561291740622063E-5</v>
      </c>
      <c r="V70" s="8">
        <f t="shared" si="7"/>
        <v>2.3993738431703614E-5</v>
      </c>
      <c r="W70" s="8">
        <f t="shared" si="7"/>
        <v>5.8461827570810448E-2</v>
      </c>
      <c r="X70" s="8">
        <f t="shared" si="7"/>
        <v>1.7355478279013924E-2</v>
      </c>
      <c r="Y70" s="8">
        <f t="shared" si="7"/>
        <v>3.5706962549305131E-2</v>
      </c>
      <c r="Z70" s="8">
        <f t="shared" si="7"/>
        <v>4.5869335835873042E-2</v>
      </c>
      <c r="AA70" s="8">
        <f t="shared" si="7"/>
        <v>3.5746743520389888E-2</v>
      </c>
    </row>
    <row r="71" spans="16:27" x14ac:dyDescent="0.35">
      <c r="P71" s="21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</sheetData>
  <mergeCells count="3">
    <mergeCell ref="AM2:AW2"/>
    <mergeCell ref="C3:M3"/>
    <mergeCell ref="Q3:A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C16EF-2FAF-4851-A8D3-56D8EDE49CDB}">
  <dimension ref="B1:AZ71"/>
  <sheetViews>
    <sheetView topLeftCell="AK28" zoomScale="80" zoomScaleNormal="80" workbookViewId="0">
      <selection activeCell="AS39" sqref="AS39"/>
    </sheetView>
  </sheetViews>
  <sheetFormatPr defaultRowHeight="14.5" x14ac:dyDescent="0.35"/>
  <cols>
    <col min="1" max="1" width="8.7265625" style="18"/>
    <col min="2" max="2" width="11.54296875" style="18" bestFit="1" customWidth="1"/>
    <col min="3" max="3" width="22.453125" style="18" bestFit="1" customWidth="1"/>
    <col min="4" max="4" width="19.81640625" style="18" bestFit="1" customWidth="1"/>
    <col min="5" max="5" width="17.81640625" style="18" bestFit="1" customWidth="1"/>
    <col min="6" max="6" width="14.81640625" style="18" bestFit="1" customWidth="1"/>
    <col min="7" max="7" width="18.36328125" style="18" customWidth="1"/>
    <col min="8" max="8" width="15.7265625" style="18" customWidth="1"/>
    <col min="9" max="9" width="16.81640625" style="18" customWidth="1"/>
    <col min="10" max="10" width="16.453125" style="18" customWidth="1"/>
    <col min="11" max="11" width="12.453125" style="18" bestFit="1" customWidth="1"/>
    <col min="12" max="12" width="15.81640625" style="18" bestFit="1" customWidth="1"/>
    <col min="13" max="13" width="19.7265625" style="18" bestFit="1" customWidth="1"/>
    <col min="14" max="14" width="11.81640625" style="18" bestFit="1" customWidth="1"/>
    <col min="15" max="15" width="19.7265625" style="18" customWidth="1"/>
    <col min="16" max="16" width="25.6328125" style="6" customWidth="1"/>
    <col min="17" max="17" width="22.7265625" style="18" bestFit="1" customWidth="1"/>
    <col min="18" max="18" width="20" style="18" bestFit="1" customWidth="1"/>
    <col min="19" max="19" width="18" style="18" bestFit="1" customWidth="1"/>
    <col min="20" max="20" width="14.81640625" style="18" bestFit="1" customWidth="1"/>
    <col min="21" max="21" width="16" style="18" bestFit="1" customWidth="1"/>
    <col min="22" max="22" width="13.54296875" style="18" bestFit="1" customWidth="1"/>
    <col min="23" max="23" width="13.7265625" style="18" bestFit="1" customWidth="1"/>
    <col min="24" max="24" width="13.1796875" style="18" bestFit="1" customWidth="1"/>
    <col min="25" max="25" width="12.453125" style="18" bestFit="1" customWidth="1"/>
    <col min="26" max="26" width="15.81640625" style="18" bestFit="1" customWidth="1"/>
    <col min="27" max="27" width="19.7265625" style="18" bestFit="1" customWidth="1"/>
    <col min="28" max="28" width="7.6328125" style="18" bestFit="1" customWidth="1"/>
    <col min="29" max="30" width="19.7265625" style="18" customWidth="1"/>
    <col min="31" max="31" width="17.26953125" style="18" customWidth="1"/>
    <col min="32" max="32" width="8.7265625" style="18"/>
    <col min="33" max="33" width="8.7265625" style="6"/>
    <col min="34" max="34" width="25.6328125" style="18" bestFit="1" customWidth="1"/>
    <col min="35" max="35" width="8.26953125" style="18" bestFit="1" customWidth="1"/>
    <col min="36" max="36" width="8.7265625" style="18"/>
    <col min="37" max="37" width="15.36328125" style="18" bestFit="1" customWidth="1"/>
    <col min="38" max="38" width="36.453125" style="18" bestFit="1" customWidth="1"/>
    <col min="39" max="39" width="22.7265625" style="18" bestFit="1" customWidth="1"/>
    <col min="40" max="40" width="23.453125" style="18" customWidth="1"/>
    <col min="41" max="41" width="20.81640625" style="18" customWidth="1"/>
    <col min="42" max="42" width="16.6328125" style="18" bestFit="1" customWidth="1"/>
    <col min="43" max="43" width="16" style="18" bestFit="1" customWidth="1"/>
    <col min="44" max="44" width="16.81640625" style="18" bestFit="1" customWidth="1"/>
    <col min="45" max="45" width="13.7265625" style="18" bestFit="1" customWidth="1"/>
    <col min="46" max="46" width="13.1796875" style="18" bestFit="1" customWidth="1"/>
    <col min="47" max="47" width="12.453125" style="18" bestFit="1" customWidth="1"/>
    <col min="48" max="48" width="15.81640625" style="18" bestFit="1" customWidth="1"/>
    <col min="49" max="49" width="19.7265625" style="18" bestFit="1" customWidth="1"/>
    <col min="50" max="52" width="19.7265625" style="18" customWidth="1"/>
    <col min="53" max="16384" width="8.7265625" style="18"/>
  </cols>
  <sheetData>
    <row r="1" spans="2:52" x14ac:dyDescent="0.35">
      <c r="D1" s="3" t="s">
        <v>52</v>
      </c>
      <c r="P1" s="7"/>
      <c r="AE1" s="7"/>
      <c r="AF1" s="7"/>
    </row>
    <row r="2" spans="2:52" ht="14" customHeight="1" x14ac:dyDescent="0.35">
      <c r="C2" s="3"/>
      <c r="P2" s="7"/>
      <c r="AE2" s="7"/>
      <c r="AF2" s="7"/>
      <c r="AM2" s="54" t="s">
        <v>20</v>
      </c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11"/>
      <c r="AY2" s="11"/>
      <c r="AZ2" s="11"/>
    </row>
    <row r="3" spans="2:52" x14ac:dyDescent="0.35">
      <c r="C3" s="55" t="s">
        <v>2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17"/>
      <c r="O3" s="17"/>
      <c r="P3" s="7"/>
      <c r="Q3" s="56" t="s">
        <v>7</v>
      </c>
      <c r="R3" s="56"/>
      <c r="S3" s="56"/>
      <c r="T3" s="56"/>
      <c r="U3" s="56"/>
      <c r="V3" s="56"/>
      <c r="W3" s="56"/>
      <c r="X3" s="56"/>
      <c r="Y3" s="56"/>
      <c r="Z3" s="56"/>
      <c r="AA3" s="56"/>
      <c r="AB3" s="10"/>
      <c r="AC3" s="10"/>
      <c r="AD3" s="10"/>
      <c r="AE3" s="12"/>
      <c r="AF3" s="7"/>
      <c r="AI3" s="9" t="s">
        <v>7</v>
      </c>
    </row>
    <row r="4" spans="2:52" x14ac:dyDescent="0.35">
      <c r="B4" s="3" t="s">
        <v>0</v>
      </c>
      <c r="C4" s="3" t="s">
        <v>11</v>
      </c>
      <c r="D4" s="3" t="s">
        <v>12</v>
      </c>
      <c r="E4" s="3" t="s">
        <v>13</v>
      </c>
      <c r="F4" s="3" t="s">
        <v>16</v>
      </c>
      <c r="G4" s="3" t="s">
        <v>15</v>
      </c>
      <c r="H4" s="3" t="s">
        <v>14</v>
      </c>
      <c r="I4" s="3" t="s">
        <v>4</v>
      </c>
      <c r="J4" s="3" t="s">
        <v>3</v>
      </c>
      <c r="K4" s="3" t="s">
        <v>18</v>
      </c>
      <c r="L4" s="3" t="s">
        <v>19</v>
      </c>
      <c r="M4" s="3" t="s">
        <v>17</v>
      </c>
      <c r="N4" s="3"/>
      <c r="O4" s="3"/>
      <c r="P4" s="7"/>
      <c r="Q4" s="3" t="s">
        <v>11</v>
      </c>
      <c r="R4" s="3" t="s">
        <v>12</v>
      </c>
      <c r="S4" s="3" t="s">
        <v>13</v>
      </c>
      <c r="T4" s="3" t="s">
        <v>16</v>
      </c>
      <c r="U4" s="3" t="s">
        <v>15</v>
      </c>
      <c r="V4" s="3" t="s">
        <v>14</v>
      </c>
      <c r="W4" s="3" t="s">
        <v>4</v>
      </c>
      <c r="X4" s="3" t="s">
        <v>3</v>
      </c>
      <c r="Y4" s="3" t="s">
        <v>18</v>
      </c>
      <c r="Z4" s="3" t="s">
        <v>19</v>
      </c>
      <c r="AA4" s="3" t="s">
        <v>17</v>
      </c>
      <c r="AB4" s="3"/>
      <c r="AC4" s="3"/>
      <c r="AD4" s="3"/>
      <c r="AE4" s="13"/>
      <c r="AF4" s="7"/>
      <c r="AH4" s="3" t="s">
        <v>11</v>
      </c>
      <c r="AI4" s="8">
        <f>Q69</f>
        <v>7.9823177900531617E-2</v>
      </c>
      <c r="AM4" s="3" t="s">
        <v>11</v>
      </c>
      <c r="AN4" s="3" t="s">
        <v>12</v>
      </c>
      <c r="AO4" s="3" t="s">
        <v>13</v>
      </c>
      <c r="AP4" s="3" t="s">
        <v>16</v>
      </c>
      <c r="AQ4" s="3" t="s">
        <v>15</v>
      </c>
      <c r="AR4" s="3" t="s">
        <v>14</v>
      </c>
      <c r="AS4" s="3" t="s">
        <v>4</v>
      </c>
      <c r="AT4" s="3" t="s">
        <v>3</v>
      </c>
      <c r="AU4" s="3" t="s">
        <v>18</v>
      </c>
      <c r="AV4" s="3" t="s">
        <v>19</v>
      </c>
      <c r="AW4" s="3" t="s">
        <v>17</v>
      </c>
      <c r="AX4" s="3"/>
      <c r="AY4" s="3"/>
      <c r="AZ4" s="3"/>
    </row>
    <row r="5" spans="2:52" x14ac:dyDescent="0.35">
      <c r="B5" s="1">
        <v>44105</v>
      </c>
      <c r="C5" s="2">
        <v>22.915400000000002</v>
      </c>
      <c r="D5" s="2">
        <v>17.523099999999999</v>
      </c>
      <c r="E5" s="2">
        <v>35.046199999999999</v>
      </c>
      <c r="F5" s="2">
        <v>298.84298699999999</v>
      </c>
      <c r="G5" s="2">
        <v>3989.169922</v>
      </c>
      <c r="H5" s="2">
        <v>3154.780029</v>
      </c>
      <c r="I5" s="2">
        <v>121.25</v>
      </c>
      <c r="J5" s="2">
        <v>4529.75</v>
      </c>
      <c r="K5" s="2">
        <v>280.29998799999998</v>
      </c>
      <c r="L5" s="2">
        <v>561.31500200000005</v>
      </c>
      <c r="M5" s="2">
        <v>50.433498</v>
      </c>
      <c r="N5" s="2"/>
      <c r="O5" s="2"/>
      <c r="P5" s="7"/>
      <c r="Q5" s="4">
        <f>(C5-C6)/C6</f>
        <v>7.6645368957527276E-3</v>
      </c>
      <c r="R5" s="4">
        <f t="shared" ref="R5:AA20" si="0">(D5-D6)/D6</f>
        <v>1.1913344954803706E-2</v>
      </c>
      <c r="S5" s="4">
        <f t="shared" si="0"/>
        <v>1.0573941072566095E-2</v>
      </c>
      <c r="T5" s="4">
        <f t="shared" si="0"/>
        <v>1.3805100676538649E-3</v>
      </c>
      <c r="U5" s="4">
        <f t="shared" si="0"/>
        <v>1.4309009585854E-3</v>
      </c>
      <c r="V5" s="4">
        <f t="shared" si="0"/>
        <v>1.8073242017765348E-4</v>
      </c>
      <c r="W5" s="4">
        <f t="shared" si="0"/>
        <v>4.2831367751733893E-2</v>
      </c>
      <c r="X5" s="4">
        <f t="shared" si="0"/>
        <v>1.270999115826702E-3</v>
      </c>
      <c r="Y5" s="4">
        <f t="shared" si="0"/>
        <v>6.4255677285717373E-4</v>
      </c>
      <c r="Z5" s="4">
        <f t="shared" si="0"/>
        <v>5.7912424382576795E-3</v>
      </c>
      <c r="AA5" s="4">
        <f t="shared" si="0"/>
        <v>1.0784500960318978E-2</v>
      </c>
      <c r="AB5" s="4"/>
      <c r="AC5" s="4"/>
      <c r="AD5" s="4"/>
      <c r="AE5" s="14"/>
      <c r="AF5" s="7"/>
      <c r="AH5" s="3" t="s">
        <v>12</v>
      </c>
      <c r="AI5" s="8">
        <f>R69</f>
        <v>7.93430702449721E-2</v>
      </c>
      <c r="AL5" s="3" t="s">
        <v>11</v>
      </c>
      <c r="AM5" s="18">
        <f>_xlfn.COVARIANCE.S(ICFR, ICFR)*12</f>
        <v>2.6003091646300804E-4</v>
      </c>
      <c r="AN5" s="18">
        <f>_xlfn.COVARIANCE.S(ICFR, HCFR)*12</f>
        <v>3.6290863013469275E-4</v>
      </c>
      <c r="AO5" s="18">
        <f>_xlfn.COVARIANCE.S(ICFR, SCFR)*12</f>
        <v>2.5692358074492523E-4</v>
      </c>
      <c r="AP5" s="18">
        <f>_xlfn.COVARIANCE.S(ICFR, ILF)*12</f>
        <v>-7.1934706792068851E-6</v>
      </c>
      <c r="AQ5" s="18">
        <f>_xlfn.COVARIANCE.S(ICFR, HLF)*12</f>
        <v>-9.138994578844932E-6</v>
      </c>
      <c r="AR5" s="18">
        <f>_xlfn.COVARIANCE.S(ICFR, SLF)*12</f>
        <v>-9.8110315636994874E-6</v>
      </c>
      <c r="AS5" s="18">
        <f>_xlfn.COVARIANCE.S(ICFR, SN50ETF)*12</f>
        <v>-5.0587777910318689E-5</v>
      </c>
      <c r="AT5" s="18">
        <f>_xlfn.COVARIANCE.S(ICFR, HGE)*12</f>
        <v>-3.5489072415028353E-4</v>
      </c>
      <c r="AU5" s="18">
        <f>_xlfn.COVARIANCE.S(ICFR, IM)*12</f>
        <v>3.2736427687492394E-4</v>
      </c>
      <c r="AV5" s="18">
        <f>_xlfn.COVARIANCE.S(ICFR, HEF)*12</f>
        <v>5.2987546522684692E-4</v>
      </c>
      <c r="AW5" s="18">
        <f>_xlfn.COVARIANCE.S(ICFR, SMM)*12</f>
        <v>5.1135659324308956E-4</v>
      </c>
      <c r="AY5" s="18">
        <v>0.5</v>
      </c>
    </row>
    <row r="6" spans="2:52" x14ac:dyDescent="0.35">
      <c r="B6" s="1">
        <v>44075</v>
      </c>
      <c r="C6" s="2">
        <v>22.741099999999999</v>
      </c>
      <c r="D6" s="2">
        <v>17.316799</v>
      </c>
      <c r="E6" s="2">
        <v>34.679501000000002</v>
      </c>
      <c r="F6" s="2">
        <v>298.43099999999998</v>
      </c>
      <c r="G6" s="2">
        <v>3983.469971</v>
      </c>
      <c r="H6" s="2">
        <v>3154.209961</v>
      </c>
      <c r="I6" s="2">
        <v>116.269997</v>
      </c>
      <c r="J6" s="2">
        <v>4524</v>
      </c>
      <c r="K6" s="2">
        <v>280.11999500000002</v>
      </c>
      <c r="L6" s="2">
        <v>558.08300799999995</v>
      </c>
      <c r="M6" s="2">
        <v>49.895401</v>
      </c>
      <c r="N6" s="2"/>
      <c r="O6" s="2"/>
      <c r="P6" s="7"/>
      <c r="Q6" s="4">
        <f t="shared" ref="Q6:AA42" si="1">(C6-C7)/C7</f>
        <v>9.4324099397029189E-3</v>
      </c>
      <c r="R6" s="4">
        <f t="shared" si="0"/>
        <v>6.8492358188984729E-3</v>
      </c>
      <c r="S6" s="4">
        <f t="shared" si="0"/>
        <v>8.0342180801794769E-3</v>
      </c>
      <c r="T6" s="4">
        <f t="shared" si="0"/>
        <v>2.6036565175170442E-3</v>
      </c>
      <c r="U6" s="4">
        <f t="shared" si="0"/>
        <v>2.6226505761292114E-3</v>
      </c>
      <c r="V6" s="4">
        <f t="shared" si="0"/>
        <v>2.6479326324615293E-3</v>
      </c>
      <c r="W6" s="4">
        <f t="shared" si="0"/>
        <v>-1.5245218937918097E-2</v>
      </c>
      <c r="X6" s="4">
        <f t="shared" si="0"/>
        <v>-2.7086353556094452E-2</v>
      </c>
      <c r="Y6" s="4">
        <f t="shared" si="0"/>
        <v>-3.2434163502671302E-2</v>
      </c>
      <c r="Z6" s="4">
        <f t="shared" si="0"/>
        <v>-5.2667545602711349E-2</v>
      </c>
      <c r="AA6" s="4">
        <f t="shared" si="0"/>
        <v>-1.4740718944998538E-2</v>
      </c>
      <c r="AB6" s="4"/>
      <c r="AC6" s="4"/>
      <c r="AD6" s="4"/>
      <c r="AE6" s="14"/>
      <c r="AF6" s="7"/>
      <c r="AH6" s="3" t="s">
        <v>13</v>
      </c>
      <c r="AI6" s="8">
        <f>S69</f>
        <v>8.2594776581373652E-2</v>
      </c>
      <c r="AL6" s="3" t="s">
        <v>12</v>
      </c>
      <c r="AM6" s="18">
        <f>_xlfn.COVARIANCE.S(ICFR,HCFR)*12</f>
        <v>3.6290863013469275E-4</v>
      </c>
      <c r="AN6" s="18">
        <f>_xlfn.COVARIANCE.S(HCFR, HCFR)*12</f>
        <v>6.0935186450302196E-4</v>
      </c>
      <c r="AO6" s="18">
        <f>_xlfn.COVARIANCE.S(HCFR, SCFR)*12</f>
        <v>4.3385194983488275E-4</v>
      </c>
      <c r="AP6" s="18">
        <f>_xlfn.COVARIANCE.S(HCFR, ILF)*12</f>
        <v>-5.9491947648587582E-6</v>
      </c>
      <c r="AQ6" s="18">
        <f>_xlfn.COVARIANCE.S(HCFR, HLF)*12</f>
        <v>-1.0010622877790591E-5</v>
      </c>
      <c r="AR6" s="18">
        <f>_xlfn.COVARIANCE.S(HCFR, SLF)*12</f>
        <v>-1.0769423528608551E-5</v>
      </c>
      <c r="AS6" s="18">
        <f>_xlfn.COVARIANCE.S(HCFR, SN50ETF)*12</f>
        <v>-3.2326273346706529E-4</v>
      </c>
      <c r="AT6" s="18">
        <f>_xlfn.COVARIANCE.S(HCFR, HGE)*12</f>
        <v>-5.821989080555108E-4</v>
      </c>
      <c r="AU6" s="18">
        <f>_xlfn.COVARIANCE.S(HCFR, IM)*12</f>
        <v>-7.78986836026869E-5</v>
      </c>
      <c r="AV6" s="18">
        <f>_xlfn.COVARIANCE.S(HCFR, HEF)*12</f>
        <v>2.3538939638994202E-4</v>
      </c>
      <c r="AW6" s="18">
        <f>_xlfn.COVARIANCE.S(HCFR, SMM)*12</f>
        <v>1.7349597827995072E-4</v>
      </c>
    </row>
    <row r="7" spans="2:52" x14ac:dyDescent="0.35">
      <c r="B7" s="1">
        <v>44044</v>
      </c>
      <c r="C7" s="2">
        <v>22.528600999999998</v>
      </c>
      <c r="D7" s="2">
        <v>17.198999000000001</v>
      </c>
      <c r="E7" s="2">
        <v>34.403098999999997</v>
      </c>
      <c r="F7" s="2">
        <v>297.65600599999999</v>
      </c>
      <c r="G7" s="2">
        <v>3973.0500489999999</v>
      </c>
      <c r="H7" s="2">
        <v>3145.8798830000001</v>
      </c>
      <c r="I7" s="2">
        <v>118.07</v>
      </c>
      <c r="J7" s="2">
        <v>4649.9501950000003</v>
      </c>
      <c r="K7" s="2">
        <v>289.51001000000002</v>
      </c>
      <c r="L7" s="2">
        <v>589.10998500000005</v>
      </c>
      <c r="M7" s="2">
        <v>50.641899000000002</v>
      </c>
      <c r="N7" s="2"/>
      <c r="O7" s="2"/>
      <c r="P7" s="7"/>
      <c r="Q7" s="4">
        <f t="shared" si="1"/>
        <v>7.5521064695521127E-4</v>
      </c>
      <c r="R7" s="4">
        <f t="shared" si="0"/>
        <v>1.5781014331553154E-3</v>
      </c>
      <c r="S7" s="4">
        <f t="shared" si="0"/>
        <v>3.2544216496798984E-3</v>
      </c>
      <c r="T7" s="4">
        <f t="shared" si="0"/>
        <v>2.7861023422205543E-3</v>
      </c>
      <c r="U7" s="4">
        <f t="shared" si="0"/>
        <v>2.7839407535351153E-3</v>
      </c>
      <c r="V7" s="4">
        <f t="shared" si="0"/>
        <v>2.7475800451745463E-3</v>
      </c>
      <c r="W7" s="4">
        <f t="shared" si="0"/>
        <v>2.9111800859972059E-2</v>
      </c>
      <c r="X7" s="4">
        <f t="shared" si="0"/>
        <v>-3.8769985529715688E-2</v>
      </c>
      <c r="Y7" s="4">
        <f t="shared" si="0"/>
        <v>5.1272719528338805E-2</v>
      </c>
      <c r="Z7" s="4">
        <f t="shared" si="0"/>
        <v>5.46223971412488E-2</v>
      </c>
      <c r="AA7" s="4">
        <f t="shared" si="0"/>
        <v>4.6549430247120244E-2</v>
      </c>
      <c r="AB7" s="4"/>
      <c r="AC7" s="4"/>
      <c r="AD7" s="4"/>
      <c r="AE7" s="14"/>
      <c r="AF7" s="7"/>
      <c r="AH7" s="3" t="s">
        <v>16</v>
      </c>
      <c r="AI7" s="8">
        <f>T69</f>
        <v>6.4275760991790984E-2</v>
      </c>
      <c r="AL7" s="3" t="s">
        <v>13</v>
      </c>
      <c r="AM7" s="18">
        <f>_xlfn.COVARIANCE.S(ICFR, SCFR)*12</f>
        <v>2.5692358074492523E-4</v>
      </c>
      <c r="AN7" s="18">
        <f>_xlfn.COVARIANCE.S(HCFR, SCFR)*12</f>
        <v>4.3385194983488275E-4</v>
      </c>
      <c r="AO7" s="18">
        <f>_xlfn.COVARIANCE.S(SCFR, SCFR)*12</f>
        <v>3.7528063513922032E-4</v>
      </c>
      <c r="AP7" s="18">
        <f>_xlfn.COVARIANCE.S(SCFR, ILF)*12</f>
        <v>-7.3538632345916629E-6</v>
      </c>
      <c r="AQ7" s="18">
        <f>_xlfn.COVARIANCE.S(SCFR, HLF)*12</f>
        <v>-1.0475826343026968E-5</v>
      </c>
      <c r="AR7" s="18">
        <f>_xlfn.COVARIANCE.S(SCFR, SLF)*12</f>
        <v>-1.1345954318133625E-5</v>
      </c>
      <c r="AS7" s="18">
        <f>_xlfn.COVARIANCE.S(SCFR, SN50ETF)*12</f>
        <v>-3.2900999768079142E-5</v>
      </c>
      <c r="AT7" s="18">
        <f>_xlfn.COVARIANCE.S(SCFR, HGE)*12</f>
        <v>-3.3801109231861926E-4</v>
      </c>
      <c r="AU7" s="18">
        <f>_xlfn.COVARIANCE.S(SCFR, IM)*12</f>
        <v>6.979711882658076E-5</v>
      </c>
      <c r="AV7" s="18">
        <f>_xlfn.COVARIANCE.S(SCFR, HEF)*12</f>
        <v>2.5689285759388885E-4</v>
      </c>
      <c r="AW7" s="18">
        <f>_xlfn.COVARIANCE.S(SCFR, SMM)*12</f>
        <v>2.213850916297518E-4</v>
      </c>
    </row>
    <row r="8" spans="2:52" x14ac:dyDescent="0.35">
      <c r="B8" s="1">
        <v>44013</v>
      </c>
      <c r="C8" s="2">
        <v>22.511600000000001</v>
      </c>
      <c r="D8" s="2">
        <v>17.171900000000001</v>
      </c>
      <c r="E8" s="2">
        <v>34.291499999999999</v>
      </c>
      <c r="F8" s="2">
        <v>296.82900999999998</v>
      </c>
      <c r="G8" s="2">
        <v>3962.0200199999999</v>
      </c>
      <c r="H8" s="2">
        <v>3137.26001</v>
      </c>
      <c r="I8" s="2">
        <v>114.730003</v>
      </c>
      <c r="J8" s="2">
        <v>4837.5</v>
      </c>
      <c r="K8" s="2">
        <v>275.39001500000001</v>
      </c>
      <c r="L8" s="2">
        <v>558.59802200000001</v>
      </c>
      <c r="M8" s="2">
        <v>48.389400000000002</v>
      </c>
      <c r="N8" s="2"/>
      <c r="O8" s="2"/>
      <c r="P8" s="7"/>
      <c r="Q8" s="4">
        <f t="shared" si="1"/>
        <v>1.4607323943662034E-2</v>
      </c>
      <c r="R8" s="4">
        <f t="shared" si="0"/>
        <v>1.5127689761172881E-2</v>
      </c>
      <c r="S8" s="4">
        <f t="shared" si="0"/>
        <v>1.1760605075417105E-2</v>
      </c>
      <c r="T8" s="4">
        <f t="shared" si="0"/>
        <v>2.7329944938278236E-3</v>
      </c>
      <c r="U8" s="4">
        <f t="shared" si="0"/>
        <v>2.7079436279166891E-3</v>
      </c>
      <c r="V8" s="4">
        <f t="shared" si="0"/>
        <v>2.6045433753731423E-3</v>
      </c>
      <c r="W8" s="4">
        <f t="shared" si="0"/>
        <v>8.2256398787729446E-2</v>
      </c>
      <c r="X8" s="4">
        <f t="shared" si="0"/>
        <v>0.10839980492695005</v>
      </c>
      <c r="Y8" s="4">
        <f t="shared" si="0"/>
        <v>5.0705870643894597E-2</v>
      </c>
      <c r="Z8" s="4">
        <f t="shared" si="0"/>
        <v>4.5732746987570537E-2</v>
      </c>
      <c r="AA8" s="4">
        <f t="shared" si="0"/>
        <v>5.03200943897626E-2</v>
      </c>
      <c r="AB8" s="4"/>
      <c r="AC8" s="4"/>
      <c r="AD8" s="4"/>
      <c r="AE8" s="14"/>
      <c r="AF8" s="7"/>
      <c r="AH8" s="3" t="s">
        <v>15</v>
      </c>
      <c r="AI8" s="8">
        <f>U69</f>
        <v>6.416224498345327E-2</v>
      </c>
      <c r="AL8" s="3" t="s">
        <v>16</v>
      </c>
      <c r="AM8" s="18">
        <f>_xlfn.COVARIANCE.S(ICFR, ILF)*12</f>
        <v>-7.1934706792068851E-6</v>
      </c>
      <c r="AN8" s="18">
        <f>_xlfn.COVARIANCE.S(HCFR, ILF)*12</f>
        <v>-5.9491947648587582E-6</v>
      </c>
      <c r="AO8" s="18">
        <f>_xlfn.COVARIANCE.S(SCFR, ILF)*12</f>
        <v>-7.3538632345916629E-6</v>
      </c>
      <c r="AP8" s="18">
        <f>_xlfn.COVARIANCE.S(ILF, ILF)*12</f>
        <v>2.0647520002162976E-5</v>
      </c>
      <c r="AQ8" s="18">
        <f>_xlfn.COVARIANCE.S(ILF, HLF)*12</f>
        <v>2.0410587263978206E-5</v>
      </c>
      <c r="AR8" s="18">
        <f>_xlfn.COVARIANCE.S(ILF, SLF)*12</f>
        <v>2.2057820497243423E-5</v>
      </c>
      <c r="AS8" s="18">
        <f>_xlfn.COVARIANCE.S(ILF, SN50ETF)*12</f>
        <v>-3.65787729462935E-4</v>
      </c>
      <c r="AT8" s="18">
        <f>_xlfn.COVARIANCE.S(ILF, HGE)*12</f>
        <v>-4.9444736531587303E-5</v>
      </c>
      <c r="AU8" s="18">
        <f>_xlfn.COVARIANCE.S(ILF, IM)*12</f>
        <v>-1.4367328686871943E-4</v>
      </c>
      <c r="AV8" s="18">
        <f>_xlfn.COVARIANCE.S(ILF, HEF)*12</f>
        <v>-1.0366263419429476E-4</v>
      </c>
      <c r="AW8" s="18">
        <f>_xlfn.COVARIANCE.S(ILF, SMM)*12</f>
        <v>-1.5420382723046314E-4</v>
      </c>
    </row>
    <row r="9" spans="2:52" x14ac:dyDescent="0.35">
      <c r="B9" s="1">
        <v>43983</v>
      </c>
      <c r="C9" s="2">
        <v>22.1875</v>
      </c>
      <c r="D9" s="2">
        <v>16.916</v>
      </c>
      <c r="E9" s="2">
        <v>33.892899</v>
      </c>
      <c r="F9" s="2">
        <v>296.01998900000001</v>
      </c>
      <c r="G9" s="2">
        <v>3951.320068</v>
      </c>
      <c r="H9" s="2">
        <v>3129.110107</v>
      </c>
      <c r="I9" s="2">
        <v>106.010002</v>
      </c>
      <c r="J9" s="2">
        <v>4364.3999020000001</v>
      </c>
      <c r="K9" s="2">
        <v>262.10000600000001</v>
      </c>
      <c r="L9" s="2">
        <v>534.16900599999997</v>
      </c>
      <c r="M9" s="2">
        <v>46.071097999999999</v>
      </c>
      <c r="N9" s="2"/>
      <c r="O9" s="2"/>
      <c r="P9" s="7"/>
      <c r="Q9" s="4">
        <f t="shared" si="1"/>
        <v>1.3817666531917433E-2</v>
      </c>
      <c r="R9" s="4">
        <f t="shared" si="0"/>
        <v>2.2534938826829248E-2</v>
      </c>
      <c r="S9" s="4">
        <f t="shared" si="0"/>
        <v>1.7083927994456644E-2</v>
      </c>
      <c r="T9" s="4">
        <f t="shared" si="0"/>
        <v>3.3249434707787154E-3</v>
      </c>
      <c r="U9" s="4">
        <f t="shared" si="0"/>
        <v>3.0207863684555813E-3</v>
      </c>
      <c r="V9" s="4">
        <f t="shared" si="0"/>
        <v>3.1900240066947533E-3</v>
      </c>
      <c r="W9" s="4">
        <f t="shared" si="0"/>
        <v>7.7118514064590749E-2</v>
      </c>
      <c r="X9" s="4">
        <f t="shared" si="0"/>
        <v>4.0753523786812948E-2</v>
      </c>
      <c r="Y9" s="4">
        <f t="shared" si="0"/>
        <v>6.0790043218471396E-2</v>
      </c>
      <c r="Z9" s="4">
        <f t="shared" si="0"/>
        <v>6.9266113601283569E-2</v>
      </c>
      <c r="AA9" s="4">
        <f t="shared" si="0"/>
        <v>6.4878123939798873E-2</v>
      </c>
      <c r="AB9" s="4"/>
      <c r="AC9" s="4"/>
      <c r="AD9" s="4"/>
      <c r="AE9" s="14"/>
      <c r="AF9" s="7"/>
      <c r="AH9" s="3" t="s">
        <v>14</v>
      </c>
      <c r="AI9" s="8">
        <f>V69</f>
        <v>6.3231505288260395E-2</v>
      </c>
      <c r="AL9" s="3" t="s">
        <v>15</v>
      </c>
      <c r="AM9" s="18">
        <f>_xlfn.COVARIANCE.S(ICFR, HLF)*12</f>
        <v>-9.138994578844932E-6</v>
      </c>
      <c r="AN9" s="18">
        <f>_xlfn.COVARIANCE.S(HCFR, HLF)*12</f>
        <v>-1.0010622877790591E-5</v>
      </c>
      <c r="AO9" s="18">
        <f>_xlfn.COVARIANCE.S(SCFR, HLF)*12</f>
        <v>-1.0475826343026968E-5</v>
      </c>
      <c r="AP9" s="18">
        <f>_xlfn.COVARIANCE.S(ILF, HLF)*12</f>
        <v>2.0410587263978206E-5</v>
      </c>
      <c r="AQ9" s="18">
        <f>_xlfn.COVARIANCE.S(HLF, HLF)*12</f>
        <v>2.0561291740622063E-5</v>
      </c>
      <c r="AR9" s="18">
        <f>_xlfn.COVARIANCE.S(HLF, SLF)*12</f>
        <v>2.1881777060258298E-5</v>
      </c>
      <c r="AS9" s="18">
        <f>_xlfn.COVARIANCE.S(HLF, SN50ETF)*12</f>
        <v>-3.5688724921232733E-4</v>
      </c>
      <c r="AT9" s="18">
        <f>_xlfn.COVARIANCE.S(HLF, HGE)*12</f>
        <v>-5.011019161225542E-5</v>
      </c>
      <c r="AU9" s="18">
        <f>_xlfn.COVARIANCE.S(HLF, IM)*12</f>
        <v>-1.3067867381100933E-4</v>
      </c>
      <c r="AV9" s="18">
        <f>_xlfn.COVARIANCE.S(HLF, HEF)*12</f>
        <v>-7.9610865183473873E-5</v>
      </c>
      <c r="AW9" s="18">
        <f>_xlfn.COVARIANCE.S(HLF, SMM)*12</f>
        <v>-1.3821562301112884E-4</v>
      </c>
    </row>
    <row r="10" spans="2:52" x14ac:dyDescent="0.35">
      <c r="B10" s="1">
        <v>43952</v>
      </c>
      <c r="C10" s="2">
        <v>21.885099</v>
      </c>
      <c r="D10" s="2">
        <v>16.543199999999999</v>
      </c>
      <c r="E10" s="2">
        <v>33.323600999999996</v>
      </c>
      <c r="F10" s="2">
        <v>295.03900099999998</v>
      </c>
      <c r="G10" s="2">
        <v>3939.419922</v>
      </c>
      <c r="H10" s="2">
        <v>3119.1599120000001</v>
      </c>
      <c r="I10" s="2">
        <v>98.419998000000007</v>
      </c>
      <c r="J10" s="2">
        <v>4193.5</v>
      </c>
      <c r="K10" s="2">
        <v>247.08000200000001</v>
      </c>
      <c r="L10" s="2">
        <v>499.56601000000001</v>
      </c>
      <c r="M10" s="2">
        <v>43.264198</v>
      </c>
      <c r="N10" s="2"/>
      <c r="O10" s="2"/>
      <c r="P10" s="7"/>
      <c r="Q10" s="4">
        <f t="shared" si="1"/>
        <v>1.2936414633243293E-2</v>
      </c>
      <c r="R10" s="4">
        <f t="shared" si="0"/>
        <v>1.5561980883625785E-2</v>
      </c>
      <c r="S10" s="4">
        <f t="shared" si="0"/>
        <v>1.7520686079262215E-2</v>
      </c>
      <c r="T10" s="4">
        <f t="shared" si="0"/>
        <v>4.4564394204853466E-3</v>
      </c>
      <c r="U10" s="4">
        <f t="shared" si="0"/>
        <v>4.1624927375361661E-3</v>
      </c>
      <c r="V10" s="4">
        <f t="shared" si="0"/>
        <v>4.2207507262224837E-3</v>
      </c>
      <c r="W10" s="4">
        <f t="shared" si="0"/>
        <v>-2.3126570719602911E-2</v>
      </c>
      <c r="X10" s="4">
        <f t="shared" si="0"/>
        <v>-3.2384622178041909E-2</v>
      </c>
      <c r="Y10" s="4">
        <f t="shared" si="0"/>
        <v>-1.5460650668534541E-2</v>
      </c>
      <c r="Z10" s="4">
        <f t="shared" si="0"/>
        <v>-3.912064293573126E-2</v>
      </c>
      <c r="AA10" s="4">
        <f t="shared" si="0"/>
        <v>-2.9106061531243843E-2</v>
      </c>
      <c r="AB10" s="4"/>
      <c r="AC10" s="4"/>
      <c r="AD10" s="4"/>
      <c r="AE10" s="14"/>
      <c r="AF10" s="7"/>
      <c r="AH10" s="3" t="s">
        <v>4</v>
      </c>
      <c r="AI10" s="8">
        <f>W69</f>
        <v>0.12337421575706958</v>
      </c>
      <c r="AL10" s="3" t="s">
        <v>14</v>
      </c>
      <c r="AM10" s="18">
        <f>_xlfn.COVARIANCE.S(ICFR, SLF)*12</f>
        <v>-9.8110315636994874E-6</v>
      </c>
      <c r="AN10" s="18">
        <f>_xlfn.COVARIANCE.S(HCFR, SLF)*12</f>
        <v>-1.0769423528608551E-5</v>
      </c>
      <c r="AO10" s="18">
        <f>_xlfn.COVARIANCE.S(SCFR, SLF)*12</f>
        <v>-1.1345954318133625E-5</v>
      </c>
      <c r="AP10" s="18">
        <f>_xlfn.COVARIANCE.S(ILF, SLF)*12</f>
        <v>2.2057820497243423E-5</v>
      </c>
      <c r="AQ10" s="18">
        <f>_xlfn.COVARIANCE.S(HLF, SLF)*12</f>
        <v>2.1881777060258298E-5</v>
      </c>
      <c r="AR10" s="18">
        <f>_xlfn.COVARIANCE.S(SLF, SLF)*12</f>
        <v>2.3993738431703614E-5</v>
      </c>
      <c r="AS10" s="18">
        <f>_xlfn.COVARIANCE.S(SLF, SN50ETF)*12</f>
        <v>-3.8769057535818259E-4</v>
      </c>
      <c r="AT10" s="18">
        <f>_xlfn.COVARIANCE.S(SLF, HGE)*12</f>
        <v>-5.12568941298134E-5</v>
      </c>
      <c r="AU10" s="18">
        <f>_xlfn.COVARIANCE.S(SLF, IM)*12</f>
        <v>-1.4891994733027734E-4</v>
      </c>
      <c r="AV10" s="18">
        <f>_xlfn.COVARIANCE.S(SLF, HEF)*12</f>
        <v>-1.0396277826779158E-4</v>
      </c>
      <c r="AW10" s="18">
        <f>_xlfn.COVARIANCE.S(SLF, SMM)*12</f>
        <v>-1.6115019959309424E-4</v>
      </c>
    </row>
    <row r="11" spans="2:52" x14ac:dyDescent="0.35">
      <c r="B11" s="1">
        <v>43922</v>
      </c>
      <c r="C11" s="2">
        <v>21.605599999999999</v>
      </c>
      <c r="D11" s="2">
        <v>16.2897</v>
      </c>
      <c r="E11" s="2">
        <v>32.749802000000003</v>
      </c>
      <c r="F11" s="2">
        <v>293.73001099999999</v>
      </c>
      <c r="G11" s="2">
        <v>3923.0900879999999</v>
      </c>
      <c r="H11" s="2">
        <v>3106.0500489999999</v>
      </c>
      <c r="I11" s="2">
        <v>100.75</v>
      </c>
      <c r="J11" s="2">
        <v>4333.8500979999999</v>
      </c>
      <c r="K11" s="2">
        <v>250.96000699999999</v>
      </c>
      <c r="L11" s="2">
        <v>519.90502900000001</v>
      </c>
      <c r="M11" s="2">
        <v>44.561199000000002</v>
      </c>
      <c r="N11" s="2"/>
      <c r="O11" s="2"/>
      <c r="P11" s="7"/>
      <c r="Q11" s="4">
        <f t="shared" si="1"/>
        <v>-6.5386380903522164E-3</v>
      </c>
      <c r="R11" s="4">
        <f t="shared" si="0"/>
        <v>-2.1410361670923601E-2</v>
      </c>
      <c r="S11" s="4">
        <f t="shared" si="0"/>
        <v>-1.0884772996984976E-2</v>
      </c>
      <c r="T11" s="4">
        <f t="shared" si="0"/>
        <v>4.2051658119657796E-3</v>
      </c>
      <c r="U11" s="4">
        <f t="shared" si="0"/>
        <v>4.2184862447548956E-3</v>
      </c>
      <c r="V11" s="4">
        <f t="shared" si="0"/>
        <v>4.0211731827006127E-3</v>
      </c>
      <c r="W11" s="4">
        <f t="shared" si="0"/>
        <v>0.12695746919558235</v>
      </c>
      <c r="X11" s="4">
        <f t="shared" si="0"/>
        <v>9.6178164350096088E-2</v>
      </c>
      <c r="Y11" s="4">
        <f t="shared" si="0"/>
        <v>0.14358628585444907</v>
      </c>
      <c r="Z11" s="4">
        <f t="shared" si="0"/>
        <v>0.13582104500926451</v>
      </c>
      <c r="AA11" s="4">
        <f t="shared" si="0"/>
        <v>0.12954426548645648</v>
      </c>
      <c r="AB11" s="4"/>
      <c r="AC11" s="4"/>
      <c r="AD11" s="4"/>
      <c r="AE11" s="14"/>
      <c r="AF11" s="7"/>
      <c r="AH11" s="3" t="s">
        <v>3</v>
      </c>
      <c r="AI11" s="8">
        <f>X69</f>
        <v>0.14146897591953708</v>
      </c>
      <c r="AL11" s="3" t="s">
        <v>4</v>
      </c>
      <c r="AM11" s="18">
        <f>_xlfn.COVARIANCE.S(ICFR, SN50ETF)*12</f>
        <v>-5.0587777910318689E-5</v>
      </c>
      <c r="AN11" s="18">
        <f>_xlfn.COVARIANCE.S(HCFR, SN50ETF)*12</f>
        <v>-3.2326273346706529E-4</v>
      </c>
      <c r="AO11" s="18">
        <f>_xlfn.COVARIANCE.S(SCFR, SN50ETF)*12</f>
        <v>-3.2900999768079142E-5</v>
      </c>
      <c r="AP11" s="18">
        <f>_xlfn.COVARIANCE.S(ILF, SN50ETF)*12</f>
        <v>-3.65787729462935E-4</v>
      </c>
      <c r="AQ11" s="18">
        <f>_xlfn.COVARIANCE.S(HLF, SN50ETF)*12</f>
        <v>-3.5688724921232733E-4</v>
      </c>
      <c r="AR11" s="18">
        <f>_xlfn.COVARIANCE.S(SLF, SN50ETF)*12</f>
        <v>-3.8769057535818259E-4</v>
      </c>
      <c r="AS11" s="18">
        <f>_xlfn.COVARIANCE.S(SN50ETF, SN50ETF)*12</f>
        <v>5.846182757081024E-2</v>
      </c>
      <c r="AT11" s="18">
        <f>_xlfn.COVARIANCE.S(SN50ETF, HGE)*12</f>
        <v>8.539728235516038E-4</v>
      </c>
      <c r="AU11" s="18">
        <f>_xlfn.COVARIANCE.S(SN50ETF, IM)*12</f>
        <v>2.2866349085361552E-2</v>
      </c>
      <c r="AV11" s="18">
        <f>_xlfn.COVARIANCE.S(SN50ETF, HEF)*12</f>
        <v>2.1248064782937285E-2</v>
      </c>
      <c r="AW11" s="18">
        <f>_xlfn.COVARIANCE.S(SN50ETF, SMM)*12</f>
        <v>2.1336792154452396E-2</v>
      </c>
    </row>
    <row r="12" spans="2:52" x14ac:dyDescent="0.35">
      <c r="B12" s="1">
        <v>43891</v>
      </c>
      <c r="C12" s="2">
        <v>21.747800999999999</v>
      </c>
      <c r="D12" s="2">
        <v>16.646099</v>
      </c>
      <c r="E12" s="2">
        <v>33.110199000000001</v>
      </c>
      <c r="F12" s="2">
        <v>292.5</v>
      </c>
      <c r="G12" s="2">
        <v>3906.610107</v>
      </c>
      <c r="H12" s="2">
        <v>3093.610107</v>
      </c>
      <c r="I12" s="2">
        <v>89.400002000000001</v>
      </c>
      <c r="J12" s="2">
        <v>3953.6000979999999</v>
      </c>
      <c r="K12" s="2">
        <v>219.449997</v>
      </c>
      <c r="L12" s="2">
        <v>457.73498499999999</v>
      </c>
      <c r="M12" s="2">
        <v>39.450600000000001</v>
      </c>
      <c r="N12" s="2"/>
      <c r="O12" s="2"/>
      <c r="P12" s="7"/>
      <c r="Q12" s="4">
        <f t="shared" si="1"/>
        <v>9.2973913363648703E-4</v>
      </c>
      <c r="R12" s="4">
        <f t="shared" si="0"/>
        <v>2.2216000770656163E-3</v>
      </c>
      <c r="S12" s="4">
        <f t="shared" si="0"/>
        <v>7.9189336235032965E-4</v>
      </c>
      <c r="T12" s="4">
        <f t="shared" si="0"/>
        <v>8.4850623244286227E-3</v>
      </c>
      <c r="U12" s="4">
        <f t="shared" si="0"/>
        <v>8.3604277099525552E-3</v>
      </c>
      <c r="V12" s="4">
        <f t="shared" si="0"/>
        <v>8.71898351735775E-3</v>
      </c>
      <c r="W12" s="4">
        <f t="shared" si="0"/>
        <v>-0.28883937068522286</v>
      </c>
      <c r="X12" s="4">
        <f t="shared" si="0"/>
        <v>3.470298298874637E-2</v>
      </c>
      <c r="Y12" s="4">
        <f t="shared" si="0"/>
        <v>-0.25647975110580556</v>
      </c>
      <c r="Z12" s="4">
        <f t="shared" si="0"/>
        <v>-0.24611231040967882</v>
      </c>
      <c r="AA12" s="4">
        <f t="shared" si="0"/>
        <v>-0.24676082006852218</v>
      </c>
      <c r="AB12" s="4"/>
      <c r="AC12" s="4"/>
      <c r="AD12" s="4"/>
      <c r="AE12" s="14"/>
      <c r="AF12" s="7"/>
      <c r="AH12" s="3" t="s">
        <v>18</v>
      </c>
      <c r="AI12" s="8">
        <f>Y69</f>
        <v>8.0124170575686257E-2</v>
      </c>
      <c r="AL12" s="3" t="s">
        <v>3</v>
      </c>
      <c r="AM12" s="18">
        <f>_xlfn.COVARIANCE.S(ICFR, HGE)*12</f>
        <v>-3.5489072415028353E-4</v>
      </c>
      <c r="AN12" s="18">
        <f>_xlfn.COVARIANCE.S(HCFR, HGE)*12</f>
        <v>-5.821989080555108E-4</v>
      </c>
      <c r="AO12" s="18">
        <f>_xlfn.COVARIANCE.S(SCFR, HGE)*12</f>
        <v>-3.3801109231861926E-4</v>
      </c>
      <c r="AP12" s="18">
        <f>_xlfn.COVARIANCE.S(ILF, HGE)*12</f>
        <v>-4.9444736531587303E-5</v>
      </c>
      <c r="AQ12" s="18">
        <f>_xlfn.COVARIANCE.S(HLF, HGE)*12</f>
        <v>-5.011019161225542E-5</v>
      </c>
      <c r="AR12" s="18">
        <f>_xlfn.COVARIANCE.S(SLF, HGE)*12</f>
        <v>-5.12568941298134E-5</v>
      </c>
      <c r="AS12" s="18">
        <f>_xlfn.COVARIANCE.S(SN50ETF, HGE)*12</f>
        <v>8.539728235516038E-4</v>
      </c>
      <c r="AT12" s="18">
        <f>_xlfn.COVARIANCE.S(HGE, HGE)*12</f>
        <v>1.7355478279013931E-2</v>
      </c>
      <c r="AU12" s="18">
        <f>_xlfn.COVARIANCE.S(HGE, IM)*12</f>
        <v>-1.6845643033706363E-3</v>
      </c>
      <c r="AV12" s="18">
        <f>_xlfn.COVARIANCE.S(HGE, HEF)*12</f>
        <v>-3.9275728309937996E-3</v>
      </c>
      <c r="AW12" s="18">
        <f>_xlfn.COVARIANCE.S(HGE, SMM)*12</f>
        <v>-2.9348717200157136E-3</v>
      </c>
    </row>
    <row r="13" spans="2:52" x14ac:dyDescent="0.35">
      <c r="B13" s="1">
        <v>43862</v>
      </c>
      <c r="C13" s="2">
        <v>21.727599999999999</v>
      </c>
      <c r="D13" s="2">
        <v>16.609200000000001</v>
      </c>
      <c r="E13" s="2">
        <v>33.084000000000003</v>
      </c>
      <c r="F13" s="2">
        <v>290.03900099999998</v>
      </c>
      <c r="G13" s="2">
        <v>3874.219971</v>
      </c>
      <c r="H13" s="2">
        <v>3066.8701169999999</v>
      </c>
      <c r="I13" s="2">
        <v>125.709999</v>
      </c>
      <c r="J13" s="2">
        <v>3821</v>
      </c>
      <c r="K13" s="2">
        <v>295.14999399999999</v>
      </c>
      <c r="L13" s="2">
        <v>607.16601600000001</v>
      </c>
      <c r="M13" s="2">
        <v>52.374599000000003</v>
      </c>
      <c r="N13" s="2"/>
      <c r="O13" s="2"/>
      <c r="P13" s="7"/>
      <c r="Q13" s="4">
        <f t="shared" si="1"/>
        <v>1.1305766955357384E-2</v>
      </c>
      <c r="R13" s="4">
        <f t="shared" si="0"/>
        <v>1.3992735896992408E-2</v>
      </c>
      <c r="S13" s="4">
        <f t="shared" si="0"/>
        <v>1.1715242953091762E-2</v>
      </c>
      <c r="T13" s="4">
        <f t="shared" si="0"/>
        <v>1.4017912517121955E-3</v>
      </c>
      <c r="U13" s="4">
        <f t="shared" si="0"/>
        <v>1.4294322068546194E-3</v>
      </c>
      <c r="V13" s="4">
        <f t="shared" si="0"/>
        <v>9.9223485722303782E-4</v>
      </c>
      <c r="W13" s="4">
        <f t="shared" si="0"/>
        <v>1.493620204314385E-2</v>
      </c>
      <c r="X13" s="4">
        <f t="shared" si="0"/>
        <v>4.3746642914303815E-2</v>
      </c>
      <c r="Y13" s="4">
        <f t="shared" si="0"/>
        <v>-7.0891233287417629E-2</v>
      </c>
      <c r="Z13" s="4">
        <f t="shared" si="0"/>
        <v>-7.9566140556619341E-2</v>
      </c>
      <c r="AA13" s="4">
        <f t="shared" si="0"/>
        <v>-4.8390291933200422E-2</v>
      </c>
      <c r="AB13" s="4"/>
      <c r="AC13" s="4"/>
      <c r="AD13" s="4"/>
      <c r="AE13" s="14"/>
      <c r="AF13" s="7"/>
      <c r="AH13" s="3" t="s">
        <v>19</v>
      </c>
      <c r="AI13" s="8">
        <f>Z69</f>
        <v>6.6520434100186959E-2</v>
      </c>
      <c r="AL13" s="3" t="s">
        <v>18</v>
      </c>
      <c r="AM13" s="18">
        <f>_xlfn.COVARIANCE.S(ICFR, IM)*12</f>
        <v>3.2736427687492394E-4</v>
      </c>
      <c r="AN13" s="18">
        <f>_xlfn.COVARIANCE.S(HCFR, IM)*12</f>
        <v>-7.78986836026869E-5</v>
      </c>
      <c r="AO13" s="18">
        <f>_xlfn.COVARIANCE.S(SCFR, IM)*12</f>
        <v>6.979711882658076E-5</v>
      </c>
      <c r="AP13" s="18">
        <f>_xlfn.COVARIANCE.S(ILF, IM)*12</f>
        <v>-1.4367328686871943E-4</v>
      </c>
      <c r="AQ13" s="18">
        <f>_xlfn.COVARIANCE.S(HLF, IM)*12</f>
        <v>-1.3067867381100933E-4</v>
      </c>
      <c r="AR13" s="18">
        <f>_xlfn.COVARIANCE.S(SLF, IM)*12</f>
        <v>-1.4891994733027734E-4</v>
      </c>
      <c r="AS13" s="18">
        <f>_xlfn.COVARIANCE.S(SN50ETF, IM)*12</f>
        <v>2.2866349085361552E-2</v>
      </c>
      <c r="AT13" s="18">
        <f>_xlfn.COVARIANCE.S(HGE, IM)*12</f>
        <v>-1.6845643033706363E-3</v>
      </c>
      <c r="AU13" s="18">
        <f>_xlfn.COVARIANCE.S(IM, IM)*12</f>
        <v>3.5706962549305124E-2</v>
      </c>
      <c r="AV13" s="18">
        <f>_xlfn.COVARIANCE.S(IM, HEF)*12</f>
        <v>3.8260170796480121E-2</v>
      </c>
      <c r="AW13" s="18">
        <f>_xlfn.COVARIANCE.S(IM, SMM)*12</f>
        <v>3.3890748963546644E-2</v>
      </c>
    </row>
    <row r="14" spans="2:52" x14ac:dyDescent="0.35">
      <c r="B14" s="1">
        <v>43831</v>
      </c>
      <c r="C14" s="2">
        <v>21.484698999999999</v>
      </c>
      <c r="D14" s="2">
        <v>16.379999000000002</v>
      </c>
      <c r="E14" s="2">
        <v>32.700901000000002</v>
      </c>
      <c r="F14" s="2">
        <v>289.63299599999999</v>
      </c>
      <c r="G14" s="2">
        <v>3868.6899410000001</v>
      </c>
      <c r="H14" s="2">
        <v>3063.830078</v>
      </c>
      <c r="I14" s="2">
        <v>123.860001</v>
      </c>
      <c r="J14" s="2">
        <v>3660.8500979999999</v>
      </c>
      <c r="K14" s="2">
        <v>317.67001299999998</v>
      </c>
      <c r="L14" s="2">
        <v>659.65197799999999</v>
      </c>
      <c r="M14" s="2">
        <v>55.037899000000003</v>
      </c>
      <c r="N14" s="2"/>
      <c r="O14" s="2"/>
      <c r="P14" s="7"/>
      <c r="Q14" s="4">
        <f t="shared" si="1"/>
        <v>1.0165268362379527E-2</v>
      </c>
      <c r="R14" s="4">
        <f t="shared" si="0"/>
        <v>9.7023898941976435E-3</v>
      </c>
      <c r="S14" s="4">
        <f t="shared" si="0"/>
        <v>1.0116298558922016E-2</v>
      </c>
      <c r="T14" s="4">
        <f t="shared" si="0"/>
        <v>4.2230361180682994E-3</v>
      </c>
      <c r="U14" s="4">
        <f t="shared" si="0"/>
        <v>4.2154966856310589E-3</v>
      </c>
      <c r="V14" s="4">
        <f t="shared" si="0"/>
        <v>4.1788480387436096E-3</v>
      </c>
      <c r="W14" s="4">
        <f t="shared" si="0"/>
        <v>-1.5499539233757848E-2</v>
      </c>
      <c r="X14" s="4">
        <f t="shared" si="0"/>
        <v>4.0516740191194521E-2</v>
      </c>
      <c r="Y14" s="4">
        <f t="shared" si="0"/>
        <v>-1.7597271804764112E-3</v>
      </c>
      <c r="Z14" s="4">
        <f t="shared" si="0"/>
        <v>-1.9269622297622784E-2</v>
      </c>
      <c r="AA14" s="4">
        <f t="shared" si="0"/>
        <v>1.4110381100240951E-2</v>
      </c>
      <c r="AB14" s="4"/>
      <c r="AC14" s="4"/>
      <c r="AD14" s="4"/>
      <c r="AE14" s="14"/>
      <c r="AF14" s="7"/>
      <c r="AH14" s="3" t="s">
        <v>17</v>
      </c>
      <c r="AI14" s="8">
        <f>AA69</f>
        <v>0.10196866322846049</v>
      </c>
      <c r="AL14" s="3" t="s">
        <v>19</v>
      </c>
      <c r="AM14" s="18">
        <f>_xlfn.COVARIANCE.S(ICFR, HEF)*12</f>
        <v>5.2987546522684692E-4</v>
      </c>
      <c r="AN14" s="18">
        <f>_xlfn.COVARIANCE.S(HCFR, HEF)*12</f>
        <v>2.3538939638994202E-4</v>
      </c>
      <c r="AO14" s="18">
        <f>_xlfn.COVARIANCE.S(SCFR, HEF)*12</f>
        <v>2.5689285759388885E-4</v>
      </c>
      <c r="AP14" s="18">
        <f>_xlfn.COVARIANCE.S(ILF, HEF)*12</f>
        <v>-1.0366263419429476E-4</v>
      </c>
      <c r="AQ14" s="18">
        <f>_xlfn.COVARIANCE.S(HLF, HEF)*12</f>
        <v>-7.9610865183473873E-5</v>
      </c>
      <c r="AR14" s="18">
        <f>_xlfn.COVARIANCE.S(SLF, HEF)*12</f>
        <v>-1.0396277826779158E-4</v>
      </c>
      <c r="AS14" s="18">
        <f>_xlfn.COVARIANCE.S(SN50ETF, HEF)*12</f>
        <v>2.1248064782937285E-2</v>
      </c>
      <c r="AT14" s="18">
        <f>_xlfn.COVARIANCE.S(HGE, HEF)*12</f>
        <v>-3.9275728309937996E-3</v>
      </c>
      <c r="AU14" s="18">
        <f>_xlfn.COVARIANCE.S(IM, HEF)*12</f>
        <v>3.8260170796480121E-2</v>
      </c>
      <c r="AV14" s="18">
        <f>_xlfn.COVARIANCE.S(HEF, HEF)*12</f>
        <v>4.5869335835873028E-2</v>
      </c>
      <c r="AW14" s="18">
        <f>_xlfn.COVARIANCE.S(SMM, HEF)*12</f>
        <v>3.8405490976126042E-2</v>
      </c>
    </row>
    <row r="15" spans="2:52" x14ac:dyDescent="0.35">
      <c r="B15" s="1">
        <v>43800</v>
      </c>
      <c r="C15" s="2">
        <v>21.268498999999998</v>
      </c>
      <c r="D15" s="2">
        <v>16.222601000000001</v>
      </c>
      <c r="E15" s="2">
        <v>32.373401999999999</v>
      </c>
      <c r="F15" s="2">
        <v>288.415009</v>
      </c>
      <c r="G15" s="2">
        <v>3852.4499510000001</v>
      </c>
      <c r="H15" s="2">
        <v>3051.080078</v>
      </c>
      <c r="I15" s="2">
        <v>125.80999799999999</v>
      </c>
      <c r="J15" s="2">
        <v>3518.3000489999999</v>
      </c>
      <c r="K15" s="2">
        <v>318.23001099999999</v>
      </c>
      <c r="L15" s="2">
        <v>672.612976</v>
      </c>
      <c r="M15" s="2">
        <v>54.272098999999997</v>
      </c>
      <c r="N15" s="2"/>
      <c r="O15" s="2"/>
      <c r="P15" s="7"/>
      <c r="Q15" s="4">
        <f t="shared" si="1"/>
        <v>3.6997937716196452E-3</v>
      </c>
      <c r="R15" s="4">
        <f t="shared" si="0"/>
        <v>2.4675374241633566E-4</v>
      </c>
      <c r="S15" s="4">
        <f t="shared" si="0"/>
        <v>4.477413408299151E-3</v>
      </c>
      <c r="T15" s="4">
        <f t="shared" si="0"/>
        <v>4.2619683673245619E-3</v>
      </c>
      <c r="U15" s="4">
        <f t="shared" si="0"/>
        <v>4.1783822745981485E-3</v>
      </c>
      <c r="V15" s="4">
        <f t="shared" si="0"/>
        <v>4.2559374675647079E-3</v>
      </c>
      <c r="W15" s="4">
        <f t="shared" si="0"/>
        <v>1.2147988443733097E-2</v>
      </c>
      <c r="X15" s="4">
        <f t="shared" si="0"/>
        <v>3.138147277390984E-2</v>
      </c>
      <c r="Y15" s="4">
        <f t="shared" si="0"/>
        <v>8.4292041100091468E-3</v>
      </c>
      <c r="Z15" s="4">
        <f t="shared" si="0"/>
        <v>-1.9623928974754227E-4</v>
      </c>
      <c r="AA15" s="4">
        <f t="shared" si="0"/>
        <v>7.3651189438365622E-3</v>
      </c>
      <c r="AB15" s="4"/>
      <c r="AC15" s="4"/>
      <c r="AD15" s="4"/>
      <c r="AE15" s="14"/>
      <c r="AF15" s="7"/>
      <c r="AH15" s="3"/>
      <c r="AI15" s="8"/>
      <c r="AL15" s="3" t="s">
        <v>17</v>
      </c>
      <c r="AM15" s="18">
        <f>_xlfn.COVARIANCE.S(ICFR, SMM)*12</f>
        <v>5.1135659324308956E-4</v>
      </c>
      <c r="AN15" s="18">
        <f>_xlfn.COVARIANCE.S(HCFR, SMM)*12</f>
        <v>1.7349597827995072E-4</v>
      </c>
      <c r="AO15" s="18">
        <f>_xlfn.COVARIANCE.S(SCFR, SMM)*12</f>
        <v>2.213850916297518E-4</v>
      </c>
      <c r="AP15" s="18">
        <f>_xlfn.COVARIANCE.S(ILF, SMM)*12</f>
        <v>-1.5420382723046314E-4</v>
      </c>
      <c r="AQ15" s="18">
        <f>_xlfn.COVARIANCE.S(HLF, SMM)*12</f>
        <v>-1.3821562301112884E-4</v>
      </c>
      <c r="AR15" s="18">
        <f>_xlfn.COVARIANCE.S(SLF, SMM)*12</f>
        <v>-1.6115019959309424E-4</v>
      </c>
      <c r="AS15" s="18">
        <f>_xlfn.COVARIANCE.S(SN50ETF, SMM)*12</f>
        <v>2.1336792154452396E-2</v>
      </c>
      <c r="AT15" s="18">
        <f>_xlfn.COVARIANCE.S(HGE, SMM)*12</f>
        <v>-2.9348717200157136E-3</v>
      </c>
      <c r="AU15" s="18">
        <f>_xlfn.COVARIANCE.S(IM, SMM)*12</f>
        <v>3.3890748963546644E-2</v>
      </c>
      <c r="AV15" s="18">
        <f>_xlfn.COVARIANCE.S(SMM, HEF)*12</f>
        <v>3.8405490976126042E-2</v>
      </c>
      <c r="AW15" s="18">
        <f>_xlfn.COVARIANCE.S(SMM, SMM)*12</f>
        <v>3.5746743520389875E-2</v>
      </c>
    </row>
    <row r="16" spans="2:52" x14ac:dyDescent="0.35">
      <c r="B16" s="1">
        <v>43770</v>
      </c>
      <c r="C16" s="2">
        <v>21.190100000000001</v>
      </c>
      <c r="D16" s="2">
        <v>16.218599000000001</v>
      </c>
      <c r="E16" s="2">
        <v>32.229098999999998</v>
      </c>
      <c r="F16" s="2">
        <v>287.19101000000001</v>
      </c>
      <c r="G16" s="2">
        <v>3836.419922</v>
      </c>
      <c r="H16" s="2">
        <v>3038.1499020000001</v>
      </c>
      <c r="I16" s="2">
        <v>124.300003</v>
      </c>
      <c r="J16" s="2">
        <v>3411.25</v>
      </c>
      <c r="K16" s="2">
        <v>315.57000699999998</v>
      </c>
      <c r="L16" s="2">
        <v>672.74499500000002</v>
      </c>
      <c r="M16" s="2">
        <v>53.875301</v>
      </c>
      <c r="N16" s="2"/>
      <c r="O16" s="2"/>
      <c r="P16" s="7"/>
      <c r="Q16" s="4">
        <f t="shared" si="1"/>
        <v>1.3332455976794525E-2</v>
      </c>
      <c r="R16" s="4">
        <f t="shared" si="0"/>
        <v>1.1361589883016179E-2</v>
      </c>
      <c r="S16" s="4">
        <f t="shared" si="0"/>
        <v>2.8409227041629116E-3</v>
      </c>
      <c r="T16" s="4">
        <f t="shared" si="0"/>
        <v>4.2977877277865784E-3</v>
      </c>
      <c r="U16" s="4">
        <f t="shared" si="0"/>
        <v>4.3325569962043044E-3</v>
      </c>
      <c r="V16" s="4">
        <f t="shared" si="0"/>
        <v>4.2474639843567349E-3</v>
      </c>
      <c r="W16" s="4">
        <f t="shared" si="0"/>
        <v>1.8435067142112238E-2</v>
      </c>
      <c r="X16" s="4">
        <f t="shared" si="0"/>
        <v>-2.2018046737035207E-2</v>
      </c>
      <c r="Y16" s="4">
        <f t="shared" si="0"/>
        <v>9.3717753947778256E-3</v>
      </c>
      <c r="Z16" s="4">
        <f t="shared" si="0"/>
        <v>9.3077227823591333E-3</v>
      </c>
      <c r="AA16" s="4">
        <f t="shared" si="0"/>
        <v>1.5821097817466546E-3</v>
      </c>
      <c r="AB16" s="4"/>
      <c r="AC16" s="4"/>
      <c r="AD16" s="4"/>
      <c r="AE16" s="14"/>
      <c r="AF16" s="7"/>
      <c r="AL16" s="3"/>
    </row>
    <row r="17" spans="2:42" x14ac:dyDescent="0.35">
      <c r="B17" s="1">
        <v>43739</v>
      </c>
      <c r="C17" s="2">
        <v>20.911301000000002</v>
      </c>
      <c r="D17" s="2">
        <v>16.0364</v>
      </c>
      <c r="E17" s="2">
        <v>32.137797999999997</v>
      </c>
      <c r="F17" s="2">
        <v>285.96200599999997</v>
      </c>
      <c r="G17" s="2">
        <v>3819.8701169999999</v>
      </c>
      <c r="H17" s="2">
        <v>3025.3000489999999</v>
      </c>
      <c r="I17" s="2">
        <v>122.050003</v>
      </c>
      <c r="J17" s="2">
        <v>3488.0500489999999</v>
      </c>
      <c r="K17" s="2">
        <v>312.64001500000001</v>
      </c>
      <c r="L17" s="2">
        <v>666.54101600000001</v>
      </c>
      <c r="M17" s="2">
        <v>53.790199000000001</v>
      </c>
      <c r="N17" s="2"/>
      <c r="O17" s="2"/>
      <c r="P17" s="7"/>
      <c r="Q17" s="4">
        <f t="shared" si="1"/>
        <v>1.0354157107109454E-2</v>
      </c>
      <c r="R17" s="4">
        <f t="shared" si="0"/>
        <v>1.1084069959522378E-2</v>
      </c>
      <c r="S17" s="4">
        <f t="shared" si="0"/>
        <v>1.0759253609764732E-2</v>
      </c>
      <c r="T17" s="4">
        <f t="shared" si="0"/>
        <v>4.8845812095398679E-3</v>
      </c>
      <c r="U17" s="4">
        <f t="shared" si="0"/>
        <v>4.8587929384336119E-3</v>
      </c>
      <c r="V17" s="4">
        <f t="shared" si="0"/>
        <v>4.8026333439732055E-3</v>
      </c>
      <c r="W17" s="4">
        <f t="shared" si="0"/>
        <v>3.6342074458913333E-2</v>
      </c>
      <c r="X17" s="4">
        <f t="shared" si="0"/>
        <v>2.7907509766179176E-2</v>
      </c>
      <c r="Y17" s="4">
        <f t="shared" si="0"/>
        <v>4.0676391289551084E-2</v>
      </c>
      <c r="Z17" s="4">
        <f t="shared" si="0"/>
        <v>3.7103149612612407E-2</v>
      </c>
      <c r="AA17" s="4">
        <f t="shared" si="0"/>
        <v>1.8695869198797989E-2</v>
      </c>
      <c r="AB17" s="4"/>
      <c r="AC17" s="4"/>
      <c r="AD17" s="4"/>
      <c r="AE17" s="14"/>
      <c r="AF17" s="7"/>
      <c r="AH17" s="3" t="s">
        <v>21</v>
      </c>
      <c r="AI17" s="3" t="s">
        <v>10</v>
      </c>
    </row>
    <row r="18" spans="2:42" x14ac:dyDescent="0.35">
      <c r="B18" s="1">
        <v>43709</v>
      </c>
      <c r="C18" s="2">
        <v>20.697001</v>
      </c>
      <c r="D18" s="2">
        <v>15.8606</v>
      </c>
      <c r="E18" s="2">
        <v>31.7957</v>
      </c>
      <c r="F18" s="2">
        <v>284.57199100000003</v>
      </c>
      <c r="G18" s="2">
        <v>3801.3999020000001</v>
      </c>
      <c r="H18" s="2">
        <v>3010.8400879999999</v>
      </c>
      <c r="I18" s="2">
        <v>117.769997</v>
      </c>
      <c r="J18" s="2">
        <v>3393.3500979999999</v>
      </c>
      <c r="K18" s="2">
        <v>300.42001299999998</v>
      </c>
      <c r="L18" s="2">
        <v>642.69500700000003</v>
      </c>
      <c r="M18" s="2">
        <v>52.803001000000002</v>
      </c>
      <c r="N18" s="2"/>
      <c r="O18" s="2"/>
      <c r="P18" s="7"/>
      <c r="Q18" s="4">
        <f t="shared" si="1"/>
        <v>7.3101403960646565E-3</v>
      </c>
      <c r="R18" s="4">
        <f t="shared" si="0"/>
        <v>5.751463230584849E-3</v>
      </c>
      <c r="S18" s="4">
        <f t="shared" si="0"/>
        <v>6.059321229456887E-3</v>
      </c>
      <c r="T18" s="4">
        <f t="shared" si="0"/>
        <v>4.4899507726066006E-3</v>
      </c>
      <c r="U18" s="4">
        <f t="shared" si="0"/>
        <v>4.7018044927746409E-3</v>
      </c>
      <c r="V18" s="4">
        <f t="shared" si="0"/>
        <v>4.5039934087052454E-3</v>
      </c>
      <c r="W18" s="4">
        <f t="shared" si="0"/>
        <v>4.0371025804885913E-2</v>
      </c>
      <c r="X18" s="4">
        <f t="shared" si="0"/>
        <v>-2.4577086563503894E-2</v>
      </c>
      <c r="Y18" s="4">
        <f t="shared" si="0"/>
        <v>3.6145447084600595E-2</v>
      </c>
      <c r="Z18" s="4">
        <f t="shared" si="0"/>
        <v>3.3025898451399104E-2</v>
      </c>
      <c r="AA18" s="4">
        <f t="shared" si="0"/>
        <v>5.6089590508534209E-2</v>
      </c>
      <c r="AB18" s="4"/>
      <c r="AC18" s="4"/>
      <c r="AD18" s="4"/>
      <c r="AE18" s="14"/>
      <c r="AF18" s="7"/>
      <c r="AH18" s="15" t="s">
        <v>11</v>
      </c>
      <c r="AI18" s="2">
        <v>9.0909090909090912E-2</v>
      </c>
      <c r="AL18" s="3" t="s">
        <v>51</v>
      </c>
      <c r="AM18" s="4">
        <f>0.0591</f>
        <v>5.91E-2</v>
      </c>
      <c r="AN18" s="18" t="s">
        <v>54</v>
      </c>
    </row>
    <row r="19" spans="2:42" x14ac:dyDescent="0.35">
      <c r="B19" s="1">
        <v>43678</v>
      </c>
      <c r="C19" s="2">
        <v>20.546800999999999</v>
      </c>
      <c r="D19" s="2">
        <v>15.7699</v>
      </c>
      <c r="E19" s="2">
        <v>31.604199999999999</v>
      </c>
      <c r="F19" s="2">
        <v>283.29998799999998</v>
      </c>
      <c r="G19" s="2">
        <v>3783.610107</v>
      </c>
      <c r="H19" s="2">
        <v>2997.3400879999999</v>
      </c>
      <c r="I19" s="2">
        <v>113.199997</v>
      </c>
      <c r="J19" s="2">
        <v>3478.8500979999999</v>
      </c>
      <c r="K19" s="2">
        <v>289.94000199999999</v>
      </c>
      <c r="L19" s="2">
        <v>622.14801</v>
      </c>
      <c r="M19" s="2">
        <v>49.998600000000003</v>
      </c>
      <c r="N19" s="2"/>
      <c r="O19" s="2"/>
      <c r="P19" s="7"/>
      <c r="Q19" s="4">
        <f t="shared" si="1"/>
        <v>7.1319474739354573E-3</v>
      </c>
      <c r="R19" s="4">
        <f t="shared" si="0"/>
        <v>6.1890269190768479E-3</v>
      </c>
      <c r="S19" s="4">
        <f t="shared" si="0"/>
        <v>8.0377134618941862E-3</v>
      </c>
      <c r="T19" s="4">
        <f t="shared" si="0"/>
        <v>5.0945630824656722E-3</v>
      </c>
      <c r="U19" s="4">
        <f t="shared" si="0"/>
        <v>4.9962966838029881E-3</v>
      </c>
      <c r="V19" s="4">
        <f t="shared" si="0"/>
        <v>5.0363541328656385E-3</v>
      </c>
      <c r="W19" s="4">
        <f t="shared" si="0"/>
        <v>-1.1871517316192664E-2</v>
      </c>
      <c r="X19" s="4">
        <f t="shared" si="0"/>
        <v>0.10441440407508235</v>
      </c>
      <c r="Y19" s="4">
        <f t="shared" si="0"/>
        <v>-2.8318685529742049E-2</v>
      </c>
      <c r="Z19" s="4">
        <f t="shared" si="0"/>
        <v>-3.7633172373234818E-2</v>
      </c>
      <c r="AA19" s="4">
        <f t="shared" si="0"/>
        <v>-1.0536067385805313E-2</v>
      </c>
      <c r="AB19" s="4"/>
      <c r="AC19" s="4"/>
      <c r="AD19" s="4"/>
      <c r="AE19" s="14"/>
      <c r="AF19" s="7"/>
      <c r="AH19" s="15" t="s">
        <v>12</v>
      </c>
      <c r="AI19" s="2">
        <v>9.0909090909090912E-2</v>
      </c>
      <c r="AL19" s="3" t="s">
        <v>25</v>
      </c>
      <c r="AM19" s="2">
        <f>(AI31-AM18)/AI32</f>
        <v>0.40788674252390139</v>
      </c>
    </row>
    <row r="20" spans="2:42" x14ac:dyDescent="0.35">
      <c r="B20" s="1">
        <v>43647</v>
      </c>
      <c r="C20" s="2">
        <v>20.401299999999999</v>
      </c>
      <c r="D20" s="2">
        <v>15.6729</v>
      </c>
      <c r="E20" s="2">
        <v>31.3522</v>
      </c>
      <c r="F20" s="2">
        <v>281.864014</v>
      </c>
      <c r="G20" s="2">
        <v>3764.8000489999999</v>
      </c>
      <c r="H20" s="2">
        <v>2982.320068</v>
      </c>
      <c r="I20" s="2">
        <v>114.55999799999999</v>
      </c>
      <c r="J20" s="2">
        <v>3149.9499510000001</v>
      </c>
      <c r="K20" s="2">
        <v>298.39001500000001</v>
      </c>
      <c r="L20" s="2">
        <v>646.47699</v>
      </c>
      <c r="M20" s="2">
        <v>50.530997999999997</v>
      </c>
      <c r="N20" s="2"/>
      <c r="O20" s="2"/>
      <c r="P20" s="7"/>
      <c r="Q20" s="4">
        <f t="shared" si="1"/>
        <v>1.0030348487773982E-2</v>
      </c>
      <c r="R20" s="4">
        <f t="shared" si="0"/>
        <v>1.0190269935803299E-2</v>
      </c>
      <c r="S20" s="4">
        <f t="shared" si="0"/>
        <v>1.0810268299226213E-2</v>
      </c>
      <c r="T20" s="4">
        <f t="shared" si="0"/>
        <v>5.669503287903041E-3</v>
      </c>
      <c r="U20" s="4">
        <f t="shared" si="0"/>
        <v>5.6522947197902174E-3</v>
      </c>
      <c r="V20" s="4">
        <f t="shared" si="0"/>
        <v>5.4922029921228351E-3</v>
      </c>
      <c r="W20" s="4">
        <f t="shared" si="0"/>
        <v>-5.2204888255028871E-2</v>
      </c>
      <c r="X20" s="4">
        <f t="shared" si="0"/>
        <v>2.6410131183222912E-2</v>
      </c>
      <c r="Y20" s="4">
        <f t="shared" si="0"/>
        <v>-5.8617490429323051E-2</v>
      </c>
      <c r="Z20" s="4">
        <f t="shared" si="0"/>
        <v>-7.6373016129174229E-2</v>
      </c>
      <c r="AA20" s="4">
        <f t="shared" si="0"/>
        <v>-4.7106320072155282E-2</v>
      </c>
      <c r="AB20" s="4"/>
      <c r="AC20" s="4"/>
      <c r="AD20" s="4"/>
      <c r="AE20" s="14"/>
      <c r="AF20" s="7"/>
      <c r="AH20" s="15" t="s">
        <v>13</v>
      </c>
      <c r="AI20" s="2">
        <v>9.0909090909090912E-2</v>
      </c>
    </row>
    <row r="21" spans="2:42" x14ac:dyDescent="0.35">
      <c r="B21" s="1">
        <v>43617</v>
      </c>
      <c r="C21" s="2">
        <v>20.198699999999999</v>
      </c>
      <c r="D21" s="2">
        <v>15.514799999999999</v>
      </c>
      <c r="E21" s="2">
        <v>31.016898999999999</v>
      </c>
      <c r="F21" s="2">
        <v>280.27499399999999</v>
      </c>
      <c r="G21" s="2">
        <v>3743.639893</v>
      </c>
      <c r="H21" s="2">
        <v>2966.030029</v>
      </c>
      <c r="I21" s="2">
        <v>120.870003</v>
      </c>
      <c r="J21" s="2">
        <v>3068.8999020000001</v>
      </c>
      <c r="K21" s="2">
        <v>316.97000100000002</v>
      </c>
      <c r="L21" s="2">
        <v>699.93298300000004</v>
      </c>
      <c r="M21" s="2">
        <v>53.028998999999999</v>
      </c>
      <c r="N21" s="2"/>
      <c r="O21" s="2"/>
      <c r="P21" s="7"/>
      <c r="Q21" s="4">
        <f t="shared" si="1"/>
        <v>4.7154529859651769E-3</v>
      </c>
      <c r="R21" s="4">
        <f t="shared" si="1"/>
        <v>3.7329123833059726E-3</v>
      </c>
      <c r="S21" s="4">
        <f t="shared" si="1"/>
        <v>-6.2832673892596329E-4</v>
      </c>
      <c r="T21" s="4">
        <f t="shared" si="1"/>
        <v>5.5033059955654799E-3</v>
      </c>
      <c r="U21" s="4">
        <f t="shared" si="1"/>
        <v>5.5276664017952443E-3</v>
      </c>
      <c r="V21" s="4">
        <f t="shared" si="1"/>
        <v>5.3623532593041747E-3</v>
      </c>
      <c r="W21" s="4">
        <f t="shared" si="1"/>
        <v>-8.6121638551864953E-3</v>
      </c>
      <c r="X21" s="4">
        <f t="shared" si="1"/>
        <v>4.7370328438520203E-2</v>
      </c>
      <c r="Y21" s="4">
        <f t="shared" si="1"/>
        <v>-5.9907616850701686E-4</v>
      </c>
      <c r="Z21" s="4">
        <f t="shared" si="1"/>
        <v>4.9707381358795226E-3</v>
      </c>
      <c r="AA21" s="4">
        <f t="shared" si="1"/>
        <v>-8.9611932489453983E-3</v>
      </c>
      <c r="AB21" s="4"/>
      <c r="AC21" s="4"/>
      <c r="AD21" s="4"/>
      <c r="AE21" s="14"/>
      <c r="AF21" s="7"/>
      <c r="AH21" s="15" t="s">
        <v>16</v>
      </c>
      <c r="AI21" s="2">
        <v>9.0909090909090912E-2</v>
      </c>
    </row>
    <row r="22" spans="2:42" x14ac:dyDescent="0.35">
      <c r="B22" s="1">
        <v>43586</v>
      </c>
      <c r="C22" s="2">
        <v>20.103901</v>
      </c>
      <c r="D22" s="2">
        <v>15.457100000000001</v>
      </c>
      <c r="E22" s="2">
        <v>31.0364</v>
      </c>
      <c r="F22" s="2">
        <v>278.74099699999999</v>
      </c>
      <c r="G22" s="2">
        <v>3723.0600589999999</v>
      </c>
      <c r="H22" s="2">
        <v>2950.209961</v>
      </c>
      <c r="I22" s="2">
        <v>121.91999800000001</v>
      </c>
      <c r="J22" s="2">
        <v>2930.1000979999999</v>
      </c>
      <c r="K22" s="2">
        <v>317.16000400000001</v>
      </c>
      <c r="L22" s="2">
        <v>696.47100799999998</v>
      </c>
      <c r="M22" s="2">
        <v>53.508499</v>
      </c>
      <c r="N22" s="2"/>
      <c r="O22" s="2"/>
      <c r="P22" s="7"/>
      <c r="Q22" s="4">
        <f t="shared" si="1"/>
        <v>9.5614030682703386E-3</v>
      </c>
      <c r="R22" s="4">
        <f t="shared" si="1"/>
        <v>1.238538118941576E-2</v>
      </c>
      <c r="S22" s="4">
        <f t="shared" si="1"/>
        <v>1.2623370691202163E-2</v>
      </c>
      <c r="T22" s="4">
        <f t="shared" si="1"/>
        <v>6.2488247265864881E-3</v>
      </c>
      <c r="U22" s="4">
        <f t="shared" si="1"/>
        <v>6.319499910729008E-3</v>
      </c>
      <c r="V22" s="4">
        <f t="shared" si="1"/>
        <v>5.9740444276307932E-3</v>
      </c>
      <c r="W22" s="4">
        <f t="shared" si="1"/>
        <v>1.3634843811397131E-2</v>
      </c>
      <c r="X22" s="4">
        <f t="shared" si="1"/>
        <v>1.5421402304097094E-2</v>
      </c>
      <c r="Y22" s="4">
        <f t="shared" si="1"/>
        <v>1.5692031778260663E-2</v>
      </c>
      <c r="Z22" s="4">
        <f t="shared" si="1"/>
        <v>3.303480697222947E-2</v>
      </c>
      <c r="AA22" s="4">
        <f t="shared" si="1"/>
        <v>3.2880933206980302E-2</v>
      </c>
      <c r="AB22" s="4"/>
      <c r="AC22" s="4"/>
      <c r="AD22" s="4"/>
      <c r="AE22" s="14"/>
      <c r="AF22" s="7"/>
      <c r="AH22" s="15" t="s">
        <v>15</v>
      </c>
      <c r="AI22" s="2">
        <v>9.0909090909090912E-2</v>
      </c>
    </row>
    <row r="23" spans="2:42" x14ac:dyDescent="0.35">
      <c r="B23" s="1">
        <v>43556</v>
      </c>
      <c r="C23" s="2">
        <v>19.913499999999999</v>
      </c>
      <c r="D23" s="2">
        <v>15.268000000000001</v>
      </c>
      <c r="E23" s="2">
        <v>30.6495</v>
      </c>
      <c r="F23" s="2">
        <v>277.01001000000002</v>
      </c>
      <c r="G23" s="2">
        <v>3699.679932</v>
      </c>
      <c r="H23" s="2">
        <v>2932.6899410000001</v>
      </c>
      <c r="I23" s="2">
        <v>120.279999</v>
      </c>
      <c r="J23" s="2">
        <v>2885.6000979999999</v>
      </c>
      <c r="K23" s="2">
        <v>312.26001000000002</v>
      </c>
      <c r="L23" s="2">
        <v>674.19897500000002</v>
      </c>
      <c r="M23" s="2">
        <v>51.805098999999998</v>
      </c>
      <c r="N23" s="2"/>
      <c r="O23" s="2"/>
      <c r="P23" s="7"/>
      <c r="Q23" s="4">
        <f t="shared" si="1"/>
        <v>5.5850405748651983E-3</v>
      </c>
      <c r="R23" s="4">
        <f t="shared" si="1"/>
        <v>8.4561884222326522E-4</v>
      </c>
      <c r="S23" s="4">
        <f t="shared" si="1"/>
        <v>-8.4533881862200715E-3</v>
      </c>
      <c r="T23" s="4">
        <f t="shared" si="1"/>
        <v>7.2285380017395873E-3</v>
      </c>
      <c r="U23" s="4">
        <f t="shared" si="1"/>
        <v>7.2254364857102325E-3</v>
      </c>
      <c r="V23" s="4">
        <f t="shared" si="1"/>
        <v>7.2780151124850045E-3</v>
      </c>
      <c r="W23" s="4">
        <f t="shared" si="1"/>
        <v>6.0220894282719088E-3</v>
      </c>
      <c r="X23" s="4">
        <f t="shared" si="1"/>
        <v>3.4077643900895368E-3</v>
      </c>
      <c r="Y23" s="4">
        <f t="shared" si="1"/>
        <v>1.8294525060385394E-2</v>
      </c>
      <c r="Z23" s="4">
        <f t="shared" si="1"/>
        <v>7.2653734555819154E-3</v>
      </c>
      <c r="AA23" s="4">
        <f t="shared" si="1"/>
        <v>2.735505848495794E-2</v>
      </c>
      <c r="AB23" s="4"/>
      <c r="AC23" s="4"/>
      <c r="AD23" s="4"/>
      <c r="AE23" s="14"/>
      <c r="AF23" s="7"/>
      <c r="AH23" s="15" t="s">
        <v>14</v>
      </c>
      <c r="AI23" s="2">
        <v>9.0909090909090912E-2</v>
      </c>
    </row>
    <row r="24" spans="2:42" x14ac:dyDescent="0.35">
      <c r="B24" s="1">
        <v>43525</v>
      </c>
      <c r="C24" s="2">
        <v>19.802900000000001</v>
      </c>
      <c r="D24" s="2">
        <v>15.255100000000001</v>
      </c>
      <c r="E24" s="2">
        <v>30.910800999999999</v>
      </c>
      <c r="F24" s="2">
        <v>275.02200299999998</v>
      </c>
      <c r="G24" s="2">
        <v>3673.139893</v>
      </c>
      <c r="H24" s="2">
        <v>2911.5</v>
      </c>
      <c r="I24" s="2">
        <v>119.55999799999999</v>
      </c>
      <c r="J24" s="2">
        <v>2875.8000489999999</v>
      </c>
      <c r="K24" s="2">
        <v>306.64999399999999</v>
      </c>
      <c r="L24" s="2">
        <v>669.33599900000002</v>
      </c>
      <c r="M24" s="2">
        <v>50.425700999999997</v>
      </c>
      <c r="N24" s="2"/>
      <c r="O24" s="2"/>
      <c r="P24" s="7"/>
      <c r="Q24" s="4">
        <f t="shared" si="1"/>
        <v>1.0181959159937368E-2</v>
      </c>
      <c r="R24" s="4">
        <f t="shared" si="1"/>
        <v>1.4801165467051618E-2</v>
      </c>
      <c r="S24" s="4">
        <f t="shared" si="1"/>
        <v>9.9984972944929147E-3</v>
      </c>
      <c r="T24" s="4">
        <f t="shared" si="1"/>
        <v>5.1055386021013572E-3</v>
      </c>
      <c r="U24" s="4">
        <f t="shared" si="1"/>
        <v>5.1225560826504233E-3</v>
      </c>
      <c r="V24" s="4">
        <f t="shared" si="1"/>
        <v>5.0017051891374153E-3</v>
      </c>
      <c r="W24" s="4">
        <f t="shared" si="1"/>
        <v>8.4739583698606541E-2</v>
      </c>
      <c r="X24" s="4">
        <f t="shared" si="1"/>
        <v>-5.1517134234828517E-2</v>
      </c>
      <c r="Y24" s="4">
        <f t="shared" si="1"/>
        <v>5.3961097619751867E-2</v>
      </c>
      <c r="Z24" s="4">
        <f t="shared" si="1"/>
        <v>8.679439639978101E-2</v>
      </c>
      <c r="AA24" s="4">
        <f t="shared" si="1"/>
        <v>6.2034147593124978E-2</v>
      </c>
      <c r="AB24" s="4"/>
      <c r="AC24" s="4"/>
      <c r="AD24" s="4"/>
      <c r="AE24" s="14"/>
      <c r="AF24" s="7"/>
      <c r="AH24" s="15" t="s">
        <v>4</v>
      </c>
      <c r="AI24" s="2">
        <v>9.0909090909090912E-2</v>
      </c>
    </row>
    <row r="25" spans="2:42" x14ac:dyDescent="0.35">
      <c r="B25" s="1">
        <v>43497</v>
      </c>
      <c r="C25" s="2">
        <v>19.603300000000001</v>
      </c>
      <c r="D25" s="2">
        <v>15.0326</v>
      </c>
      <c r="E25" s="2">
        <v>30.604799</v>
      </c>
      <c r="F25" s="2">
        <v>273.625</v>
      </c>
      <c r="G25" s="2">
        <v>3654.419922</v>
      </c>
      <c r="H25" s="2">
        <v>2897.01001</v>
      </c>
      <c r="I25" s="2">
        <v>110.220001</v>
      </c>
      <c r="J25" s="2">
        <v>3032</v>
      </c>
      <c r="K25" s="2">
        <v>290.95001200000002</v>
      </c>
      <c r="L25" s="2">
        <v>615.88098100000002</v>
      </c>
      <c r="M25" s="2">
        <v>47.480300999999997</v>
      </c>
      <c r="N25" s="2"/>
      <c r="O25" s="2"/>
      <c r="P25" s="7"/>
      <c r="Q25" s="4">
        <f t="shared" si="1"/>
        <v>2.7109045533365338E-3</v>
      </c>
      <c r="R25" s="4">
        <f t="shared" si="1"/>
        <v>1.672497084790946E-3</v>
      </c>
      <c r="S25" s="4">
        <f t="shared" si="1"/>
        <v>4.8395465417122811E-3</v>
      </c>
      <c r="T25" s="4">
        <f t="shared" si="1"/>
        <v>5.224031271984079E-3</v>
      </c>
      <c r="U25" s="4">
        <f t="shared" si="1"/>
        <v>5.2761116330039071E-3</v>
      </c>
      <c r="V25" s="4">
        <f t="shared" si="1"/>
        <v>5.2534959541342954E-3</v>
      </c>
      <c r="W25" s="4">
        <f t="shared" si="1"/>
        <v>0.39784405574747128</v>
      </c>
      <c r="X25" s="4">
        <f t="shared" si="1"/>
        <v>9.3712738923765401E-3</v>
      </c>
      <c r="Y25" s="4">
        <f t="shared" si="1"/>
        <v>2.135587186176529E-3</v>
      </c>
      <c r="Z25" s="4">
        <f t="shared" si="1"/>
        <v>-2.1615972852196279E-2</v>
      </c>
      <c r="AA25" s="4">
        <f t="shared" si="1"/>
        <v>-5.5586156332692585E-3</v>
      </c>
      <c r="AB25" s="4"/>
      <c r="AC25" s="4"/>
      <c r="AD25" s="4"/>
      <c r="AE25" s="14"/>
      <c r="AF25" s="7"/>
      <c r="AH25" s="15" t="s">
        <v>3</v>
      </c>
      <c r="AI25" s="2">
        <v>9.0909090909090912E-2</v>
      </c>
    </row>
    <row r="26" spans="2:42" x14ac:dyDescent="0.35">
      <c r="B26" s="1">
        <v>43466</v>
      </c>
      <c r="C26" s="2">
        <v>19.550301000000001</v>
      </c>
      <c r="D26" s="2">
        <v>15.0075</v>
      </c>
      <c r="E26" s="2">
        <v>30.457398999999999</v>
      </c>
      <c r="F26" s="2">
        <v>272.20300300000002</v>
      </c>
      <c r="G26" s="2">
        <v>3635.23999</v>
      </c>
      <c r="H26" s="2">
        <v>2881.8701169999999</v>
      </c>
      <c r="I26" s="2">
        <v>78.849997999999999</v>
      </c>
      <c r="J26" s="2">
        <v>3003.8500979999999</v>
      </c>
      <c r="K26" s="2">
        <v>290.32998700000002</v>
      </c>
      <c r="L26" s="2">
        <v>629.487976</v>
      </c>
      <c r="M26" s="2">
        <v>47.745700999999997</v>
      </c>
      <c r="N26" s="2"/>
      <c r="O26" s="2"/>
      <c r="P26" s="7"/>
      <c r="Q26" s="4">
        <f t="shared" si="1"/>
        <v>6.3209882897955275E-3</v>
      </c>
      <c r="R26" s="4">
        <f t="shared" si="1"/>
        <v>5.0966419759701223E-3</v>
      </c>
      <c r="S26" s="4">
        <f t="shared" si="1"/>
        <v>7.7922960570878637E-3</v>
      </c>
      <c r="T26" s="4">
        <f t="shared" si="1"/>
        <v>6.0428803195506668E-3</v>
      </c>
      <c r="U26" s="4">
        <f t="shared" si="1"/>
        <v>6.1304593742529763E-3</v>
      </c>
      <c r="V26" s="4">
        <f t="shared" si="1"/>
        <v>6.0393177996440426E-3</v>
      </c>
      <c r="W26" s="4">
        <f t="shared" si="1"/>
        <v>0</v>
      </c>
      <c r="X26" s="4">
        <f t="shared" si="1"/>
        <v>4.3311463537684107E-2</v>
      </c>
      <c r="Y26" s="4">
        <f t="shared" si="1"/>
        <v>-2.3674237879985169E-2</v>
      </c>
      <c r="Z26" s="4">
        <f t="shared" si="1"/>
        <v>-2.0813062510104534E-4</v>
      </c>
      <c r="AA26" s="4">
        <f t="shared" si="1"/>
        <v>-1.5107832196393856E-2</v>
      </c>
      <c r="AB26" s="4"/>
      <c r="AC26" s="4"/>
      <c r="AD26" s="4"/>
      <c r="AE26" s="14"/>
      <c r="AF26" s="7"/>
      <c r="AH26" s="15" t="s">
        <v>18</v>
      </c>
      <c r="AI26" s="2">
        <v>9.0909090909090912E-2</v>
      </c>
    </row>
    <row r="27" spans="2:42" x14ac:dyDescent="0.35">
      <c r="B27" s="1">
        <v>43435</v>
      </c>
      <c r="C27" s="2">
        <v>19.427499999999998</v>
      </c>
      <c r="D27" s="2">
        <v>14.9314</v>
      </c>
      <c r="E27" s="2">
        <v>30.221900999999999</v>
      </c>
      <c r="F27" s="2">
        <v>270.567993</v>
      </c>
      <c r="G27" s="2">
        <v>3613.0900879999999</v>
      </c>
      <c r="H27" s="2">
        <v>2864.570068</v>
      </c>
      <c r="I27" s="2">
        <v>78.849997999999999</v>
      </c>
      <c r="J27" s="2">
        <v>2879.1499020000001</v>
      </c>
      <c r="K27" s="2">
        <v>297.36999500000002</v>
      </c>
      <c r="L27" s="2">
        <v>629.61901899999998</v>
      </c>
      <c r="M27" s="2">
        <v>48.478099999999998</v>
      </c>
      <c r="N27" s="2"/>
      <c r="O27" s="2"/>
      <c r="P27" s="7"/>
      <c r="Q27" s="4">
        <f t="shared" si="1"/>
        <v>6.7574920583920936E-3</v>
      </c>
      <c r="R27" s="4">
        <f t="shared" si="1"/>
        <v>8.0746431898891524E-3</v>
      </c>
      <c r="S27" s="4">
        <f t="shared" si="1"/>
        <v>8.6810872510996936E-3</v>
      </c>
      <c r="T27" s="4">
        <f t="shared" si="1"/>
        <v>6.3340452023895859E-3</v>
      </c>
      <c r="U27" s="4">
        <f t="shared" si="1"/>
        <v>6.2804059431350477E-3</v>
      </c>
      <c r="V27" s="4">
        <f t="shared" si="1"/>
        <v>6.0972345692070903E-3</v>
      </c>
      <c r="W27" s="4">
        <f t="shared" si="1"/>
        <v>0</v>
      </c>
      <c r="X27" s="4">
        <f t="shared" si="1"/>
        <v>3.8673119246372734E-2</v>
      </c>
      <c r="Y27" s="4">
        <f t="shared" si="1"/>
        <v>1.3807404552530376E-2</v>
      </c>
      <c r="Z27" s="4">
        <f t="shared" si="1"/>
        <v>2.1026417911862473E-2</v>
      </c>
      <c r="AA27" s="4">
        <f t="shared" si="1"/>
        <v>1.4850728615180967E-2</v>
      </c>
      <c r="AB27" s="4"/>
      <c r="AC27" s="4"/>
      <c r="AD27" s="4"/>
      <c r="AE27" s="14"/>
      <c r="AF27" s="7"/>
      <c r="AH27" s="15" t="s">
        <v>19</v>
      </c>
      <c r="AI27" s="2">
        <v>9.0909090909090912E-2</v>
      </c>
    </row>
    <row r="28" spans="2:42" x14ac:dyDescent="0.35">
      <c r="B28" s="1">
        <v>43405</v>
      </c>
      <c r="C28" s="2">
        <v>19.2971</v>
      </c>
      <c r="D28" s="2">
        <v>14.8118</v>
      </c>
      <c r="E28" s="2">
        <v>29.9618</v>
      </c>
      <c r="F28" s="2">
        <v>268.86498999999998</v>
      </c>
      <c r="G28" s="2">
        <v>3590.540039</v>
      </c>
      <c r="H28" s="2">
        <v>2847.209961</v>
      </c>
      <c r="I28" s="2">
        <v>78.849997999999999</v>
      </c>
      <c r="J28" s="2">
        <v>2771.9499510000001</v>
      </c>
      <c r="K28" s="2">
        <v>293.32000699999998</v>
      </c>
      <c r="L28" s="2">
        <v>616.65301499999998</v>
      </c>
      <c r="M28" s="2">
        <v>47.768700000000003</v>
      </c>
      <c r="N28" s="2"/>
      <c r="O28" s="2"/>
      <c r="P28" s="7"/>
      <c r="Q28" s="4">
        <f t="shared" si="1"/>
        <v>1.0240033505222044E-2</v>
      </c>
      <c r="R28" s="4">
        <f t="shared" si="1"/>
        <v>1.1244546702077534E-2</v>
      </c>
      <c r="S28" s="4">
        <f t="shared" si="1"/>
        <v>1.0304759207181024E-2</v>
      </c>
      <c r="T28" s="4">
        <f t="shared" si="1"/>
        <v>6.3103914916421179E-3</v>
      </c>
      <c r="U28" s="4">
        <f t="shared" si="1"/>
        <v>6.356732416582949E-3</v>
      </c>
      <c r="V28" s="4">
        <f t="shared" si="1"/>
        <v>6.0705829351466603E-3</v>
      </c>
      <c r="W28" s="4">
        <f t="shared" si="1"/>
        <v>0</v>
      </c>
      <c r="X28" s="4">
        <f t="shared" si="1"/>
        <v>-4.6243619133320202E-2</v>
      </c>
      <c r="Y28" s="4">
        <f t="shared" si="1"/>
        <v>1.2530653370633008E-2</v>
      </c>
      <c r="Z28" s="4">
        <f t="shared" si="1"/>
        <v>8.8359643425239501E-3</v>
      </c>
      <c r="AA28" s="4">
        <f t="shared" si="1"/>
        <v>4.9102910242795478E-2</v>
      </c>
      <c r="AB28" s="4"/>
      <c r="AC28" s="4"/>
      <c r="AD28" s="4"/>
      <c r="AE28" s="14"/>
      <c r="AF28" s="7"/>
      <c r="AH28" s="15" t="s">
        <v>17</v>
      </c>
      <c r="AI28" s="2">
        <v>9.0909090909090912E-2</v>
      </c>
    </row>
    <row r="29" spans="2:42" x14ac:dyDescent="0.35">
      <c r="B29" s="1">
        <v>43374</v>
      </c>
      <c r="C29" s="2">
        <v>19.101500000000001</v>
      </c>
      <c r="D29" s="2">
        <v>14.6471</v>
      </c>
      <c r="E29" s="2">
        <v>29.656199999999998</v>
      </c>
      <c r="F29" s="2">
        <v>267.17898600000001</v>
      </c>
      <c r="G29" s="2">
        <v>3567.860107</v>
      </c>
      <c r="H29" s="2">
        <v>2830.030029</v>
      </c>
      <c r="I29" s="2">
        <v>78.849997999999999</v>
      </c>
      <c r="J29" s="2">
        <v>2906.3500979999999</v>
      </c>
      <c r="K29" s="2">
        <v>289.69000199999999</v>
      </c>
      <c r="L29" s="2">
        <v>611.25201400000003</v>
      </c>
      <c r="M29" s="2">
        <v>45.532902</v>
      </c>
      <c r="N29" s="2"/>
      <c r="O29" s="2"/>
      <c r="P29" s="7"/>
      <c r="Q29" s="4">
        <f t="shared" si="1"/>
        <v>6.2265784255941328E-3</v>
      </c>
      <c r="R29" s="4">
        <f t="shared" si="1"/>
        <v>5.6782291065887291E-3</v>
      </c>
      <c r="S29" s="4">
        <f t="shared" si="1"/>
        <v>7.3472059126289072E-3</v>
      </c>
      <c r="T29" s="4">
        <f t="shared" si="1"/>
        <v>6.16854305937003E-3</v>
      </c>
      <c r="U29" s="4">
        <f t="shared" si="1"/>
        <v>6.2243019911647941E-3</v>
      </c>
      <c r="V29" s="4">
        <f t="shared" si="1"/>
        <v>6.2149934029494206E-3</v>
      </c>
      <c r="W29" s="4">
        <f t="shared" si="1"/>
        <v>0</v>
      </c>
      <c r="X29" s="4">
        <f t="shared" si="1"/>
        <v>4.9489057370106573E-2</v>
      </c>
      <c r="Y29" s="4">
        <f t="shared" si="1"/>
        <v>-2.7788028902949971E-2</v>
      </c>
      <c r="Z29" s="4">
        <f t="shared" si="1"/>
        <v>-3.3863800197185415E-3</v>
      </c>
      <c r="AA29" s="4">
        <f t="shared" si="1"/>
        <v>-4.1545743992324129E-2</v>
      </c>
      <c r="AB29" s="4"/>
      <c r="AC29" s="4"/>
      <c r="AD29" s="4"/>
      <c r="AE29" s="14"/>
      <c r="AF29" s="7"/>
      <c r="AH29" s="15"/>
      <c r="AI29" s="2"/>
    </row>
    <row r="30" spans="2:42" x14ac:dyDescent="0.35">
      <c r="B30" s="1">
        <v>43344</v>
      </c>
      <c r="C30" s="2">
        <v>18.983298999999999</v>
      </c>
      <c r="D30" s="2">
        <v>14.564399999999999</v>
      </c>
      <c r="E30" s="2">
        <v>29.439899</v>
      </c>
      <c r="F30" s="2">
        <v>265.54098499999998</v>
      </c>
      <c r="G30" s="2">
        <v>3545.790039</v>
      </c>
      <c r="H30" s="2">
        <v>2812.5500489999999</v>
      </c>
      <c r="I30" s="2">
        <v>78.849997999999999</v>
      </c>
      <c r="J30" s="2">
        <v>2769.3000489999999</v>
      </c>
      <c r="K30" s="2">
        <v>297.97000100000002</v>
      </c>
      <c r="L30" s="2">
        <v>613.328979</v>
      </c>
      <c r="M30" s="2">
        <v>47.506599000000001</v>
      </c>
      <c r="N30" s="2"/>
      <c r="O30" s="2"/>
      <c r="P30" s="7"/>
      <c r="Q30" s="4">
        <f t="shared" si="1"/>
        <v>-1.0104985654256745E-3</v>
      </c>
      <c r="R30" s="4">
        <f t="shared" si="1"/>
        <v>-1.6040801217456046E-3</v>
      </c>
      <c r="S30" s="4">
        <f t="shared" si="1"/>
        <v>8.8390182872719264E-4</v>
      </c>
      <c r="T30" s="4">
        <f t="shared" si="1"/>
        <v>5.6846536465614958E-3</v>
      </c>
      <c r="U30" s="4">
        <f t="shared" si="1"/>
        <v>5.689618636081686E-3</v>
      </c>
      <c r="V30" s="4">
        <f t="shared" si="1"/>
        <v>5.8220518346078802E-3</v>
      </c>
      <c r="W30" s="4">
        <f t="shared" si="1"/>
        <v>0</v>
      </c>
      <c r="X30" s="4">
        <f t="shared" si="1"/>
        <v>9.2167669648502554E-4</v>
      </c>
      <c r="Y30" s="4">
        <f t="shared" si="1"/>
        <v>-6.9425390902233916E-2</v>
      </c>
      <c r="Z30" s="4">
        <f t="shared" si="1"/>
        <v>-7.9068990578892967E-2</v>
      </c>
      <c r="AA30" s="4">
        <f t="shared" si="1"/>
        <v>-8.8137082904657285E-2</v>
      </c>
      <c r="AB30" s="4"/>
      <c r="AC30" s="4"/>
      <c r="AD30" s="4"/>
      <c r="AE30" s="14"/>
      <c r="AF30" s="7"/>
      <c r="AH30" s="15" t="s">
        <v>24</v>
      </c>
      <c r="AI30" s="2">
        <f>SUM(AI18:AI28)</f>
        <v>1.0000000000000002</v>
      </c>
    </row>
    <row r="31" spans="2:42" x14ac:dyDescent="0.35">
      <c r="B31" s="1">
        <v>43313</v>
      </c>
      <c r="C31" s="2">
        <v>19.002500999999999</v>
      </c>
      <c r="D31" s="2">
        <v>14.5878</v>
      </c>
      <c r="E31" s="2">
        <v>29.413900000000002</v>
      </c>
      <c r="F31" s="2">
        <v>264.040009</v>
      </c>
      <c r="G31" s="2">
        <v>3525.7299800000001</v>
      </c>
      <c r="H31" s="2">
        <v>2796.2700199999999</v>
      </c>
      <c r="I31" s="2">
        <v>78.849997999999999</v>
      </c>
      <c r="J31" s="2">
        <v>2766.75</v>
      </c>
      <c r="K31" s="2">
        <v>320.20001200000002</v>
      </c>
      <c r="L31" s="2">
        <v>665.987976</v>
      </c>
      <c r="M31" s="2">
        <v>52.098399999999998</v>
      </c>
      <c r="N31" s="2"/>
      <c r="O31" s="2"/>
      <c r="P31" s="7"/>
      <c r="Q31" s="4">
        <f t="shared" si="1"/>
        <v>5.3754583115089077E-3</v>
      </c>
      <c r="R31" s="4">
        <f t="shared" si="1"/>
        <v>4.8078247692518918E-3</v>
      </c>
      <c r="S31" s="4">
        <f t="shared" si="1"/>
        <v>5.8166519336288183E-3</v>
      </c>
      <c r="T31" s="4">
        <f t="shared" si="1"/>
        <v>5.9778068898185292E-3</v>
      </c>
      <c r="U31" s="4">
        <f t="shared" si="1"/>
        <v>5.9373847229369104E-3</v>
      </c>
      <c r="V31" s="4">
        <f t="shared" si="1"/>
        <v>5.9647224517548596E-3</v>
      </c>
      <c r="W31" s="4">
        <f t="shared" si="1"/>
        <v>0</v>
      </c>
      <c r="X31" s="4">
        <f t="shared" si="1"/>
        <v>1.8010872807957646E-2</v>
      </c>
      <c r="Y31" s="4">
        <f t="shared" si="1"/>
        <v>5.5094241445773594E-2</v>
      </c>
      <c r="Z31" s="4">
        <f t="shared" si="1"/>
        <v>5.1977480893982894E-2</v>
      </c>
      <c r="AA31" s="4">
        <f t="shared" si="1"/>
        <v>2.9329907976463034E-2</v>
      </c>
      <c r="AB31" s="4"/>
      <c r="AC31" s="4"/>
      <c r="AD31" s="4"/>
      <c r="AE31" s="14"/>
      <c r="AF31" s="7"/>
      <c r="AH31" s="3" t="s">
        <v>22</v>
      </c>
      <c r="AI31" s="8">
        <f t="array" ref="AI31">MMULT(TRANSPOSE(AI18:AI28), AI4:AI14)</f>
        <v>8.6080635961029328E-2</v>
      </c>
    </row>
    <row r="32" spans="2:42" x14ac:dyDescent="0.35">
      <c r="B32" s="1">
        <v>43282</v>
      </c>
      <c r="C32" s="2">
        <v>18.9009</v>
      </c>
      <c r="D32" s="2">
        <v>14.518000000000001</v>
      </c>
      <c r="E32" s="2">
        <v>29.243798999999999</v>
      </c>
      <c r="F32" s="2">
        <v>262.47100799999998</v>
      </c>
      <c r="G32" s="2">
        <v>3504.919922</v>
      </c>
      <c r="H32" s="2">
        <v>2779.6899410000001</v>
      </c>
      <c r="I32" s="2">
        <v>78.849997999999999</v>
      </c>
      <c r="J32" s="2">
        <v>2717.8000489999999</v>
      </c>
      <c r="K32" s="2">
        <v>303.48001099999999</v>
      </c>
      <c r="L32" s="2">
        <v>633.08196999999996</v>
      </c>
      <c r="M32" s="2">
        <v>50.613899000000004</v>
      </c>
      <c r="N32" s="2"/>
      <c r="O32" s="2"/>
      <c r="P32" s="7"/>
      <c r="Q32" s="4">
        <f t="shared" si="1"/>
        <v>7.9243612783497629E-3</v>
      </c>
      <c r="R32" s="4">
        <f t="shared" si="1"/>
        <v>8.6427301022677719E-3</v>
      </c>
      <c r="S32" s="4">
        <f t="shared" si="1"/>
        <v>1.0487071661316525E-2</v>
      </c>
      <c r="T32" s="4">
        <f t="shared" si="1"/>
        <v>6.1758149683248231E-3</v>
      </c>
      <c r="U32" s="4">
        <f t="shared" si="1"/>
        <v>6.261592177683079E-3</v>
      </c>
      <c r="V32" s="4">
        <f t="shared" si="1"/>
        <v>6.1279050437682151E-3</v>
      </c>
      <c r="W32" s="4">
        <f t="shared" si="1"/>
        <v>0</v>
      </c>
      <c r="X32" s="4">
        <f t="shared" si="1"/>
        <v>-2.2497184453495377E-2</v>
      </c>
      <c r="Y32" s="4">
        <f t="shared" si="1"/>
        <v>6.2121580921368463E-2</v>
      </c>
      <c r="Z32" s="4">
        <f t="shared" si="1"/>
        <v>7.0386002870839612E-2</v>
      </c>
      <c r="AA32" s="4">
        <f t="shared" si="1"/>
        <v>5.0440526339536482E-2</v>
      </c>
      <c r="AB32" s="4"/>
      <c r="AC32" s="4"/>
      <c r="AD32" s="4"/>
      <c r="AE32" s="14"/>
      <c r="AF32" s="7"/>
      <c r="AH32" s="3" t="s">
        <v>8</v>
      </c>
      <c r="AI32" s="8">
        <f t="array" ref="AI32">SQRT(MMULT(MMULT(TRANSPOSE(AI18:AI28),AM5:AW15),AI18:AI28))</f>
        <v>6.6147371679893013E-2</v>
      </c>
      <c r="AO32" s="22" t="s">
        <v>33</v>
      </c>
      <c r="AP32" s="22">
        <v>375</v>
      </c>
    </row>
    <row r="33" spans="2:45" x14ac:dyDescent="0.35">
      <c r="B33" s="1">
        <v>43252</v>
      </c>
      <c r="C33" s="2">
        <v>18.752300000000002</v>
      </c>
      <c r="D33" s="2">
        <v>14.393599999999999</v>
      </c>
      <c r="E33" s="2">
        <v>28.940300000000001</v>
      </c>
      <c r="F33" s="2">
        <v>260.85998499999999</v>
      </c>
      <c r="G33" s="2">
        <v>3483.110107</v>
      </c>
      <c r="H33" s="2">
        <v>2762.76001</v>
      </c>
      <c r="I33" s="2">
        <v>78.849997999999999</v>
      </c>
      <c r="J33" s="2">
        <v>2780.3500979999999</v>
      </c>
      <c r="K33" s="2">
        <v>285.73001099999999</v>
      </c>
      <c r="L33" s="2">
        <v>591.45202600000005</v>
      </c>
      <c r="M33" s="2">
        <v>48.183498</v>
      </c>
      <c r="N33" s="2"/>
      <c r="O33" s="2"/>
      <c r="P33" s="7"/>
      <c r="Q33" s="4">
        <f t="shared" si="1"/>
        <v>5.5769158582821363E-3</v>
      </c>
      <c r="R33" s="4">
        <f t="shared" si="1"/>
        <v>4.7467470821466202E-3</v>
      </c>
      <c r="S33" s="4">
        <f t="shared" si="1"/>
        <v>6.3321070164336409E-3</v>
      </c>
      <c r="T33" s="4">
        <f t="shared" si="1"/>
        <v>6.1247723688855485E-3</v>
      </c>
      <c r="U33" s="4">
        <f t="shared" si="1"/>
        <v>5.9262050888190636E-3</v>
      </c>
      <c r="V33" s="4">
        <f t="shared" si="1"/>
        <v>6.0118379608556996E-3</v>
      </c>
      <c r="W33" s="4">
        <f t="shared" si="1"/>
        <v>0</v>
      </c>
      <c r="X33" s="4">
        <f t="shared" si="1"/>
        <v>-2.9546213612565483E-2</v>
      </c>
      <c r="Y33" s="4">
        <f t="shared" si="1"/>
        <v>-4.3903238576369413E-3</v>
      </c>
      <c r="Z33" s="4">
        <f t="shared" si="1"/>
        <v>-3.410069639753914E-2</v>
      </c>
      <c r="AA33" s="4">
        <f t="shared" si="1"/>
        <v>-2.9233719071083967E-2</v>
      </c>
      <c r="AB33" s="4"/>
      <c r="AC33" s="4"/>
      <c r="AD33" s="4"/>
      <c r="AE33" s="14"/>
      <c r="AF33" s="7"/>
    </row>
    <row r="34" spans="2:45" x14ac:dyDescent="0.35">
      <c r="B34" s="1">
        <v>43221</v>
      </c>
      <c r="C34" s="2">
        <v>18.648299999999999</v>
      </c>
      <c r="D34" s="2">
        <v>14.3256</v>
      </c>
      <c r="E34" s="2">
        <v>28.758199999999999</v>
      </c>
      <c r="F34" s="2">
        <v>259.27200299999998</v>
      </c>
      <c r="G34" s="2">
        <v>3462.5900879999999</v>
      </c>
      <c r="H34" s="2">
        <v>2746.25</v>
      </c>
      <c r="I34" s="2">
        <v>78.849997999999999</v>
      </c>
      <c r="J34" s="2">
        <v>2865</v>
      </c>
      <c r="K34" s="2">
        <v>286.98998999999998</v>
      </c>
      <c r="L34" s="2">
        <v>612.33300799999995</v>
      </c>
      <c r="M34" s="2">
        <v>49.634498999999998</v>
      </c>
      <c r="N34" s="2"/>
      <c r="O34" s="2"/>
      <c r="P34" s="7"/>
      <c r="Q34" s="4">
        <f t="shared" si="1"/>
        <v>5.4510117673293897E-3</v>
      </c>
      <c r="R34" s="4">
        <f t="shared" si="1"/>
        <v>4.8188732217309578E-4</v>
      </c>
      <c r="S34" s="4">
        <f t="shared" si="1"/>
        <v>1.699791705852437E-3</v>
      </c>
      <c r="T34" s="4">
        <f t="shared" si="1"/>
        <v>5.6747943506546827E-3</v>
      </c>
      <c r="U34" s="4">
        <f t="shared" si="1"/>
        <v>6.2421661417647722E-3</v>
      </c>
      <c r="V34" s="4">
        <f t="shared" si="1"/>
        <v>5.742365736648076E-3</v>
      </c>
      <c r="W34" s="4">
        <f t="shared" si="1"/>
        <v>0</v>
      </c>
      <c r="X34" s="4">
        <f t="shared" si="1"/>
        <v>1.0475064538751418E-2</v>
      </c>
      <c r="Y34" s="4">
        <f t="shared" si="1"/>
        <v>-1.4863438473005386E-2</v>
      </c>
      <c r="Z34" s="4">
        <f t="shared" si="1"/>
        <v>-1.795746873323412E-2</v>
      </c>
      <c r="AA34" s="4">
        <f t="shared" si="1"/>
        <v>-1.7123043872438435E-2</v>
      </c>
      <c r="AB34" s="4"/>
      <c r="AC34" s="4"/>
      <c r="AD34" s="4"/>
      <c r="AE34" s="14"/>
      <c r="AF34" s="7"/>
      <c r="AN34" s="25"/>
      <c r="AO34" s="26" t="s">
        <v>30</v>
      </c>
      <c r="AP34" s="26" t="s">
        <v>34</v>
      </c>
      <c r="AR34" s="31" t="s">
        <v>42</v>
      </c>
      <c r="AS34" s="31" t="s">
        <v>68</v>
      </c>
    </row>
    <row r="35" spans="2:45" x14ac:dyDescent="0.35">
      <c r="B35" s="1">
        <v>43191</v>
      </c>
      <c r="C35" s="2">
        <v>18.547198999999999</v>
      </c>
      <c r="D35" s="2">
        <v>14.3187</v>
      </c>
      <c r="E35" s="2">
        <v>28.709399999999999</v>
      </c>
      <c r="F35" s="2">
        <v>257.80898999999999</v>
      </c>
      <c r="G35" s="2">
        <v>3441.110107</v>
      </c>
      <c r="H35" s="2">
        <v>2730.570068</v>
      </c>
      <c r="I35" s="2">
        <v>78.849997999999999</v>
      </c>
      <c r="J35" s="2">
        <v>2835.3000489999999</v>
      </c>
      <c r="K35" s="2">
        <v>291.32000699999998</v>
      </c>
      <c r="L35" s="2">
        <v>623.53002900000001</v>
      </c>
      <c r="M35" s="2">
        <v>50.499198999999997</v>
      </c>
      <c r="N35" s="2"/>
      <c r="O35" s="2"/>
      <c r="P35" s="7"/>
      <c r="Q35" s="4">
        <f t="shared" si="1"/>
        <v>-9.3199380904452082E-4</v>
      </c>
      <c r="R35" s="4">
        <f t="shared" si="1"/>
        <v>-6.3910400532933833E-3</v>
      </c>
      <c r="S35" s="4">
        <f t="shared" si="1"/>
        <v>-1.8357080416556558E-3</v>
      </c>
      <c r="T35" s="4">
        <f t="shared" si="1"/>
        <v>5.5423420752922043E-3</v>
      </c>
      <c r="U35" s="4">
        <f t="shared" si="1"/>
        <v>5.6021339738644704E-3</v>
      </c>
      <c r="V35" s="4">
        <f t="shared" si="1"/>
        <v>5.5162890990785168E-3</v>
      </c>
      <c r="W35" s="4">
        <f t="shared" si="1"/>
        <v>0</v>
      </c>
      <c r="X35" s="4">
        <f t="shared" si="1"/>
        <v>1.0802156506238839E-2</v>
      </c>
      <c r="Y35" s="4">
        <f t="shared" si="1"/>
        <v>3.550997213816371E-2</v>
      </c>
      <c r="Z35" s="4">
        <f t="shared" si="1"/>
        <v>5.4022176278685205E-2</v>
      </c>
      <c r="AA35" s="4">
        <f t="shared" si="1"/>
        <v>5.233854380458882E-2</v>
      </c>
      <c r="AB35" s="4"/>
      <c r="AC35" s="4"/>
      <c r="AD35" s="4"/>
      <c r="AE35" s="14"/>
      <c r="AF35" s="7"/>
      <c r="AH35" s="3" t="s">
        <v>23</v>
      </c>
      <c r="AI35" s="3" t="s">
        <v>10</v>
      </c>
      <c r="AN35" s="26" t="s">
        <v>31</v>
      </c>
      <c r="AO35" s="27">
        <f>AI36</f>
        <v>0.1</v>
      </c>
      <c r="AP35" s="28">
        <f>AO35*AP32</f>
        <v>37.5</v>
      </c>
      <c r="AR35" s="31" t="s">
        <v>44</v>
      </c>
      <c r="AS35" s="32">
        <f>SUM(AP35:AP36)</f>
        <v>112.5</v>
      </c>
    </row>
    <row r="36" spans="2:45" x14ac:dyDescent="0.35">
      <c r="B36" s="1">
        <v>43160</v>
      </c>
      <c r="C36" s="2">
        <v>18.564501</v>
      </c>
      <c r="D36" s="2">
        <v>14.4108</v>
      </c>
      <c r="E36" s="2">
        <v>28.762198999999999</v>
      </c>
      <c r="F36" s="2">
        <v>256.38799999999998</v>
      </c>
      <c r="G36" s="2">
        <v>3421.9399410000001</v>
      </c>
      <c r="H36" s="2">
        <v>2715.5900879999999</v>
      </c>
      <c r="I36" s="2">
        <v>78.849997999999999</v>
      </c>
      <c r="J36" s="2">
        <v>2805</v>
      </c>
      <c r="K36" s="2">
        <v>281.32998700000002</v>
      </c>
      <c r="L36" s="2">
        <v>591.57202099999995</v>
      </c>
      <c r="M36" s="2">
        <v>47.987597999999998</v>
      </c>
      <c r="N36" s="2"/>
      <c r="O36" s="2"/>
      <c r="P36" s="7"/>
      <c r="Q36" s="4">
        <f t="shared" si="1"/>
        <v>1.1551559103579384E-2</v>
      </c>
      <c r="R36" s="4">
        <f t="shared" si="1"/>
        <v>1.5660459805759613E-2</v>
      </c>
      <c r="S36" s="4">
        <f t="shared" si="1"/>
        <v>1.2503925088886505E-2</v>
      </c>
      <c r="T36" s="4">
        <f t="shared" si="1"/>
        <v>7.0465370051108417E-3</v>
      </c>
      <c r="U36" s="4">
        <f t="shared" si="1"/>
        <v>5.994294279454874E-3</v>
      </c>
      <c r="V36" s="4">
        <f t="shared" si="1"/>
        <v>6.7659247275458877E-3</v>
      </c>
      <c r="W36" s="4">
        <f t="shared" si="1"/>
        <v>1.6108247837841438E-2</v>
      </c>
      <c r="X36" s="4">
        <f t="shared" si="1"/>
        <v>3.0215625867384775E-3</v>
      </c>
      <c r="Y36" s="4">
        <f t="shared" si="1"/>
        <v>-2.1631025072412692E-2</v>
      </c>
      <c r="Z36" s="4">
        <f t="shared" si="1"/>
        <v>-5.7488598565821517E-2</v>
      </c>
      <c r="AA36" s="4">
        <f t="shared" si="1"/>
        <v>-2.3810969097666491E-2</v>
      </c>
      <c r="AB36" s="4"/>
      <c r="AC36" s="4"/>
      <c r="AD36" s="4"/>
      <c r="AE36" s="14"/>
      <c r="AF36" s="7"/>
      <c r="AH36" s="15" t="s">
        <v>11</v>
      </c>
      <c r="AI36" s="5">
        <v>0.1</v>
      </c>
      <c r="AN36" s="26" t="s">
        <v>41</v>
      </c>
      <c r="AO36" s="27">
        <f>AI38</f>
        <v>0.2</v>
      </c>
      <c r="AP36" s="28">
        <f>AO36*AP32</f>
        <v>75</v>
      </c>
      <c r="AR36" s="31" t="s">
        <v>45</v>
      </c>
      <c r="AS36" s="32">
        <f>SUM(AP38:AP38)</f>
        <v>112.5</v>
      </c>
    </row>
    <row r="37" spans="2:45" x14ac:dyDescent="0.35">
      <c r="B37" s="1">
        <v>43132</v>
      </c>
      <c r="C37" s="2">
        <v>18.352501</v>
      </c>
      <c r="D37" s="2">
        <v>14.188599999999999</v>
      </c>
      <c r="E37" s="2">
        <v>28.407</v>
      </c>
      <c r="F37" s="2">
        <v>254.59399400000001</v>
      </c>
      <c r="G37" s="2">
        <v>3401.5500489999999</v>
      </c>
      <c r="H37" s="2">
        <v>2697.3400879999999</v>
      </c>
      <c r="I37" s="2">
        <v>77.599997999999999</v>
      </c>
      <c r="J37" s="2">
        <v>2796.5500489999999</v>
      </c>
      <c r="K37" s="2">
        <v>287.54998799999998</v>
      </c>
      <c r="L37" s="2">
        <v>627.65502900000001</v>
      </c>
      <c r="M37" s="2">
        <v>49.158099999999997</v>
      </c>
      <c r="N37" s="2"/>
      <c r="O37" s="2"/>
      <c r="P37" s="7"/>
      <c r="Q37" s="4">
        <f t="shared" si="1"/>
        <v>2.9073244827574466E-3</v>
      </c>
      <c r="R37" s="4">
        <f t="shared" si="1"/>
        <v>-3.1405225773362909E-3</v>
      </c>
      <c r="S37" s="4">
        <f t="shared" si="1"/>
        <v>1.6678949942311068E-3</v>
      </c>
      <c r="T37" s="4">
        <f t="shared" si="1"/>
        <v>5.0371510720125115E-3</v>
      </c>
      <c r="U37" s="4">
        <f t="shared" si="1"/>
        <v>5.0376862165755487E-3</v>
      </c>
      <c r="V37" s="4">
        <f t="shared" si="1"/>
        <v>4.9852185555758748E-3</v>
      </c>
      <c r="W37" s="4">
        <f t="shared" si="1"/>
        <v>0</v>
      </c>
      <c r="X37" s="4">
        <f t="shared" si="1"/>
        <v>1.238074457859688E-2</v>
      </c>
      <c r="Y37" s="4">
        <f t="shared" si="1"/>
        <v>-3.5649625224855507E-2</v>
      </c>
      <c r="Z37" s="4">
        <f t="shared" si="1"/>
        <v>-6.6432665138096605E-2</v>
      </c>
      <c r="AA37" s="4">
        <f t="shared" si="1"/>
        <v>-3.4690473004633508E-2</v>
      </c>
      <c r="AB37" s="4"/>
      <c r="AC37" s="4"/>
      <c r="AD37" s="4"/>
      <c r="AE37" s="14"/>
      <c r="AF37" s="7"/>
      <c r="AH37" s="15" t="s">
        <v>12</v>
      </c>
      <c r="AI37" s="5">
        <v>0.1</v>
      </c>
      <c r="AN37" s="26" t="s">
        <v>12</v>
      </c>
      <c r="AO37" s="27">
        <f>AI37</f>
        <v>0.1</v>
      </c>
      <c r="AP37" s="28">
        <f>AO37*AP32</f>
        <v>37.5</v>
      </c>
      <c r="AR37" s="31" t="s">
        <v>46</v>
      </c>
      <c r="AS37" s="32" t="e">
        <f>AP39+#REF!</f>
        <v>#REF!</v>
      </c>
    </row>
    <row r="38" spans="2:45" x14ac:dyDescent="0.35">
      <c r="B38" s="1">
        <v>43101</v>
      </c>
      <c r="C38" s="2">
        <v>18.299299000000001</v>
      </c>
      <c r="D38" s="2">
        <v>14.2333</v>
      </c>
      <c r="E38" s="2">
        <v>28.359698999999999</v>
      </c>
      <c r="F38" s="2">
        <v>253.317993</v>
      </c>
      <c r="G38" s="2">
        <v>3384.5</v>
      </c>
      <c r="H38" s="2">
        <v>2683.959961</v>
      </c>
      <c r="I38" s="2">
        <v>77.599997999999999</v>
      </c>
      <c r="J38" s="2">
        <v>2762.3500979999999</v>
      </c>
      <c r="K38" s="2">
        <v>298.17999300000002</v>
      </c>
      <c r="L38" s="2">
        <v>672.31897000000004</v>
      </c>
      <c r="M38" s="2">
        <v>50.924702000000003</v>
      </c>
      <c r="N38" s="2"/>
      <c r="O38" s="2"/>
      <c r="P38" s="7"/>
      <c r="Q38" s="4">
        <f t="shared" si="1"/>
        <v>4.5121890970573142E-3</v>
      </c>
      <c r="R38" s="4">
        <f t="shared" si="1"/>
        <v>4.3325171642474899E-3</v>
      </c>
      <c r="S38" s="4">
        <f t="shared" si="1"/>
        <v>5.246014951243585E-3</v>
      </c>
      <c r="T38" s="4">
        <f t="shared" si="1"/>
        <v>5.4815172917279994E-3</v>
      </c>
      <c r="U38" s="4">
        <f t="shared" si="1"/>
        <v>5.4632476108720553E-3</v>
      </c>
      <c r="V38" s="4">
        <f t="shared" si="1"/>
        <v>5.4431205800984529E-3</v>
      </c>
      <c r="W38" s="4">
        <f t="shared" si="1"/>
        <v>0</v>
      </c>
      <c r="X38" s="4">
        <f t="shared" si="1"/>
        <v>2.6705109830886409E-2</v>
      </c>
      <c r="Y38" s="4">
        <f t="shared" si="1"/>
        <v>1.4769932817450895E-2</v>
      </c>
      <c r="Z38" s="4">
        <f t="shared" si="1"/>
        <v>3.0088112105847588E-2</v>
      </c>
      <c r="AA38" s="4">
        <f t="shared" si="1"/>
        <v>4.0161076474023519E-3</v>
      </c>
      <c r="AB38" s="4"/>
      <c r="AC38" s="4"/>
      <c r="AD38" s="4"/>
      <c r="AE38" s="14"/>
      <c r="AF38" s="7"/>
      <c r="AH38" s="15" t="s">
        <v>13</v>
      </c>
      <c r="AI38" s="5">
        <v>0.2</v>
      </c>
      <c r="AN38" s="26" t="s">
        <v>3</v>
      </c>
      <c r="AO38" s="27">
        <f>AI43</f>
        <v>0.3</v>
      </c>
      <c r="AP38" s="28">
        <f>AO38*AP32</f>
        <v>112.5</v>
      </c>
      <c r="AR38" s="31" t="s">
        <v>24</v>
      </c>
      <c r="AS38" s="32" t="e">
        <f>SUM(AS35:AS37)</f>
        <v>#REF!</v>
      </c>
    </row>
    <row r="39" spans="2:45" x14ac:dyDescent="0.35">
      <c r="B39" s="1">
        <v>43070</v>
      </c>
      <c r="C39" s="2">
        <v>18.217099999999999</v>
      </c>
      <c r="D39" s="2">
        <v>14.171900000000001</v>
      </c>
      <c r="E39" s="2">
        <v>28.2117</v>
      </c>
      <c r="F39" s="2">
        <v>251.93699599999999</v>
      </c>
      <c r="G39" s="2">
        <v>3366.110107</v>
      </c>
      <c r="H39" s="2">
        <v>2669.429932</v>
      </c>
      <c r="I39" s="2">
        <v>77.599997999999999</v>
      </c>
      <c r="J39" s="2">
        <v>2690.5</v>
      </c>
      <c r="K39" s="2">
        <v>293.83999599999999</v>
      </c>
      <c r="L39" s="2">
        <v>652.68102999999996</v>
      </c>
      <c r="M39" s="2">
        <v>50.721001000000001</v>
      </c>
      <c r="N39" s="2"/>
      <c r="O39" s="2"/>
      <c r="P39" s="7"/>
      <c r="Q39" s="4">
        <f t="shared" si="1"/>
        <v>2.7459767267902692E-4</v>
      </c>
      <c r="R39" s="4">
        <f t="shared" si="1"/>
        <v>-1.9859015077358612E-3</v>
      </c>
      <c r="S39" s="4">
        <f t="shared" si="1"/>
        <v>1.205319001853774E-4</v>
      </c>
      <c r="T39" s="4">
        <f t="shared" si="1"/>
        <v>5.3431749758488627E-3</v>
      </c>
      <c r="U39" s="4">
        <f t="shared" si="1"/>
        <v>5.3672231669801207E-3</v>
      </c>
      <c r="V39" s="4">
        <f t="shared" si="1"/>
        <v>5.3479179231020659E-3</v>
      </c>
      <c r="W39" s="4">
        <f t="shared" si="1"/>
        <v>0</v>
      </c>
      <c r="X39" s="4">
        <f t="shared" si="1"/>
        <v>-1.1509124915393767E-3</v>
      </c>
      <c r="Y39" s="4">
        <f t="shared" si="1"/>
        <v>3.6472649029982311E-2</v>
      </c>
      <c r="Z39" s="4">
        <f t="shared" si="1"/>
        <v>2.7591684301887739E-2</v>
      </c>
      <c r="AA39" s="4">
        <f t="shared" si="1"/>
        <v>3.3593215491088263E-2</v>
      </c>
      <c r="AB39" s="4"/>
      <c r="AC39" s="4"/>
      <c r="AD39" s="4"/>
      <c r="AE39" s="14"/>
      <c r="AF39" s="7"/>
      <c r="AH39" s="15" t="s">
        <v>16</v>
      </c>
      <c r="AI39" s="5">
        <v>0</v>
      </c>
      <c r="AN39" s="26" t="s">
        <v>36</v>
      </c>
      <c r="AO39" s="27">
        <f>AI46</f>
        <v>0.19999999999999996</v>
      </c>
      <c r="AP39" s="28">
        <f>AO39*AP32</f>
        <v>74.999999999999986</v>
      </c>
    </row>
    <row r="40" spans="2:45" x14ac:dyDescent="0.35">
      <c r="B40" s="1">
        <v>43040</v>
      </c>
      <c r="C40" s="2">
        <v>18.212098999999998</v>
      </c>
      <c r="D40" s="2">
        <v>14.200100000000001</v>
      </c>
      <c r="E40" s="2">
        <v>28.208300000000001</v>
      </c>
      <c r="F40" s="2">
        <v>250.598007</v>
      </c>
      <c r="G40" s="2">
        <v>3348.139893</v>
      </c>
      <c r="H40" s="2">
        <v>2655.2299800000001</v>
      </c>
      <c r="I40" s="2">
        <v>77.599997999999999</v>
      </c>
      <c r="J40" s="2">
        <v>2693.6000979999999</v>
      </c>
      <c r="K40" s="2">
        <v>283.5</v>
      </c>
      <c r="L40" s="2">
        <v>635.15600600000005</v>
      </c>
      <c r="M40" s="2">
        <v>49.072498000000003</v>
      </c>
      <c r="N40" s="2"/>
      <c r="O40" s="2"/>
      <c r="P40" s="7"/>
      <c r="Q40" s="4">
        <f>(C40-C41)/C41</f>
        <v>2.1735469883230403E-3</v>
      </c>
      <c r="R40" s="4">
        <f t="shared" si="1"/>
        <v>-9.1464916168885742E-4</v>
      </c>
      <c r="S40" s="4">
        <f t="shared" si="1"/>
        <v>2.6729723111576413E-3</v>
      </c>
      <c r="T40" s="4">
        <f t="shared" si="1"/>
        <v>5.1541755920601279E-3</v>
      </c>
      <c r="U40" s="4">
        <f t="shared" si="1"/>
        <v>5.1365084826739084E-3</v>
      </c>
      <c r="V40" s="4">
        <f t="shared" si="1"/>
        <v>5.117904387536224E-3</v>
      </c>
      <c r="W40" s="4">
        <f t="shared" si="1"/>
        <v>0</v>
      </c>
      <c r="X40" s="4">
        <f t="shared" si="1"/>
        <v>-1.2420894198492919E-3</v>
      </c>
      <c r="Y40" s="4">
        <f t="shared" si="1"/>
        <v>1.6606048887419344E-3</v>
      </c>
      <c r="Z40" s="4">
        <f t="shared" si="1"/>
        <v>1.0104936020862147E-2</v>
      </c>
      <c r="AA40" s="4">
        <f t="shared" si="1"/>
        <v>9.8634580586696181E-3</v>
      </c>
      <c r="AB40" s="2"/>
      <c r="AC40" s="2"/>
      <c r="AD40" s="2"/>
      <c r="AE40" s="19"/>
      <c r="AF40" s="7"/>
      <c r="AH40" s="15" t="s">
        <v>15</v>
      </c>
      <c r="AI40" s="5">
        <v>0</v>
      </c>
      <c r="AN40" s="26" t="s">
        <v>18</v>
      </c>
      <c r="AO40" s="27">
        <f>AI44</f>
        <v>0.1</v>
      </c>
      <c r="AP40" s="28">
        <f>AO40*AP32</f>
        <v>37.5</v>
      </c>
    </row>
    <row r="41" spans="2:45" x14ac:dyDescent="0.35">
      <c r="B41" s="1">
        <v>43009</v>
      </c>
      <c r="C41" s="2">
        <v>18.172599999999999</v>
      </c>
      <c r="D41" s="2">
        <v>14.213100000000001</v>
      </c>
      <c r="E41" s="2">
        <v>28.133101</v>
      </c>
      <c r="F41" s="2">
        <v>249.31300400000001</v>
      </c>
      <c r="G41" s="2">
        <v>3331.030029</v>
      </c>
      <c r="H41" s="2">
        <v>2641.709961</v>
      </c>
      <c r="I41" s="2">
        <v>77.599997999999999</v>
      </c>
      <c r="J41" s="2">
        <v>2696.9499510000001</v>
      </c>
      <c r="K41" s="2">
        <v>283.02999899999998</v>
      </c>
      <c r="L41" s="2">
        <v>628.80200200000002</v>
      </c>
      <c r="M41" s="2">
        <v>48.593201000000001</v>
      </c>
      <c r="P41" s="7"/>
      <c r="Q41" s="4">
        <f t="shared" si="1"/>
        <v>5.7502196754486336E-3</v>
      </c>
      <c r="R41" s="4">
        <f t="shared" si="1"/>
        <v>9.1879264681866551E-3</v>
      </c>
      <c r="S41" s="4">
        <f t="shared" si="1"/>
        <v>6.3170284662610659E-3</v>
      </c>
      <c r="T41" s="4">
        <f t="shared" si="1"/>
        <v>5.3348883960061622E-3</v>
      </c>
      <c r="U41" s="4">
        <f t="shared" si="1"/>
        <v>5.469547159844392E-3</v>
      </c>
      <c r="V41" s="4">
        <f t="shared" si="1"/>
        <v>5.2933677375085839E-3</v>
      </c>
      <c r="W41" s="4">
        <f t="shared" si="1"/>
        <v>0</v>
      </c>
      <c r="X41" s="4">
        <f t="shared" si="1"/>
        <v>-1.5783519733374378E-2</v>
      </c>
      <c r="Y41" s="4">
        <f t="shared" si="1"/>
        <v>6.0752535697220042E-2</v>
      </c>
      <c r="Z41" s="4">
        <f t="shared" si="1"/>
        <v>8.8308870184743579E-2</v>
      </c>
      <c r="AA41" s="4">
        <f t="shared" si="1"/>
        <v>4.9896575039066658E-2</v>
      </c>
      <c r="AD41" s="4"/>
      <c r="AE41" s="7"/>
      <c r="AF41" s="7"/>
      <c r="AH41" s="15" t="s">
        <v>14</v>
      </c>
      <c r="AI41" s="5">
        <v>0</v>
      </c>
      <c r="AN41" s="29"/>
      <c r="AO41" s="27"/>
      <c r="AP41" s="28"/>
    </row>
    <row r="42" spans="2:45" x14ac:dyDescent="0.35">
      <c r="B42" s="1">
        <v>42979</v>
      </c>
      <c r="C42" s="2">
        <v>18.068701000000001</v>
      </c>
      <c r="D42" s="2">
        <v>14.0837</v>
      </c>
      <c r="E42" s="2">
        <v>27.956499000000001</v>
      </c>
      <c r="F42" s="2">
        <v>247.990005</v>
      </c>
      <c r="G42" s="2">
        <v>3312.9099120000001</v>
      </c>
      <c r="H42" s="2">
        <v>2627.8000489999999</v>
      </c>
      <c r="I42" s="2">
        <v>77.599997999999999</v>
      </c>
      <c r="J42" s="2">
        <v>2740.1999510000001</v>
      </c>
      <c r="K42" s="2">
        <v>266.82000699999998</v>
      </c>
      <c r="L42" s="2">
        <v>577.77899200000002</v>
      </c>
      <c r="M42" s="2">
        <v>46.283797999999997</v>
      </c>
      <c r="P42" s="7"/>
      <c r="Q42" s="4">
        <f t="shared" si="1"/>
        <v>3.1423876172129049E-3</v>
      </c>
      <c r="R42" s="4">
        <f t="shared" si="1"/>
        <v>2.0990166640577567E-3</v>
      </c>
      <c r="S42" s="4">
        <f t="shared" si="1"/>
        <v>3.5141032387089612E-3</v>
      </c>
      <c r="T42" s="4">
        <f t="shared" si="1"/>
        <v>5.1760872573729669E-3</v>
      </c>
      <c r="U42" s="4">
        <f t="shared" si="1"/>
        <v>4.9779802821174205E-3</v>
      </c>
      <c r="V42" s="4">
        <f t="shared" si="1"/>
        <v>5.1523604893475078E-3</v>
      </c>
      <c r="W42" s="4">
        <f t="shared" si="1"/>
        <v>0</v>
      </c>
      <c r="X42" s="4">
        <f t="shared" si="1"/>
        <v>9.8210467906501876E-3</v>
      </c>
      <c r="Y42" s="4">
        <f t="shared" si="1"/>
        <v>-2.0196664807563451E-3</v>
      </c>
      <c r="Z42" s="4">
        <f t="shared" si="1"/>
        <v>-1.7912153984150265E-2</v>
      </c>
      <c r="AA42" s="4">
        <f t="shared" ref="AA42:AA63" si="2">(M42-M43)/M43</f>
        <v>-3.6660702213122441E-3</v>
      </c>
      <c r="AE42" s="7"/>
      <c r="AF42" s="7"/>
      <c r="AH42" s="15" t="s">
        <v>4</v>
      </c>
      <c r="AI42" s="5">
        <v>0</v>
      </c>
      <c r="AK42" s="3" t="s">
        <v>29</v>
      </c>
      <c r="AL42" s="5">
        <f>SUM(AI36:AI38)</f>
        <v>0.4</v>
      </c>
      <c r="AN42" s="29" t="s">
        <v>35</v>
      </c>
      <c r="AO42" s="27">
        <f>SUM(AO35:AO40)</f>
        <v>0.99999999999999989</v>
      </c>
      <c r="AP42" s="28">
        <f>SUM(AP35:AP41)</f>
        <v>375</v>
      </c>
    </row>
    <row r="43" spans="2:45" x14ac:dyDescent="0.35">
      <c r="B43" s="1">
        <v>42948</v>
      </c>
      <c r="C43" s="2">
        <v>18.0121</v>
      </c>
      <c r="D43" s="2">
        <v>14.0542</v>
      </c>
      <c r="E43" s="2">
        <v>27.858601</v>
      </c>
      <c r="F43" s="2">
        <v>246.712997</v>
      </c>
      <c r="G43" s="2">
        <v>3296.5</v>
      </c>
      <c r="H43" s="2">
        <v>2614.330078</v>
      </c>
      <c r="I43" s="2">
        <v>77.599997999999999</v>
      </c>
      <c r="J43" s="2">
        <v>2713.5500489999999</v>
      </c>
      <c r="K43" s="2">
        <v>267.35998499999999</v>
      </c>
      <c r="L43" s="2">
        <v>588.31701699999996</v>
      </c>
      <c r="M43" s="2">
        <v>46.454101999999999</v>
      </c>
      <c r="P43" s="7"/>
      <c r="Q43" s="4">
        <f t="shared" ref="Q43:Z63" si="3">(C43-C44)/C44</f>
        <v>5.9085349848935044E-3</v>
      </c>
      <c r="R43" s="4">
        <f t="shared" si="3"/>
        <v>6.4738824675230899E-3</v>
      </c>
      <c r="S43" s="4">
        <f t="shared" si="3"/>
        <v>7.2164937271774563E-3</v>
      </c>
      <c r="T43" s="4">
        <f t="shared" si="3"/>
        <v>5.3668398077693358E-3</v>
      </c>
      <c r="U43" s="4">
        <f t="shared" si="3"/>
        <v>5.3646146042697143E-3</v>
      </c>
      <c r="V43" s="4">
        <f t="shared" si="3"/>
        <v>5.3453261050988203E-3</v>
      </c>
      <c r="W43" s="4">
        <f t="shared" si="3"/>
        <v>0</v>
      </c>
      <c r="X43" s="4">
        <f t="shared" si="3"/>
        <v>3.4896359066409262E-2</v>
      </c>
      <c r="Y43" s="4">
        <f t="shared" si="3"/>
        <v>-1.2630231230630815E-2</v>
      </c>
      <c r="Z43" s="4">
        <f t="shared" si="3"/>
        <v>-3.2419465616534374E-2</v>
      </c>
      <c r="AA43" s="4">
        <f t="shared" si="2"/>
        <v>1.2080736823834306E-2</v>
      </c>
      <c r="AB43" s="3"/>
      <c r="AC43" s="3"/>
      <c r="AD43" s="3"/>
      <c r="AE43" s="13"/>
      <c r="AF43" s="7"/>
      <c r="AH43" s="15" t="s">
        <v>3</v>
      </c>
      <c r="AI43" s="5">
        <v>0.3</v>
      </c>
      <c r="AK43" s="3" t="s">
        <v>28</v>
      </c>
      <c r="AL43" s="5">
        <f>SUM(AI39:AI41)</f>
        <v>0</v>
      </c>
    </row>
    <row r="44" spans="2:45" x14ac:dyDescent="0.35">
      <c r="B44" s="1">
        <v>42917</v>
      </c>
      <c r="C44" s="2">
        <v>17.906300000000002</v>
      </c>
      <c r="D44" s="2">
        <v>13.963800000000001</v>
      </c>
      <c r="E44" s="2">
        <v>27.658999999999999</v>
      </c>
      <c r="F44" s="2">
        <v>245.395996</v>
      </c>
      <c r="G44" s="2">
        <v>3278.9099120000001</v>
      </c>
      <c r="H44" s="2">
        <v>2600.429932</v>
      </c>
      <c r="I44" s="2">
        <v>77.599997999999999</v>
      </c>
      <c r="J44" s="2">
        <v>2622.0500489999999</v>
      </c>
      <c r="K44" s="2">
        <v>270.77999899999998</v>
      </c>
      <c r="L44" s="2">
        <v>608.02899200000002</v>
      </c>
      <c r="M44" s="2">
        <v>45.899600999999997</v>
      </c>
      <c r="P44" s="7"/>
      <c r="Q44" s="4">
        <f t="shared" si="3"/>
        <v>9.0898276083502729E-3</v>
      </c>
      <c r="R44" s="4">
        <f t="shared" si="3"/>
        <v>8.9377966922205235E-3</v>
      </c>
      <c r="S44" s="4">
        <f t="shared" si="3"/>
        <v>1.0164130579719642E-2</v>
      </c>
      <c r="T44" s="4">
        <f t="shared" si="3"/>
        <v>5.5317070238457234E-3</v>
      </c>
      <c r="U44" s="4">
        <f t="shared" si="3"/>
        <v>5.5199317018114541E-3</v>
      </c>
      <c r="V44" s="4">
        <f t="shared" si="3"/>
        <v>5.4361187161829829E-3</v>
      </c>
      <c r="W44" s="4">
        <f t="shared" si="3"/>
        <v>0</v>
      </c>
      <c r="X44" s="4">
        <f t="shared" si="3"/>
        <v>-2.5487212553495218E-3</v>
      </c>
      <c r="Y44" s="4">
        <f t="shared" si="3"/>
        <v>2.7511099409976474E-2</v>
      </c>
      <c r="Z44" s="4">
        <f t="shared" si="3"/>
        <v>6.5442723867058974E-2</v>
      </c>
      <c r="AA44" s="4">
        <f t="shared" si="2"/>
        <v>5.0367745182505974E-2</v>
      </c>
      <c r="AB44" s="8"/>
      <c r="AC44" s="8"/>
      <c r="AD44" s="8"/>
      <c r="AE44" s="20"/>
      <c r="AF44" s="7"/>
      <c r="AH44" s="15" t="s">
        <v>18</v>
      </c>
      <c r="AI44" s="5">
        <v>0.1</v>
      </c>
      <c r="AK44" s="3" t="s">
        <v>67</v>
      </c>
      <c r="AL44" s="5">
        <f>SUM(AI44:AI46)</f>
        <v>0.29999999999999993</v>
      </c>
    </row>
    <row r="45" spans="2:45" x14ac:dyDescent="0.35">
      <c r="B45" s="1">
        <v>42887</v>
      </c>
      <c r="C45" s="2">
        <v>17.745000999999998</v>
      </c>
      <c r="D45" s="2">
        <v>13.8401</v>
      </c>
      <c r="E45" s="2">
        <v>27.380699</v>
      </c>
      <c r="F45" s="2">
        <v>244.04600500000001</v>
      </c>
      <c r="G45" s="2">
        <v>3260.9099120000001</v>
      </c>
      <c r="H45" s="2">
        <v>2586.3701169999999</v>
      </c>
      <c r="I45" s="2">
        <v>77.599997999999999</v>
      </c>
      <c r="J45" s="2">
        <v>2628.75</v>
      </c>
      <c r="K45" s="2">
        <v>263.52999899999998</v>
      </c>
      <c r="L45" s="2">
        <v>570.682007</v>
      </c>
      <c r="M45" s="2">
        <v>43.698600999999996</v>
      </c>
      <c r="P45" s="7"/>
      <c r="Q45" s="4">
        <f t="shared" si="3"/>
        <v>9.25368125899333E-3</v>
      </c>
      <c r="R45" s="4">
        <f t="shared" si="3"/>
        <v>8.1217312763136439E-3</v>
      </c>
      <c r="S45" s="4">
        <f t="shared" si="3"/>
        <v>8.9171183586538721E-3</v>
      </c>
      <c r="T45" s="4">
        <f t="shared" si="3"/>
        <v>5.2974543849368776E-3</v>
      </c>
      <c r="U45" s="4">
        <f t="shared" si="3"/>
        <v>5.2901462813102354E-3</v>
      </c>
      <c r="V45" s="4">
        <f t="shared" si="3"/>
        <v>5.2627023897844757E-3</v>
      </c>
      <c r="W45" s="4">
        <f t="shared" si="3"/>
        <v>0</v>
      </c>
      <c r="X45" s="4">
        <f t="shared" si="3"/>
        <v>-1.5523163718311391E-2</v>
      </c>
      <c r="Y45" s="4">
        <f t="shared" si="3"/>
        <v>5.6861164281213922E-3</v>
      </c>
      <c r="Z45" s="4">
        <f t="shared" si="3"/>
        <v>-4.6029660062118965E-3</v>
      </c>
      <c r="AA45" s="4">
        <f t="shared" si="2"/>
        <v>-4.3721990948428708E-3</v>
      </c>
      <c r="AB45" s="8"/>
      <c r="AC45" s="8"/>
      <c r="AD45" s="8"/>
      <c r="AE45" s="20"/>
      <c r="AF45" s="7"/>
      <c r="AH45" s="15" t="s">
        <v>19</v>
      </c>
      <c r="AI45" s="5">
        <v>0</v>
      </c>
      <c r="AK45" s="3" t="s">
        <v>27</v>
      </c>
      <c r="AL45" s="5">
        <f>SUM(AI42:AI43)</f>
        <v>0.3</v>
      </c>
    </row>
    <row r="46" spans="2:45" x14ac:dyDescent="0.35">
      <c r="B46" s="1">
        <v>42856</v>
      </c>
      <c r="C46" s="2">
        <v>17.5823</v>
      </c>
      <c r="D46" s="2">
        <v>13.7286</v>
      </c>
      <c r="E46" s="2">
        <v>27.1387</v>
      </c>
      <c r="F46" s="2">
        <v>242.759995</v>
      </c>
      <c r="G46" s="2">
        <v>3243.75</v>
      </c>
      <c r="H46" s="2">
        <v>2572.830078</v>
      </c>
      <c r="I46" s="2">
        <v>77.599997999999999</v>
      </c>
      <c r="J46" s="2">
        <v>2670.1999510000001</v>
      </c>
      <c r="K46" s="2">
        <v>262.040009</v>
      </c>
      <c r="L46" s="2">
        <v>573.32098399999995</v>
      </c>
      <c r="M46" s="2">
        <v>43.890498999999998</v>
      </c>
      <c r="P46" s="7"/>
      <c r="Q46" s="4">
        <f t="shared" si="3"/>
        <v>8.0091270796785619E-3</v>
      </c>
      <c r="R46" s="4">
        <f t="shared" si="3"/>
        <v>8.3955840550009962E-3</v>
      </c>
      <c r="S46" s="4">
        <f t="shared" si="3"/>
        <v>8.4686814041693061E-3</v>
      </c>
      <c r="T46" s="4">
        <f t="shared" si="3"/>
        <v>5.8337613561570056E-3</v>
      </c>
      <c r="U46" s="4">
        <f t="shared" si="3"/>
        <v>5.8264410185649368E-3</v>
      </c>
      <c r="V46" s="4">
        <f t="shared" si="3"/>
        <v>5.4162835660723626E-3</v>
      </c>
      <c r="W46" s="4">
        <f t="shared" si="3"/>
        <v>0</v>
      </c>
      <c r="X46" s="4">
        <f t="shared" si="3"/>
        <v>-1.0633944215097479E-2</v>
      </c>
      <c r="Y46" s="4">
        <f t="shared" si="3"/>
        <v>-1.5109332594973594E-2</v>
      </c>
      <c r="Z46" s="4">
        <f t="shared" si="3"/>
        <v>1.8793572744258587E-2</v>
      </c>
      <c r="AA46" s="4">
        <f t="shared" si="2"/>
        <v>1.7719998754356429E-2</v>
      </c>
      <c r="AB46" s="8"/>
      <c r="AC46" s="8"/>
      <c r="AD46" s="8"/>
      <c r="AE46" s="20"/>
      <c r="AF46" s="7"/>
      <c r="AH46" s="15" t="s">
        <v>17</v>
      </c>
      <c r="AI46" s="5">
        <v>0.19999999999999996</v>
      </c>
      <c r="AK46" s="3"/>
      <c r="AL46" s="5"/>
    </row>
    <row r="47" spans="2:45" x14ac:dyDescent="0.35">
      <c r="B47" s="1">
        <v>42826</v>
      </c>
      <c r="C47" s="2">
        <v>17.442599999999999</v>
      </c>
      <c r="D47" s="2">
        <v>13.6143</v>
      </c>
      <c r="E47" s="2">
        <v>26.910800999999999</v>
      </c>
      <c r="F47" s="2">
        <v>241.35200499999999</v>
      </c>
      <c r="G47" s="2">
        <v>3224.959961</v>
      </c>
      <c r="H47" s="2">
        <v>2558.969971</v>
      </c>
      <c r="I47" s="2">
        <v>77.599997999999999</v>
      </c>
      <c r="J47" s="2">
        <v>2698.8999020000001</v>
      </c>
      <c r="K47" s="2">
        <v>266.05999800000001</v>
      </c>
      <c r="L47" s="2">
        <v>562.74499500000002</v>
      </c>
      <c r="M47" s="2">
        <v>43.126300999999998</v>
      </c>
      <c r="P47" s="7"/>
      <c r="Q47" s="4">
        <f t="shared" si="3"/>
        <v>4.208584254502541E-3</v>
      </c>
      <c r="R47" s="4">
        <f t="shared" si="3"/>
        <v>4.1525298716625046E-3</v>
      </c>
      <c r="S47" s="4">
        <f t="shared" si="3"/>
        <v>5.1732572407579202E-3</v>
      </c>
      <c r="T47" s="4">
        <f t="shared" si="3"/>
        <v>4.9800919823758246E-3</v>
      </c>
      <c r="U47" s="4">
        <f t="shared" si="3"/>
        <v>4.9985787710161433E-3</v>
      </c>
      <c r="V47" s="4">
        <f t="shared" si="3"/>
        <v>5.2166722215916143E-3</v>
      </c>
      <c r="W47" s="4">
        <f t="shared" si="3"/>
        <v>1.6108169431327649E-2</v>
      </c>
      <c r="X47" s="4">
        <f t="shared" si="3"/>
        <v>1.7090257263883312E-2</v>
      </c>
      <c r="Y47" s="4">
        <f t="shared" si="3"/>
        <v>1.105834720254645E-2</v>
      </c>
      <c r="Z47" s="4">
        <f t="shared" si="3"/>
        <v>3.4897196471570649E-2</v>
      </c>
      <c r="AA47" s="4">
        <f t="shared" si="2"/>
        <v>3.1241181659377094E-2</v>
      </c>
      <c r="AB47" s="8"/>
      <c r="AC47" s="8"/>
      <c r="AD47" s="8"/>
      <c r="AE47" s="20"/>
      <c r="AF47" s="7"/>
      <c r="AH47" s="15"/>
      <c r="AI47" s="2"/>
    </row>
    <row r="48" spans="2:45" x14ac:dyDescent="0.35">
      <c r="B48" s="1">
        <v>42795</v>
      </c>
      <c r="C48" s="2">
        <v>17.369499000000001</v>
      </c>
      <c r="D48" s="2">
        <v>13.558</v>
      </c>
      <c r="E48" s="2">
        <v>26.772300999999999</v>
      </c>
      <c r="F48" s="2">
        <v>240.15600599999999</v>
      </c>
      <c r="G48" s="2">
        <v>3208.919922</v>
      </c>
      <c r="H48" s="2">
        <v>2545.6899410000001</v>
      </c>
      <c r="I48" s="2">
        <v>76.369820000000004</v>
      </c>
      <c r="J48" s="2">
        <v>2653.5500489999999</v>
      </c>
      <c r="K48" s="2">
        <v>263.14999399999999</v>
      </c>
      <c r="L48" s="2">
        <v>543.76898200000005</v>
      </c>
      <c r="M48" s="2">
        <v>41.819800999999998</v>
      </c>
      <c r="P48" s="7"/>
      <c r="Q48" s="4">
        <f t="shared" si="3"/>
        <v>6.1225801967122722E-3</v>
      </c>
      <c r="R48" s="4">
        <f t="shared" si="3"/>
        <v>7.9473054248351098E-3</v>
      </c>
      <c r="S48" s="4">
        <f t="shared" si="3"/>
        <v>7.8718302011805963E-3</v>
      </c>
      <c r="T48" s="4">
        <f t="shared" si="3"/>
        <v>5.7205621677788691E-3</v>
      </c>
      <c r="U48" s="4">
        <f t="shared" si="3"/>
        <v>5.7449667598917578E-3</v>
      </c>
      <c r="V48" s="4">
        <f t="shared" si="3"/>
        <v>5.6530661778985249E-3</v>
      </c>
      <c r="W48" s="4">
        <f t="shared" si="3"/>
        <v>0</v>
      </c>
      <c r="X48" s="4">
        <f t="shared" si="3"/>
        <v>-3.5686363586808413E-2</v>
      </c>
      <c r="Y48" s="4">
        <f t="shared" si="3"/>
        <v>6.4608792994018727E-2</v>
      </c>
      <c r="Z48" s="4">
        <f t="shared" si="3"/>
        <v>3.8853136086498534E-2</v>
      </c>
      <c r="AA48" s="4">
        <f t="shared" si="2"/>
        <v>3.2233380833901953E-2</v>
      </c>
      <c r="AE48" s="7"/>
      <c r="AF48" s="7"/>
    </row>
    <row r="49" spans="2:35" x14ac:dyDescent="0.35">
      <c r="B49" s="1">
        <v>42767</v>
      </c>
      <c r="C49" s="2">
        <v>17.2638</v>
      </c>
      <c r="D49" s="2">
        <v>13.4511</v>
      </c>
      <c r="E49" s="2">
        <v>26.563199999999998</v>
      </c>
      <c r="F49" s="2">
        <v>238.78999300000001</v>
      </c>
      <c r="G49" s="2">
        <v>3190.5900879999999</v>
      </c>
      <c r="H49" s="2">
        <v>2531.3798830000001</v>
      </c>
      <c r="I49" s="2">
        <v>76.369820000000004</v>
      </c>
      <c r="J49" s="2">
        <v>2751.75</v>
      </c>
      <c r="K49" s="2">
        <v>247.179993</v>
      </c>
      <c r="L49" s="2">
        <v>523.432007</v>
      </c>
      <c r="M49" s="2">
        <v>40.513900999999997</v>
      </c>
      <c r="P49" s="7"/>
      <c r="Q49" s="4">
        <f t="shared" si="3"/>
        <v>1.6012810248198341E-3</v>
      </c>
      <c r="R49" s="4">
        <f t="shared" si="3"/>
        <v>-1.5513657957244101E-3</v>
      </c>
      <c r="S49" s="4">
        <f t="shared" si="3"/>
        <v>1.8178767421412622E-3</v>
      </c>
      <c r="T49" s="4">
        <f t="shared" si="3"/>
        <v>5.0337930680183791E-3</v>
      </c>
      <c r="U49" s="4">
        <f t="shared" si="3"/>
        <v>5.0336830229211994E-3</v>
      </c>
      <c r="V49" s="4">
        <f t="shared" si="3"/>
        <v>4.9545362997913808E-3</v>
      </c>
      <c r="W49" s="4">
        <f t="shared" si="3"/>
        <v>0</v>
      </c>
      <c r="X49" s="4">
        <f t="shared" si="3"/>
        <v>1.8223866790009251E-2</v>
      </c>
      <c r="Y49" s="4">
        <f t="shared" si="3"/>
        <v>4.5954577176362352E-2</v>
      </c>
      <c r="Z49" s="4">
        <f t="shared" si="3"/>
        <v>3.5748368721372457E-2</v>
      </c>
      <c r="AA49" s="4">
        <f t="shared" si="2"/>
        <v>5.437407427465922E-2</v>
      </c>
      <c r="AE49" s="7"/>
      <c r="AF49" s="7"/>
      <c r="AH49" s="3" t="s">
        <v>24</v>
      </c>
      <c r="AI49" s="2">
        <f>SUM(AI36:AI46)</f>
        <v>0.99999999999999989</v>
      </c>
    </row>
    <row r="50" spans="2:35" x14ac:dyDescent="0.35">
      <c r="B50" s="1">
        <v>42736</v>
      </c>
      <c r="C50" s="2">
        <v>17.2362</v>
      </c>
      <c r="D50" s="2">
        <v>13.472</v>
      </c>
      <c r="E50" s="2">
        <v>26.514999</v>
      </c>
      <c r="F50" s="2">
        <v>237.59399400000001</v>
      </c>
      <c r="G50" s="2">
        <v>3174.610107</v>
      </c>
      <c r="H50" s="2">
        <v>2518.8999020000001</v>
      </c>
      <c r="I50" s="2">
        <v>76.369820000000004</v>
      </c>
      <c r="J50" s="2">
        <v>2702.5</v>
      </c>
      <c r="K50" s="2">
        <v>236.320007</v>
      </c>
      <c r="L50" s="2">
        <v>505.36599699999999</v>
      </c>
      <c r="M50" s="2">
        <v>38.424599000000001</v>
      </c>
      <c r="P50" s="7"/>
      <c r="Q50" s="4">
        <f t="shared" si="3"/>
        <v>1.0245408363053852E-2</v>
      </c>
      <c r="R50" s="4">
        <f t="shared" si="3"/>
        <v>1.3061819931871006E-2</v>
      </c>
      <c r="S50" s="4">
        <f t="shared" si="3"/>
        <v>1.2405412732291916E-2</v>
      </c>
      <c r="T50" s="4">
        <f t="shared" si="3"/>
        <v>5.6803540527925736E-3</v>
      </c>
      <c r="U50" s="4">
        <f t="shared" si="3"/>
        <v>5.7278333593828636E-3</v>
      </c>
      <c r="V50" s="4">
        <f t="shared" si="3"/>
        <v>5.4404842157493982E-3</v>
      </c>
      <c r="W50" s="4">
        <f t="shared" si="3"/>
        <v>0</v>
      </c>
      <c r="X50" s="4">
        <f t="shared" si="3"/>
        <v>3.6771373833692486E-2</v>
      </c>
      <c r="Y50" s="4">
        <f t="shared" si="3"/>
        <v>4.2067237155248426E-2</v>
      </c>
      <c r="Z50" s="4">
        <f t="shared" si="3"/>
        <v>5.9674073192964319E-2</v>
      </c>
      <c r="AA50" s="4">
        <f t="shared" si="2"/>
        <v>4.9763517297715304E-2</v>
      </c>
      <c r="AE50" s="7"/>
      <c r="AF50" s="7"/>
      <c r="AH50" s="3" t="s">
        <v>22</v>
      </c>
      <c r="AI50" s="8">
        <f t="array" ref="AI50">MMULT(TRANSPOSE(AI36:AI46), AI4:AI14)</f>
        <v>0.10328242260994694</v>
      </c>
    </row>
    <row r="51" spans="2:35" x14ac:dyDescent="0.35">
      <c r="B51" s="1">
        <v>42705</v>
      </c>
      <c r="C51" s="2">
        <v>17.061399000000002</v>
      </c>
      <c r="D51" s="2">
        <v>13.298299999999999</v>
      </c>
      <c r="E51" s="2">
        <v>26.190100000000001</v>
      </c>
      <c r="F51" s="2">
        <v>236.25199900000001</v>
      </c>
      <c r="G51" s="2">
        <v>3156.530029</v>
      </c>
      <c r="H51" s="2">
        <v>2505.2700199999999</v>
      </c>
      <c r="I51" s="2">
        <v>76.369820000000004</v>
      </c>
      <c r="J51" s="2">
        <v>2606.6499020000001</v>
      </c>
      <c r="K51" s="2">
        <v>226.779999</v>
      </c>
      <c r="L51" s="2">
        <v>476.90701300000001</v>
      </c>
      <c r="M51" s="2">
        <v>36.603099999999998</v>
      </c>
      <c r="P51" s="7"/>
      <c r="Q51" s="4">
        <f t="shared" si="3"/>
        <v>-1.422242075082805E-3</v>
      </c>
      <c r="R51" s="4">
        <f t="shared" si="3"/>
        <v>-6.2472444122285004E-3</v>
      </c>
      <c r="S51" s="4">
        <f t="shared" si="3"/>
        <v>-2.9845253053856426E-3</v>
      </c>
      <c r="T51" s="4">
        <f t="shared" si="3"/>
        <v>5.1394333365813042E-3</v>
      </c>
      <c r="U51" s="4">
        <f t="shared" si="3"/>
        <v>5.190718228860405E-3</v>
      </c>
      <c r="V51" s="4">
        <f t="shared" si="3"/>
        <v>5.3008196781986231E-3</v>
      </c>
      <c r="W51" s="4">
        <f t="shared" si="3"/>
        <v>0</v>
      </c>
      <c r="X51" s="4">
        <f t="shared" si="3"/>
        <v>-2.8981746883013481E-2</v>
      </c>
      <c r="Y51" s="4">
        <f t="shared" si="3"/>
        <v>-1.8395879402657141E-2</v>
      </c>
      <c r="Z51" s="4">
        <f t="shared" si="3"/>
        <v>-2.0099040866950302E-2</v>
      </c>
      <c r="AA51" s="4">
        <f t="shared" si="2"/>
        <v>-2.3792404793349521E-2</v>
      </c>
      <c r="AE51" s="7"/>
      <c r="AF51" s="7"/>
      <c r="AH51" s="3" t="s">
        <v>8</v>
      </c>
      <c r="AI51" s="8">
        <f t="array" ref="AI51">SQRT(MMULT(MMULT(TRANSPOSE(AI36:AI46),AM5:AW15), AI36:AI46))</f>
        <v>6.5314604417373495E-2</v>
      </c>
    </row>
    <row r="52" spans="2:35" x14ac:dyDescent="0.35">
      <c r="B52" s="1">
        <v>42675</v>
      </c>
      <c r="C52" s="2">
        <v>17.085699000000002</v>
      </c>
      <c r="D52" s="2">
        <v>13.3819</v>
      </c>
      <c r="E52" s="2">
        <v>26.268498999999998</v>
      </c>
      <c r="F52" s="2">
        <v>235.044006</v>
      </c>
      <c r="G52" s="2">
        <v>3140.2299800000001</v>
      </c>
      <c r="H52" s="2">
        <v>2492.0600589999999</v>
      </c>
      <c r="I52" s="2">
        <v>76.369820000000004</v>
      </c>
      <c r="J52" s="2">
        <v>2684.4499510000001</v>
      </c>
      <c r="K52" s="2">
        <v>231.029999</v>
      </c>
      <c r="L52" s="2">
        <v>486.68899499999998</v>
      </c>
      <c r="M52" s="2">
        <v>37.495201000000002</v>
      </c>
      <c r="P52" s="7"/>
      <c r="Q52" s="4">
        <f t="shared" si="3"/>
        <v>1.495182369015101E-2</v>
      </c>
      <c r="R52" s="4">
        <f t="shared" si="3"/>
        <v>1.9386931151637046E-2</v>
      </c>
      <c r="S52" s="4">
        <f t="shared" si="3"/>
        <v>1.8411505179579315E-2</v>
      </c>
      <c r="T52" s="4">
        <f t="shared" si="3"/>
        <v>5.7208598556275385E-3</v>
      </c>
      <c r="U52" s="4">
        <f t="shared" si="3"/>
        <v>5.6298587903627108E-3</v>
      </c>
      <c r="V52" s="4">
        <f t="shared" si="3"/>
        <v>5.4385900700360396E-3</v>
      </c>
      <c r="W52" s="4">
        <f t="shared" si="3"/>
        <v>0</v>
      </c>
      <c r="X52" s="4">
        <f t="shared" si="3"/>
        <v>-5.3771606979203364E-2</v>
      </c>
      <c r="Y52" s="4">
        <f t="shared" si="3"/>
        <v>-5.7020412244897942E-2</v>
      </c>
      <c r="Z52" s="4">
        <f t="shared" si="3"/>
        <v>-4.8158356188675651E-2</v>
      </c>
      <c r="AA52" s="4">
        <f t="shared" si="2"/>
        <v>-5.1731457756980855E-2</v>
      </c>
      <c r="AE52" s="7"/>
      <c r="AF52" s="7"/>
      <c r="AH52" s="3" t="s">
        <v>9</v>
      </c>
      <c r="AI52" s="2">
        <f>(AI50-AM18)/AI51</f>
        <v>0.67645548808061895</v>
      </c>
    </row>
    <row r="53" spans="2:35" x14ac:dyDescent="0.35">
      <c r="B53" s="1">
        <v>42644</v>
      </c>
      <c r="C53" s="2">
        <v>16.834</v>
      </c>
      <c r="D53" s="2">
        <v>13.1274</v>
      </c>
      <c r="E53" s="2">
        <v>25.793600000000001</v>
      </c>
      <c r="F53" s="2">
        <v>233.70700099999999</v>
      </c>
      <c r="G53" s="2">
        <v>3122.6499020000001</v>
      </c>
      <c r="H53" s="2">
        <v>2478.580078</v>
      </c>
      <c r="I53" s="2">
        <v>76.369820000000004</v>
      </c>
      <c r="J53" s="2">
        <v>2837</v>
      </c>
      <c r="K53" s="2">
        <v>245</v>
      </c>
      <c r="L53" s="2">
        <v>511.31298800000002</v>
      </c>
      <c r="M53" s="2">
        <v>39.540698999999996</v>
      </c>
      <c r="P53" s="7"/>
      <c r="Q53" s="4">
        <f t="shared" si="3"/>
        <v>6.9386290226103398E-3</v>
      </c>
      <c r="R53" s="4">
        <f t="shared" si="3"/>
        <v>6.4940541452306487E-3</v>
      </c>
      <c r="S53" s="4">
        <f t="shared" si="3"/>
        <v>6.3595858075893756E-3</v>
      </c>
      <c r="T53" s="4">
        <f t="shared" si="3"/>
        <v>5.7321183431952279E-3</v>
      </c>
      <c r="U53" s="4">
        <f t="shared" si="3"/>
        <v>5.8301050762026765E-3</v>
      </c>
      <c r="V53" s="4">
        <f t="shared" si="3"/>
        <v>5.6111483923318621E-3</v>
      </c>
      <c r="W53" s="4">
        <f t="shared" si="3"/>
        <v>0</v>
      </c>
      <c r="X53" s="4">
        <f t="shared" si="3"/>
        <v>-3.1955335891908972E-2</v>
      </c>
      <c r="Y53" s="4">
        <f t="shared" si="3"/>
        <v>2.0918426884214133E-2</v>
      </c>
      <c r="Z53" s="4">
        <f t="shared" si="3"/>
        <v>2.5758659357817411E-2</v>
      </c>
      <c r="AA53" s="4">
        <f t="shared" si="2"/>
        <v>2.7036424758755742E-2</v>
      </c>
      <c r="AE53" s="7"/>
      <c r="AF53" s="7"/>
    </row>
    <row r="54" spans="2:35" x14ac:dyDescent="0.35">
      <c r="B54" s="1">
        <v>42614</v>
      </c>
      <c r="C54" s="2">
        <v>16.718</v>
      </c>
      <c r="D54" s="2">
        <v>13.0427</v>
      </c>
      <c r="E54" s="2">
        <v>25.630600000000001</v>
      </c>
      <c r="F54" s="2">
        <v>232.375</v>
      </c>
      <c r="G54" s="2">
        <v>3104.5500489999999</v>
      </c>
      <c r="H54" s="2">
        <v>2464.75</v>
      </c>
      <c r="I54" s="2">
        <v>76.369820000000004</v>
      </c>
      <c r="J54" s="2">
        <v>2930.6499020000001</v>
      </c>
      <c r="K54" s="2">
        <v>239.979996</v>
      </c>
      <c r="L54" s="2">
        <v>498.47299199999998</v>
      </c>
      <c r="M54" s="2">
        <v>38.499802000000003</v>
      </c>
      <c r="P54" s="7"/>
      <c r="Q54" s="4">
        <f t="shared" si="3"/>
        <v>9.8032701728104719E-3</v>
      </c>
      <c r="R54" s="4">
        <f t="shared" si="3"/>
        <v>1.1728658418337612E-2</v>
      </c>
      <c r="S54" s="4">
        <f t="shared" si="3"/>
        <v>9.523884547517068E-3</v>
      </c>
      <c r="T54" s="4">
        <f t="shared" si="3"/>
        <v>5.6693916805280941E-3</v>
      </c>
      <c r="U54" s="4">
        <f t="shared" si="3"/>
        <v>5.6557989894333209E-3</v>
      </c>
      <c r="V54" s="4">
        <f t="shared" si="3"/>
        <v>5.5894211566954646E-3</v>
      </c>
      <c r="W54" s="4">
        <f t="shared" si="3"/>
        <v>0</v>
      </c>
      <c r="X54" s="4">
        <f t="shared" si="3"/>
        <v>1.6527888310787414E-2</v>
      </c>
      <c r="Y54" s="4">
        <f t="shared" si="3"/>
        <v>-1.9962196873760819E-3</v>
      </c>
      <c r="Z54" s="4">
        <f t="shared" si="3"/>
        <v>-1.0981582025459476E-3</v>
      </c>
      <c r="AA54" s="4">
        <f t="shared" si="2"/>
        <v>-1.3270908172954985E-2</v>
      </c>
      <c r="AE54" s="7"/>
      <c r="AF54" s="7"/>
      <c r="AH54" s="3"/>
    </row>
    <row r="55" spans="2:35" x14ac:dyDescent="0.35">
      <c r="B55" s="1">
        <v>42583</v>
      </c>
      <c r="C55" s="2">
        <v>16.555700000000002</v>
      </c>
      <c r="D55" s="2">
        <v>12.891500000000001</v>
      </c>
      <c r="E55" s="2">
        <v>25.3888</v>
      </c>
      <c r="F55" s="2">
        <v>231.06500199999999</v>
      </c>
      <c r="G55" s="2">
        <v>3087.0900879999999</v>
      </c>
      <c r="H55" s="2">
        <v>2451.0500489999999</v>
      </c>
      <c r="I55" s="2">
        <v>76.369820000000004</v>
      </c>
      <c r="J55" s="2">
        <v>2883</v>
      </c>
      <c r="K55" s="2">
        <v>240.46000699999999</v>
      </c>
      <c r="L55" s="2">
        <v>499.02099600000003</v>
      </c>
      <c r="M55" s="2">
        <v>39.017600999999999</v>
      </c>
      <c r="P55" s="7"/>
      <c r="Q55" s="4">
        <f t="shared" si="3"/>
        <v>1.064017792375385E-2</v>
      </c>
      <c r="R55" s="4">
        <f t="shared" si="3"/>
        <v>1.1185278729929627E-2</v>
      </c>
      <c r="S55" s="4">
        <f t="shared" si="3"/>
        <v>1.1199836352332987E-2</v>
      </c>
      <c r="T55" s="4">
        <f t="shared" si="3"/>
        <v>5.9250471460019702E-3</v>
      </c>
      <c r="U55" s="4">
        <f t="shared" si="3"/>
        <v>5.9665596187962909E-3</v>
      </c>
      <c r="V55" s="4">
        <f t="shared" si="3"/>
        <v>5.82717460202185E-3</v>
      </c>
      <c r="W55" s="4">
        <f t="shared" si="3"/>
        <v>0</v>
      </c>
      <c r="X55" s="4">
        <f t="shared" si="3"/>
        <v>1.9113814074717638E-3</v>
      </c>
      <c r="Y55" s="4">
        <f t="shared" si="3"/>
        <v>4.3572645981882173E-2</v>
      </c>
      <c r="Z55" s="4">
        <f t="shared" si="3"/>
        <v>2.9030222527619907E-2</v>
      </c>
      <c r="AA55" s="4">
        <f t="shared" si="2"/>
        <v>1.7718626483663239E-2</v>
      </c>
      <c r="AE55" s="7"/>
      <c r="AF55" s="7"/>
    </row>
    <row r="56" spans="2:35" x14ac:dyDescent="0.35">
      <c r="B56" s="1">
        <v>42552</v>
      </c>
      <c r="C56" s="2">
        <v>16.381398999999998</v>
      </c>
      <c r="D56" s="2">
        <v>12.748900000000001</v>
      </c>
      <c r="E56" s="2">
        <v>25.107599</v>
      </c>
      <c r="F56" s="2">
        <v>229.70399499999999</v>
      </c>
      <c r="G56" s="2">
        <v>3068.780029</v>
      </c>
      <c r="H56" s="2">
        <v>2436.8500979999999</v>
      </c>
      <c r="I56" s="2">
        <v>76.369820000000004</v>
      </c>
      <c r="J56" s="2">
        <v>2877.5</v>
      </c>
      <c r="K56" s="2">
        <v>230.41999799999999</v>
      </c>
      <c r="L56" s="2">
        <v>484.942993</v>
      </c>
      <c r="M56" s="2">
        <v>38.338298999999999</v>
      </c>
      <c r="P56" s="7"/>
      <c r="Q56" s="4">
        <f t="shared" si="3"/>
        <v>1.4284148674670309E-2</v>
      </c>
      <c r="R56" s="4">
        <f t="shared" si="3"/>
        <v>1.6447945402069793E-2</v>
      </c>
      <c r="S56" s="4">
        <f t="shared" si="3"/>
        <v>1.3175364014323954E-2</v>
      </c>
      <c r="T56" s="4">
        <f t="shared" si="3"/>
        <v>6.1630158017364862E-3</v>
      </c>
      <c r="U56" s="4">
        <f t="shared" si="3"/>
        <v>6.2134448527791245E-3</v>
      </c>
      <c r="V56" s="4">
        <f t="shared" si="3"/>
        <v>6.1147044481207726E-3</v>
      </c>
      <c r="W56" s="4">
        <f t="shared" si="3"/>
        <v>0</v>
      </c>
      <c r="X56" s="4">
        <f t="shared" si="3"/>
        <v>9.8617600078796837E-3</v>
      </c>
      <c r="Y56" s="4">
        <f t="shared" si="3"/>
        <v>3.7180382837947765E-2</v>
      </c>
      <c r="Z56" s="4">
        <f t="shared" si="3"/>
        <v>5.3939808350746049E-2</v>
      </c>
      <c r="AA56" s="4">
        <f t="shared" si="2"/>
        <v>5.608460224516363E-2</v>
      </c>
      <c r="AE56" s="7"/>
      <c r="AF56" s="7"/>
    </row>
    <row r="57" spans="2:35" x14ac:dyDescent="0.35">
      <c r="B57" s="1">
        <v>42522</v>
      </c>
      <c r="C57" s="2">
        <v>16.150700000000001</v>
      </c>
      <c r="D57" s="2">
        <v>12.5426</v>
      </c>
      <c r="E57" s="2">
        <v>24.781099000000001</v>
      </c>
      <c r="F57" s="2">
        <v>228.296997</v>
      </c>
      <c r="G57" s="2">
        <v>3049.830078</v>
      </c>
      <c r="H57" s="2">
        <v>2422.040039</v>
      </c>
      <c r="I57" s="2">
        <v>76.369820000000004</v>
      </c>
      <c r="J57" s="2">
        <v>2849.3999020000001</v>
      </c>
      <c r="K57" s="2">
        <v>222.16000399999999</v>
      </c>
      <c r="L57" s="2">
        <v>460.12399299999998</v>
      </c>
      <c r="M57" s="2">
        <v>36.302298999999998</v>
      </c>
      <c r="P57" s="7"/>
      <c r="Q57" s="4">
        <f t="shared" si="3"/>
        <v>7.5735679303795128E-3</v>
      </c>
      <c r="R57" s="4">
        <f t="shared" si="3"/>
        <v>7.1950534007870224E-3</v>
      </c>
      <c r="S57" s="4">
        <f t="shared" si="3"/>
        <v>8.8914899420666927E-3</v>
      </c>
      <c r="T57" s="4">
        <f t="shared" si="3"/>
        <v>6.3298894505406838E-3</v>
      </c>
      <c r="U57" s="4">
        <f t="shared" si="3"/>
        <v>6.2888499867106472E-3</v>
      </c>
      <c r="V57" s="4">
        <f t="shared" si="3"/>
        <v>6.1439563817634142E-3</v>
      </c>
      <c r="W57" s="4">
        <f t="shared" si="3"/>
        <v>0</v>
      </c>
      <c r="X57" s="4">
        <f t="shared" si="3"/>
        <v>6.1940948880108281E-2</v>
      </c>
      <c r="Y57" s="4">
        <f t="shared" si="3"/>
        <v>7.0702195992524988E-2</v>
      </c>
      <c r="Z57" s="4">
        <f t="shared" si="3"/>
        <v>2.8154928821725947E-2</v>
      </c>
      <c r="AA57" s="4">
        <f t="shared" si="2"/>
        <v>3.4784161827029189E-2</v>
      </c>
      <c r="AE57" s="7"/>
      <c r="AF57" s="7"/>
    </row>
    <row r="58" spans="2:35" x14ac:dyDescent="0.35">
      <c r="B58" s="1">
        <v>42491</v>
      </c>
      <c r="C58" s="2">
        <v>16.029301</v>
      </c>
      <c r="D58" s="2">
        <v>12.452999999999999</v>
      </c>
      <c r="E58" s="2">
        <v>24.5627</v>
      </c>
      <c r="F58" s="2">
        <v>226.86099200000001</v>
      </c>
      <c r="G58" s="2">
        <v>3030.7700199999999</v>
      </c>
      <c r="H58" s="2">
        <v>2407.25</v>
      </c>
      <c r="I58" s="2">
        <v>76.369820000000004</v>
      </c>
      <c r="J58" s="2">
        <v>2683.1999510000001</v>
      </c>
      <c r="K58" s="2">
        <v>207.490005</v>
      </c>
      <c r="L58" s="2">
        <v>447.52398699999998</v>
      </c>
      <c r="M58" s="2">
        <v>35.082000999999998</v>
      </c>
      <c r="P58" s="7"/>
      <c r="Q58" s="4">
        <f t="shared" si="3"/>
        <v>5.1419989590714412E-3</v>
      </c>
      <c r="R58" s="4">
        <f t="shared" si="3"/>
        <v>5.3768649486533072E-3</v>
      </c>
      <c r="S58" s="4">
        <f t="shared" si="3"/>
        <v>6.6763254894025136E-3</v>
      </c>
      <c r="T58" s="4">
        <f t="shared" si="3"/>
        <v>6.8525277415706657E-3</v>
      </c>
      <c r="U58" s="4">
        <f t="shared" si="3"/>
        <v>6.8802484316144406E-3</v>
      </c>
      <c r="V58" s="4">
        <f t="shared" si="3"/>
        <v>6.6026775515812108E-3</v>
      </c>
      <c r="W58" s="4">
        <f t="shared" si="3"/>
        <v>0</v>
      </c>
      <c r="X58" s="4">
        <f t="shared" si="3"/>
        <v>-4.1611601971271381E-2</v>
      </c>
      <c r="Y58" s="4">
        <f t="shared" si="3"/>
        <v>1.6111694653942625E-2</v>
      </c>
      <c r="Z58" s="4">
        <f t="shared" si="3"/>
        <v>4.3500507199171708E-2</v>
      </c>
      <c r="AA58" s="4">
        <f t="shared" si="2"/>
        <v>3.6022435871122457E-2</v>
      </c>
      <c r="AE58" s="7"/>
      <c r="AF58" s="7"/>
    </row>
    <row r="59" spans="2:35" x14ac:dyDescent="0.35">
      <c r="B59" s="1">
        <v>42461</v>
      </c>
      <c r="C59" s="2">
        <v>15.9473</v>
      </c>
      <c r="D59" s="2">
        <v>12.3864</v>
      </c>
      <c r="E59" s="2">
        <v>24.399799000000002</v>
      </c>
      <c r="F59" s="2">
        <v>225.317001</v>
      </c>
      <c r="G59" s="2">
        <v>3010.0600589999999</v>
      </c>
      <c r="H59" s="2">
        <v>2391.459961</v>
      </c>
      <c r="I59" s="2">
        <v>76.369820000000004</v>
      </c>
      <c r="J59" s="2">
        <v>2799.6999510000001</v>
      </c>
      <c r="K59" s="2">
        <v>204.199997</v>
      </c>
      <c r="L59" s="2">
        <v>428.86801100000002</v>
      </c>
      <c r="M59" s="2">
        <v>33.862202000000003</v>
      </c>
      <c r="P59" s="7"/>
      <c r="Q59" s="4">
        <f t="shared" si="3"/>
        <v>9.9747938542603855E-3</v>
      </c>
      <c r="R59" s="4">
        <f t="shared" si="3"/>
        <v>9.3384833520754381E-3</v>
      </c>
      <c r="S59" s="4">
        <f t="shared" si="3"/>
        <v>9.8167829620984647E-3</v>
      </c>
      <c r="T59" s="4">
        <f t="shared" si="3"/>
        <v>6.5354962335183488E-3</v>
      </c>
      <c r="U59" s="4">
        <f t="shared" si="3"/>
        <v>6.641732434434066E-3</v>
      </c>
      <c r="V59" s="4">
        <f t="shared" si="3"/>
        <v>6.4727965788702107E-3</v>
      </c>
      <c r="W59" s="4">
        <f t="shared" si="3"/>
        <v>0</v>
      </c>
      <c r="X59" s="4">
        <f t="shared" si="3"/>
        <v>6.5720065769481695E-2</v>
      </c>
      <c r="Y59" s="4">
        <f t="shared" si="3"/>
        <v>3.6863993735513439E-2</v>
      </c>
      <c r="Z59" s="4">
        <f t="shared" si="3"/>
        <v>2.9198447618755306E-2</v>
      </c>
      <c r="AA59" s="4">
        <f t="shared" si="2"/>
        <v>1.754599791617981E-2</v>
      </c>
      <c r="AE59" s="7"/>
      <c r="AF59" s="7"/>
    </row>
    <row r="60" spans="2:35" x14ac:dyDescent="0.35">
      <c r="B60" s="1">
        <v>42430</v>
      </c>
      <c r="C60" s="2">
        <v>15.7898</v>
      </c>
      <c r="D60" s="2">
        <v>12.271800000000001</v>
      </c>
      <c r="E60" s="2">
        <v>24.162600000000001</v>
      </c>
      <c r="F60" s="2">
        <v>223.854004</v>
      </c>
      <c r="G60" s="2">
        <v>2990.1999510000001</v>
      </c>
      <c r="H60" s="2">
        <v>2376.080078</v>
      </c>
      <c r="I60" s="2">
        <v>76.369820000000004</v>
      </c>
      <c r="J60" s="2">
        <v>2627.0500489999999</v>
      </c>
      <c r="K60" s="2">
        <v>196.94000199999999</v>
      </c>
      <c r="L60" s="2">
        <v>416.70098899999999</v>
      </c>
      <c r="M60" s="2">
        <v>33.278300999999999</v>
      </c>
      <c r="P60" s="7"/>
      <c r="Q60" s="4">
        <f t="shared" si="3"/>
        <v>1.2991345518466878E-2</v>
      </c>
      <c r="R60" s="4">
        <f t="shared" si="3"/>
        <v>1.5524403766902365E-2</v>
      </c>
      <c r="S60" s="4">
        <f t="shared" si="3"/>
        <v>1.5149987396017209E-2</v>
      </c>
      <c r="T60" s="4">
        <f t="shared" si="3"/>
        <v>7.6206401578278364E-3</v>
      </c>
      <c r="U60" s="4">
        <f t="shared" si="3"/>
        <v>7.5918244252771768E-3</v>
      </c>
      <c r="V60" s="4">
        <f t="shared" si="3"/>
        <v>8.1121942317118282E-3</v>
      </c>
      <c r="W60" s="4">
        <f t="shared" si="3"/>
        <v>0</v>
      </c>
      <c r="X60" s="4">
        <f t="shared" si="3"/>
        <v>-2.8816987430683939E-2</v>
      </c>
      <c r="Y60" s="4">
        <f t="shared" si="3"/>
        <v>9.7770393459433461E-2</v>
      </c>
      <c r="Z60" s="4">
        <f t="shared" si="3"/>
        <v>0.15446266860856786</v>
      </c>
      <c r="AA60" s="4">
        <f t="shared" si="2"/>
        <v>0.13171868145321722</v>
      </c>
      <c r="AE60" s="7"/>
      <c r="AF60" s="7"/>
    </row>
    <row r="61" spans="2:35" x14ac:dyDescent="0.35">
      <c r="B61" s="1">
        <v>42401</v>
      </c>
      <c r="C61" s="2">
        <v>15.587300000000001</v>
      </c>
      <c r="D61" s="2">
        <v>12.084199999999999</v>
      </c>
      <c r="E61" s="2">
        <v>23.802</v>
      </c>
      <c r="F61" s="2">
        <v>222.16099500000001</v>
      </c>
      <c r="G61" s="2">
        <v>2967.669922</v>
      </c>
      <c r="H61" s="2">
        <v>2356.959961</v>
      </c>
      <c r="I61" s="2">
        <v>76.369820000000004</v>
      </c>
      <c r="J61" s="2">
        <v>2705</v>
      </c>
      <c r="K61" s="2">
        <v>179.39999399999999</v>
      </c>
      <c r="L61" s="2">
        <v>360.94799799999998</v>
      </c>
      <c r="M61" s="2">
        <v>29.405100000000001</v>
      </c>
      <c r="P61" s="7"/>
      <c r="Q61" s="4">
        <f t="shared" si="3"/>
        <v>-3.5161069663668205E-3</v>
      </c>
      <c r="R61" s="4">
        <f t="shared" si="3"/>
        <v>3.4044107878303601E-3</v>
      </c>
      <c r="S61" s="4">
        <f t="shared" si="3"/>
        <v>5.6446570110358658E-3</v>
      </c>
      <c r="T61" s="4">
        <f t="shared" si="3"/>
        <v>6.0409235472279202E-3</v>
      </c>
      <c r="U61" s="4">
        <f t="shared" si="3"/>
        <v>6.0682364654313327E-3</v>
      </c>
      <c r="V61" s="4">
        <f t="shared" si="3"/>
        <v>5.9538588996468078E-3</v>
      </c>
      <c r="W61" s="4">
        <f t="shared" si="3"/>
        <v>0</v>
      </c>
      <c r="X61" s="4">
        <f t="shared" si="3"/>
        <v>8.6192661093066975E-2</v>
      </c>
      <c r="Y61" s="4">
        <f t="shared" si="3"/>
        <v>-6.9502120287830135E-2</v>
      </c>
      <c r="Z61" s="4">
        <f t="shared" si="3"/>
        <v>-0.11105746422404511</v>
      </c>
      <c r="AA61" s="4">
        <f t="shared" si="2"/>
        <v>-9.0517946489604498E-2</v>
      </c>
      <c r="AE61" s="7"/>
      <c r="AF61" s="7"/>
    </row>
    <row r="62" spans="2:35" x14ac:dyDescent="0.35">
      <c r="B62" s="1">
        <v>42370</v>
      </c>
      <c r="C62" s="2">
        <v>15.642300000000001</v>
      </c>
      <c r="D62" s="2">
        <v>12.043200000000001</v>
      </c>
      <c r="E62" s="2">
        <v>23.668399999999998</v>
      </c>
      <c r="F62" s="2">
        <v>220.82699600000001</v>
      </c>
      <c r="G62" s="2">
        <v>2949.7700199999999</v>
      </c>
      <c r="H62" s="2">
        <v>2343.01001</v>
      </c>
      <c r="I62" s="2">
        <v>76.369820000000004</v>
      </c>
      <c r="J62" s="2">
        <v>2490.3500979999999</v>
      </c>
      <c r="K62" s="2">
        <v>192.800003</v>
      </c>
      <c r="L62" s="2">
        <v>406.04199199999999</v>
      </c>
      <c r="M62" s="2">
        <v>32.331699</v>
      </c>
      <c r="P62" s="7"/>
      <c r="Q62" s="4">
        <f t="shared" si="3"/>
        <v>4.3210272873195022E-3</v>
      </c>
      <c r="R62" s="4">
        <f t="shared" si="3"/>
        <v>4.8560700876096076E-3</v>
      </c>
      <c r="S62" s="4">
        <f t="shared" si="3"/>
        <v>6.0357725788900756E-3</v>
      </c>
      <c r="T62" s="4">
        <f t="shared" si="3"/>
        <v>6.2976552480868446E-3</v>
      </c>
      <c r="U62" s="4">
        <f t="shared" si="3"/>
        <v>6.366159004206921E-3</v>
      </c>
      <c r="V62" s="4">
        <f t="shared" si="3"/>
        <v>6.253112287746102E-3</v>
      </c>
      <c r="W62" s="4">
        <f t="shared" si="3"/>
        <v>0</v>
      </c>
      <c r="X62" s="4">
        <f t="shared" si="3"/>
        <v>4.9540646734873676E-2</v>
      </c>
      <c r="Y62" s="4">
        <f t="shared" si="3"/>
        <v>-5.3370624572795393E-2</v>
      </c>
      <c r="Z62" s="4">
        <f t="shared" si="3"/>
        <v>-8.6745674413947316E-2</v>
      </c>
      <c r="AA62" s="4">
        <f t="shared" si="2"/>
        <v>-5.5247497099925796E-2</v>
      </c>
      <c r="AE62" s="7"/>
      <c r="AF62" s="7"/>
    </row>
    <row r="63" spans="2:35" x14ac:dyDescent="0.35">
      <c r="B63" s="1">
        <v>42339</v>
      </c>
      <c r="C63" s="2">
        <v>15.574999999999999</v>
      </c>
      <c r="D63" s="2">
        <v>11.984999999999999</v>
      </c>
      <c r="E63" s="2">
        <v>23.526399999999999</v>
      </c>
      <c r="F63" s="2">
        <v>219.445007</v>
      </c>
      <c r="G63" s="2">
        <v>2931.110107</v>
      </c>
      <c r="H63" s="2">
        <v>2328.4499510000001</v>
      </c>
      <c r="I63" s="2">
        <v>76.369820000000004</v>
      </c>
      <c r="J63" s="2">
        <v>2372.8000489999999</v>
      </c>
      <c r="K63" s="2">
        <v>203.66999799999999</v>
      </c>
      <c r="L63" s="2">
        <v>444.60998499999999</v>
      </c>
      <c r="M63" s="2">
        <v>34.222400999999998</v>
      </c>
      <c r="P63" s="7"/>
      <c r="Q63" s="4">
        <f t="shared" si="3"/>
        <v>4.4110249829104175E-3</v>
      </c>
      <c r="R63" s="4">
        <f t="shared" si="3"/>
        <v>7.5238535580681139E-3</v>
      </c>
      <c r="S63" s="4">
        <f t="shared" si="3"/>
        <v>5.2728282698799381E-3</v>
      </c>
      <c r="T63" s="4">
        <f t="shared" si="3"/>
        <v>6.3330583299640933E-3</v>
      </c>
      <c r="U63" s="4">
        <f t="shared" si="3"/>
        <v>6.3931951917197615E-3</v>
      </c>
      <c r="V63" s="4">
        <f t="shared" si="3"/>
        <v>6.3184730542689823E-3</v>
      </c>
      <c r="W63" s="4">
        <f t="shared" si="3"/>
        <v>7.0242646345220587E-3</v>
      </c>
      <c r="X63" s="4">
        <f t="shared" si="3"/>
        <v>4.3598091005290773E-3</v>
      </c>
      <c r="Y63" s="4">
        <f t="shared" si="3"/>
        <v>-1.8457840963855457E-2</v>
      </c>
      <c r="Z63" s="4">
        <f t="shared" si="3"/>
        <v>-2.2181916466063406E-2</v>
      </c>
      <c r="AA63" s="4">
        <f t="shared" si="2"/>
        <v>2.0440201688289465E-2</v>
      </c>
      <c r="AE63" s="7"/>
      <c r="AF63" s="7"/>
    </row>
    <row r="64" spans="2:35" x14ac:dyDescent="0.35">
      <c r="B64" s="1">
        <v>42309</v>
      </c>
      <c r="C64" s="2">
        <v>15.506600000000001</v>
      </c>
      <c r="D64" s="2">
        <v>11.8955</v>
      </c>
      <c r="E64" s="2">
        <v>23.402999999999999</v>
      </c>
      <c r="F64" s="2">
        <v>218.06399500000001</v>
      </c>
      <c r="G64" s="2">
        <v>2912.48999</v>
      </c>
      <c r="H64" s="2">
        <v>2313.830078</v>
      </c>
      <c r="I64" s="2">
        <v>75.837119999999999</v>
      </c>
      <c r="J64" s="2">
        <v>2362.5</v>
      </c>
      <c r="K64" s="2">
        <v>207.5</v>
      </c>
      <c r="L64" s="2">
        <v>454.69601399999999</v>
      </c>
      <c r="M64" s="2">
        <v>33.536900000000003</v>
      </c>
      <c r="P64" s="7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6" spans="16:27" x14ac:dyDescent="0.35">
      <c r="Q66" s="3" t="s">
        <v>11</v>
      </c>
      <c r="R66" s="3" t="s">
        <v>12</v>
      </c>
      <c r="S66" s="3" t="s">
        <v>13</v>
      </c>
      <c r="T66" s="3" t="s">
        <v>16</v>
      </c>
      <c r="U66" s="3" t="s">
        <v>15</v>
      </c>
      <c r="V66" s="3" t="s">
        <v>14</v>
      </c>
      <c r="W66" s="3" t="s">
        <v>4</v>
      </c>
      <c r="X66" s="3" t="s">
        <v>3</v>
      </c>
      <c r="Y66" s="3" t="s">
        <v>18</v>
      </c>
      <c r="Z66" s="3" t="s">
        <v>19</v>
      </c>
      <c r="AA66" s="3" t="s">
        <v>17</v>
      </c>
    </row>
    <row r="67" spans="16:27" x14ac:dyDescent="0.35">
      <c r="P67" s="3" t="s">
        <v>5</v>
      </c>
      <c r="Q67" s="8">
        <f>AVERAGE(Q5:Q63)</f>
        <v>6.6519314917109686E-3</v>
      </c>
      <c r="R67" s="8">
        <f>AVERAGE(R5:R63)</f>
        <v>6.6119225204143419E-3</v>
      </c>
      <c r="S67" s="8">
        <f>AVERAGE(S5:S63)</f>
        <v>6.8828980484478049E-3</v>
      </c>
      <c r="T67" s="8">
        <f t="shared" ref="T67:AA67" si="4">AVERAGE(T5:T63)</f>
        <v>5.3563134159825823E-3</v>
      </c>
      <c r="U67" s="8">
        <f t="shared" si="4"/>
        <v>5.3468537486211056E-3</v>
      </c>
      <c r="V67" s="8">
        <f t="shared" si="4"/>
        <v>5.2692921073550329E-3</v>
      </c>
      <c r="W67" s="8">
        <f t="shared" si="4"/>
        <v>1.0281184646422465E-2</v>
      </c>
      <c r="X67" s="8">
        <f t="shared" si="4"/>
        <v>1.1789081326628091E-2</v>
      </c>
      <c r="Y67" s="8">
        <f t="shared" si="4"/>
        <v>6.6770142146405217E-3</v>
      </c>
      <c r="Z67" s="8">
        <f t="shared" si="4"/>
        <v>5.5433695083489136E-3</v>
      </c>
      <c r="AA67" s="8">
        <f t="shared" si="4"/>
        <v>8.4973886023717079E-3</v>
      </c>
    </row>
    <row r="68" spans="16:27" x14ac:dyDescent="0.35">
      <c r="P68" s="3" t="s">
        <v>6</v>
      </c>
      <c r="Q68" s="8">
        <f>_xlfn.VAR.S(Q5:Q63)</f>
        <v>2.1669243038584048E-5</v>
      </c>
      <c r="R68" s="8">
        <f t="shared" ref="R68:Z68" si="5">_xlfn.VAR.S(R5:R63)</f>
        <v>5.0779322041918526E-5</v>
      </c>
      <c r="S68" s="8">
        <f t="shared" si="5"/>
        <v>3.1273386261601646E-5</v>
      </c>
      <c r="T68" s="8">
        <f t="shared" si="5"/>
        <v>1.7206266668469146E-6</v>
      </c>
      <c r="U68" s="8">
        <f t="shared" si="5"/>
        <v>1.7134409783851719E-6</v>
      </c>
      <c r="V68" s="8">
        <f t="shared" si="5"/>
        <v>1.999478202641968E-6</v>
      </c>
      <c r="W68" s="8">
        <f t="shared" si="5"/>
        <v>4.8718189642342037E-3</v>
      </c>
      <c r="X68" s="8">
        <f t="shared" si="5"/>
        <v>1.4462898565844936E-3</v>
      </c>
      <c r="Y68" s="8">
        <f t="shared" si="5"/>
        <v>2.9755802124420941E-3</v>
      </c>
      <c r="Z68" s="8">
        <f t="shared" si="5"/>
        <v>3.8224446529894203E-3</v>
      </c>
      <c r="AA68" s="8">
        <f>_xlfn.VAR.S(AA5:AA63)</f>
        <v>2.9788952933658239E-3</v>
      </c>
    </row>
    <row r="69" spans="16:27" x14ac:dyDescent="0.35">
      <c r="P69" s="3" t="s">
        <v>39</v>
      </c>
      <c r="Q69" s="8">
        <f>Q67*12</f>
        <v>7.9823177900531617E-2</v>
      </c>
      <c r="R69" s="8">
        <f t="shared" ref="R69:AA70" si="6">R67*12</f>
        <v>7.93430702449721E-2</v>
      </c>
      <c r="S69" s="8">
        <f t="shared" si="6"/>
        <v>8.2594776581373652E-2</v>
      </c>
      <c r="T69" s="8">
        <f t="shared" si="6"/>
        <v>6.4275760991790984E-2</v>
      </c>
      <c r="U69" s="8">
        <f t="shared" si="6"/>
        <v>6.416224498345327E-2</v>
      </c>
      <c r="V69" s="8">
        <f t="shared" si="6"/>
        <v>6.3231505288260395E-2</v>
      </c>
      <c r="W69" s="8">
        <f t="shared" si="6"/>
        <v>0.12337421575706958</v>
      </c>
      <c r="X69" s="8">
        <f t="shared" si="6"/>
        <v>0.14146897591953708</v>
      </c>
      <c r="Y69" s="8">
        <f t="shared" si="6"/>
        <v>8.0124170575686257E-2</v>
      </c>
      <c r="Z69" s="8">
        <f t="shared" si="6"/>
        <v>6.6520434100186959E-2</v>
      </c>
      <c r="AA69" s="8">
        <f t="shared" si="6"/>
        <v>0.10196866322846049</v>
      </c>
    </row>
    <row r="70" spans="16:27" x14ac:dyDescent="0.35">
      <c r="P70" s="3" t="s">
        <v>38</v>
      </c>
      <c r="Q70" s="8">
        <f>Q68*12</f>
        <v>2.6003091646300858E-4</v>
      </c>
      <c r="R70" s="8">
        <f t="shared" si="6"/>
        <v>6.0935186450302228E-4</v>
      </c>
      <c r="S70" s="8">
        <f t="shared" si="6"/>
        <v>3.7528063513921973E-4</v>
      </c>
      <c r="T70" s="8">
        <f t="shared" si="6"/>
        <v>2.0647520002162976E-5</v>
      </c>
      <c r="U70" s="8">
        <f t="shared" si="6"/>
        <v>2.0561291740622063E-5</v>
      </c>
      <c r="V70" s="8">
        <f t="shared" si="6"/>
        <v>2.3993738431703614E-5</v>
      </c>
      <c r="W70" s="8">
        <f t="shared" si="6"/>
        <v>5.8461827570810448E-2</v>
      </c>
      <c r="X70" s="8">
        <f t="shared" si="6"/>
        <v>1.7355478279013924E-2</v>
      </c>
      <c r="Y70" s="8">
        <f t="shared" si="6"/>
        <v>3.5706962549305131E-2</v>
      </c>
      <c r="Z70" s="8">
        <f t="shared" si="6"/>
        <v>4.5869335835873042E-2</v>
      </c>
      <c r="AA70" s="8">
        <f t="shared" si="6"/>
        <v>3.5746743520389888E-2</v>
      </c>
    </row>
    <row r="71" spans="16:27" x14ac:dyDescent="0.35">
      <c r="P71" s="21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</sheetData>
  <mergeCells count="3">
    <mergeCell ref="AM2:AW2"/>
    <mergeCell ref="C3:M3"/>
    <mergeCell ref="Q3:AA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9ED5-719C-4622-9EF8-87E1927B334D}">
  <dimension ref="B1:AZ70"/>
  <sheetViews>
    <sheetView topLeftCell="AG26" zoomScale="70" zoomScaleNormal="70" workbookViewId="0">
      <selection activeCell="AO51" sqref="AO51"/>
    </sheetView>
  </sheetViews>
  <sheetFormatPr defaultRowHeight="14.5" x14ac:dyDescent="0.35"/>
  <cols>
    <col min="1" max="1" width="8.7265625" style="18"/>
    <col min="2" max="2" width="11.54296875" style="18" bestFit="1" customWidth="1"/>
    <col min="3" max="3" width="22.453125" style="18" bestFit="1" customWidth="1"/>
    <col min="4" max="4" width="19.81640625" style="18" bestFit="1" customWidth="1"/>
    <col min="5" max="5" width="17.81640625" style="18" bestFit="1" customWidth="1"/>
    <col min="6" max="6" width="14.81640625" style="18" bestFit="1" customWidth="1"/>
    <col min="7" max="7" width="18.36328125" style="18" customWidth="1"/>
    <col min="8" max="8" width="15.7265625" style="18" customWidth="1"/>
    <col min="9" max="9" width="16.81640625" style="18" customWidth="1"/>
    <col min="10" max="10" width="16.453125" style="18" customWidth="1"/>
    <col min="11" max="11" width="12.453125" style="18" bestFit="1" customWidth="1"/>
    <col min="12" max="12" width="15.81640625" style="18" bestFit="1" customWidth="1"/>
    <col min="13" max="13" width="19.7265625" style="18" bestFit="1" customWidth="1"/>
    <col min="14" max="14" width="11.81640625" style="18" bestFit="1" customWidth="1"/>
    <col min="15" max="15" width="19.7265625" style="18" customWidth="1"/>
    <col min="16" max="16" width="23" style="6" bestFit="1" customWidth="1"/>
    <col min="17" max="17" width="22.7265625" style="18" bestFit="1" customWidth="1"/>
    <col min="18" max="18" width="20" style="18" bestFit="1" customWidth="1"/>
    <col min="19" max="19" width="18" style="18" bestFit="1" customWidth="1"/>
    <col min="20" max="20" width="14.81640625" style="18" bestFit="1" customWidth="1"/>
    <col min="21" max="21" width="16" style="18" bestFit="1" customWidth="1"/>
    <col min="22" max="22" width="13.54296875" style="18" bestFit="1" customWidth="1"/>
    <col min="23" max="23" width="14.453125" style="18" bestFit="1" customWidth="1"/>
    <col min="24" max="24" width="13.6328125" style="18" bestFit="1" customWidth="1"/>
    <col min="25" max="25" width="12.453125" style="18" bestFit="1" customWidth="1"/>
    <col min="26" max="26" width="15.81640625" style="18" bestFit="1" customWidth="1"/>
    <col min="27" max="27" width="19.7265625" style="18" bestFit="1" customWidth="1"/>
    <col min="28" max="28" width="7.6328125" style="18" bestFit="1" customWidth="1"/>
    <col min="29" max="30" width="19.7265625" style="18" customWidth="1"/>
    <col min="31" max="31" width="17.26953125" style="18" customWidth="1"/>
    <col min="32" max="32" width="8.7265625" style="18"/>
    <col min="33" max="33" width="8.7265625" style="6"/>
    <col min="34" max="34" width="25.6328125" style="18" bestFit="1" customWidth="1"/>
    <col min="35" max="35" width="7.81640625" style="18" bestFit="1" customWidth="1"/>
    <col min="36" max="36" width="8.7265625" style="18"/>
    <col min="37" max="37" width="15.36328125" style="18" bestFit="1" customWidth="1"/>
    <col min="38" max="38" width="36.453125" style="18" bestFit="1" customWidth="1"/>
    <col min="39" max="39" width="22.7265625" style="18" bestFit="1" customWidth="1"/>
    <col min="40" max="40" width="23.453125" style="18" customWidth="1"/>
    <col min="41" max="41" width="20.81640625" style="18" customWidth="1"/>
    <col min="42" max="42" width="16.6328125" style="18" bestFit="1" customWidth="1"/>
    <col min="43" max="43" width="16" style="18" bestFit="1" customWidth="1"/>
    <col min="44" max="44" width="16.81640625" style="18" bestFit="1" customWidth="1"/>
    <col min="45" max="45" width="13.7265625" style="18" bestFit="1" customWidth="1"/>
    <col min="46" max="46" width="13.1796875" style="18" bestFit="1" customWidth="1"/>
    <col min="47" max="47" width="12.453125" style="18" bestFit="1" customWidth="1"/>
    <col min="48" max="48" width="15.81640625" style="18" bestFit="1" customWidth="1"/>
    <col min="49" max="49" width="19.7265625" style="18" bestFit="1" customWidth="1"/>
    <col min="50" max="52" width="19.7265625" style="18" customWidth="1"/>
    <col min="53" max="16384" width="8.7265625" style="18"/>
  </cols>
  <sheetData>
    <row r="1" spans="2:52" x14ac:dyDescent="0.35">
      <c r="P1" s="7"/>
      <c r="AE1" s="7"/>
      <c r="AF1" s="7"/>
    </row>
    <row r="2" spans="2:52" ht="14" customHeight="1" x14ac:dyDescent="0.35">
      <c r="C2" s="3"/>
      <c r="P2" s="7"/>
      <c r="AE2" s="7"/>
      <c r="AF2" s="7"/>
      <c r="AM2" s="54" t="s">
        <v>20</v>
      </c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16"/>
      <c r="AY2" s="16"/>
      <c r="AZ2" s="16"/>
    </row>
    <row r="3" spans="2:52" x14ac:dyDescent="0.35">
      <c r="C3" s="55" t="s">
        <v>2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17"/>
      <c r="O3" s="17"/>
      <c r="P3" s="7"/>
      <c r="Q3" s="56" t="s">
        <v>7</v>
      </c>
      <c r="R3" s="56"/>
      <c r="S3" s="56"/>
      <c r="T3" s="56"/>
      <c r="U3" s="56"/>
      <c r="V3" s="56"/>
      <c r="W3" s="56"/>
      <c r="X3" s="56"/>
      <c r="Y3" s="56"/>
      <c r="Z3" s="56"/>
      <c r="AA3" s="56"/>
      <c r="AB3" s="10"/>
      <c r="AC3" s="10"/>
      <c r="AD3" s="10"/>
      <c r="AE3" s="12"/>
      <c r="AF3" s="7"/>
      <c r="AI3" s="9" t="s">
        <v>7</v>
      </c>
    </row>
    <row r="4" spans="2:52" x14ac:dyDescent="0.35">
      <c r="B4" s="3" t="s">
        <v>0</v>
      </c>
      <c r="C4" s="3" t="s">
        <v>11</v>
      </c>
      <c r="D4" s="3" t="s">
        <v>12</v>
      </c>
      <c r="E4" s="3" t="s">
        <v>13</v>
      </c>
      <c r="F4" s="3" t="s">
        <v>16</v>
      </c>
      <c r="G4" s="3" t="s">
        <v>15</v>
      </c>
      <c r="H4" s="3" t="s">
        <v>14</v>
      </c>
      <c r="I4" s="3" t="s">
        <v>4</v>
      </c>
      <c r="J4" s="3" t="s">
        <v>3</v>
      </c>
      <c r="K4" s="3" t="s">
        <v>18</v>
      </c>
      <c r="L4" s="3" t="s">
        <v>19</v>
      </c>
      <c r="M4" s="3" t="s">
        <v>17</v>
      </c>
      <c r="N4" s="3"/>
      <c r="O4" s="3"/>
      <c r="P4" s="7"/>
      <c r="Q4" s="3" t="s">
        <v>11</v>
      </c>
      <c r="R4" s="3" t="s">
        <v>12</v>
      </c>
      <c r="S4" s="3" t="s">
        <v>13</v>
      </c>
      <c r="T4" s="3" t="s">
        <v>16</v>
      </c>
      <c r="U4" s="3" t="s">
        <v>15</v>
      </c>
      <c r="V4" s="3" t="s">
        <v>14</v>
      </c>
      <c r="W4" s="3" t="s">
        <v>4</v>
      </c>
      <c r="X4" s="3" t="s">
        <v>3</v>
      </c>
      <c r="Y4" s="3" t="s">
        <v>18</v>
      </c>
      <c r="Z4" s="3" t="s">
        <v>19</v>
      </c>
      <c r="AA4" s="3" t="s">
        <v>17</v>
      </c>
      <c r="AB4" s="3"/>
      <c r="AC4" s="3"/>
      <c r="AD4" s="3"/>
      <c r="AE4" s="13"/>
      <c r="AF4" s="7"/>
      <c r="AH4" s="3" t="s">
        <v>11</v>
      </c>
      <c r="AI4" s="8">
        <f>Q69</f>
        <v>7.9823177900531617E-2</v>
      </c>
      <c r="AM4" s="3" t="s">
        <v>11</v>
      </c>
      <c r="AN4" s="3" t="s">
        <v>12</v>
      </c>
      <c r="AO4" s="3" t="s">
        <v>13</v>
      </c>
      <c r="AP4" s="3" t="s">
        <v>16</v>
      </c>
      <c r="AQ4" s="3" t="s">
        <v>15</v>
      </c>
      <c r="AR4" s="3" t="s">
        <v>14</v>
      </c>
      <c r="AS4" s="3" t="s">
        <v>4</v>
      </c>
      <c r="AT4" s="3" t="s">
        <v>3</v>
      </c>
      <c r="AU4" s="3" t="s">
        <v>18</v>
      </c>
      <c r="AV4" s="3" t="s">
        <v>19</v>
      </c>
      <c r="AW4" s="3" t="s">
        <v>17</v>
      </c>
      <c r="AX4" s="3"/>
      <c r="AY4" s="3"/>
      <c r="AZ4" s="3"/>
    </row>
    <row r="5" spans="2:52" x14ac:dyDescent="0.35">
      <c r="B5" s="1">
        <v>44105</v>
      </c>
      <c r="C5" s="2">
        <v>22.915400000000002</v>
      </c>
      <c r="D5" s="2">
        <v>17.523099999999999</v>
      </c>
      <c r="E5" s="2">
        <v>35.046199999999999</v>
      </c>
      <c r="F5" s="2">
        <v>298.84298699999999</v>
      </c>
      <c r="G5" s="2">
        <v>3989.169922</v>
      </c>
      <c r="H5" s="2">
        <v>3154.780029</v>
      </c>
      <c r="I5" s="2">
        <v>121.25</v>
      </c>
      <c r="J5" s="2">
        <v>4529.75</v>
      </c>
      <c r="K5" s="2">
        <v>280.29998799999998</v>
      </c>
      <c r="L5" s="2">
        <v>561.31500200000005</v>
      </c>
      <c r="M5" s="2">
        <v>50.433498</v>
      </c>
      <c r="N5" s="2"/>
      <c r="O5" s="2"/>
      <c r="P5" s="7"/>
      <c r="Q5" s="4">
        <f>(C5-C6)/C6</f>
        <v>7.6645368957527276E-3</v>
      </c>
      <c r="R5" s="4">
        <f t="shared" ref="R5:AA20" si="0">(D5-D6)/D6</f>
        <v>1.1913344954803706E-2</v>
      </c>
      <c r="S5" s="4">
        <f t="shared" si="0"/>
        <v>1.0573941072566095E-2</v>
      </c>
      <c r="T5" s="4">
        <f t="shared" si="0"/>
        <v>1.3805100676538649E-3</v>
      </c>
      <c r="U5" s="4">
        <f t="shared" si="0"/>
        <v>1.4309009585854E-3</v>
      </c>
      <c r="V5" s="4">
        <f t="shared" si="0"/>
        <v>1.8073242017765348E-4</v>
      </c>
      <c r="W5" s="4">
        <f t="shared" si="0"/>
        <v>4.2831367751733893E-2</v>
      </c>
      <c r="X5" s="4">
        <f t="shared" si="0"/>
        <v>1.270999115826702E-3</v>
      </c>
      <c r="Y5" s="4">
        <f t="shared" si="0"/>
        <v>6.4255677285717373E-4</v>
      </c>
      <c r="Z5" s="4">
        <f t="shared" si="0"/>
        <v>5.7912424382576795E-3</v>
      </c>
      <c r="AA5" s="4">
        <f t="shared" si="0"/>
        <v>1.0784500960318978E-2</v>
      </c>
      <c r="AB5" s="4"/>
      <c r="AC5" s="4"/>
      <c r="AD5" s="4"/>
      <c r="AE5" s="14"/>
      <c r="AF5" s="7"/>
      <c r="AH5" s="3" t="s">
        <v>12</v>
      </c>
      <c r="AI5" s="8">
        <f>R69</f>
        <v>7.93430702449721E-2</v>
      </c>
      <c r="AL5" s="3" t="s">
        <v>11</v>
      </c>
      <c r="AM5" s="18">
        <f>_xlfn.COVARIANCE.S(ICFR, ICFR)*12</f>
        <v>2.6003091646300804E-4</v>
      </c>
      <c r="AN5" s="18">
        <f>_xlfn.COVARIANCE.S(ICFR, HCFR)*12</f>
        <v>3.6290863013469275E-4</v>
      </c>
      <c r="AO5" s="18">
        <f>_xlfn.COVARIANCE.S(ICFR, SCFR)*12</f>
        <v>2.5692358074492523E-4</v>
      </c>
      <c r="AP5" s="18">
        <f>_xlfn.COVARIANCE.S(ICFR, ILF)*12</f>
        <v>-7.1934706792068851E-6</v>
      </c>
      <c r="AQ5" s="18">
        <f>_xlfn.COVARIANCE.S(ICFR, HLF)*12</f>
        <v>-9.138994578844932E-6</v>
      </c>
      <c r="AR5" s="18">
        <f>_xlfn.COVARIANCE.S(ICFR, SLF)*12</f>
        <v>-9.8110315636994874E-6</v>
      </c>
      <c r="AS5" s="18">
        <f>_xlfn.COVARIANCE.S(ICFR, SN50ETF)*12</f>
        <v>-5.0587777910318689E-5</v>
      </c>
      <c r="AT5" s="18">
        <f>_xlfn.COVARIANCE.S(ICFR, HGE)*12</f>
        <v>-3.5489072415028353E-4</v>
      </c>
      <c r="AU5" s="18">
        <f>_xlfn.COVARIANCE.S(ICFR, IM)*12</f>
        <v>3.2736427687492394E-4</v>
      </c>
      <c r="AV5" s="18">
        <f>_xlfn.COVARIANCE.S(ICFR, HEF)*12</f>
        <v>5.2987546522684692E-4</v>
      </c>
      <c r="AW5" s="18">
        <f>_xlfn.COVARIANCE.S(ICFR, SMM)*12</f>
        <v>5.1135659324308956E-4</v>
      </c>
    </row>
    <row r="6" spans="2:52" x14ac:dyDescent="0.35">
      <c r="B6" s="1">
        <v>44075</v>
      </c>
      <c r="C6" s="2">
        <v>22.741099999999999</v>
      </c>
      <c r="D6" s="2">
        <v>17.316799</v>
      </c>
      <c r="E6" s="2">
        <v>34.679501000000002</v>
      </c>
      <c r="F6" s="2">
        <v>298.43099999999998</v>
      </c>
      <c r="G6" s="2">
        <v>3983.469971</v>
      </c>
      <c r="H6" s="2">
        <v>3154.209961</v>
      </c>
      <c r="I6" s="2">
        <v>116.269997</v>
      </c>
      <c r="J6" s="2">
        <v>4524</v>
      </c>
      <c r="K6" s="2">
        <v>280.11999500000002</v>
      </c>
      <c r="L6" s="2">
        <v>558.08300799999995</v>
      </c>
      <c r="M6" s="2">
        <v>49.895401</v>
      </c>
      <c r="N6" s="2"/>
      <c r="O6" s="2"/>
      <c r="P6" s="7"/>
      <c r="Q6" s="4">
        <f t="shared" ref="Q6:AA42" si="1">(C6-C7)/C7</f>
        <v>9.4324099397029189E-3</v>
      </c>
      <c r="R6" s="4">
        <f t="shared" si="0"/>
        <v>6.8492358188984729E-3</v>
      </c>
      <c r="S6" s="4">
        <f t="shared" si="0"/>
        <v>8.0342180801794769E-3</v>
      </c>
      <c r="T6" s="4">
        <f t="shared" si="0"/>
        <v>2.6036565175170442E-3</v>
      </c>
      <c r="U6" s="4">
        <f t="shared" si="0"/>
        <v>2.6226505761292114E-3</v>
      </c>
      <c r="V6" s="4">
        <f t="shared" si="0"/>
        <v>2.6479326324615293E-3</v>
      </c>
      <c r="W6" s="4">
        <f t="shared" si="0"/>
        <v>-1.5245218937918097E-2</v>
      </c>
      <c r="X6" s="4">
        <f t="shared" si="0"/>
        <v>-2.7086353556094452E-2</v>
      </c>
      <c r="Y6" s="4">
        <f t="shared" si="0"/>
        <v>-3.2434163502671302E-2</v>
      </c>
      <c r="Z6" s="4">
        <f t="shared" si="0"/>
        <v>-5.2667545602711349E-2</v>
      </c>
      <c r="AA6" s="4">
        <f t="shared" si="0"/>
        <v>-1.4740718944998538E-2</v>
      </c>
      <c r="AB6" s="4"/>
      <c r="AC6" s="4"/>
      <c r="AD6" s="4"/>
      <c r="AE6" s="14"/>
      <c r="AF6" s="7"/>
      <c r="AH6" s="3" t="s">
        <v>13</v>
      </c>
      <c r="AI6" s="8">
        <f>S69</f>
        <v>8.2594776581373652E-2</v>
      </c>
      <c r="AL6" s="3" t="s">
        <v>12</v>
      </c>
      <c r="AM6" s="18">
        <f>_xlfn.COVARIANCE.S(ICFR,HCFR)*12</f>
        <v>3.6290863013469275E-4</v>
      </c>
      <c r="AN6" s="18">
        <f>_xlfn.COVARIANCE.S(HCFR, HCFR)*12</f>
        <v>6.0935186450302196E-4</v>
      </c>
      <c r="AO6" s="18">
        <f>_xlfn.COVARIANCE.S(HCFR, SCFR)*12</f>
        <v>4.3385194983488275E-4</v>
      </c>
      <c r="AP6" s="18">
        <f>_xlfn.COVARIANCE.S(HCFR, ILF)*12</f>
        <v>-5.9491947648587582E-6</v>
      </c>
      <c r="AQ6" s="18">
        <f>_xlfn.COVARIANCE.S(HCFR, HLF)*12</f>
        <v>-1.0010622877790591E-5</v>
      </c>
      <c r="AR6" s="18">
        <f>_xlfn.COVARIANCE.S(HCFR, SLF)*12</f>
        <v>-1.0769423528608551E-5</v>
      </c>
      <c r="AS6" s="18">
        <f>_xlfn.COVARIANCE.S(HCFR, SN50ETF)*12</f>
        <v>-3.2326273346706529E-4</v>
      </c>
      <c r="AT6" s="18">
        <f>_xlfn.COVARIANCE.S(HCFR, HGE)*12</f>
        <v>-5.821989080555108E-4</v>
      </c>
      <c r="AU6" s="18">
        <f>_xlfn.COVARIANCE.S(HCFR, IM)*12</f>
        <v>-7.78986836026869E-5</v>
      </c>
      <c r="AV6" s="18">
        <f>_xlfn.COVARIANCE.S(HCFR, HEF)*12</f>
        <v>2.3538939638994202E-4</v>
      </c>
      <c r="AW6" s="18">
        <f>_xlfn.COVARIANCE.S(HCFR, SMM)*12</f>
        <v>1.7349597827995072E-4</v>
      </c>
    </row>
    <row r="7" spans="2:52" x14ac:dyDescent="0.35">
      <c r="B7" s="1">
        <v>44044</v>
      </c>
      <c r="C7" s="2">
        <v>22.528600999999998</v>
      </c>
      <c r="D7" s="2">
        <v>17.198999000000001</v>
      </c>
      <c r="E7" s="2">
        <v>34.403098999999997</v>
      </c>
      <c r="F7" s="2">
        <v>297.65600599999999</v>
      </c>
      <c r="G7" s="2">
        <v>3973.0500489999999</v>
      </c>
      <c r="H7" s="2">
        <v>3145.8798830000001</v>
      </c>
      <c r="I7" s="2">
        <v>118.07</v>
      </c>
      <c r="J7" s="2">
        <v>4649.9501950000003</v>
      </c>
      <c r="K7" s="2">
        <v>289.51001000000002</v>
      </c>
      <c r="L7" s="2">
        <v>589.10998500000005</v>
      </c>
      <c r="M7" s="2">
        <v>50.641899000000002</v>
      </c>
      <c r="N7" s="2"/>
      <c r="O7" s="2"/>
      <c r="P7" s="7"/>
      <c r="Q7" s="4">
        <f t="shared" si="1"/>
        <v>7.5521064695521127E-4</v>
      </c>
      <c r="R7" s="4">
        <f t="shared" si="0"/>
        <v>1.5781014331553154E-3</v>
      </c>
      <c r="S7" s="4">
        <f t="shared" si="0"/>
        <v>3.2544216496798984E-3</v>
      </c>
      <c r="T7" s="4">
        <f t="shared" si="0"/>
        <v>2.7861023422205543E-3</v>
      </c>
      <c r="U7" s="4">
        <f t="shared" si="0"/>
        <v>2.7839407535351153E-3</v>
      </c>
      <c r="V7" s="4">
        <f t="shared" si="0"/>
        <v>2.7475800451745463E-3</v>
      </c>
      <c r="W7" s="4">
        <f t="shared" si="0"/>
        <v>2.9111800859972059E-2</v>
      </c>
      <c r="X7" s="4">
        <f t="shared" si="0"/>
        <v>-3.8769985529715688E-2</v>
      </c>
      <c r="Y7" s="4">
        <f t="shared" si="0"/>
        <v>5.1272719528338805E-2</v>
      </c>
      <c r="Z7" s="4">
        <f t="shared" si="0"/>
        <v>5.46223971412488E-2</v>
      </c>
      <c r="AA7" s="4">
        <f t="shared" si="0"/>
        <v>4.6549430247120244E-2</v>
      </c>
      <c r="AB7" s="4"/>
      <c r="AC7" s="4"/>
      <c r="AD7" s="4"/>
      <c r="AE7" s="14"/>
      <c r="AF7" s="7"/>
      <c r="AH7" s="3" t="s">
        <v>16</v>
      </c>
      <c r="AI7" s="8">
        <f>T69</f>
        <v>6.4275760991790984E-2</v>
      </c>
      <c r="AL7" s="3" t="s">
        <v>13</v>
      </c>
      <c r="AM7" s="18">
        <f>_xlfn.COVARIANCE.S(ICFR, SCFR)*12</f>
        <v>2.5692358074492523E-4</v>
      </c>
      <c r="AN7" s="18">
        <f>_xlfn.COVARIANCE.S(HCFR, SCFR)*12</f>
        <v>4.3385194983488275E-4</v>
      </c>
      <c r="AO7" s="18">
        <f>_xlfn.COVARIANCE.S(SCFR, SCFR)*12</f>
        <v>3.7528063513922032E-4</v>
      </c>
      <c r="AP7" s="18">
        <f>_xlfn.COVARIANCE.S(SCFR, ILF)*12</f>
        <v>-7.3538632345916629E-6</v>
      </c>
      <c r="AQ7" s="18">
        <f>_xlfn.COVARIANCE.S(SCFR, HLF)*12</f>
        <v>-1.0475826343026968E-5</v>
      </c>
      <c r="AR7" s="18">
        <f>_xlfn.COVARIANCE.S(SCFR, SLF)*12</f>
        <v>-1.1345954318133625E-5</v>
      </c>
      <c r="AS7" s="18">
        <f>_xlfn.COVARIANCE.S(SCFR, SN50ETF)*12</f>
        <v>-3.2900999768079142E-5</v>
      </c>
      <c r="AT7" s="18">
        <f>_xlfn.COVARIANCE.S(SCFR, HGE)*12</f>
        <v>-3.3801109231861926E-4</v>
      </c>
      <c r="AU7" s="18">
        <f>_xlfn.COVARIANCE.S(SCFR, IM)*12</f>
        <v>6.979711882658076E-5</v>
      </c>
      <c r="AV7" s="18">
        <f>_xlfn.COVARIANCE.S(SCFR, HEF)*12</f>
        <v>2.5689285759388885E-4</v>
      </c>
      <c r="AW7" s="18">
        <f>_xlfn.COVARIANCE.S(SCFR, SMM)*12</f>
        <v>2.213850916297518E-4</v>
      </c>
    </row>
    <row r="8" spans="2:52" x14ac:dyDescent="0.35">
      <c r="B8" s="1">
        <v>44013</v>
      </c>
      <c r="C8" s="2">
        <v>22.511600000000001</v>
      </c>
      <c r="D8" s="2">
        <v>17.171900000000001</v>
      </c>
      <c r="E8" s="2">
        <v>34.291499999999999</v>
      </c>
      <c r="F8" s="2">
        <v>296.82900999999998</v>
      </c>
      <c r="G8" s="2">
        <v>3962.0200199999999</v>
      </c>
      <c r="H8" s="2">
        <v>3137.26001</v>
      </c>
      <c r="I8" s="2">
        <v>114.730003</v>
      </c>
      <c r="J8" s="2">
        <v>4837.5</v>
      </c>
      <c r="K8" s="2">
        <v>275.39001500000001</v>
      </c>
      <c r="L8" s="2">
        <v>558.59802200000001</v>
      </c>
      <c r="M8" s="2">
        <v>48.389400000000002</v>
      </c>
      <c r="N8" s="2"/>
      <c r="O8" s="2"/>
      <c r="P8" s="7"/>
      <c r="Q8" s="4">
        <f t="shared" si="1"/>
        <v>1.4607323943662034E-2</v>
      </c>
      <c r="R8" s="4">
        <f t="shared" si="0"/>
        <v>1.5127689761172881E-2</v>
      </c>
      <c r="S8" s="4">
        <f t="shared" si="0"/>
        <v>1.1760605075417105E-2</v>
      </c>
      <c r="T8" s="4">
        <f t="shared" si="0"/>
        <v>2.7329944938278236E-3</v>
      </c>
      <c r="U8" s="4">
        <f t="shared" si="0"/>
        <v>2.7079436279166891E-3</v>
      </c>
      <c r="V8" s="4">
        <f t="shared" si="0"/>
        <v>2.6045433753731423E-3</v>
      </c>
      <c r="W8" s="4">
        <f t="shared" si="0"/>
        <v>8.2256398787729446E-2</v>
      </c>
      <c r="X8" s="4">
        <f t="shared" si="0"/>
        <v>0.10839980492695005</v>
      </c>
      <c r="Y8" s="4">
        <f t="shared" si="0"/>
        <v>5.0705870643894597E-2</v>
      </c>
      <c r="Z8" s="4">
        <f t="shared" si="0"/>
        <v>4.5732746987570537E-2</v>
      </c>
      <c r="AA8" s="4">
        <f t="shared" si="0"/>
        <v>5.03200943897626E-2</v>
      </c>
      <c r="AB8" s="4"/>
      <c r="AC8" s="4"/>
      <c r="AD8" s="4"/>
      <c r="AE8" s="14"/>
      <c r="AF8" s="7"/>
      <c r="AH8" s="3" t="s">
        <v>15</v>
      </c>
      <c r="AI8" s="8">
        <f>U69</f>
        <v>6.416224498345327E-2</v>
      </c>
      <c r="AL8" s="3" t="s">
        <v>16</v>
      </c>
      <c r="AM8" s="18">
        <f>_xlfn.COVARIANCE.S(ICFR, ILF)*12</f>
        <v>-7.1934706792068851E-6</v>
      </c>
      <c r="AN8" s="18">
        <f>_xlfn.COVARIANCE.S(HCFR, ILF)*12</f>
        <v>-5.9491947648587582E-6</v>
      </c>
      <c r="AO8" s="18">
        <f>_xlfn.COVARIANCE.S(SCFR, ILF)*12</f>
        <v>-7.3538632345916629E-6</v>
      </c>
      <c r="AP8" s="18">
        <f>_xlfn.COVARIANCE.S(ILF, ILF)*12</f>
        <v>2.0647520002162976E-5</v>
      </c>
      <c r="AQ8" s="18">
        <f>_xlfn.COVARIANCE.S(ILF, HLF)*12</f>
        <v>2.0410587263978206E-5</v>
      </c>
      <c r="AR8" s="18">
        <f>_xlfn.COVARIANCE.S(ILF, SLF)*12</f>
        <v>2.2057820497243423E-5</v>
      </c>
      <c r="AS8" s="18">
        <f>_xlfn.COVARIANCE.S(ILF, SN50ETF)*12</f>
        <v>-3.65787729462935E-4</v>
      </c>
      <c r="AT8" s="18">
        <f>_xlfn.COVARIANCE.S(ILF, HGE)*12</f>
        <v>-4.9444736531587303E-5</v>
      </c>
      <c r="AU8" s="18">
        <f>_xlfn.COVARIANCE.S(ILF, IM)*12</f>
        <v>-1.4367328686871943E-4</v>
      </c>
      <c r="AV8" s="18">
        <f>_xlfn.COVARIANCE.S(ILF, HEF)*12</f>
        <v>-1.0366263419429476E-4</v>
      </c>
      <c r="AW8" s="18">
        <f>_xlfn.COVARIANCE.S(ILF, SMM)*12</f>
        <v>-1.5420382723046314E-4</v>
      </c>
    </row>
    <row r="9" spans="2:52" x14ac:dyDescent="0.35">
      <c r="B9" s="1">
        <v>43983</v>
      </c>
      <c r="C9" s="2">
        <v>22.1875</v>
      </c>
      <c r="D9" s="2">
        <v>16.916</v>
      </c>
      <c r="E9" s="2">
        <v>33.892899</v>
      </c>
      <c r="F9" s="2">
        <v>296.01998900000001</v>
      </c>
      <c r="G9" s="2">
        <v>3951.320068</v>
      </c>
      <c r="H9" s="2">
        <v>3129.110107</v>
      </c>
      <c r="I9" s="2">
        <v>106.010002</v>
      </c>
      <c r="J9" s="2">
        <v>4364.3999020000001</v>
      </c>
      <c r="K9" s="2">
        <v>262.10000600000001</v>
      </c>
      <c r="L9" s="2">
        <v>534.16900599999997</v>
      </c>
      <c r="M9" s="2">
        <v>46.071097999999999</v>
      </c>
      <c r="N9" s="2"/>
      <c r="O9" s="2"/>
      <c r="P9" s="7"/>
      <c r="Q9" s="4">
        <f t="shared" si="1"/>
        <v>1.3817666531917433E-2</v>
      </c>
      <c r="R9" s="4">
        <f t="shared" si="0"/>
        <v>2.2534938826829248E-2</v>
      </c>
      <c r="S9" s="4">
        <f t="shared" si="0"/>
        <v>1.7083927994456644E-2</v>
      </c>
      <c r="T9" s="4">
        <f t="shared" si="0"/>
        <v>3.3249434707787154E-3</v>
      </c>
      <c r="U9" s="4">
        <f t="shared" si="0"/>
        <v>3.0207863684555813E-3</v>
      </c>
      <c r="V9" s="4">
        <f t="shared" si="0"/>
        <v>3.1900240066947533E-3</v>
      </c>
      <c r="W9" s="4">
        <f t="shared" si="0"/>
        <v>7.7118514064590749E-2</v>
      </c>
      <c r="X9" s="4">
        <f t="shared" si="0"/>
        <v>4.0753523786812948E-2</v>
      </c>
      <c r="Y9" s="4">
        <f t="shared" si="0"/>
        <v>6.0790043218471396E-2</v>
      </c>
      <c r="Z9" s="4">
        <f t="shared" si="0"/>
        <v>6.9266113601283569E-2</v>
      </c>
      <c r="AA9" s="4">
        <f t="shared" si="0"/>
        <v>6.4878123939798873E-2</v>
      </c>
      <c r="AB9" s="4"/>
      <c r="AC9" s="4"/>
      <c r="AD9" s="4"/>
      <c r="AE9" s="14"/>
      <c r="AF9" s="7"/>
      <c r="AH9" s="3" t="s">
        <v>14</v>
      </c>
      <c r="AI9" s="8">
        <f>V69</f>
        <v>6.3231505288260395E-2</v>
      </c>
      <c r="AL9" s="3" t="s">
        <v>15</v>
      </c>
      <c r="AM9" s="18">
        <f>_xlfn.COVARIANCE.S(ICFR, HLF)*12</f>
        <v>-9.138994578844932E-6</v>
      </c>
      <c r="AN9" s="18">
        <f>_xlfn.COVARIANCE.S(HCFR, HLF)*12</f>
        <v>-1.0010622877790591E-5</v>
      </c>
      <c r="AO9" s="18">
        <f>_xlfn.COVARIANCE.S(SCFR, HLF)*12</f>
        <v>-1.0475826343026968E-5</v>
      </c>
      <c r="AP9" s="18">
        <f>_xlfn.COVARIANCE.S(ILF, HLF)*12</f>
        <v>2.0410587263978206E-5</v>
      </c>
      <c r="AQ9" s="18">
        <f>_xlfn.COVARIANCE.S(HLF, HLF)*12</f>
        <v>2.0561291740622063E-5</v>
      </c>
      <c r="AR9" s="18">
        <f>_xlfn.COVARIANCE.S(HLF, SLF)*12</f>
        <v>2.1881777060258298E-5</v>
      </c>
      <c r="AS9" s="18">
        <f>_xlfn.COVARIANCE.S(HLF, SN50ETF)*12</f>
        <v>-3.5688724921232733E-4</v>
      </c>
      <c r="AT9" s="18">
        <f>_xlfn.COVARIANCE.S(HLF, HGE)*12</f>
        <v>-5.011019161225542E-5</v>
      </c>
      <c r="AU9" s="18">
        <f>_xlfn.COVARIANCE.S(HLF, IM)*12</f>
        <v>-1.3067867381100933E-4</v>
      </c>
      <c r="AV9" s="18">
        <f>_xlfn.COVARIANCE.S(HLF, HEF)*12</f>
        <v>-7.9610865183473873E-5</v>
      </c>
      <c r="AW9" s="18">
        <f>_xlfn.COVARIANCE.S(HLF, SMM)*12</f>
        <v>-1.3821562301112884E-4</v>
      </c>
    </row>
    <row r="10" spans="2:52" x14ac:dyDescent="0.35">
      <c r="B10" s="1">
        <v>43952</v>
      </c>
      <c r="C10" s="2">
        <v>21.885099</v>
      </c>
      <c r="D10" s="2">
        <v>16.543199999999999</v>
      </c>
      <c r="E10" s="2">
        <v>33.323600999999996</v>
      </c>
      <c r="F10" s="2">
        <v>295.03900099999998</v>
      </c>
      <c r="G10" s="2">
        <v>3939.419922</v>
      </c>
      <c r="H10" s="2">
        <v>3119.1599120000001</v>
      </c>
      <c r="I10" s="2">
        <v>98.419998000000007</v>
      </c>
      <c r="J10" s="2">
        <v>4193.5</v>
      </c>
      <c r="K10" s="2">
        <v>247.08000200000001</v>
      </c>
      <c r="L10" s="2">
        <v>499.56601000000001</v>
      </c>
      <c r="M10" s="2">
        <v>43.264198</v>
      </c>
      <c r="N10" s="2"/>
      <c r="O10" s="2"/>
      <c r="P10" s="7"/>
      <c r="Q10" s="4">
        <f t="shared" si="1"/>
        <v>1.2936414633243293E-2</v>
      </c>
      <c r="R10" s="4">
        <f t="shared" si="0"/>
        <v>1.5561980883625785E-2</v>
      </c>
      <c r="S10" s="4">
        <f t="shared" si="0"/>
        <v>1.7520686079262215E-2</v>
      </c>
      <c r="T10" s="4">
        <f t="shared" si="0"/>
        <v>4.4564394204853466E-3</v>
      </c>
      <c r="U10" s="4">
        <f t="shared" si="0"/>
        <v>4.1624927375361661E-3</v>
      </c>
      <c r="V10" s="4">
        <f t="shared" si="0"/>
        <v>4.2207507262224837E-3</v>
      </c>
      <c r="W10" s="4">
        <f t="shared" si="0"/>
        <v>-2.3126570719602911E-2</v>
      </c>
      <c r="X10" s="4">
        <f t="shared" si="0"/>
        <v>-3.2384622178041909E-2</v>
      </c>
      <c r="Y10" s="4">
        <f t="shared" si="0"/>
        <v>-1.5460650668534541E-2</v>
      </c>
      <c r="Z10" s="4">
        <f t="shared" si="0"/>
        <v>-3.912064293573126E-2</v>
      </c>
      <c r="AA10" s="4">
        <f t="shared" si="0"/>
        <v>-2.9106061531243843E-2</v>
      </c>
      <c r="AB10" s="4"/>
      <c r="AC10" s="4"/>
      <c r="AD10" s="4"/>
      <c r="AE10" s="14"/>
      <c r="AF10" s="7"/>
      <c r="AH10" s="3" t="s">
        <v>4</v>
      </c>
      <c r="AI10" s="8">
        <f>W69</f>
        <v>0.12337421575706958</v>
      </c>
      <c r="AL10" s="3" t="s">
        <v>14</v>
      </c>
      <c r="AM10" s="18">
        <f>_xlfn.COVARIANCE.S(ICFR, SLF)*12</f>
        <v>-9.8110315636994874E-6</v>
      </c>
      <c r="AN10" s="18">
        <f>_xlfn.COVARIANCE.S(HCFR, SLF)*12</f>
        <v>-1.0769423528608551E-5</v>
      </c>
      <c r="AO10" s="18">
        <f>_xlfn.COVARIANCE.S(SCFR, SLF)*12</f>
        <v>-1.1345954318133625E-5</v>
      </c>
      <c r="AP10" s="18">
        <f>_xlfn.COVARIANCE.S(ILF, SLF)*12</f>
        <v>2.2057820497243423E-5</v>
      </c>
      <c r="AQ10" s="18">
        <f>_xlfn.COVARIANCE.S(HLF, SLF)*12</f>
        <v>2.1881777060258298E-5</v>
      </c>
      <c r="AR10" s="18">
        <f>_xlfn.COVARIANCE.S(SLF, SLF)*12</f>
        <v>2.3993738431703614E-5</v>
      </c>
      <c r="AS10" s="18">
        <f>_xlfn.COVARIANCE.S(SLF, SN50ETF)*12</f>
        <v>-3.8769057535818259E-4</v>
      </c>
      <c r="AT10" s="18">
        <f>_xlfn.COVARIANCE.S(SLF, HGE)*12</f>
        <v>-5.12568941298134E-5</v>
      </c>
      <c r="AU10" s="18">
        <f>_xlfn.COVARIANCE.S(SLF, IM)*12</f>
        <v>-1.4891994733027734E-4</v>
      </c>
      <c r="AV10" s="18">
        <f>_xlfn.COVARIANCE.S(SLF, HEF)*12</f>
        <v>-1.0396277826779158E-4</v>
      </c>
      <c r="AW10" s="18">
        <f>_xlfn.COVARIANCE.S(SLF, SMM)*12</f>
        <v>-1.6115019959309424E-4</v>
      </c>
    </row>
    <row r="11" spans="2:52" x14ac:dyDescent="0.35">
      <c r="B11" s="1">
        <v>43922</v>
      </c>
      <c r="C11" s="2">
        <v>21.605599999999999</v>
      </c>
      <c r="D11" s="2">
        <v>16.2897</v>
      </c>
      <c r="E11" s="2">
        <v>32.749802000000003</v>
      </c>
      <c r="F11" s="2">
        <v>293.73001099999999</v>
      </c>
      <c r="G11" s="2">
        <v>3923.0900879999999</v>
      </c>
      <c r="H11" s="2">
        <v>3106.0500489999999</v>
      </c>
      <c r="I11" s="2">
        <v>100.75</v>
      </c>
      <c r="J11" s="2">
        <v>4333.8500979999999</v>
      </c>
      <c r="K11" s="2">
        <v>250.96000699999999</v>
      </c>
      <c r="L11" s="2">
        <v>519.90502900000001</v>
      </c>
      <c r="M11" s="2">
        <v>44.561199000000002</v>
      </c>
      <c r="N11" s="2"/>
      <c r="O11" s="2"/>
      <c r="P11" s="7"/>
      <c r="Q11" s="4">
        <f t="shared" si="1"/>
        <v>-6.5386380903522164E-3</v>
      </c>
      <c r="R11" s="4">
        <f t="shared" si="0"/>
        <v>-2.1410361670923601E-2</v>
      </c>
      <c r="S11" s="4">
        <f t="shared" si="0"/>
        <v>-1.0884772996984976E-2</v>
      </c>
      <c r="T11" s="4">
        <f t="shared" si="0"/>
        <v>4.2051658119657796E-3</v>
      </c>
      <c r="U11" s="4">
        <f t="shared" si="0"/>
        <v>4.2184862447548956E-3</v>
      </c>
      <c r="V11" s="4">
        <f t="shared" si="0"/>
        <v>4.0211731827006127E-3</v>
      </c>
      <c r="W11" s="4">
        <f t="shared" si="0"/>
        <v>0.12695746919558235</v>
      </c>
      <c r="X11" s="4">
        <f t="shared" si="0"/>
        <v>9.6178164350096088E-2</v>
      </c>
      <c r="Y11" s="4">
        <f t="shared" si="0"/>
        <v>0.14358628585444907</v>
      </c>
      <c r="Z11" s="4">
        <f t="shared" si="0"/>
        <v>0.13582104500926451</v>
      </c>
      <c r="AA11" s="4">
        <f t="shared" si="0"/>
        <v>0.12954426548645648</v>
      </c>
      <c r="AB11" s="4"/>
      <c r="AC11" s="4"/>
      <c r="AD11" s="4"/>
      <c r="AE11" s="14"/>
      <c r="AF11" s="7"/>
      <c r="AH11" s="3" t="s">
        <v>3</v>
      </c>
      <c r="AI11" s="8">
        <f>X69</f>
        <v>0.14146897591953708</v>
      </c>
      <c r="AL11" s="3" t="s">
        <v>4</v>
      </c>
      <c r="AM11" s="18">
        <f>_xlfn.COVARIANCE.S(ICFR, SN50ETF)*12</f>
        <v>-5.0587777910318689E-5</v>
      </c>
      <c r="AN11" s="18">
        <f>_xlfn.COVARIANCE.S(HCFR, SN50ETF)*12</f>
        <v>-3.2326273346706529E-4</v>
      </c>
      <c r="AO11" s="18">
        <f>_xlfn.COVARIANCE.S(SCFR, SN50ETF)*12</f>
        <v>-3.2900999768079142E-5</v>
      </c>
      <c r="AP11" s="18">
        <f>_xlfn.COVARIANCE.S(ILF, SN50ETF)*12</f>
        <v>-3.65787729462935E-4</v>
      </c>
      <c r="AQ11" s="18">
        <f>_xlfn.COVARIANCE.S(HLF, SN50ETF)*12</f>
        <v>-3.5688724921232733E-4</v>
      </c>
      <c r="AR11" s="18">
        <f>_xlfn.COVARIANCE.S(SLF, SN50ETF)*12</f>
        <v>-3.8769057535818259E-4</v>
      </c>
      <c r="AS11" s="18">
        <f>_xlfn.COVARIANCE.S(SN50ETF, SN50ETF)*12</f>
        <v>5.846182757081024E-2</v>
      </c>
      <c r="AT11" s="18">
        <f>_xlfn.COVARIANCE.S(SN50ETF, HGE)*12</f>
        <v>8.539728235516038E-4</v>
      </c>
      <c r="AU11" s="18">
        <f>_xlfn.COVARIANCE.S(SN50ETF, IM)*12</f>
        <v>2.2866349085361552E-2</v>
      </c>
      <c r="AV11" s="18">
        <f>_xlfn.COVARIANCE.S(SN50ETF, HEF)*12</f>
        <v>2.1248064782937285E-2</v>
      </c>
      <c r="AW11" s="18">
        <f>_xlfn.COVARIANCE.S(SN50ETF, SMM)*12</f>
        <v>2.1336792154452396E-2</v>
      </c>
    </row>
    <row r="12" spans="2:52" x14ac:dyDescent="0.35">
      <c r="B12" s="1">
        <v>43891</v>
      </c>
      <c r="C12" s="2">
        <v>21.747800999999999</v>
      </c>
      <c r="D12" s="2">
        <v>16.646099</v>
      </c>
      <c r="E12" s="2">
        <v>33.110199000000001</v>
      </c>
      <c r="F12" s="2">
        <v>292.5</v>
      </c>
      <c r="G12" s="2">
        <v>3906.610107</v>
      </c>
      <c r="H12" s="2">
        <v>3093.610107</v>
      </c>
      <c r="I12" s="2">
        <v>89.400002000000001</v>
      </c>
      <c r="J12" s="2">
        <v>3953.6000979999999</v>
      </c>
      <c r="K12" s="2">
        <v>219.449997</v>
      </c>
      <c r="L12" s="2">
        <v>457.73498499999999</v>
      </c>
      <c r="M12" s="2">
        <v>39.450600000000001</v>
      </c>
      <c r="N12" s="2"/>
      <c r="O12" s="2"/>
      <c r="P12" s="7"/>
      <c r="Q12" s="4">
        <f t="shared" si="1"/>
        <v>9.2973913363648703E-4</v>
      </c>
      <c r="R12" s="4">
        <f t="shared" si="0"/>
        <v>2.2216000770656163E-3</v>
      </c>
      <c r="S12" s="4">
        <f t="shared" si="0"/>
        <v>7.9189336235032965E-4</v>
      </c>
      <c r="T12" s="4">
        <f t="shared" si="0"/>
        <v>8.4850623244286227E-3</v>
      </c>
      <c r="U12" s="4">
        <f t="shared" si="0"/>
        <v>8.3604277099525552E-3</v>
      </c>
      <c r="V12" s="4">
        <f t="shared" si="0"/>
        <v>8.71898351735775E-3</v>
      </c>
      <c r="W12" s="4">
        <f t="shared" si="0"/>
        <v>-0.28883937068522286</v>
      </c>
      <c r="X12" s="4">
        <f t="shared" si="0"/>
        <v>3.470298298874637E-2</v>
      </c>
      <c r="Y12" s="4">
        <f t="shared" si="0"/>
        <v>-0.25647975110580556</v>
      </c>
      <c r="Z12" s="4">
        <f t="shared" si="0"/>
        <v>-0.24611231040967882</v>
      </c>
      <c r="AA12" s="4">
        <f t="shared" si="0"/>
        <v>-0.24676082006852218</v>
      </c>
      <c r="AB12" s="4"/>
      <c r="AC12" s="4"/>
      <c r="AD12" s="4"/>
      <c r="AE12" s="14"/>
      <c r="AF12" s="7"/>
      <c r="AH12" s="3" t="s">
        <v>18</v>
      </c>
      <c r="AI12" s="8">
        <f>Y69</f>
        <v>8.0124170575686257E-2</v>
      </c>
      <c r="AL12" s="3" t="s">
        <v>3</v>
      </c>
      <c r="AM12" s="18">
        <f>_xlfn.COVARIANCE.S(ICFR, HGE)*12</f>
        <v>-3.5489072415028353E-4</v>
      </c>
      <c r="AN12" s="18">
        <f>_xlfn.COVARIANCE.S(HCFR, HGE)*12</f>
        <v>-5.821989080555108E-4</v>
      </c>
      <c r="AO12" s="18">
        <f>_xlfn.COVARIANCE.S(SCFR, HGE)*12</f>
        <v>-3.3801109231861926E-4</v>
      </c>
      <c r="AP12" s="18">
        <f>_xlfn.COVARIANCE.S(ILF, HGE)*12</f>
        <v>-4.9444736531587303E-5</v>
      </c>
      <c r="AQ12" s="18">
        <f>_xlfn.COVARIANCE.S(HLF, HGE)*12</f>
        <v>-5.011019161225542E-5</v>
      </c>
      <c r="AR12" s="18">
        <f>_xlfn.COVARIANCE.S(SLF, HGE)*12</f>
        <v>-5.12568941298134E-5</v>
      </c>
      <c r="AS12" s="18">
        <f>_xlfn.COVARIANCE.S(SN50ETF, HGE)*12</f>
        <v>8.539728235516038E-4</v>
      </c>
      <c r="AT12" s="18">
        <f>_xlfn.COVARIANCE.S(HGE, HGE)*12</f>
        <v>1.7355478279013931E-2</v>
      </c>
      <c r="AU12" s="18">
        <f>_xlfn.COVARIANCE.S(HGE, IM)*12</f>
        <v>-1.6845643033706363E-3</v>
      </c>
      <c r="AV12" s="18">
        <f>_xlfn.COVARIANCE.S(HGE, HEF)*12</f>
        <v>-3.9275728309937996E-3</v>
      </c>
      <c r="AW12" s="18">
        <f>_xlfn.COVARIANCE.S(HGE, SMM)*12</f>
        <v>-2.9348717200157136E-3</v>
      </c>
    </row>
    <row r="13" spans="2:52" x14ac:dyDescent="0.35">
      <c r="B13" s="1">
        <v>43862</v>
      </c>
      <c r="C13" s="2">
        <v>21.727599999999999</v>
      </c>
      <c r="D13" s="2">
        <v>16.609200000000001</v>
      </c>
      <c r="E13" s="2">
        <v>33.084000000000003</v>
      </c>
      <c r="F13" s="2">
        <v>290.03900099999998</v>
      </c>
      <c r="G13" s="2">
        <v>3874.219971</v>
      </c>
      <c r="H13" s="2">
        <v>3066.8701169999999</v>
      </c>
      <c r="I13" s="2">
        <v>125.709999</v>
      </c>
      <c r="J13" s="2">
        <v>3821</v>
      </c>
      <c r="K13" s="2">
        <v>295.14999399999999</v>
      </c>
      <c r="L13" s="2">
        <v>607.16601600000001</v>
      </c>
      <c r="M13" s="2">
        <v>52.374599000000003</v>
      </c>
      <c r="N13" s="2"/>
      <c r="O13" s="2"/>
      <c r="P13" s="7"/>
      <c r="Q13" s="4">
        <f t="shared" si="1"/>
        <v>1.1305766955357384E-2</v>
      </c>
      <c r="R13" s="4">
        <f t="shared" si="0"/>
        <v>1.3992735896992408E-2</v>
      </c>
      <c r="S13" s="4">
        <f t="shared" si="0"/>
        <v>1.1715242953091762E-2</v>
      </c>
      <c r="T13" s="4">
        <f t="shared" si="0"/>
        <v>1.4017912517121955E-3</v>
      </c>
      <c r="U13" s="4">
        <f t="shared" si="0"/>
        <v>1.4294322068546194E-3</v>
      </c>
      <c r="V13" s="4">
        <f t="shared" si="0"/>
        <v>9.9223485722303782E-4</v>
      </c>
      <c r="W13" s="4">
        <f t="shared" si="0"/>
        <v>1.493620204314385E-2</v>
      </c>
      <c r="X13" s="4">
        <f t="shared" si="0"/>
        <v>4.3746642914303815E-2</v>
      </c>
      <c r="Y13" s="4">
        <f t="shared" si="0"/>
        <v>-7.0891233287417629E-2</v>
      </c>
      <c r="Z13" s="4">
        <f t="shared" si="0"/>
        <v>-7.9566140556619341E-2</v>
      </c>
      <c r="AA13" s="4">
        <f t="shared" si="0"/>
        <v>-4.8390291933200422E-2</v>
      </c>
      <c r="AB13" s="4"/>
      <c r="AC13" s="4"/>
      <c r="AD13" s="4"/>
      <c r="AE13" s="14"/>
      <c r="AF13" s="7"/>
      <c r="AH13" s="3" t="s">
        <v>19</v>
      </c>
      <c r="AI13" s="8">
        <f>Z69</f>
        <v>6.6520434100186959E-2</v>
      </c>
      <c r="AL13" s="3" t="s">
        <v>18</v>
      </c>
      <c r="AM13" s="18">
        <f>_xlfn.COVARIANCE.S(ICFR, IM)*12</f>
        <v>3.2736427687492394E-4</v>
      </c>
      <c r="AN13" s="18">
        <f>_xlfn.COVARIANCE.S(HCFR, IM)*12</f>
        <v>-7.78986836026869E-5</v>
      </c>
      <c r="AO13" s="18">
        <f>_xlfn.COVARIANCE.S(SCFR, IM)*12</f>
        <v>6.979711882658076E-5</v>
      </c>
      <c r="AP13" s="18">
        <f>_xlfn.COVARIANCE.S(ILF, IM)*12</f>
        <v>-1.4367328686871943E-4</v>
      </c>
      <c r="AQ13" s="18">
        <f>_xlfn.COVARIANCE.S(HLF, IM)*12</f>
        <v>-1.3067867381100933E-4</v>
      </c>
      <c r="AR13" s="18">
        <f>_xlfn.COVARIANCE.S(SLF, IM)*12</f>
        <v>-1.4891994733027734E-4</v>
      </c>
      <c r="AS13" s="18">
        <f>_xlfn.COVARIANCE.S(SN50ETF, IM)*12</f>
        <v>2.2866349085361552E-2</v>
      </c>
      <c r="AT13" s="18">
        <f>_xlfn.COVARIANCE.S(HGE, IM)*12</f>
        <v>-1.6845643033706363E-3</v>
      </c>
      <c r="AU13" s="18">
        <f>_xlfn.COVARIANCE.S(IM, IM)*12</f>
        <v>3.5706962549305124E-2</v>
      </c>
      <c r="AV13" s="18">
        <f>_xlfn.COVARIANCE.S(IM, HEF)*12</f>
        <v>3.8260170796480121E-2</v>
      </c>
      <c r="AW13" s="18">
        <f>_xlfn.COVARIANCE.S(IM, SMM)*12</f>
        <v>3.3890748963546644E-2</v>
      </c>
    </row>
    <row r="14" spans="2:52" x14ac:dyDescent="0.35">
      <c r="B14" s="1">
        <v>43831</v>
      </c>
      <c r="C14" s="2">
        <v>21.484698999999999</v>
      </c>
      <c r="D14" s="2">
        <v>16.379999000000002</v>
      </c>
      <c r="E14" s="2">
        <v>32.700901000000002</v>
      </c>
      <c r="F14" s="2">
        <v>289.63299599999999</v>
      </c>
      <c r="G14" s="2">
        <v>3868.6899410000001</v>
      </c>
      <c r="H14" s="2">
        <v>3063.830078</v>
      </c>
      <c r="I14" s="2">
        <v>123.860001</v>
      </c>
      <c r="J14" s="2">
        <v>3660.8500979999999</v>
      </c>
      <c r="K14" s="2">
        <v>317.67001299999998</v>
      </c>
      <c r="L14" s="2">
        <v>659.65197799999999</v>
      </c>
      <c r="M14" s="2">
        <v>55.037899000000003</v>
      </c>
      <c r="N14" s="2"/>
      <c r="O14" s="2"/>
      <c r="P14" s="7"/>
      <c r="Q14" s="4">
        <f t="shared" si="1"/>
        <v>1.0165268362379527E-2</v>
      </c>
      <c r="R14" s="4">
        <f t="shared" si="0"/>
        <v>9.7023898941976435E-3</v>
      </c>
      <c r="S14" s="4">
        <f t="shared" si="0"/>
        <v>1.0116298558922016E-2</v>
      </c>
      <c r="T14" s="4">
        <f t="shared" si="0"/>
        <v>4.2230361180682994E-3</v>
      </c>
      <c r="U14" s="4">
        <f t="shared" si="0"/>
        <v>4.2154966856310589E-3</v>
      </c>
      <c r="V14" s="4">
        <f t="shared" si="0"/>
        <v>4.1788480387436096E-3</v>
      </c>
      <c r="W14" s="4">
        <f t="shared" si="0"/>
        <v>-1.5499539233757848E-2</v>
      </c>
      <c r="X14" s="4">
        <f t="shared" si="0"/>
        <v>4.0516740191194521E-2</v>
      </c>
      <c r="Y14" s="4">
        <f t="shared" si="0"/>
        <v>-1.7597271804764112E-3</v>
      </c>
      <c r="Z14" s="4">
        <f t="shared" si="0"/>
        <v>-1.9269622297622784E-2</v>
      </c>
      <c r="AA14" s="4">
        <f t="shared" si="0"/>
        <v>1.4110381100240951E-2</v>
      </c>
      <c r="AB14" s="4"/>
      <c r="AC14" s="4"/>
      <c r="AD14" s="4"/>
      <c r="AE14" s="14"/>
      <c r="AF14" s="7"/>
      <c r="AH14" s="3" t="s">
        <v>17</v>
      </c>
      <c r="AI14" s="8">
        <f>AA69</f>
        <v>0.10196866322846049</v>
      </c>
      <c r="AL14" s="3" t="s">
        <v>19</v>
      </c>
      <c r="AM14" s="18">
        <f>_xlfn.COVARIANCE.S(ICFR, HEF)*12</f>
        <v>5.2987546522684692E-4</v>
      </c>
      <c r="AN14" s="18">
        <f>_xlfn.COVARIANCE.S(HCFR, HEF)*12</f>
        <v>2.3538939638994202E-4</v>
      </c>
      <c r="AO14" s="18">
        <f>_xlfn.COVARIANCE.S(SCFR, HEF)*12</f>
        <v>2.5689285759388885E-4</v>
      </c>
      <c r="AP14" s="18">
        <f>_xlfn.COVARIANCE.S(ILF, HEF)*12</f>
        <v>-1.0366263419429476E-4</v>
      </c>
      <c r="AQ14" s="18">
        <f>_xlfn.COVARIANCE.S(HLF, HEF)*12</f>
        <v>-7.9610865183473873E-5</v>
      </c>
      <c r="AR14" s="18">
        <f>_xlfn.COVARIANCE.S(SLF, HEF)*12</f>
        <v>-1.0396277826779158E-4</v>
      </c>
      <c r="AS14" s="18">
        <f>_xlfn.COVARIANCE.S(SN50ETF, HEF)*12</f>
        <v>2.1248064782937285E-2</v>
      </c>
      <c r="AT14" s="18">
        <f>_xlfn.COVARIANCE.S(HGE, HEF)*12</f>
        <v>-3.9275728309937996E-3</v>
      </c>
      <c r="AU14" s="18">
        <f>_xlfn.COVARIANCE.S(IM, HEF)*12</f>
        <v>3.8260170796480121E-2</v>
      </c>
      <c r="AV14" s="18">
        <f>_xlfn.COVARIANCE.S(HEF, HEF)*12</f>
        <v>4.5869335835873028E-2</v>
      </c>
      <c r="AW14" s="18">
        <f>_xlfn.COVARIANCE.S(SMM, HEF)*12</f>
        <v>3.8405490976126042E-2</v>
      </c>
    </row>
    <row r="15" spans="2:52" x14ac:dyDescent="0.35">
      <c r="B15" s="1">
        <v>43800</v>
      </c>
      <c r="C15" s="2">
        <v>21.268498999999998</v>
      </c>
      <c r="D15" s="2">
        <v>16.222601000000001</v>
      </c>
      <c r="E15" s="2">
        <v>32.373401999999999</v>
      </c>
      <c r="F15" s="2">
        <v>288.415009</v>
      </c>
      <c r="G15" s="2">
        <v>3852.4499510000001</v>
      </c>
      <c r="H15" s="2">
        <v>3051.080078</v>
      </c>
      <c r="I15" s="2">
        <v>125.80999799999999</v>
      </c>
      <c r="J15" s="2">
        <v>3518.3000489999999</v>
      </c>
      <c r="K15" s="2">
        <v>318.23001099999999</v>
      </c>
      <c r="L15" s="2">
        <v>672.612976</v>
      </c>
      <c r="M15" s="2">
        <v>54.272098999999997</v>
      </c>
      <c r="N15" s="2"/>
      <c r="O15" s="2"/>
      <c r="P15" s="7"/>
      <c r="Q15" s="4">
        <f t="shared" si="1"/>
        <v>3.6997937716196452E-3</v>
      </c>
      <c r="R15" s="4">
        <f t="shared" si="0"/>
        <v>2.4675374241633566E-4</v>
      </c>
      <c r="S15" s="4">
        <f t="shared" si="0"/>
        <v>4.477413408299151E-3</v>
      </c>
      <c r="T15" s="4">
        <f t="shared" si="0"/>
        <v>4.2619683673245619E-3</v>
      </c>
      <c r="U15" s="4">
        <f t="shared" si="0"/>
        <v>4.1783822745981485E-3</v>
      </c>
      <c r="V15" s="4">
        <f t="shared" si="0"/>
        <v>4.2559374675647079E-3</v>
      </c>
      <c r="W15" s="4">
        <f t="shared" si="0"/>
        <v>1.2147988443733097E-2</v>
      </c>
      <c r="X15" s="4">
        <f t="shared" si="0"/>
        <v>3.138147277390984E-2</v>
      </c>
      <c r="Y15" s="4">
        <f t="shared" si="0"/>
        <v>8.4292041100091468E-3</v>
      </c>
      <c r="Z15" s="4">
        <f t="shared" si="0"/>
        <v>-1.9623928974754227E-4</v>
      </c>
      <c r="AA15" s="4">
        <f t="shared" si="0"/>
        <v>7.3651189438365622E-3</v>
      </c>
      <c r="AB15" s="4"/>
      <c r="AC15" s="4"/>
      <c r="AD15" s="4"/>
      <c r="AE15" s="14"/>
      <c r="AF15" s="7"/>
      <c r="AH15" s="3"/>
      <c r="AI15" s="8"/>
      <c r="AL15" s="3" t="s">
        <v>17</v>
      </c>
      <c r="AM15" s="18">
        <f>_xlfn.COVARIANCE.S(ICFR, SMM)*12</f>
        <v>5.1135659324308956E-4</v>
      </c>
      <c r="AN15" s="18">
        <f>_xlfn.COVARIANCE.S(HCFR, SMM)*12</f>
        <v>1.7349597827995072E-4</v>
      </c>
      <c r="AO15" s="18">
        <f>_xlfn.COVARIANCE.S(SCFR, SMM)*12</f>
        <v>2.213850916297518E-4</v>
      </c>
      <c r="AP15" s="18">
        <f>_xlfn.COVARIANCE.S(ILF, SMM)*12</f>
        <v>-1.5420382723046314E-4</v>
      </c>
      <c r="AQ15" s="18">
        <f>_xlfn.COVARIANCE.S(HLF, SMM)*12</f>
        <v>-1.3821562301112884E-4</v>
      </c>
      <c r="AR15" s="18">
        <f>_xlfn.COVARIANCE.S(SLF, SMM)*12</f>
        <v>-1.6115019959309424E-4</v>
      </c>
      <c r="AS15" s="18">
        <f>_xlfn.COVARIANCE.S(SN50ETF, SMM)*12</f>
        <v>2.1336792154452396E-2</v>
      </c>
      <c r="AT15" s="18">
        <f>_xlfn.COVARIANCE.S(HGE, SMM)*12</f>
        <v>-2.9348717200157136E-3</v>
      </c>
      <c r="AU15" s="18">
        <f>_xlfn.COVARIANCE.S(IM, SMM)*12</f>
        <v>3.3890748963546644E-2</v>
      </c>
      <c r="AV15" s="18">
        <f>_xlfn.COVARIANCE.S(SMM, HEF)*12</f>
        <v>3.8405490976126042E-2</v>
      </c>
      <c r="AW15" s="18">
        <f>_xlfn.COVARIANCE.S(SMM, SMM)*12</f>
        <v>3.5746743520389875E-2</v>
      </c>
    </row>
    <row r="16" spans="2:52" x14ac:dyDescent="0.35">
      <c r="B16" s="1">
        <v>43770</v>
      </c>
      <c r="C16" s="2">
        <v>21.190100000000001</v>
      </c>
      <c r="D16" s="2">
        <v>16.218599000000001</v>
      </c>
      <c r="E16" s="2">
        <v>32.229098999999998</v>
      </c>
      <c r="F16" s="2">
        <v>287.19101000000001</v>
      </c>
      <c r="G16" s="2">
        <v>3836.419922</v>
      </c>
      <c r="H16" s="2">
        <v>3038.1499020000001</v>
      </c>
      <c r="I16" s="2">
        <v>124.300003</v>
      </c>
      <c r="J16" s="2">
        <v>3411.25</v>
      </c>
      <c r="K16" s="2">
        <v>315.57000699999998</v>
      </c>
      <c r="L16" s="2">
        <v>672.74499500000002</v>
      </c>
      <c r="M16" s="2">
        <v>53.875301</v>
      </c>
      <c r="N16" s="2"/>
      <c r="O16" s="2"/>
      <c r="P16" s="7"/>
      <c r="Q16" s="4">
        <f t="shared" si="1"/>
        <v>1.3332455976794525E-2</v>
      </c>
      <c r="R16" s="4">
        <f t="shared" si="0"/>
        <v>1.1361589883016179E-2</v>
      </c>
      <c r="S16" s="4">
        <f t="shared" si="0"/>
        <v>2.8409227041629116E-3</v>
      </c>
      <c r="T16" s="4">
        <f t="shared" si="0"/>
        <v>4.2977877277865784E-3</v>
      </c>
      <c r="U16" s="4">
        <f t="shared" si="0"/>
        <v>4.3325569962043044E-3</v>
      </c>
      <c r="V16" s="4">
        <f t="shared" si="0"/>
        <v>4.2474639843567349E-3</v>
      </c>
      <c r="W16" s="4">
        <f t="shared" si="0"/>
        <v>1.8435067142112238E-2</v>
      </c>
      <c r="X16" s="4">
        <f t="shared" si="0"/>
        <v>-2.2018046737035207E-2</v>
      </c>
      <c r="Y16" s="4">
        <f t="shared" si="0"/>
        <v>9.3717753947778256E-3</v>
      </c>
      <c r="Z16" s="4">
        <f t="shared" si="0"/>
        <v>9.3077227823591333E-3</v>
      </c>
      <c r="AA16" s="4">
        <f t="shared" si="0"/>
        <v>1.5821097817466546E-3</v>
      </c>
      <c r="AB16" s="4"/>
      <c r="AC16" s="4"/>
      <c r="AD16" s="4"/>
      <c r="AE16" s="14"/>
      <c r="AF16" s="7"/>
      <c r="AL16" s="3"/>
    </row>
    <row r="17" spans="2:42" x14ac:dyDescent="0.35">
      <c r="B17" s="1">
        <v>43739</v>
      </c>
      <c r="C17" s="2">
        <v>20.911301000000002</v>
      </c>
      <c r="D17" s="2">
        <v>16.0364</v>
      </c>
      <c r="E17" s="2">
        <v>32.137797999999997</v>
      </c>
      <c r="F17" s="2">
        <v>285.96200599999997</v>
      </c>
      <c r="G17" s="2">
        <v>3819.8701169999999</v>
      </c>
      <c r="H17" s="2">
        <v>3025.3000489999999</v>
      </c>
      <c r="I17" s="2">
        <v>122.050003</v>
      </c>
      <c r="J17" s="2">
        <v>3488.0500489999999</v>
      </c>
      <c r="K17" s="2">
        <v>312.64001500000001</v>
      </c>
      <c r="L17" s="2">
        <v>666.54101600000001</v>
      </c>
      <c r="M17" s="2">
        <v>53.790199000000001</v>
      </c>
      <c r="N17" s="2"/>
      <c r="O17" s="2"/>
      <c r="P17" s="7"/>
      <c r="Q17" s="4">
        <f t="shared" si="1"/>
        <v>1.0354157107109454E-2</v>
      </c>
      <c r="R17" s="4">
        <f t="shared" si="0"/>
        <v>1.1084069959522378E-2</v>
      </c>
      <c r="S17" s="4">
        <f t="shared" si="0"/>
        <v>1.0759253609764732E-2</v>
      </c>
      <c r="T17" s="4">
        <f t="shared" si="0"/>
        <v>4.8845812095398679E-3</v>
      </c>
      <c r="U17" s="4">
        <f t="shared" si="0"/>
        <v>4.8587929384336119E-3</v>
      </c>
      <c r="V17" s="4">
        <f t="shared" si="0"/>
        <v>4.8026333439732055E-3</v>
      </c>
      <c r="W17" s="4">
        <f t="shared" si="0"/>
        <v>3.6342074458913333E-2</v>
      </c>
      <c r="X17" s="4">
        <f t="shared" si="0"/>
        <v>2.7907509766179176E-2</v>
      </c>
      <c r="Y17" s="4">
        <f t="shared" si="0"/>
        <v>4.0676391289551084E-2</v>
      </c>
      <c r="Z17" s="4">
        <f t="shared" si="0"/>
        <v>3.7103149612612407E-2</v>
      </c>
      <c r="AA17" s="4">
        <f t="shared" si="0"/>
        <v>1.8695869198797989E-2</v>
      </c>
      <c r="AB17" s="4"/>
      <c r="AC17" s="4"/>
      <c r="AD17" s="4"/>
      <c r="AE17" s="14"/>
      <c r="AF17" s="7"/>
      <c r="AH17" s="3" t="s">
        <v>21</v>
      </c>
      <c r="AI17" s="3" t="s">
        <v>10</v>
      </c>
    </row>
    <row r="18" spans="2:42" x14ac:dyDescent="0.35">
      <c r="B18" s="1">
        <v>43709</v>
      </c>
      <c r="C18" s="2">
        <v>20.697001</v>
      </c>
      <c r="D18" s="2">
        <v>15.8606</v>
      </c>
      <c r="E18" s="2">
        <v>31.7957</v>
      </c>
      <c r="F18" s="2">
        <v>284.57199100000003</v>
      </c>
      <c r="G18" s="2">
        <v>3801.3999020000001</v>
      </c>
      <c r="H18" s="2">
        <v>3010.8400879999999</v>
      </c>
      <c r="I18" s="2">
        <v>117.769997</v>
      </c>
      <c r="J18" s="2">
        <v>3393.3500979999999</v>
      </c>
      <c r="K18" s="2">
        <v>300.42001299999998</v>
      </c>
      <c r="L18" s="2">
        <v>642.69500700000003</v>
      </c>
      <c r="M18" s="2">
        <v>52.803001000000002</v>
      </c>
      <c r="N18" s="2"/>
      <c r="O18" s="2"/>
      <c r="P18" s="7"/>
      <c r="Q18" s="4">
        <f t="shared" si="1"/>
        <v>7.3101403960646565E-3</v>
      </c>
      <c r="R18" s="4">
        <f t="shared" si="0"/>
        <v>5.751463230584849E-3</v>
      </c>
      <c r="S18" s="4">
        <f t="shared" si="0"/>
        <v>6.059321229456887E-3</v>
      </c>
      <c r="T18" s="4">
        <f t="shared" si="0"/>
        <v>4.4899507726066006E-3</v>
      </c>
      <c r="U18" s="4">
        <f t="shared" si="0"/>
        <v>4.7018044927746409E-3</v>
      </c>
      <c r="V18" s="4">
        <f t="shared" si="0"/>
        <v>4.5039934087052454E-3</v>
      </c>
      <c r="W18" s="4">
        <f t="shared" si="0"/>
        <v>4.0371025804885913E-2</v>
      </c>
      <c r="X18" s="4">
        <f t="shared" si="0"/>
        <v>-2.4577086563503894E-2</v>
      </c>
      <c r="Y18" s="4">
        <f t="shared" si="0"/>
        <v>3.6145447084600595E-2</v>
      </c>
      <c r="Z18" s="4">
        <f t="shared" si="0"/>
        <v>3.3025898451399104E-2</v>
      </c>
      <c r="AA18" s="4">
        <f t="shared" si="0"/>
        <v>5.6089590508534209E-2</v>
      </c>
      <c r="AB18" s="4"/>
      <c r="AC18" s="4"/>
      <c r="AD18" s="4"/>
      <c r="AE18" s="14"/>
      <c r="AF18" s="7"/>
      <c r="AH18" s="15" t="s">
        <v>11</v>
      </c>
      <c r="AI18" s="2">
        <f>1/11</f>
        <v>9.0909090909090912E-2</v>
      </c>
      <c r="AL18" s="3" t="s">
        <v>47</v>
      </c>
      <c r="AM18" s="4">
        <v>6.5000000000000002E-2</v>
      </c>
      <c r="AN18" s="18" t="s">
        <v>48</v>
      </c>
    </row>
    <row r="19" spans="2:42" x14ac:dyDescent="0.35">
      <c r="B19" s="1">
        <v>43678</v>
      </c>
      <c r="C19" s="2">
        <v>20.546800999999999</v>
      </c>
      <c r="D19" s="2">
        <v>15.7699</v>
      </c>
      <c r="E19" s="2">
        <v>31.604199999999999</v>
      </c>
      <c r="F19" s="2">
        <v>283.29998799999998</v>
      </c>
      <c r="G19" s="2">
        <v>3783.610107</v>
      </c>
      <c r="H19" s="2">
        <v>2997.3400879999999</v>
      </c>
      <c r="I19" s="2">
        <v>113.199997</v>
      </c>
      <c r="J19" s="2">
        <v>3478.8500979999999</v>
      </c>
      <c r="K19" s="2">
        <v>289.94000199999999</v>
      </c>
      <c r="L19" s="2">
        <v>622.14801</v>
      </c>
      <c r="M19" s="2">
        <v>49.998600000000003</v>
      </c>
      <c r="N19" s="2"/>
      <c r="O19" s="2"/>
      <c r="P19" s="7"/>
      <c r="Q19" s="4">
        <f t="shared" si="1"/>
        <v>7.1319474739354573E-3</v>
      </c>
      <c r="R19" s="4">
        <f t="shared" si="0"/>
        <v>6.1890269190768479E-3</v>
      </c>
      <c r="S19" s="4">
        <f t="shared" si="0"/>
        <v>8.0377134618941862E-3</v>
      </c>
      <c r="T19" s="4">
        <f t="shared" si="0"/>
        <v>5.0945630824656722E-3</v>
      </c>
      <c r="U19" s="4">
        <f t="shared" si="0"/>
        <v>4.9962966838029881E-3</v>
      </c>
      <c r="V19" s="4">
        <f t="shared" si="0"/>
        <v>5.0363541328656385E-3</v>
      </c>
      <c r="W19" s="4">
        <f t="shared" si="0"/>
        <v>-1.1871517316192664E-2</v>
      </c>
      <c r="X19" s="4">
        <f t="shared" si="0"/>
        <v>0.10441440407508235</v>
      </c>
      <c r="Y19" s="4">
        <f t="shared" si="0"/>
        <v>-2.8318685529742049E-2</v>
      </c>
      <c r="Z19" s="4">
        <f t="shared" si="0"/>
        <v>-3.7633172373234818E-2</v>
      </c>
      <c r="AA19" s="4">
        <f t="shared" si="0"/>
        <v>-1.0536067385805313E-2</v>
      </c>
      <c r="AB19" s="4"/>
      <c r="AC19" s="4"/>
      <c r="AD19" s="4"/>
      <c r="AE19" s="14"/>
      <c r="AF19" s="7"/>
      <c r="AH19" s="15" t="s">
        <v>12</v>
      </c>
      <c r="AI19" s="2">
        <f t="shared" ref="AI19:AI28" si="2">1/11</f>
        <v>9.0909090909090912E-2</v>
      </c>
      <c r="AL19" s="3" t="s">
        <v>25</v>
      </c>
      <c r="AM19" s="2">
        <f>(AI31-AM18)/AI32</f>
        <v>0.31869196652355064</v>
      </c>
    </row>
    <row r="20" spans="2:42" x14ac:dyDescent="0.35">
      <c r="B20" s="1">
        <v>43647</v>
      </c>
      <c r="C20" s="2">
        <v>20.401299999999999</v>
      </c>
      <c r="D20" s="2">
        <v>15.6729</v>
      </c>
      <c r="E20" s="2">
        <v>31.3522</v>
      </c>
      <c r="F20" s="2">
        <v>281.864014</v>
      </c>
      <c r="G20" s="2">
        <v>3764.8000489999999</v>
      </c>
      <c r="H20" s="2">
        <v>2982.320068</v>
      </c>
      <c r="I20" s="2">
        <v>114.55999799999999</v>
      </c>
      <c r="J20" s="2">
        <v>3149.9499510000001</v>
      </c>
      <c r="K20" s="2">
        <v>298.39001500000001</v>
      </c>
      <c r="L20" s="2">
        <v>646.47699</v>
      </c>
      <c r="M20" s="2">
        <v>50.530997999999997</v>
      </c>
      <c r="N20" s="2"/>
      <c r="O20" s="2"/>
      <c r="P20" s="7"/>
      <c r="Q20" s="4">
        <f t="shared" si="1"/>
        <v>1.0030348487773982E-2</v>
      </c>
      <c r="R20" s="4">
        <f t="shared" si="0"/>
        <v>1.0190269935803299E-2</v>
      </c>
      <c r="S20" s="4">
        <f t="shared" si="0"/>
        <v>1.0810268299226213E-2</v>
      </c>
      <c r="T20" s="4">
        <f t="shared" si="0"/>
        <v>5.669503287903041E-3</v>
      </c>
      <c r="U20" s="4">
        <f t="shared" si="0"/>
        <v>5.6522947197902174E-3</v>
      </c>
      <c r="V20" s="4">
        <f t="shared" si="0"/>
        <v>5.4922029921228351E-3</v>
      </c>
      <c r="W20" s="4">
        <f t="shared" si="0"/>
        <v>-5.2204888255028871E-2</v>
      </c>
      <c r="X20" s="4">
        <f t="shared" si="0"/>
        <v>2.6410131183222912E-2</v>
      </c>
      <c r="Y20" s="4">
        <f t="shared" si="0"/>
        <v>-5.8617490429323051E-2</v>
      </c>
      <c r="Z20" s="4">
        <f t="shared" si="0"/>
        <v>-7.6373016129174229E-2</v>
      </c>
      <c r="AA20" s="4">
        <f t="shared" si="0"/>
        <v>-4.7106320072155282E-2</v>
      </c>
      <c r="AB20" s="4"/>
      <c r="AC20" s="4"/>
      <c r="AD20" s="4"/>
      <c r="AE20" s="14"/>
      <c r="AF20" s="7"/>
      <c r="AH20" s="15" t="s">
        <v>13</v>
      </c>
      <c r="AI20" s="2">
        <f t="shared" si="2"/>
        <v>9.0909090909090912E-2</v>
      </c>
    </row>
    <row r="21" spans="2:42" x14ac:dyDescent="0.35">
      <c r="B21" s="1">
        <v>43617</v>
      </c>
      <c r="C21" s="2">
        <v>20.198699999999999</v>
      </c>
      <c r="D21" s="2">
        <v>15.514799999999999</v>
      </c>
      <c r="E21" s="2">
        <v>31.016898999999999</v>
      </c>
      <c r="F21" s="2">
        <v>280.27499399999999</v>
      </c>
      <c r="G21" s="2">
        <v>3743.639893</v>
      </c>
      <c r="H21" s="2">
        <v>2966.030029</v>
      </c>
      <c r="I21" s="2">
        <v>120.870003</v>
      </c>
      <c r="J21" s="2">
        <v>3068.8999020000001</v>
      </c>
      <c r="K21" s="2">
        <v>316.97000100000002</v>
      </c>
      <c r="L21" s="2">
        <v>699.93298300000004</v>
      </c>
      <c r="M21" s="2">
        <v>53.028998999999999</v>
      </c>
      <c r="N21" s="2"/>
      <c r="O21" s="2"/>
      <c r="P21" s="7"/>
      <c r="Q21" s="4">
        <f t="shared" si="1"/>
        <v>4.7154529859651769E-3</v>
      </c>
      <c r="R21" s="4">
        <f t="shared" si="1"/>
        <v>3.7329123833059726E-3</v>
      </c>
      <c r="S21" s="4">
        <f t="shared" si="1"/>
        <v>-6.2832673892596329E-4</v>
      </c>
      <c r="T21" s="4">
        <f t="shared" si="1"/>
        <v>5.5033059955654799E-3</v>
      </c>
      <c r="U21" s="4">
        <f t="shared" si="1"/>
        <v>5.5276664017952443E-3</v>
      </c>
      <c r="V21" s="4">
        <f t="shared" si="1"/>
        <v>5.3623532593041747E-3</v>
      </c>
      <c r="W21" s="4">
        <f t="shared" si="1"/>
        <v>-8.6121638551864953E-3</v>
      </c>
      <c r="X21" s="4">
        <f t="shared" si="1"/>
        <v>4.7370328438520203E-2</v>
      </c>
      <c r="Y21" s="4">
        <f t="shared" si="1"/>
        <v>-5.9907616850701686E-4</v>
      </c>
      <c r="Z21" s="4">
        <f t="shared" si="1"/>
        <v>4.9707381358795226E-3</v>
      </c>
      <c r="AA21" s="4">
        <f t="shared" si="1"/>
        <v>-8.9611932489453983E-3</v>
      </c>
      <c r="AB21" s="4"/>
      <c r="AC21" s="4"/>
      <c r="AD21" s="4"/>
      <c r="AE21" s="14"/>
      <c r="AF21" s="7"/>
      <c r="AH21" s="15" t="s">
        <v>16</v>
      </c>
      <c r="AI21" s="2">
        <f t="shared" si="2"/>
        <v>9.0909090909090912E-2</v>
      </c>
    </row>
    <row r="22" spans="2:42" x14ac:dyDescent="0.35">
      <c r="B22" s="1">
        <v>43586</v>
      </c>
      <c r="C22" s="2">
        <v>20.103901</v>
      </c>
      <c r="D22" s="2">
        <v>15.457100000000001</v>
      </c>
      <c r="E22" s="2">
        <v>31.0364</v>
      </c>
      <c r="F22" s="2">
        <v>278.74099699999999</v>
      </c>
      <c r="G22" s="2">
        <v>3723.0600589999999</v>
      </c>
      <c r="H22" s="2">
        <v>2950.209961</v>
      </c>
      <c r="I22" s="2">
        <v>121.91999800000001</v>
      </c>
      <c r="J22" s="2">
        <v>2930.1000979999999</v>
      </c>
      <c r="K22" s="2">
        <v>317.16000400000001</v>
      </c>
      <c r="L22" s="2">
        <v>696.47100799999998</v>
      </c>
      <c r="M22" s="2">
        <v>53.508499</v>
      </c>
      <c r="N22" s="2"/>
      <c r="O22" s="2"/>
      <c r="P22" s="7"/>
      <c r="Q22" s="4">
        <f t="shared" si="1"/>
        <v>9.5614030682703386E-3</v>
      </c>
      <c r="R22" s="4">
        <f t="shared" si="1"/>
        <v>1.238538118941576E-2</v>
      </c>
      <c r="S22" s="4">
        <f t="shared" si="1"/>
        <v>1.2623370691202163E-2</v>
      </c>
      <c r="T22" s="4">
        <f t="shared" si="1"/>
        <v>6.2488247265864881E-3</v>
      </c>
      <c r="U22" s="4">
        <f t="shared" si="1"/>
        <v>6.319499910729008E-3</v>
      </c>
      <c r="V22" s="4">
        <f t="shared" si="1"/>
        <v>5.9740444276307932E-3</v>
      </c>
      <c r="W22" s="4">
        <f t="shared" si="1"/>
        <v>1.3634843811397131E-2</v>
      </c>
      <c r="X22" s="4">
        <f t="shared" si="1"/>
        <v>1.5421402304097094E-2</v>
      </c>
      <c r="Y22" s="4">
        <f t="shared" si="1"/>
        <v>1.5692031778260663E-2</v>
      </c>
      <c r="Z22" s="4">
        <f t="shared" si="1"/>
        <v>3.303480697222947E-2</v>
      </c>
      <c r="AA22" s="4">
        <f t="shared" si="1"/>
        <v>3.2880933206980302E-2</v>
      </c>
      <c r="AB22" s="4"/>
      <c r="AC22" s="4"/>
      <c r="AD22" s="4"/>
      <c r="AE22" s="14"/>
      <c r="AF22" s="7"/>
      <c r="AH22" s="15" t="s">
        <v>15</v>
      </c>
      <c r="AI22" s="2">
        <f t="shared" si="2"/>
        <v>9.0909090909090912E-2</v>
      </c>
    </row>
    <row r="23" spans="2:42" x14ac:dyDescent="0.35">
      <c r="B23" s="1">
        <v>43556</v>
      </c>
      <c r="C23" s="2">
        <v>19.913499999999999</v>
      </c>
      <c r="D23" s="2">
        <v>15.268000000000001</v>
      </c>
      <c r="E23" s="2">
        <v>30.6495</v>
      </c>
      <c r="F23" s="2">
        <v>277.01001000000002</v>
      </c>
      <c r="G23" s="2">
        <v>3699.679932</v>
      </c>
      <c r="H23" s="2">
        <v>2932.6899410000001</v>
      </c>
      <c r="I23" s="2">
        <v>120.279999</v>
      </c>
      <c r="J23" s="2">
        <v>2885.6000979999999</v>
      </c>
      <c r="K23" s="2">
        <v>312.26001000000002</v>
      </c>
      <c r="L23" s="2">
        <v>674.19897500000002</v>
      </c>
      <c r="M23" s="2">
        <v>51.805098999999998</v>
      </c>
      <c r="N23" s="2"/>
      <c r="O23" s="2"/>
      <c r="P23" s="7"/>
      <c r="Q23" s="4">
        <f t="shared" si="1"/>
        <v>5.5850405748651983E-3</v>
      </c>
      <c r="R23" s="4">
        <f t="shared" si="1"/>
        <v>8.4561884222326522E-4</v>
      </c>
      <c r="S23" s="4">
        <f t="shared" si="1"/>
        <v>-8.4533881862200715E-3</v>
      </c>
      <c r="T23" s="4">
        <f t="shared" si="1"/>
        <v>7.2285380017395873E-3</v>
      </c>
      <c r="U23" s="4">
        <f t="shared" si="1"/>
        <v>7.2254364857102325E-3</v>
      </c>
      <c r="V23" s="4">
        <f t="shared" si="1"/>
        <v>7.2780151124850045E-3</v>
      </c>
      <c r="W23" s="4">
        <f t="shared" si="1"/>
        <v>6.0220894282719088E-3</v>
      </c>
      <c r="X23" s="4">
        <f t="shared" si="1"/>
        <v>3.4077643900895368E-3</v>
      </c>
      <c r="Y23" s="4">
        <f t="shared" si="1"/>
        <v>1.8294525060385394E-2</v>
      </c>
      <c r="Z23" s="4">
        <f t="shared" si="1"/>
        <v>7.2653734555819154E-3</v>
      </c>
      <c r="AA23" s="4">
        <f t="shared" si="1"/>
        <v>2.735505848495794E-2</v>
      </c>
      <c r="AB23" s="4"/>
      <c r="AC23" s="4"/>
      <c r="AD23" s="4"/>
      <c r="AE23" s="14"/>
      <c r="AF23" s="7"/>
      <c r="AH23" s="15" t="s">
        <v>14</v>
      </c>
      <c r="AI23" s="2">
        <f t="shared" si="2"/>
        <v>9.0909090909090912E-2</v>
      </c>
    </row>
    <row r="24" spans="2:42" x14ac:dyDescent="0.35">
      <c r="B24" s="1">
        <v>43525</v>
      </c>
      <c r="C24" s="2">
        <v>19.802900000000001</v>
      </c>
      <c r="D24" s="2">
        <v>15.255100000000001</v>
      </c>
      <c r="E24" s="2">
        <v>30.910800999999999</v>
      </c>
      <c r="F24" s="2">
        <v>275.02200299999998</v>
      </c>
      <c r="G24" s="2">
        <v>3673.139893</v>
      </c>
      <c r="H24" s="2">
        <v>2911.5</v>
      </c>
      <c r="I24" s="2">
        <v>119.55999799999999</v>
      </c>
      <c r="J24" s="2">
        <v>2875.8000489999999</v>
      </c>
      <c r="K24" s="2">
        <v>306.64999399999999</v>
      </c>
      <c r="L24" s="2">
        <v>669.33599900000002</v>
      </c>
      <c r="M24" s="2">
        <v>50.425700999999997</v>
      </c>
      <c r="N24" s="2"/>
      <c r="O24" s="2"/>
      <c r="P24" s="7"/>
      <c r="Q24" s="4">
        <f t="shared" si="1"/>
        <v>1.0181959159937368E-2</v>
      </c>
      <c r="R24" s="4">
        <f t="shared" si="1"/>
        <v>1.4801165467051618E-2</v>
      </c>
      <c r="S24" s="4">
        <f t="shared" si="1"/>
        <v>9.9984972944929147E-3</v>
      </c>
      <c r="T24" s="4">
        <f t="shared" si="1"/>
        <v>5.1055386021013572E-3</v>
      </c>
      <c r="U24" s="4">
        <f t="shared" si="1"/>
        <v>5.1225560826504233E-3</v>
      </c>
      <c r="V24" s="4">
        <f t="shared" si="1"/>
        <v>5.0017051891374153E-3</v>
      </c>
      <c r="W24" s="4">
        <f t="shared" si="1"/>
        <v>8.4739583698606541E-2</v>
      </c>
      <c r="X24" s="4">
        <f t="shared" si="1"/>
        <v>-5.1517134234828517E-2</v>
      </c>
      <c r="Y24" s="4">
        <f t="shared" si="1"/>
        <v>5.3961097619751867E-2</v>
      </c>
      <c r="Z24" s="4">
        <f t="shared" si="1"/>
        <v>8.679439639978101E-2</v>
      </c>
      <c r="AA24" s="4">
        <f t="shared" si="1"/>
        <v>6.2034147593124978E-2</v>
      </c>
      <c r="AB24" s="4"/>
      <c r="AC24" s="4"/>
      <c r="AD24" s="4"/>
      <c r="AE24" s="14"/>
      <c r="AF24" s="7"/>
      <c r="AH24" s="15" t="s">
        <v>4</v>
      </c>
      <c r="AI24" s="2">
        <f t="shared" si="2"/>
        <v>9.0909090909090912E-2</v>
      </c>
    </row>
    <row r="25" spans="2:42" x14ac:dyDescent="0.35">
      <c r="B25" s="1">
        <v>43497</v>
      </c>
      <c r="C25" s="2">
        <v>19.603300000000001</v>
      </c>
      <c r="D25" s="2">
        <v>15.0326</v>
      </c>
      <c r="E25" s="2">
        <v>30.604799</v>
      </c>
      <c r="F25" s="2">
        <v>273.625</v>
      </c>
      <c r="G25" s="2">
        <v>3654.419922</v>
      </c>
      <c r="H25" s="2">
        <v>2897.01001</v>
      </c>
      <c r="I25" s="2">
        <v>110.220001</v>
      </c>
      <c r="J25" s="2">
        <v>3032</v>
      </c>
      <c r="K25" s="2">
        <v>290.95001200000002</v>
      </c>
      <c r="L25" s="2">
        <v>615.88098100000002</v>
      </c>
      <c r="M25" s="2">
        <v>47.480300999999997</v>
      </c>
      <c r="N25" s="2"/>
      <c r="O25" s="2"/>
      <c r="P25" s="7"/>
      <c r="Q25" s="4">
        <f t="shared" si="1"/>
        <v>2.7109045533365338E-3</v>
      </c>
      <c r="R25" s="4">
        <f t="shared" si="1"/>
        <v>1.672497084790946E-3</v>
      </c>
      <c r="S25" s="4">
        <f t="shared" si="1"/>
        <v>4.8395465417122811E-3</v>
      </c>
      <c r="T25" s="4">
        <f t="shared" si="1"/>
        <v>5.224031271984079E-3</v>
      </c>
      <c r="U25" s="4">
        <f t="shared" si="1"/>
        <v>5.2761116330039071E-3</v>
      </c>
      <c r="V25" s="4">
        <f t="shared" si="1"/>
        <v>5.2534959541342954E-3</v>
      </c>
      <c r="W25" s="4">
        <f t="shared" si="1"/>
        <v>0.39784405574747128</v>
      </c>
      <c r="X25" s="4">
        <f t="shared" si="1"/>
        <v>9.3712738923765401E-3</v>
      </c>
      <c r="Y25" s="4">
        <f t="shared" si="1"/>
        <v>2.135587186176529E-3</v>
      </c>
      <c r="Z25" s="4">
        <f t="shared" si="1"/>
        <v>-2.1615972852196279E-2</v>
      </c>
      <c r="AA25" s="4">
        <f t="shared" si="1"/>
        <v>-5.5586156332692585E-3</v>
      </c>
      <c r="AB25" s="4"/>
      <c r="AC25" s="4"/>
      <c r="AD25" s="4"/>
      <c r="AE25" s="14"/>
      <c r="AF25" s="7"/>
      <c r="AH25" s="15" t="s">
        <v>3</v>
      </c>
      <c r="AI25" s="2">
        <f t="shared" si="2"/>
        <v>9.0909090909090912E-2</v>
      </c>
    </row>
    <row r="26" spans="2:42" x14ac:dyDescent="0.35">
      <c r="B26" s="1">
        <v>43466</v>
      </c>
      <c r="C26" s="2">
        <v>19.550301000000001</v>
      </c>
      <c r="D26" s="2">
        <v>15.0075</v>
      </c>
      <c r="E26" s="2">
        <v>30.457398999999999</v>
      </c>
      <c r="F26" s="2">
        <v>272.20300300000002</v>
      </c>
      <c r="G26" s="2">
        <v>3635.23999</v>
      </c>
      <c r="H26" s="2">
        <v>2881.8701169999999</v>
      </c>
      <c r="I26" s="2">
        <v>78.849997999999999</v>
      </c>
      <c r="J26" s="2">
        <v>3003.8500979999999</v>
      </c>
      <c r="K26" s="2">
        <v>290.32998700000002</v>
      </c>
      <c r="L26" s="2">
        <v>629.487976</v>
      </c>
      <c r="M26" s="2">
        <v>47.745700999999997</v>
      </c>
      <c r="N26" s="2"/>
      <c r="O26" s="2"/>
      <c r="P26" s="7"/>
      <c r="Q26" s="4">
        <f t="shared" si="1"/>
        <v>6.3209882897955275E-3</v>
      </c>
      <c r="R26" s="4">
        <f t="shared" si="1"/>
        <v>5.0966419759701223E-3</v>
      </c>
      <c r="S26" s="4">
        <f t="shared" si="1"/>
        <v>7.7922960570878637E-3</v>
      </c>
      <c r="T26" s="4">
        <f t="shared" si="1"/>
        <v>6.0428803195506668E-3</v>
      </c>
      <c r="U26" s="4">
        <f t="shared" si="1"/>
        <v>6.1304593742529763E-3</v>
      </c>
      <c r="V26" s="4">
        <f t="shared" si="1"/>
        <v>6.0393177996440426E-3</v>
      </c>
      <c r="W26" s="4">
        <f t="shared" si="1"/>
        <v>0</v>
      </c>
      <c r="X26" s="4">
        <f t="shared" si="1"/>
        <v>4.3311463537684107E-2</v>
      </c>
      <c r="Y26" s="4">
        <f t="shared" si="1"/>
        <v>-2.3674237879985169E-2</v>
      </c>
      <c r="Z26" s="4">
        <f t="shared" si="1"/>
        <v>-2.0813062510104534E-4</v>
      </c>
      <c r="AA26" s="4">
        <f t="shared" si="1"/>
        <v>-1.5107832196393856E-2</v>
      </c>
      <c r="AB26" s="4"/>
      <c r="AC26" s="4"/>
      <c r="AD26" s="4"/>
      <c r="AE26" s="14"/>
      <c r="AF26" s="7"/>
      <c r="AH26" s="15" t="s">
        <v>18</v>
      </c>
      <c r="AI26" s="2">
        <f t="shared" si="2"/>
        <v>9.0909090909090912E-2</v>
      </c>
    </row>
    <row r="27" spans="2:42" x14ac:dyDescent="0.35">
      <c r="B27" s="1">
        <v>43435</v>
      </c>
      <c r="C27" s="2">
        <v>19.427499999999998</v>
      </c>
      <c r="D27" s="2">
        <v>14.9314</v>
      </c>
      <c r="E27" s="2">
        <v>30.221900999999999</v>
      </c>
      <c r="F27" s="2">
        <v>270.567993</v>
      </c>
      <c r="G27" s="2">
        <v>3613.0900879999999</v>
      </c>
      <c r="H27" s="2">
        <v>2864.570068</v>
      </c>
      <c r="I27" s="2">
        <v>78.849997999999999</v>
      </c>
      <c r="J27" s="2">
        <v>2879.1499020000001</v>
      </c>
      <c r="K27" s="2">
        <v>297.36999500000002</v>
      </c>
      <c r="L27" s="2">
        <v>629.61901899999998</v>
      </c>
      <c r="M27" s="2">
        <v>48.478099999999998</v>
      </c>
      <c r="N27" s="2"/>
      <c r="O27" s="2"/>
      <c r="P27" s="7"/>
      <c r="Q27" s="4">
        <f t="shared" si="1"/>
        <v>6.7574920583920936E-3</v>
      </c>
      <c r="R27" s="4">
        <f t="shared" si="1"/>
        <v>8.0746431898891524E-3</v>
      </c>
      <c r="S27" s="4">
        <f t="shared" si="1"/>
        <v>8.6810872510996936E-3</v>
      </c>
      <c r="T27" s="4">
        <f t="shared" si="1"/>
        <v>6.3340452023895859E-3</v>
      </c>
      <c r="U27" s="4">
        <f t="shared" si="1"/>
        <v>6.2804059431350477E-3</v>
      </c>
      <c r="V27" s="4">
        <f t="shared" si="1"/>
        <v>6.0972345692070903E-3</v>
      </c>
      <c r="W27" s="4">
        <f t="shared" si="1"/>
        <v>0</v>
      </c>
      <c r="X27" s="4">
        <f t="shared" si="1"/>
        <v>3.8673119246372734E-2</v>
      </c>
      <c r="Y27" s="4">
        <f t="shared" si="1"/>
        <v>1.3807404552530376E-2</v>
      </c>
      <c r="Z27" s="4">
        <f t="shared" si="1"/>
        <v>2.1026417911862473E-2</v>
      </c>
      <c r="AA27" s="4">
        <f t="shared" si="1"/>
        <v>1.4850728615180967E-2</v>
      </c>
      <c r="AB27" s="4"/>
      <c r="AC27" s="4"/>
      <c r="AD27" s="4"/>
      <c r="AE27" s="14"/>
      <c r="AF27" s="7"/>
      <c r="AH27" s="15" t="s">
        <v>19</v>
      </c>
      <c r="AI27" s="2">
        <f t="shared" si="2"/>
        <v>9.0909090909090912E-2</v>
      </c>
    </row>
    <row r="28" spans="2:42" x14ac:dyDescent="0.35">
      <c r="B28" s="1">
        <v>43405</v>
      </c>
      <c r="C28" s="2">
        <v>19.2971</v>
      </c>
      <c r="D28" s="2">
        <v>14.8118</v>
      </c>
      <c r="E28" s="2">
        <v>29.9618</v>
      </c>
      <c r="F28" s="2">
        <v>268.86498999999998</v>
      </c>
      <c r="G28" s="2">
        <v>3590.540039</v>
      </c>
      <c r="H28" s="2">
        <v>2847.209961</v>
      </c>
      <c r="I28" s="2">
        <v>78.849997999999999</v>
      </c>
      <c r="J28" s="2">
        <v>2771.9499510000001</v>
      </c>
      <c r="K28" s="2">
        <v>293.32000699999998</v>
      </c>
      <c r="L28" s="2">
        <v>616.65301499999998</v>
      </c>
      <c r="M28" s="2">
        <v>47.768700000000003</v>
      </c>
      <c r="N28" s="2"/>
      <c r="O28" s="2"/>
      <c r="P28" s="7"/>
      <c r="Q28" s="4">
        <f t="shared" si="1"/>
        <v>1.0240033505222044E-2</v>
      </c>
      <c r="R28" s="4">
        <f t="shared" si="1"/>
        <v>1.1244546702077534E-2</v>
      </c>
      <c r="S28" s="4">
        <f t="shared" si="1"/>
        <v>1.0304759207181024E-2</v>
      </c>
      <c r="T28" s="4">
        <f t="shared" si="1"/>
        <v>6.3103914916421179E-3</v>
      </c>
      <c r="U28" s="4">
        <f t="shared" si="1"/>
        <v>6.356732416582949E-3</v>
      </c>
      <c r="V28" s="4">
        <f t="shared" si="1"/>
        <v>6.0705829351466603E-3</v>
      </c>
      <c r="W28" s="4">
        <f t="shared" si="1"/>
        <v>0</v>
      </c>
      <c r="X28" s="4">
        <f t="shared" si="1"/>
        <v>-4.6243619133320202E-2</v>
      </c>
      <c r="Y28" s="4">
        <f t="shared" si="1"/>
        <v>1.2530653370633008E-2</v>
      </c>
      <c r="Z28" s="4">
        <f t="shared" si="1"/>
        <v>8.8359643425239501E-3</v>
      </c>
      <c r="AA28" s="4">
        <f t="shared" si="1"/>
        <v>4.9102910242795478E-2</v>
      </c>
      <c r="AB28" s="4"/>
      <c r="AC28" s="4"/>
      <c r="AD28" s="4"/>
      <c r="AE28" s="14"/>
      <c r="AF28" s="7"/>
      <c r="AH28" s="15" t="s">
        <v>17</v>
      </c>
      <c r="AI28" s="2">
        <f t="shared" si="2"/>
        <v>9.0909090909090912E-2</v>
      </c>
    </row>
    <row r="29" spans="2:42" x14ac:dyDescent="0.35">
      <c r="B29" s="1">
        <v>43374</v>
      </c>
      <c r="C29" s="2">
        <v>19.101500000000001</v>
      </c>
      <c r="D29" s="2">
        <v>14.6471</v>
      </c>
      <c r="E29" s="2">
        <v>29.656199999999998</v>
      </c>
      <c r="F29" s="2">
        <v>267.17898600000001</v>
      </c>
      <c r="G29" s="2">
        <v>3567.860107</v>
      </c>
      <c r="H29" s="2">
        <v>2830.030029</v>
      </c>
      <c r="I29" s="2">
        <v>78.849997999999999</v>
      </c>
      <c r="J29" s="2">
        <v>2906.3500979999999</v>
      </c>
      <c r="K29" s="2">
        <v>289.69000199999999</v>
      </c>
      <c r="L29" s="2">
        <v>611.25201400000003</v>
      </c>
      <c r="M29" s="2">
        <v>45.532902</v>
      </c>
      <c r="N29" s="2"/>
      <c r="O29" s="2"/>
      <c r="P29" s="7"/>
      <c r="Q29" s="4">
        <f t="shared" si="1"/>
        <v>6.2265784255941328E-3</v>
      </c>
      <c r="R29" s="4">
        <f t="shared" si="1"/>
        <v>5.6782291065887291E-3</v>
      </c>
      <c r="S29" s="4">
        <f t="shared" si="1"/>
        <v>7.3472059126289072E-3</v>
      </c>
      <c r="T29" s="4">
        <f t="shared" si="1"/>
        <v>6.16854305937003E-3</v>
      </c>
      <c r="U29" s="4">
        <f t="shared" si="1"/>
        <v>6.2243019911647941E-3</v>
      </c>
      <c r="V29" s="4">
        <f t="shared" si="1"/>
        <v>6.2149934029494206E-3</v>
      </c>
      <c r="W29" s="4">
        <f t="shared" si="1"/>
        <v>0</v>
      </c>
      <c r="X29" s="4">
        <f t="shared" si="1"/>
        <v>4.9489057370106573E-2</v>
      </c>
      <c r="Y29" s="4">
        <f t="shared" si="1"/>
        <v>-2.7788028902949971E-2</v>
      </c>
      <c r="Z29" s="4">
        <f t="shared" si="1"/>
        <v>-3.3863800197185415E-3</v>
      </c>
      <c r="AA29" s="4">
        <f t="shared" si="1"/>
        <v>-4.1545743992324129E-2</v>
      </c>
      <c r="AB29" s="4"/>
      <c r="AC29" s="4"/>
      <c r="AD29" s="4"/>
      <c r="AE29" s="14"/>
      <c r="AF29" s="7"/>
      <c r="AH29" s="15"/>
      <c r="AI29" s="2"/>
    </row>
    <row r="30" spans="2:42" x14ac:dyDescent="0.35">
      <c r="B30" s="1">
        <v>43344</v>
      </c>
      <c r="C30" s="2">
        <v>18.983298999999999</v>
      </c>
      <c r="D30" s="2">
        <v>14.564399999999999</v>
      </c>
      <c r="E30" s="2">
        <v>29.439899</v>
      </c>
      <c r="F30" s="2">
        <v>265.54098499999998</v>
      </c>
      <c r="G30" s="2">
        <v>3545.790039</v>
      </c>
      <c r="H30" s="2">
        <v>2812.5500489999999</v>
      </c>
      <c r="I30" s="2">
        <v>78.849997999999999</v>
      </c>
      <c r="J30" s="2">
        <v>2769.3000489999999</v>
      </c>
      <c r="K30" s="2">
        <v>297.97000100000002</v>
      </c>
      <c r="L30" s="2">
        <v>613.328979</v>
      </c>
      <c r="M30" s="2">
        <v>47.506599000000001</v>
      </c>
      <c r="N30" s="2"/>
      <c r="O30" s="2"/>
      <c r="P30" s="7"/>
      <c r="Q30" s="4">
        <f t="shared" si="1"/>
        <v>-1.0104985654256745E-3</v>
      </c>
      <c r="R30" s="4">
        <f t="shared" si="1"/>
        <v>-1.6040801217456046E-3</v>
      </c>
      <c r="S30" s="4">
        <f t="shared" si="1"/>
        <v>8.8390182872719264E-4</v>
      </c>
      <c r="T30" s="4">
        <f t="shared" si="1"/>
        <v>5.6846536465614958E-3</v>
      </c>
      <c r="U30" s="4">
        <f t="shared" si="1"/>
        <v>5.689618636081686E-3</v>
      </c>
      <c r="V30" s="4">
        <f t="shared" si="1"/>
        <v>5.8220518346078802E-3</v>
      </c>
      <c r="W30" s="4">
        <f t="shared" si="1"/>
        <v>0</v>
      </c>
      <c r="X30" s="4">
        <f t="shared" si="1"/>
        <v>9.2167669648502554E-4</v>
      </c>
      <c r="Y30" s="4">
        <f t="shared" si="1"/>
        <v>-6.9425390902233916E-2</v>
      </c>
      <c r="Z30" s="4">
        <f t="shared" si="1"/>
        <v>-7.9068990578892967E-2</v>
      </c>
      <c r="AA30" s="4">
        <f t="shared" si="1"/>
        <v>-8.8137082904657285E-2</v>
      </c>
      <c r="AB30" s="4"/>
      <c r="AC30" s="4"/>
      <c r="AD30" s="4"/>
      <c r="AE30" s="14"/>
      <c r="AF30" s="7"/>
      <c r="AH30" s="15" t="s">
        <v>24</v>
      </c>
      <c r="AI30" s="2">
        <f>SUM(AI18:AI28)</f>
        <v>1.0000000000000002</v>
      </c>
    </row>
    <row r="31" spans="2:42" x14ac:dyDescent="0.35">
      <c r="B31" s="1">
        <v>43313</v>
      </c>
      <c r="C31" s="2">
        <v>19.002500999999999</v>
      </c>
      <c r="D31" s="2">
        <v>14.5878</v>
      </c>
      <c r="E31" s="2">
        <v>29.413900000000002</v>
      </c>
      <c r="F31" s="2">
        <v>264.040009</v>
      </c>
      <c r="G31" s="2">
        <v>3525.7299800000001</v>
      </c>
      <c r="H31" s="2">
        <v>2796.2700199999999</v>
      </c>
      <c r="I31" s="2">
        <v>78.849997999999999</v>
      </c>
      <c r="J31" s="2">
        <v>2766.75</v>
      </c>
      <c r="K31" s="2">
        <v>320.20001200000002</v>
      </c>
      <c r="L31" s="2">
        <v>665.987976</v>
      </c>
      <c r="M31" s="2">
        <v>52.098399999999998</v>
      </c>
      <c r="N31" s="2"/>
      <c r="O31" s="2"/>
      <c r="P31" s="7"/>
      <c r="Q31" s="4">
        <f t="shared" si="1"/>
        <v>5.3754583115089077E-3</v>
      </c>
      <c r="R31" s="4">
        <f t="shared" si="1"/>
        <v>4.8078247692518918E-3</v>
      </c>
      <c r="S31" s="4">
        <f t="shared" si="1"/>
        <v>5.8166519336288183E-3</v>
      </c>
      <c r="T31" s="4">
        <f t="shared" si="1"/>
        <v>5.9778068898185292E-3</v>
      </c>
      <c r="U31" s="4">
        <f t="shared" si="1"/>
        <v>5.9373847229369104E-3</v>
      </c>
      <c r="V31" s="4">
        <f t="shared" si="1"/>
        <v>5.9647224517548596E-3</v>
      </c>
      <c r="W31" s="4">
        <f t="shared" si="1"/>
        <v>0</v>
      </c>
      <c r="X31" s="4">
        <f t="shared" si="1"/>
        <v>1.8010872807957646E-2</v>
      </c>
      <c r="Y31" s="4">
        <f t="shared" si="1"/>
        <v>5.5094241445773594E-2</v>
      </c>
      <c r="Z31" s="4">
        <f t="shared" si="1"/>
        <v>5.1977480893982894E-2</v>
      </c>
      <c r="AA31" s="4">
        <f t="shared" si="1"/>
        <v>2.9329907976463034E-2</v>
      </c>
      <c r="AB31" s="4"/>
      <c r="AC31" s="4"/>
      <c r="AD31" s="4"/>
      <c r="AE31" s="14"/>
      <c r="AF31" s="7"/>
      <c r="AH31" s="3" t="s">
        <v>22</v>
      </c>
      <c r="AI31" s="8">
        <f t="array" ref="AI31">MMULT(TRANSPOSE(AI18:AI28), AI4:AI14)</f>
        <v>8.6080635961029328E-2</v>
      </c>
    </row>
    <row r="32" spans="2:42" x14ac:dyDescent="0.35">
      <c r="B32" s="1">
        <v>43282</v>
      </c>
      <c r="C32" s="2">
        <v>18.9009</v>
      </c>
      <c r="D32" s="2">
        <v>14.518000000000001</v>
      </c>
      <c r="E32" s="2">
        <v>29.243798999999999</v>
      </c>
      <c r="F32" s="2">
        <v>262.47100799999998</v>
      </c>
      <c r="G32" s="2">
        <v>3504.919922</v>
      </c>
      <c r="H32" s="2">
        <v>2779.6899410000001</v>
      </c>
      <c r="I32" s="2">
        <v>78.849997999999999</v>
      </c>
      <c r="J32" s="2">
        <v>2717.8000489999999</v>
      </c>
      <c r="K32" s="2">
        <v>303.48001099999999</v>
      </c>
      <c r="L32" s="2">
        <v>633.08196999999996</v>
      </c>
      <c r="M32" s="2">
        <v>50.613899000000004</v>
      </c>
      <c r="N32" s="2"/>
      <c r="O32" s="2"/>
      <c r="P32" s="7"/>
      <c r="Q32" s="4">
        <f t="shared" si="1"/>
        <v>7.9243612783497629E-3</v>
      </c>
      <c r="R32" s="4">
        <f t="shared" si="1"/>
        <v>8.6427301022677719E-3</v>
      </c>
      <c r="S32" s="4">
        <f t="shared" si="1"/>
        <v>1.0487071661316525E-2</v>
      </c>
      <c r="T32" s="4">
        <f t="shared" si="1"/>
        <v>6.1758149683248231E-3</v>
      </c>
      <c r="U32" s="4">
        <f t="shared" si="1"/>
        <v>6.261592177683079E-3</v>
      </c>
      <c r="V32" s="4">
        <f t="shared" si="1"/>
        <v>6.1279050437682151E-3</v>
      </c>
      <c r="W32" s="4">
        <f t="shared" si="1"/>
        <v>0</v>
      </c>
      <c r="X32" s="4">
        <f t="shared" si="1"/>
        <v>-2.2497184453495377E-2</v>
      </c>
      <c r="Y32" s="4">
        <f t="shared" si="1"/>
        <v>6.2121580921368463E-2</v>
      </c>
      <c r="Z32" s="4">
        <f t="shared" si="1"/>
        <v>7.0386002870839612E-2</v>
      </c>
      <c r="AA32" s="4">
        <f t="shared" si="1"/>
        <v>5.0440526339536482E-2</v>
      </c>
      <c r="AB32" s="4"/>
      <c r="AC32" s="4"/>
      <c r="AD32" s="4"/>
      <c r="AE32" s="14"/>
      <c r="AF32" s="7"/>
      <c r="AH32" s="3" t="s">
        <v>8</v>
      </c>
      <c r="AI32" s="8">
        <f t="array" ref="AI32">SQRT(MMULT(MMULT(TRANSPOSE(AI18:AI28),AM5:AW15),AI18:AI28))</f>
        <v>6.6147371679893013E-2</v>
      </c>
      <c r="AO32" s="22" t="s">
        <v>33</v>
      </c>
      <c r="AP32" s="22">
        <v>125</v>
      </c>
    </row>
    <row r="33" spans="2:45" x14ac:dyDescent="0.35">
      <c r="B33" s="1">
        <v>43252</v>
      </c>
      <c r="C33" s="2">
        <v>18.752300000000002</v>
      </c>
      <c r="D33" s="2">
        <v>14.393599999999999</v>
      </c>
      <c r="E33" s="2">
        <v>28.940300000000001</v>
      </c>
      <c r="F33" s="2">
        <v>260.85998499999999</v>
      </c>
      <c r="G33" s="2">
        <v>3483.110107</v>
      </c>
      <c r="H33" s="2">
        <v>2762.76001</v>
      </c>
      <c r="I33" s="2">
        <v>78.849997999999999</v>
      </c>
      <c r="J33" s="2">
        <v>2780.3500979999999</v>
      </c>
      <c r="K33" s="2">
        <v>285.73001099999999</v>
      </c>
      <c r="L33" s="2">
        <v>591.45202600000005</v>
      </c>
      <c r="M33" s="2">
        <v>48.183498</v>
      </c>
      <c r="N33" s="2"/>
      <c r="O33" s="2"/>
      <c r="P33" s="7"/>
      <c r="Q33" s="4">
        <f t="shared" si="1"/>
        <v>5.5769158582821363E-3</v>
      </c>
      <c r="R33" s="4">
        <f t="shared" si="1"/>
        <v>4.7467470821466202E-3</v>
      </c>
      <c r="S33" s="4">
        <f t="shared" si="1"/>
        <v>6.3321070164336409E-3</v>
      </c>
      <c r="T33" s="4">
        <f t="shared" si="1"/>
        <v>6.1247723688855485E-3</v>
      </c>
      <c r="U33" s="4">
        <f t="shared" si="1"/>
        <v>5.9262050888190636E-3</v>
      </c>
      <c r="V33" s="4">
        <f t="shared" si="1"/>
        <v>6.0118379608556996E-3</v>
      </c>
      <c r="W33" s="4">
        <f t="shared" si="1"/>
        <v>0</v>
      </c>
      <c r="X33" s="4">
        <f t="shared" si="1"/>
        <v>-2.9546213612565483E-2</v>
      </c>
      <c r="Y33" s="4">
        <f t="shared" si="1"/>
        <v>-4.3903238576369413E-3</v>
      </c>
      <c r="Z33" s="4">
        <f t="shared" si="1"/>
        <v>-3.410069639753914E-2</v>
      </c>
      <c r="AA33" s="4">
        <f t="shared" si="1"/>
        <v>-2.9233719071083967E-2</v>
      </c>
      <c r="AB33" s="4"/>
      <c r="AC33" s="4"/>
      <c r="AD33" s="4"/>
      <c r="AE33" s="14"/>
      <c r="AF33" s="7"/>
    </row>
    <row r="34" spans="2:45" x14ac:dyDescent="0.35">
      <c r="B34" s="1">
        <v>43221</v>
      </c>
      <c r="C34" s="2">
        <v>18.648299999999999</v>
      </c>
      <c r="D34" s="2">
        <v>14.3256</v>
      </c>
      <c r="E34" s="2">
        <v>28.758199999999999</v>
      </c>
      <c r="F34" s="2">
        <v>259.27200299999998</v>
      </c>
      <c r="G34" s="2">
        <v>3462.5900879999999</v>
      </c>
      <c r="H34" s="2">
        <v>2746.25</v>
      </c>
      <c r="I34" s="2">
        <v>78.849997999999999</v>
      </c>
      <c r="J34" s="2">
        <v>2865</v>
      </c>
      <c r="K34" s="2">
        <v>286.98998999999998</v>
      </c>
      <c r="L34" s="2">
        <v>612.33300799999995</v>
      </c>
      <c r="M34" s="2">
        <v>49.634498999999998</v>
      </c>
      <c r="N34" s="2"/>
      <c r="O34" s="2"/>
      <c r="P34" s="7"/>
      <c r="Q34" s="4">
        <f t="shared" si="1"/>
        <v>5.4510117673293897E-3</v>
      </c>
      <c r="R34" s="4">
        <f t="shared" si="1"/>
        <v>4.8188732217309578E-4</v>
      </c>
      <c r="S34" s="4">
        <f t="shared" si="1"/>
        <v>1.699791705852437E-3</v>
      </c>
      <c r="T34" s="4">
        <f t="shared" si="1"/>
        <v>5.6747943506546827E-3</v>
      </c>
      <c r="U34" s="4">
        <f t="shared" si="1"/>
        <v>6.2421661417647722E-3</v>
      </c>
      <c r="V34" s="4">
        <f t="shared" si="1"/>
        <v>5.742365736648076E-3</v>
      </c>
      <c r="W34" s="4">
        <f t="shared" si="1"/>
        <v>0</v>
      </c>
      <c r="X34" s="4">
        <f t="shared" si="1"/>
        <v>1.0475064538751418E-2</v>
      </c>
      <c r="Y34" s="4">
        <f t="shared" si="1"/>
        <v>-1.4863438473005386E-2</v>
      </c>
      <c r="Z34" s="4">
        <f t="shared" si="1"/>
        <v>-1.795746873323412E-2</v>
      </c>
      <c r="AA34" s="4">
        <f t="shared" si="1"/>
        <v>-1.7123043872438435E-2</v>
      </c>
      <c r="AB34" s="4"/>
      <c r="AC34" s="4"/>
      <c r="AD34" s="4"/>
      <c r="AE34" s="14"/>
      <c r="AF34" s="7"/>
      <c r="AN34" s="25"/>
      <c r="AO34" s="26" t="s">
        <v>30</v>
      </c>
      <c r="AP34" s="26" t="s">
        <v>34</v>
      </c>
      <c r="AR34" s="31" t="s">
        <v>42</v>
      </c>
      <c r="AS34" s="31" t="s">
        <v>68</v>
      </c>
    </row>
    <row r="35" spans="2:45" x14ac:dyDescent="0.35">
      <c r="B35" s="1">
        <v>43191</v>
      </c>
      <c r="C35" s="2">
        <v>18.547198999999999</v>
      </c>
      <c r="D35" s="2">
        <v>14.3187</v>
      </c>
      <c r="E35" s="2">
        <v>28.709399999999999</v>
      </c>
      <c r="F35" s="2">
        <v>257.80898999999999</v>
      </c>
      <c r="G35" s="2">
        <v>3441.110107</v>
      </c>
      <c r="H35" s="2">
        <v>2730.570068</v>
      </c>
      <c r="I35" s="2">
        <v>78.849997999999999</v>
      </c>
      <c r="J35" s="2">
        <v>2835.3000489999999</v>
      </c>
      <c r="K35" s="2">
        <v>291.32000699999998</v>
      </c>
      <c r="L35" s="2">
        <v>623.53002900000001</v>
      </c>
      <c r="M35" s="2">
        <v>50.499198999999997</v>
      </c>
      <c r="N35" s="2"/>
      <c r="O35" s="2"/>
      <c r="P35" s="7"/>
      <c r="Q35" s="4">
        <f t="shared" si="1"/>
        <v>-9.3199380904452082E-4</v>
      </c>
      <c r="R35" s="4">
        <f t="shared" si="1"/>
        <v>-6.3910400532933833E-3</v>
      </c>
      <c r="S35" s="4">
        <f t="shared" si="1"/>
        <v>-1.8357080416556558E-3</v>
      </c>
      <c r="T35" s="4">
        <f t="shared" si="1"/>
        <v>5.5423420752922043E-3</v>
      </c>
      <c r="U35" s="4">
        <f t="shared" si="1"/>
        <v>5.6021339738644704E-3</v>
      </c>
      <c r="V35" s="4">
        <f t="shared" si="1"/>
        <v>5.5162890990785168E-3</v>
      </c>
      <c r="W35" s="4">
        <f t="shared" si="1"/>
        <v>0</v>
      </c>
      <c r="X35" s="4">
        <f t="shared" si="1"/>
        <v>1.0802156506238839E-2</v>
      </c>
      <c r="Y35" s="4">
        <f t="shared" si="1"/>
        <v>3.550997213816371E-2</v>
      </c>
      <c r="Z35" s="4">
        <f t="shared" si="1"/>
        <v>5.4022176278685205E-2</v>
      </c>
      <c r="AA35" s="4">
        <f t="shared" si="1"/>
        <v>5.233854380458882E-2</v>
      </c>
      <c r="AB35" s="4"/>
      <c r="AC35" s="4"/>
      <c r="AD35" s="4"/>
      <c r="AE35" s="14"/>
      <c r="AF35" s="7"/>
      <c r="AH35" s="3" t="s">
        <v>23</v>
      </c>
      <c r="AI35" s="3" t="s">
        <v>10</v>
      </c>
      <c r="AN35" s="26" t="s">
        <v>31</v>
      </c>
      <c r="AO35" s="27">
        <f>AI36</f>
        <v>0</v>
      </c>
      <c r="AP35" s="28">
        <f>AO35*AP32</f>
        <v>0</v>
      </c>
      <c r="AR35" s="31" t="s">
        <v>44</v>
      </c>
      <c r="AS35" s="32">
        <f>SUM(AP35:AP36)</f>
        <v>12.5</v>
      </c>
    </row>
    <row r="36" spans="2:45" x14ac:dyDescent="0.35">
      <c r="B36" s="1">
        <v>43160</v>
      </c>
      <c r="C36" s="2">
        <v>18.564501</v>
      </c>
      <c r="D36" s="2">
        <v>14.4108</v>
      </c>
      <c r="E36" s="2">
        <v>28.762198999999999</v>
      </c>
      <c r="F36" s="2">
        <v>256.38799999999998</v>
      </c>
      <c r="G36" s="2">
        <v>3421.9399410000001</v>
      </c>
      <c r="H36" s="2">
        <v>2715.5900879999999</v>
      </c>
      <c r="I36" s="2">
        <v>78.849997999999999</v>
      </c>
      <c r="J36" s="2">
        <v>2805</v>
      </c>
      <c r="K36" s="2">
        <v>281.32998700000002</v>
      </c>
      <c r="L36" s="2">
        <v>591.57202099999995</v>
      </c>
      <c r="M36" s="2">
        <v>47.987597999999998</v>
      </c>
      <c r="N36" s="2"/>
      <c r="O36" s="2"/>
      <c r="P36" s="7"/>
      <c r="Q36" s="4">
        <f t="shared" si="1"/>
        <v>1.1551559103579384E-2</v>
      </c>
      <c r="R36" s="4">
        <f t="shared" si="1"/>
        <v>1.5660459805759613E-2</v>
      </c>
      <c r="S36" s="4">
        <f t="shared" si="1"/>
        <v>1.2503925088886505E-2</v>
      </c>
      <c r="T36" s="4">
        <f t="shared" si="1"/>
        <v>7.0465370051108417E-3</v>
      </c>
      <c r="U36" s="4">
        <f t="shared" si="1"/>
        <v>5.994294279454874E-3</v>
      </c>
      <c r="V36" s="4">
        <f t="shared" si="1"/>
        <v>6.7659247275458877E-3</v>
      </c>
      <c r="W36" s="4">
        <f t="shared" si="1"/>
        <v>1.6108247837841438E-2</v>
      </c>
      <c r="X36" s="4">
        <f t="shared" si="1"/>
        <v>3.0215625867384775E-3</v>
      </c>
      <c r="Y36" s="4">
        <f t="shared" si="1"/>
        <v>-2.1631025072412692E-2</v>
      </c>
      <c r="Z36" s="4">
        <f t="shared" si="1"/>
        <v>-5.7488598565821517E-2</v>
      </c>
      <c r="AA36" s="4">
        <f t="shared" si="1"/>
        <v>-2.3810969097666491E-2</v>
      </c>
      <c r="AB36" s="4"/>
      <c r="AC36" s="4"/>
      <c r="AD36" s="4"/>
      <c r="AE36" s="14"/>
      <c r="AF36" s="7"/>
      <c r="AH36" s="15" t="s">
        <v>11</v>
      </c>
      <c r="AI36" s="5">
        <v>0</v>
      </c>
      <c r="AN36" s="26" t="s">
        <v>41</v>
      </c>
      <c r="AO36" s="27">
        <f>AI38</f>
        <v>0.1</v>
      </c>
      <c r="AP36" s="28">
        <f>AO36*AP32</f>
        <v>12.5</v>
      </c>
      <c r="AR36" s="31" t="s">
        <v>45</v>
      </c>
      <c r="AS36" s="32">
        <f>SUM(AP37:AP38)</f>
        <v>62.500000496705354</v>
      </c>
    </row>
    <row r="37" spans="2:45" x14ac:dyDescent="0.35">
      <c r="B37" s="1">
        <v>43132</v>
      </c>
      <c r="C37" s="2">
        <v>18.352501</v>
      </c>
      <c r="D37" s="2">
        <v>14.188599999999999</v>
      </c>
      <c r="E37" s="2">
        <v>28.407</v>
      </c>
      <c r="F37" s="2">
        <v>254.59399400000001</v>
      </c>
      <c r="G37" s="2">
        <v>3401.5500489999999</v>
      </c>
      <c r="H37" s="2">
        <v>2697.3400879999999</v>
      </c>
      <c r="I37" s="2">
        <v>77.599997999999999</v>
      </c>
      <c r="J37" s="2">
        <v>2796.5500489999999</v>
      </c>
      <c r="K37" s="2">
        <v>287.54998799999998</v>
      </c>
      <c r="L37" s="2">
        <v>627.65502900000001</v>
      </c>
      <c r="M37" s="2">
        <v>49.158099999999997</v>
      </c>
      <c r="N37" s="2"/>
      <c r="O37" s="2"/>
      <c r="P37" s="7"/>
      <c r="Q37" s="4">
        <f t="shared" si="1"/>
        <v>2.9073244827574466E-3</v>
      </c>
      <c r="R37" s="4">
        <f t="shared" si="1"/>
        <v>-3.1405225773362909E-3</v>
      </c>
      <c r="S37" s="4">
        <f t="shared" si="1"/>
        <v>1.6678949942311068E-3</v>
      </c>
      <c r="T37" s="4">
        <f t="shared" si="1"/>
        <v>5.0371510720125115E-3</v>
      </c>
      <c r="U37" s="4">
        <f t="shared" si="1"/>
        <v>5.0376862165755487E-3</v>
      </c>
      <c r="V37" s="4">
        <f t="shared" si="1"/>
        <v>4.9852185555758748E-3</v>
      </c>
      <c r="W37" s="4">
        <f t="shared" si="1"/>
        <v>0</v>
      </c>
      <c r="X37" s="4">
        <f t="shared" si="1"/>
        <v>1.238074457859688E-2</v>
      </c>
      <c r="Y37" s="4">
        <f t="shared" si="1"/>
        <v>-3.5649625224855507E-2</v>
      </c>
      <c r="Z37" s="4">
        <f t="shared" si="1"/>
        <v>-6.6432665138096605E-2</v>
      </c>
      <c r="AA37" s="4">
        <f t="shared" si="1"/>
        <v>-3.4690473004633508E-2</v>
      </c>
      <c r="AB37" s="4"/>
      <c r="AC37" s="4"/>
      <c r="AD37" s="4"/>
      <c r="AE37" s="14"/>
      <c r="AF37" s="7"/>
      <c r="AH37" s="15" t="s">
        <v>12</v>
      </c>
      <c r="AI37" s="5">
        <v>0</v>
      </c>
      <c r="AN37" s="26" t="s">
        <v>4</v>
      </c>
      <c r="AO37" s="27">
        <f>AI42</f>
        <v>0</v>
      </c>
      <c r="AP37" s="28">
        <f>AO37*AP32</f>
        <v>0</v>
      </c>
      <c r="AR37" s="31" t="s">
        <v>46</v>
      </c>
      <c r="AS37" s="32">
        <f>AP39</f>
        <v>50.000000000000036</v>
      </c>
    </row>
    <row r="38" spans="2:45" x14ac:dyDescent="0.35">
      <c r="B38" s="1">
        <v>43101</v>
      </c>
      <c r="C38" s="2">
        <v>18.299299000000001</v>
      </c>
      <c r="D38" s="2">
        <v>14.2333</v>
      </c>
      <c r="E38" s="2">
        <v>28.359698999999999</v>
      </c>
      <c r="F38" s="2">
        <v>253.317993</v>
      </c>
      <c r="G38" s="2">
        <v>3384.5</v>
      </c>
      <c r="H38" s="2">
        <v>2683.959961</v>
      </c>
      <c r="I38" s="2">
        <v>77.599997999999999</v>
      </c>
      <c r="J38" s="2">
        <v>2762.3500979999999</v>
      </c>
      <c r="K38" s="2">
        <v>298.17999300000002</v>
      </c>
      <c r="L38" s="2">
        <v>672.31897000000004</v>
      </c>
      <c r="M38" s="2">
        <v>50.924702000000003</v>
      </c>
      <c r="N38" s="2"/>
      <c r="O38" s="2"/>
      <c r="P38" s="7"/>
      <c r="Q38" s="4">
        <f t="shared" si="1"/>
        <v>4.5121890970573142E-3</v>
      </c>
      <c r="R38" s="4">
        <f t="shared" si="1"/>
        <v>4.3325171642474899E-3</v>
      </c>
      <c r="S38" s="4">
        <f t="shared" si="1"/>
        <v>5.246014951243585E-3</v>
      </c>
      <c r="T38" s="4">
        <f t="shared" si="1"/>
        <v>5.4815172917279994E-3</v>
      </c>
      <c r="U38" s="4">
        <f t="shared" si="1"/>
        <v>5.4632476108720553E-3</v>
      </c>
      <c r="V38" s="4">
        <f t="shared" si="1"/>
        <v>5.4431205800984529E-3</v>
      </c>
      <c r="W38" s="4">
        <f t="shared" si="1"/>
        <v>0</v>
      </c>
      <c r="X38" s="4">
        <f t="shared" si="1"/>
        <v>2.6705109830886409E-2</v>
      </c>
      <c r="Y38" s="4">
        <f t="shared" si="1"/>
        <v>1.4769932817450895E-2</v>
      </c>
      <c r="Z38" s="4">
        <f t="shared" si="1"/>
        <v>3.0088112105847588E-2</v>
      </c>
      <c r="AA38" s="4">
        <f t="shared" si="1"/>
        <v>4.0161076474023519E-3</v>
      </c>
      <c r="AB38" s="4"/>
      <c r="AC38" s="4"/>
      <c r="AD38" s="4"/>
      <c r="AE38" s="14"/>
      <c r="AF38" s="7"/>
      <c r="AH38" s="15" t="s">
        <v>13</v>
      </c>
      <c r="AI38" s="5">
        <v>0.1</v>
      </c>
      <c r="AN38" s="26" t="s">
        <v>3</v>
      </c>
      <c r="AO38" s="27">
        <f>AI43</f>
        <v>0.50000000397364286</v>
      </c>
      <c r="AP38" s="28">
        <f>AO38*AP32</f>
        <v>62.500000496705354</v>
      </c>
      <c r="AR38" s="31" t="s">
        <v>24</v>
      </c>
      <c r="AS38" s="32">
        <f>SUM(AS35:AS37)</f>
        <v>125.00000049670538</v>
      </c>
    </row>
    <row r="39" spans="2:45" x14ac:dyDescent="0.35">
      <c r="B39" s="1">
        <v>43070</v>
      </c>
      <c r="C39" s="2">
        <v>18.217099999999999</v>
      </c>
      <c r="D39" s="2">
        <v>14.171900000000001</v>
      </c>
      <c r="E39" s="2">
        <v>28.2117</v>
      </c>
      <c r="F39" s="2">
        <v>251.93699599999999</v>
      </c>
      <c r="G39" s="2">
        <v>3366.110107</v>
      </c>
      <c r="H39" s="2">
        <v>2669.429932</v>
      </c>
      <c r="I39" s="2">
        <v>77.599997999999999</v>
      </c>
      <c r="J39" s="2">
        <v>2690.5</v>
      </c>
      <c r="K39" s="2">
        <v>293.83999599999999</v>
      </c>
      <c r="L39" s="2">
        <v>652.68102999999996</v>
      </c>
      <c r="M39" s="2">
        <v>50.721001000000001</v>
      </c>
      <c r="N39" s="2"/>
      <c r="O39" s="2"/>
      <c r="P39" s="7"/>
      <c r="Q39" s="4">
        <f t="shared" si="1"/>
        <v>2.7459767267902692E-4</v>
      </c>
      <c r="R39" s="4">
        <f t="shared" si="1"/>
        <v>-1.9859015077358612E-3</v>
      </c>
      <c r="S39" s="4">
        <f t="shared" si="1"/>
        <v>1.205319001853774E-4</v>
      </c>
      <c r="T39" s="4">
        <f t="shared" si="1"/>
        <v>5.3431749758488627E-3</v>
      </c>
      <c r="U39" s="4">
        <f t="shared" si="1"/>
        <v>5.3672231669801207E-3</v>
      </c>
      <c r="V39" s="4">
        <f t="shared" si="1"/>
        <v>5.3479179231020659E-3</v>
      </c>
      <c r="W39" s="4">
        <f t="shared" si="1"/>
        <v>0</v>
      </c>
      <c r="X39" s="4">
        <f t="shared" si="1"/>
        <v>-1.1509124915393767E-3</v>
      </c>
      <c r="Y39" s="4">
        <f t="shared" si="1"/>
        <v>3.6472649029982311E-2</v>
      </c>
      <c r="Z39" s="4">
        <f t="shared" si="1"/>
        <v>2.7591684301887739E-2</v>
      </c>
      <c r="AA39" s="4">
        <f t="shared" si="1"/>
        <v>3.3593215491088263E-2</v>
      </c>
      <c r="AB39" s="4"/>
      <c r="AC39" s="4"/>
      <c r="AD39" s="4"/>
      <c r="AE39" s="14"/>
      <c r="AF39" s="7"/>
      <c r="AH39" s="15" t="s">
        <v>16</v>
      </c>
      <c r="AI39" s="5">
        <v>0</v>
      </c>
      <c r="AN39" s="26" t="s">
        <v>36</v>
      </c>
      <c r="AO39" s="27">
        <f>AI46</f>
        <v>0.4000000000000003</v>
      </c>
      <c r="AP39" s="28">
        <f>AO39*AP32</f>
        <v>50.000000000000036</v>
      </c>
    </row>
    <row r="40" spans="2:45" x14ac:dyDescent="0.35">
      <c r="B40" s="1">
        <v>43040</v>
      </c>
      <c r="C40" s="2">
        <v>18.212098999999998</v>
      </c>
      <c r="D40" s="2">
        <v>14.200100000000001</v>
      </c>
      <c r="E40" s="2">
        <v>28.208300000000001</v>
      </c>
      <c r="F40" s="2">
        <v>250.598007</v>
      </c>
      <c r="G40" s="2">
        <v>3348.139893</v>
      </c>
      <c r="H40" s="2">
        <v>2655.2299800000001</v>
      </c>
      <c r="I40" s="2">
        <v>77.599997999999999</v>
      </c>
      <c r="J40" s="2">
        <v>2693.6000979999999</v>
      </c>
      <c r="K40" s="2">
        <v>283.5</v>
      </c>
      <c r="L40" s="2">
        <v>635.15600600000005</v>
      </c>
      <c r="M40" s="2">
        <v>49.072498000000003</v>
      </c>
      <c r="N40" s="2"/>
      <c r="O40" s="2"/>
      <c r="P40" s="7"/>
      <c r="Q40" s="4">
        <f>(C40-C41)/C41</f>
        <v>2.1735469883230403E-3</v>
      </c>
      <c r="R40" s="4">
        <f t="shared" si="1"/>
        <v>-9.1464916168885742E-4</v>
      </c>
      <c r="S40" s="4">
        <f t="shared" si="1"/>
        <v>2.6729723111576413E-3</v>
      </c>
      <c r="T40" s="4">
        <f t="shared" si="1"/>
        <v>5.1541755920601279E-3</v>
      </c>
      <c r="U40" s="4">
        <f t="shared" si="1"/>
        <v>5.1365084826739084E-3</v>
      </c>
      <c r="V40" s="4">
        <f t="shared" si="1"/>
        <v>5.117904387536224E-3</v>
      </c>
      <c r="W40" s="4">
        <f t="shared" si="1"/>
        <v>0</v>
      </c>
      <c r="X40" s="4">
        <f t="shared" si="1"/>
        <v>-1.2420894198492919E-3</v>
      </c>
      <c r="Y40" s="4">
        <f t="shared" si="1"/>
        <v>1.6606048887419344E-3</v>
      </c>
      <c r="Z40" s="4">
        <f t="shared" si="1"/>
        <v>1.0104936020862147E-2</v>
      </c>
      <c r="AA40" s="4">
        <f t="shared" si="1"/>
        <v>9.8634580586696181E-3</v>
      </c>
      <c r="AB40" s="2"/>
      <c r="AC40" s="2"/>
      <c r="AD40" s="2"/>
      <c r="AE40" s="19"/>
      <c r="AF40" s="7"/>
      <c r="AH40" s="15" t="s">
        <v>15</v>
      </c>
      <c r="AI40" s="5">
        <v>0</v>
      </c>
      <c r="AN40" s="29"/>
      <c r="AO40" s="27"/>
      <c r="AP40" s="28"/>
    </row>
    <row r="41" spans="2:45" x14ac:dyDescent="0.35">
      <c r="B41" s="1">
        <v>43009</v>
      </c>
      <c r="C41" s="2">
        <v>18.172599999999999</v>
      </c>
      <c r="D41" s="2">
        <v>14.213100000000001</v>
      </c>
      <c r="E41" s="2">
        <v>28.133101</v>
      </c>
      <c r="F41" s="2">
        <v>249.31300400000001</v>
      </c>
      <c r="G41" s="2">
        <v>3331.030029</v>
      </c>
      <c r="H41" s="2">
        <v>2641.709961</v>
      </c>
      <c r="I41" s="2">
        <v>77.599997999999999</v>
      </c>
      <c r="J41" s="2">
        <v>2696.9499510000001</v>
      </c>
      <c r="K41" s="2">
        <v>283.02999899999998</v>
      </c>
      <c r="L41" s="2">
        <v>628.80200200000002</v>
      </c>
      <c r="M41" s="2">
        <v>48.593201000000001</v>
      </c>
      <c r="P41" s="7"/>
      <c r="Q41" s="4">
        <f t="shared" si="1"/>
        <v>5.7502196754486336E-3</v>
      </c>
      <c r="R41" s="4">
        <f t="shared" si="1"/>
        <v>9.1879264681866551E-3</v>
      </c>
      <c r="S41" s="4">
        <f t="shared" si="1"/>
        <v>6.3170284662610659E-3</v>
      </c>
      <c r="T41" s="4">
        <f t="shared" si="1"/>
        <v>5.3348883960061622E-3</v>
      </c>
      <c r="U41" s="4">
        <f t="shared" si="1"/>
        <v>5.469547159844392E-3</v>
      </c>
      <c r="V41" s="4">
        <f t="shared" si="1"/>
        <v>5.2933677375085839E-3</v>
      </c>
      <c r="W41" s="4">
        <f t="shared" si="1"/>
        <v>0</v>
      </c>
      <c r="X41" s="4">
        <f t="shared" si="1"/>
        <v>-1.5783519733374378E-2</v>
      </c>
      <c r="Y41" s="4">
        <f t="shared" si="1"/>
        <v>6.0752535697220042E-2</v>
      </c>
      <c r="Z41" s="4">
        <f t="shared" si="1"/>
        <v>8.8308870184743579E-2</v>
      </c>
      <c r="AA41" s="4">
        <f t="shared" si="1"/>
        <v>4.9896575039066658E-2</v>
      </c>
      <c r="AD41" s="4"/>
      <c r="AE41" s="7"/>
      <c r="AF41" s="7"/>
      <c r="AH41" s="15" t="s">
        <v>14</v>
      </c>
      <c r="AI41" s="5">
        <v>0</v>
      </c>
      <c r="AN41" s="29" t="s">
        <v>35</v>
      </c>
      <c r="AO41" s="27">
        <f>SUM(AO35:AO38)</f>
        <v>0.60000000397364284</v>
      </c>
      <c r="AP41" s="28">
        <f>SUM(AP35:AP40)</f>
        <v>125.00000049670538</v>
      </c>
    </row>
    <row r="42" spans="2:45" x14ac:dyDescent="0.35">
      <c r="B42" s="1">
        <v>42979</v>
      </c>
      <c r="C42" s="2">
        <v>18.068701000000001</v>
      </c>
      <c r="D42" s="2">
        <v>14.0837</v>
      </c>
      <c r="E42" s="2">
        <v>27.956499000000001</v>
      </c>
      <c r="F42" s="2">
        <v>247.990005</v>
      </c>
      <c r="G42" s="2">
        <v>3312.9099120000001</v>
      </c>
      <c r="H42" s="2">
        <v>2627.8000489999999</v>
      </c>
      <c r="I42" s="2">
        <v>77.599997999999999</v>
      </c>
      <c r="J42" s="2">
        <v>2740.1999510000001</v>
      </c>
      <c r="K42" s="2">
        <v>266.82000699999998</v>
      </c>
      <c r="L42" s="2">
        <v>577.77899200000002</v>
      </c>
      <c r="M42" s="2">
        <v>46.283797999999997</v>
      </c>
      <c r="P42" s="7"/>
      <c r="Q42" s="4">
        <f t="shared" si="1"/>
        <v>3.1423876172129049E-3</v>
      </c>
      <c r="R42" s="4">
        <f t="shared" si="1"/>
        <v>2.0990166640577567E-3</v>
      </c>
      <c r="S42" s="4">
        <f t="shared" si="1"/>
        <v>3.5141032387089612E-3</v>
      </c>
      <c r="T42" s="4">
        <f t="shared" si="1"/>
        <v>5.1760872573729669E-3</v>
      </c>
      <c r="U42" s="4">
        <f t="shared" si="1"/>
        <v>4.9779802821174205E-3</v>
      </c>
      <c r="V42" s="4">
        <f t="shared" si="1"/>
        <v>5.1523604893475078E-3</v>
      </c>
      <c r="W42" s="4">
        <f t="shared" si="1"/>
        <v>0</v>
      </c>
      <c r="X42" s="4">
        <f t="shared" si="1"/>
        <v>9.8210467906501876E-3</v>
      </c>
      <c r="Y42" s="4">
        <f t="shared" si="1"/>
        <v>-2.0196664807563451E-3</v>
      </c>
      <c r="Z42" s="4">
        <f t="shared" si="1"/>
        <v>-1.7912153984150265E-2</v>
      </c>
      <c r="AA42" s="4">
        <f t="shared" ref="AA42:AA63" si="3">(M42-M43)/M43</f>
        <v>-3.6660702213122441E-3</v>
      </c>
      <c r="AE42" s="7"/>
      <c r="AF42" s="7"/>
      <c r="AH42" s="15" t="s">
        <v>4</v>
      </c>
      <c r="AI42" s="5">
        <v>0</v>
      </c>
      <c r="AK42" s="3" t="s">
        <v>29</v>
      </c>
      <c r="AL42" s="5">
        <f>SUM(AI36:AI38)</f>
        <v>0.1</v>
      </c>
    </row>
    <row r="43" spans="2:45" x14ac:dyDescent="0.35">
      <c r="B43" s="1">
        <v>42948</v>
      </c>
      <c r="C43" s="2">
        <v>18.0121</v>
      </c>
      <c r="D43" s="2">
        <v>14.0542</v>
      </c>
      <c r="E43" s="2">
        <v>27.858601</v>
      </c>
      <c r="F43" s="2">
        <v>246.712997</v>
      </c>
      <c r="G43" s="2">
        <v>3296.5</v>
      </c>
      <c r="H43" s="2">
        <v>2614.330078</v>
      </c>
      <c r="I43" s="2">
        <v>77.599997999999999</v>
      </c>
      <c r="J43" s="2">
        <v>2713.5500489999999</v>
      </c>
      <c r="K43" s="2">
        <v>267.35998499999999</v>
      </c>
      <c r="L43" s="2">
        <v>588.31701699999996</v>
      </c>
      <c r="M43" s="2">
        <v>46.454101999999999</v>
      </c>
      <c r="P43" s="7"/>
      <c r="Q43" s="4">
        <f t="shared" ref="Q43:Z63" si="4">(C43-C44)/C44</f>
        <v>5.9085349848935044E-3</v>
      </c>
      <c r="R43" s="4">
        <f t="shared" si="4"/>
        <v>6.4738824675230899E-3</v>
      </c>
      <c r="S43" s="4">
        <f t="shared" si="4"/>
        <v>7.2164937271774563E-3</v>
      </c>
      <c r="T43" s="4">
        <f t="shared" si="4"/>
        <v>5.3668398077693358E-3</v>
      </c>
      <c r="U43" s="4">
        <f t="shared" si="4"/>
        <v>5.3646146042697143E-3</v>
      </c>
      <c r="V43" s="4">
        <f t="shared" si="4"/>
        <v>5.3453261050988203E-3</v>
      </c>
      <c r="W43" s="4">
        <f t="shared" si="4"/>
        <v>0</v>
      </c>
      <c r="X43" s="4">
        <f t="shared" si="4"/>
        <v>3.4896359066409262E-2</v>
      </c>
      <c r="Y43" s="4">
        <f t="shared" si="4"/>
        <v>-1.2630231230630815E-2</v>
      </c>
      <c r="Z43" s="4">
        <f t="shared" si="4"/>
        <v>-3.2419465616534374E-2</v>
      </c>
      <c r="AA43" s="4">
        <f t="shared" si="3"/>
        <v>1.2080736823834306E-2</v>
      </c>
      <c r="AB43" s="3"/>
      <c r="AC43" s="3"/>
      <c r="AD43" s="3"/>
      <c r="AE43" s="13"/>
      <c r="AF43" s="7"/>
      <c r="AH43" s="15" t="s">
        <v>3</v>
      </c>
      <c r="AI43" s="5">
        <v>0.50000000397364286</v>
      </c>
      <c r="AK43" s="3" t="s">
        <v>28</v>
      </c>
      <c r="AL43" s="5">
        <f>SUM(AI39:AI41)</f>
        <v>0</v>
      </c>
    </row>
    <row r="44" spans="2:45" x14ac:dyDescent="0.35">
      <c r="B44" s="1">
        <v>42917</v>
      </c>
      <c r="C44" s="2">
        <v>17.906300000000002</v>
      </c>
      <c r="D44" s="2">
        <v>13.963800000000001</v>
      </c>
      <c r="E44" s="2">
        <v>27.658999999999999</v>
      </c>
      <c r="F44" s="2">
        <v>245.395996</v>
      </c>
      <c r="G44" s="2">
        <v>3278.9099120000001</v>
      </c>
      <c r="H44" s="2">
        <v>2600.429932</v>
      </c>
      <c r="I44" s="2">
        <v>77.599997999999999</v>
      </c>
      <c r="J44" s="2">
        <v>2622.0500489999999</v>
      </c>
      <c r="K44" s="2">
        <v>270.77999899999998</v>
      </c>
      <c r="L44" s="2">
        <v>608.02899200000002</v>
      </c>
      <c r="M44" s="2">
        <v>45.899600999999997</v>
      </c>
      <c r="P44" s="7"/>
      <c r="Q44" s="4">
        <f t="shared" si="4"/>
        <v>9.0898276083502729E-3</v>
      </c>
      <c r="R44" s="4">
        <f t="shared" si="4"/>
        <v>8.9377966922205235E-3</v>
      </c>
      <c r="S44" s="4">
        <f t="shared" si="4"/>
        <v>1.0164130579719642E-2</v>
      </c>
      <c r="T44" s="4">
        <f t="shared" si="4"/>
        <v>5.5317070238457234E-3</v>
      </c>
      <c r="U44" s="4">
        <f t="shared" si="4"/>
        <v>5.5199317018114541E-3</v>
      </c>
      <c r="V44" s="4">
        <f t="shared" si="4"/>
        <v>5.4361187161829829E-3</v>
      </c>
      <c r="W44" s="4">
        <f t="shared" si="4"/>
        <v>0</v>
      </c>
      <c r="X44" s="4">
        <f t="shared" si="4"/>
        <v>-2.5487212553495218E-3</v>
      </c>
      <c r="Y44" s="4">
        <f t="shared" si="4"/>
        <v>2.7511099409976474E-2</v>
      </c>
      <c r="Z44" s="4">
        <f t="shared" si="4"/>
        <v>6.5442723867058974E-2</v>
      </c>
      <c r="AA44" s="4">
        <f t="shared" si="3"/>
        <v>5.0367745182505974E-2</v>
      </c>
      <c r="AB44" s="8"/>
      <c r="AC44" s="8"/>
      <c r="AD44" s="8"/>
      <c r="AE44" s="20"/>
      <c r="AF44" s="7"/>
      <c r="AH44" s="15" t="s">
        <v>18</v>
      </c>
      <c r="AI44" s="5">
        <v>0</v>
      </c>
      <c r="AK44" s="3" t="s">
        <v>53</v>
      </c>
      <c r="AL44" s="5">
        <f>SUM(AI44:AI46)</f>
        <v>0.4000000000000003</v>
      </c>
    </row>
    <row r="45" spans="2:45" x14ac:dyDescent="0.35">
      <c r="B45" s="1">
        <v>42887</v>
      </c>
      <c r="C45" s="2">
        <v>17.745000999999998</v>
      </c>
      <c r="D45" s="2">
        <v>13.8401</v>
      </c>
      <c r="E45" s="2">
        <v>27.380699</v>
      </c>
      <c r="F45" s="2">
        <v>244.04600500000001</v>
      </c>
      <c r="G45" s="2">
        <v>3260.9099120000001</v>
      </c>
      <c r="H45" s="2">
        <v>2586.3701169999999</v>
      </c>
      <c r="I45" s="2">
        <v>77.599997999999999</v>
      </c>
      <c r="J45" s="2">
        <v>2628.75</v>
      </c>
      <c r="K45" s="2">
        <v>263.52999899999998</v>
      </c>
      <c r="L45" s="2">
        <v>570.682007</v>
      </c>
      <c r="M45" s="2">
        <v>43.698600999999996</v>
      </c>
      <c r="P45" s="7"/>
      <c r="Q45" s="4">
        <f t="shared" si="4"/>
        <v>9.25368125899333E-3</v>
      </c>
      <c r="R45" s="4">
        <f t="shared" si="4"/>
        <v>8.1217312763136439E-3</v>
      </c>
      <c r="S45" s="4">
        <f t="shared" si="4"/>
        <v>8.9171183586538721E-3</v>
      </c>
      <c r="T45" s="4">
        <f t="shared" si="4"/>
        <v>5.2974543849368776E-3</v>
      </c>
      <c r="U45" s="4">
        <f t="shared" si="4"/>
        <v>5.2901462813102354E-3</v>
      </c>
      <c r="V45" s="4">
        <f t="shared" si="4"/>
        <v>5.2627023897844757E-3</v>
      </c>
      <c r="W45" s="4">
        <f t="shared" si="4"/>
        <v>0</v>
      </c>
      <c r="X45" s="4">
        <f t="shared" si="4"/>
        <v>-1.5523163718311391E-2</v>
      </c>
      <c r="Y45" s="4">
        <f t="shared" si="4"/>
        <v>5.6861164281213922E-3</v>
      </c>
      <c r="Z45" s="4">
        <f t="shared" si="4"/>
        <v>-4.6029660062118965E-3</v>
      </c>
      <c r="AA45" s="4">
        <f t="shared" si="3"/>
        <v>-4.3721990948428708E-3</v>
      </c>
      <c r="AB45" s="8"/>
      <c r="AC45" s="8"/>
      <c r="AD45" s="8"/>
      <c r="AE45" s="20"/>
      <c r="AF45" s="7"/>
      <c r="AH45" s="15" t="s">
        <v>19</v>
      </c>
      <c r="AI45" s="5">
        <v>0</v>
      </c>
      <c r="AK45" s="3" t="s">
        <v>27</v>
      </c>
      <c r="AL45" s="5">
        <f>SUM(AI42:AI43)</f>
        <v>0.50000000397364286</v>
      </c>
    </row>
    <row r="46" spans="2:45" x14ac:dyDescent="0.35">
      <c r="B46" s="1">
        <v>42856</v>
      </c>
      <c r="C46" s="2">
        <v>17.5823</v>
      </c>
      <c r="D46" s="2">
        <v>13.7286</v>
      </c>
      <c r="E46" s="2">
        <v>27.1387</v>
      </c>
      <c r="F46" s="2">
        <v>242.759995</v>
      </c>
      <c r="G46" s="2">
        <v>3243.75</v>
      </c>
      <c r="H46" s="2">
        <v>2572.830078</v>
      </c>
      <c r="I46" s="2">
        <v>77.599997999999999</v>
      </c>
      <c r="J46" s="2">
        <v>2670.1999510000001</v>
      </c>
      <c r="K46" s="2">
        <v>262.040009</v>
      </c>
      <c r="L46" s="2">
        <v>573.32098399999995</v>
      </c>
      <c r="M46" s="2">
        <v>43.890498999999998</v>
      </c>
      <c r="P46" s="7"/>
      <c r="Q46" s="4">
        <f t="shared" si="4"/>
        <v>8.0091270796785619E-3</v>
      </c>
      <c r="R46" s="4">
        <f t="shared" si="4"/>
        <v>8.3955840550009962E-3</v>
      </c>
      <c r="S46" s="4">
        <f t="shared" si="4"/>
        <v>8.4686814041693061E-3</v>
      </c>
      <c r="T46" s="4">
        <f t="shared" si="4"/>
        <v>5.8337613561570056E-3</v>
      </c>
      <c r="U46" s="4">
        <f t="shared" si="4"/>
        <v>5.8264410185649368E-3</v>
      </c>
      <c r="V46" s="4">
        <f t="shared" si="4"/>
        <v>5.4162835660723626E-3</v>
      </c>
      <c r="W46" s="4">
        <f t="shared" si="4"/>
        <v>0</v>
      </c>
      <c r="X46" s="4">
        <f t="shared" si="4"/>
        <v>-1.0633944215097479E-2</v>
      </c>
      <c r="Y46" s="4">
        <f t="shared" si="4"/>
        <v>-1.5109332594973594E-2</v>
      </c>
      <c r="Z46" s="4">
        <f t="shared" si="4"/>
        <v>1.8793572744258587E-2</v>
      </c>
      <c r="AA46" s="4">
        <f t="shared" si="3"/>
        <v>1.7719998754356429E-2</v>
      </c>
      <c r="AB46" s="8"/>
      <c r="AC46" s="8"/>
      <c r="AD46" s="8"/>
      <c r="AE46" s="20"/>
      <c r="AF46" s="7"/>
      <c r="AH46" s="15" t="s">
        <v>17</v>
      </c>
      <c r="AI46" s="5">
        <v>0.4000000000000003</v>
      </c>
      <c r="AK46" s="3"/>
      <c r="AL46" s="5"/>
    </row>
    <row r="47" spans="2:45" x14ac:dyDescent="0.35">
      <c r="B47" s="1">
        <v>42826</v>
      </c>
      <c r="C47" s="2">
        <v>17.442599999999999</v>
      </c>
      <c r="D47" s="2">
        <v>13.6143</v>
      </c>
      <c r="E47" s="2">
        <v>26.910800999999999</v>
      </c>
      <c r="F47" s="2">
        <v>241.35200499999999</v>
      </c>
      <c r="G47" s="2">
        <v>3224.959961</v>
      </c>
      <c r="H47" s="2">
        <v>2558.969971</v>
      </c>
      <c r="I47" s="2">
        <v>77.599997999999999</v>
      </c>
      <c r="J47" s="2">
        <v>2698.8999020000001</v>
      </c>
      <c r="K47" s="2">
        <v>266.05999800000001</v>
      </c>
      <c r="L47" s="2">
        <v>562.74499500000002</v>
      </c>
      <c r="M47" s="2">
        <v>43.126300999999998</v>
      </c>
      <c r="P47" s="7"/>
      <c r="Q47" s="4">
        <f t="shared" si="4"/>
        <v>4.208584254502541E-3</v>
      </c>
      <c r="R47" s="4">
        <f t="shared" si="4"/>
        <v>4.1525298716625046E-3</v>
      </c>
      <c r="S47" s="4">
        <f t="shared" si="4"/>
        <v>5.1732572407579202E-3</v>
      </c>
      <c r="T47" s="4">
        <f t="shared" si="4"/>
        <v>4.9800919823758246E-3</v>
      </c>
      <c r="U47" s="4">
        <f t="shared" si="4"/>
        <v>4.9985787710161433E-3</v>
      </c>
      <c r="V47" s="4">
        <f t="shared" si="4"/>
        <v>5.2166722215916143E-3</v>
      </c>
      <c r="W47" s="4">
        <f t="shared" si="4"/>
        <v>1.6108169431327649E-2</v>
      </c>
      <c r="X47" s="4">
        <f t="shared" si="4"/>
        <v>1.7090257263883312E-2</v>
      </c>
      <c r="Y47" s="4">
        <f t="shared" si="4"/>
        <v>1.105834720254645E-2</v>
      </c>
      <c r="Z47" s="4">
        <f t="shared" si="4"/>
        <v>3.4897196471570649E-2</v>
      </c>
      <c r="AA47" s="4">
        <f t="shared" si="3"/>
        <v>3.1241181659377094E-2</v>
      </c>
      <c r="AB47" s="8"/>
      <c r="AC47" s="8"/>
      <c r="AD47" s="8"/>
      <c r="AE47" s="20"/>
      <c r="AF47" s="7"/>
      <c r="AH47" s="15"/>
      <c r="AI47" s="2"/>
    </row>
    <row r="48" spans="2:45" x14ac:dyDescent="0.35">
      <c r="B48" s="1">
        <v>42795</v>
      </c>
      <c r="C48" s="2">
        <v>17.369499000000001</v>
      </c>
      <c r="D48" s="2">
        <v>13.558</v>
      </c>
      <c r="E48" s="2">
        <v>26.772300999999999</v>
      </c>
      <c r="F48" s="2">
        <v>240.15600599999999</v>
      </c>
      <c r="G48" s="2">
        <v>3208.919922</v>
      </c>
      <c r="H48" s="2">
        <v>2545.6899410000001</v>
      </c>
      <c r="I48" s="2">
        <v>76.369820000000004</v>
      </c>
      <c r="J48" s="2">
        <v>2653.5500489999999</v>
      </c>
      <c r="K48" s="2">
        <v>263.14999399999999</v>
      </c>
      <c r="L48" s="2">
        <v>543.76898200000005</v>
      </c>
      <c r="M48" s="2">
        <v>41.819800999999998</v>
      </c>
      <c r="P48" s="7"/>
      <c r="Q48" s="4">
        <f t="shared" si="4"/>
        <v>6.1225801967122722E-3</v>
      </c>
      <c r="R48" s="4">
        <f t="shared" si="4"/>
        <v>7.9473054248351098E-3</v>
      </c>
      <c r="S48" s="4">
        <f t="shared" si="4"/>
        <v>7.8718302011805963E-3</v>
      </c>
      <c r="T48" s="4">
        <f t="shared" si="4"/>
        <v>5.7205621677788691E-3</v>
      </c>
      <c r="U48" s="4">
        <f t="shared" si="4"/>
        <v>5.7449667598917578E-3</v>
      </c>
      <c r="V48" s="4">
        <f t="shared" si="4"/>
        <v>5.6530661778985249E-3</v>
      </c>
      <c r="W48" s="4">
        <f t="shared" si="4"/>
        <v>0</v>
      </c>
      <c r="X48" s="4">
        <f t="shared" si="4"/>
        <v>-3.5686363586808413E-2</v>
      </c>
      <c r="Y48" s="4">
        <f t="shared" si="4"/>
        <v>6.4608792994018727E-2</v>
      </c>
      <c r="Z48" s="4">
        <f t="shared" si="4"/>
        <v>3.8853136086498534E-2</v>
      </c>
      <c r="AA48" s="4">
        <f t="shared" si="3"/>
        <v>3.2233380833901953E-2</v>
      </c>
      <c r="AE48" s="7"/>
      <c r="AF48" s="7"/>
    </row>
    <row r="49" spans="2:35" x14ac:dyDescent="0.35">
      <c r="B49" s="1">
        <v>42767</v>
      </c>
      <c r="C49" s="2">
        <v>17.2638</v>
      </c>
      <c r="D49" s="2">
        <v>13.4511</v>
      </c>
      <c r="E49" s="2">
        <v>26.563199999999998</v>
      </c>
      <c r="F49" s="2">
        <v>238.78999300000001</v>
      </c>
      <c r="G49" s="2">
        <v>3190.5900879999999</v>
      </c>
      <c r="H49" s="2">
        <v>2531.3798830000001</v>
      </c>
      <c r="I49" s="2">
        <v>76.369820000000004</v>
      </c>
      <c r="J49" s="2">
        <v>2751.75</v>
      </c>
      <c r="K49" s="2">
        <v>247.179993</v>
      </c>
      <c r="L49" s="2">
        <v>523.432007</v>
      </c>
      <c r="M49" s="2">
        <v>40.513900999999997</v>
      </c>
      <c r="P49" s="7"/>
      <c r="Q49" s="4">
        <f t="shared" si="4"/>
        <v>1.6012810248198341E-3</v>
      </c>
      <c r="R49" s="4">
        <f t="shared" si="4"/>
        <v>-1.5513657957244101E-3</v>
      </c>
      <c r="S49" s="4">
        <f t="shared" si="4"/>
        <v>1.8178767421412622E-3</v>
      </c>
      <c r="T49" s="4">
        <f t="shared" si="4"/>
        <v>5.0337930680183791E-3</v>
      </c>
      <c r="U49" s="4">
        <f t="shared" si="4"/>
        <v>5.0336830229211994E-3</v>
      </c>
      <c r="V49" s="4">
        <f t="shared" si="4"/>
        <v>4.9545362997913808E-3</v>
      </c>
      <c r="W49" s="4">
        <f t="shared" si="4"/>
        <v>0</v>
      </c>
      <c r="X49" s="4">
        <f t="shared" si="4"/>
        <v>1.8223866790009251E-2</v>
      </c>
      <c r="Y49" s="4">
        <f t="shared" si="4"/>
        <v>4.5954577176362352E-2</v>
      </c>
      <c r="Z49" s="4">
        <f t="shared" si="4"/>
        <v>3.5748368721372457E-2</v>
      </c>
      <c r="AA49" s="4">
        <f t="shared" si="3"/>
        <v>5.437407427465922E-2</v>
      </c>
      <c r="AE49" s="7"/>
      <c r="AF49" s="7"/>
      <c r="AH49" s="3" t="s">
        <v>24</v>
      </c>
      <c r="AI49" s="2">
        <f>SUM(AI36:AI46)</f>
        <v>1.0000000039736432</v>
      </c>
    </row>
    <row r="50" spans="2:35" x14ac:dyDescent="0.35">
      <c r="B50" s="1">
        <v>42736</v>
      </c>
      <c r="C50" s="2">
        <v>17.2362</v>
      </c>
      <c r="D50" s="2">
        <v>13.472</v>
      </c>
      <c r="E50" s="2">
        <v>26.514999</v>
      </c>
      <c r="F50" s="2">
        <v>237.59399400000001</v>
      </c>
      <c r="G50" s="2">
        <v>3174.610107</v>
      </c>
      <c r="H50" s="2">
        <v>2518.8999020000001</v>
      </c>
      <c r="I50" s="2">
        <v>76.369820000000004</v>
      </c>
      <c r="J50" s="2">
        <v>2702.5</v>
      </c>
      <c r="K50" s="2">
        <v>236.320007</v>
      </c>
      <c r="L50" s="2">
        <v>505.36599699999999</v>
      </c>
      <c r="M50" s="2">
        <v>38.424599000000001</v>
      </c>
      <c r="P50" s="7"/>
      <c r="Q50" s="4">
        <f t="shared" si="4"/>
        <v>1.0245408363053852E-2</v>
      </c>
      <c r="R50" s="4">
        <f t="shared" si="4"/>
        <v>1.3061819931871006E-2</v>
      </c>
      <c r="S50" s="4">
        <f t="shared" si="4"/>
        <v>1.2405412732291916E-2</v>
      </c>
      <c r="T50" s="4">
        <f t="shared" si="4"/>
        <v>5.6803540527925736E-3</v>
      </c>
      <c r="U50" s="4">
        <f t="shared" si="4"/>
        <v>5.7278333593828636E-3</v>
      </c>
      <c r="V50" s="4">
        <f t="shared" si="4"/>
        <v>5.4404842157493982E-3</v>
      </c>
      <c r="W50" s="4">
        <f t="shared" si="4"/>
        <v>0</v>
      </c>
      <c r="X50" s="4">
        <f t="shared" si="4"/>
        <v>3.6771373833692486E-2</v>
      </c>
      <c r="Y50" s="4">
        <f t="shared" si="4"/>
        <v>4.2067237155248426E-2</v>
      </c>
      <c r="Z50" s="4">
        <f t="shared" si="4"/>
        <v>5.9674073192964319E-2</v>
      </c>
      <c r="AA50" s="4">
        <f t="shared" si="3"/>
        <v>4.9763517297715304E-2</v>
      </c>
      <c r="AE50" s="7"/>
      <c r="AF50" s="7"/>
      <c r="AH50" s="3" t="s">
        <v>22</v>
      </c>
      <c r="AI50" s="8">
        <f t="array" ref="AI50">MMULT(TRANSPOSE(AI36:AI46), AI4:AI14)</f>
        <v>0.11978143147143733</v>
      </c>
    </row>
    <row r="51" spans="2:35" x14ac:dyDescent="0.35">
      <c r="B51" s="1">
        <v>42705</v>
      </c>
      <c r="C51" s="2">
        <v>17.061399000000002</v>
      </c>
      <c r="D51" s="2">
        <v>13.298299999999999</v>
      </c>
      <c r="E51" s="2">
        <v>26.190100000000001</v>
      </c>
      <c r="F51" s="2">
        <v>236.25199900000001</v>
      </c>
      <c r="G51" s="2">
        <v>3156.530029</v>
      </c>
      <c r="H51" s="2">
        <v>2505.2700199999999</v>
      </c>
      <c r="I51" s="2">
        <v>76.369820000000004</v>
      </c>
      <c r="J51" s="2">
        <v>2606.6499020000001</v>
      </c>
      <c r="K51" s="2">
        <v>226.779999</v>
      </c>
      <c r="L51" s="2">
        <v>476.90701300000001</v>
      </c>
      <c r="M51" s="2">
        <v>36.603099999999998</v>
      </c>
      <c r="P51" s="7"/>
      <c r="Q51" s="4">
        <f t="shared" si="4"/>
        <v>-1.422242075082805E-3</v>
      </c>
      <c r="R51" s="4">
        <f t="shared" si="4"/>
        <v>-6.2472444122285004E-3</v>
      </c>
      <c r="S51" s="4">
        <f t="shared" si="4"/>
        <v>-2.9845253053856426E-3</v>
      </c>
      <c r="T51" s="4">
        <f t="shared" si="4"/>
        <v>5.1394333365813042E-3</v>
      </c>
      <c r="U51" s="4">
        <f t="shared" si="4"/>
        <v>5.190718228860405E-3</v>
      </c>
      <c r="V51" s="4">
        <f t="shared" si="4"/>
        <v>5.3008196781986231E-3</v>
      </c>
      <c r="W51" s="4">
        <f t="shared" si="4"/>
        <v>0</v>
      </c>
      <c r="X51" s="4">
        <f t="shared" si="4"/>
        <v>-2.8981746883013481E-2</v>
      </c>
      <c r="Y51" s="4">
        <f t="shared" si="4"/>
        <v>-1.8395879402657141E-2</v>
      </c>
      <c r="Z51" s="4">
        <f t="shared" si="4"/>
        <v>-2.0099040866950302E-2</v>
      </c>
      <c r="AA51" s="4">
        <f t="shared" si="3"/>
        <v>-2.3792404793349521E-2</v>
      </c>
      <c r="AE51" s="7"/>
      <c r="AF51" s="7"/>
      <c r="AH51" s="3" t="s">
        <v>8</v>
      </c>
      <c r="AI51" s="8">
        <f t="array" ref="AI51">SQRT(MMULT(MMULT(TRANSPOSE(AI36:AI46),AM5:AW15), AI36:AI46))</f>
        <v>9.4191626001601844E-2</v>
      </c>
    </row>
    <row r="52" spans="2:35" x14ac:dyDescent="0.35">
      <c r="B52" s="1">
        <v>42675</v>
      </c>
      <c r="C52" s="2">
        <v>17.085699000000002</v>
      </c>
      <c r="D52" s="2">
        <v>13.3819</v>
      </c>
      <c r="E52" s="2">
        <v>26.268498999999998</v>
      </c>
      <c r="F52" s="2">
        <v>235.044006</v>
      </c>
      <c r="G52" s="2">
        <v>3140.2299800000001</v>
      </c>
      <c r="H52" s="2">
        <v>2492.0600589999999</v>
      </c>
      <c r="I52" s="2">
        <v>76.369820000000004</v>
      </c>
      <c r="J52" s="2">
        <v>2684.4499510000001</v>
      </c>
      <c r="K52" s="2">
        <v>231.029999</v>
      </c>
      <c r="L52" s="2">
        <v>486.68899499999998</v>
      </c>
      <c r="M52" s="2">
        <v>37.495201000000002</v>
      </c>
      <c r="P52" s="7"/>
      <c r="Q52" s="4">
        <f t="shared" si="4"/>
        <v>1.495182369015101E-2</v>
      </c>
      <c r="R52" s="4">
        <f t="shared" si="4"/>
        <v>1.9386931151637046E-2</v>
      </c>
      <c r="S52" s="4">
        <f t="shared" si="4"/>
        <v>1.8411505179579315E-2</v>
      </c>
      <c r="T52" s="4">
        <f t="shared" si="4"/>
        <v>5.7208598556275385E-3</v>
      </c>
      <c r="U52" s="4">
        <f t="shared" si="4"/>
        <v>5.6298587903627108E-3</v>
      </c>
      <c r="V52" s="4">
        <f t="shared" si="4"/>
        <v>5.4385900700360396E-3</v>
      </c>
      <c r="W52" s="4">
        <f t="shared" si="4"/>
        <v>0</v>
      </c>
      <c r="X52" s="4">
        <f t="shared" si="4"/>
        <v>-5.3771606979203364E-2</v>
      </c>
      <c r="Y52" s="4">
        <f t="shared" si="4"/>
        <v>-5.7020412244897942E-2</v>
      </c>
      <c r="Z52" s="4">
        <f t="shared" si="4"/>
        <v>-4.8158356188675651E-2</v>
      </c>
      <c r="AA52" s="4">
        <f t="shared" si="3"/>
        <v>-5.1731457756980855E-2</v>
      </c>
      <c r="AE52" s="7"/>
      <c r="AF52" s="7"/>
      <c r="AH52" s="3" t="s">
        <v>9</v>
      </c>
      <c r="AI52" s="2">
        <f t="array" ref="AI52">(AI50-AM18)/AI51</f>
        <v>0.5815955599970819</v>
      </c>
    </row>
    <row r="53" spans="2:35" x14ac:dyDescent="0.35">
      <c r="B53" s="1">
        <v>42644</v>
      </c>
      <c r="C53" s="2">
        <v>16.834</v>
      </c>
      <c r="D53" s="2">
        <v>13.1274</v>
      </c>
      <c r="E53" s="2">
        <v>25.793600000000001</v>
      </c>
      <c r="F53" s="2">
        <v>233.70700099999999</v>
      </c>
      <c r="G53" s="2">
        <v>3122.6499020000001</v>
      </c>
      <c r="H53" s="2">
        <v>2478.580078</v>
      </c>
      <c r="I53" s="2">
        <v>76.369820000000004</v>
      </c>
      <c r="J53" s="2">
        <v>2837</v>
      </c>
      <c r="K53" s="2">
        <v>245</v>
      </c>
      <c r="L53" s="2">
        <v>511.31298800000002</v>
      </c>
      <c r="M53" s="2">
        <v>39.540698999999996</v>
      </c>
      <c r="P53" s="7"/>
      <c r="Q53" s="4">
        <f t="shared" si="4"/>
        <v>6.9386290226103398E-3</v>
      </c>
      <c r="R53" s="4">
        <f t="shared" si="4"/>
        <v>6.4940541452306487E-3</v>
      </c>
      <c r="S53" s="4">
        <f t="shared" si="4"/>
        <v>6.3595858075893756E-3</v>
      </c>
      <c r="T53" s="4">
        <f t="shared" si="4"/>
        <v>5.7321183431952279E-3</v>
      </c>
      <c r="U53" s="4">
        <f t="shared" si="4"/>
        <v>5.8301050762026765E-3</v>
      </c>
      <c r="V53" s="4">
        <f t="shared" si="4"/>
        <v>5.6111483923318621E-3</v>
      </c>
      <c r="W53" s="4">
        <f t="shared" si="4"/>
        <v>0</v>
      </c>
      <c r="X53" s="4">
        <f t="shared" si="4"/>
        <v>-3.1955335891908972E-2</v>
      </c>
      <c r="Y53" s="4">
        <f t="shared" si="4"/>
        <v>2.0918426884214133E-2</v>
      </c>
      <c r="Z53" s="4">
        <f t="shared" si="4"/>
        <v>2.5758659357817411E-2</v>
      </c>
      <c r="AA53" s="4">
        <f t="shared" si="3"/>
        <v>2.7036424758755742E-2</v>
      </c>
      <c r="AE53" s="7"/>
      <c r="AF53" s="7"/>
    </row>
    <row r="54" spans="2:35" x14ac:dyDescent="0.35">
      <c r="B54" s="1">
        <v>42614</v>
      </c>
      <c r="C54" s="2">
        <v>16.718</v>
      </c>
      <c r="D54" s="2">
        <v>13.0427</v>
      </c>
      <c r="E54" s="2">
        <v>25.630600000000001</v>
      </c>
      <c r="F54" s="2">
        <v>232.375</v>
      </c>
      <c r="G54" s="2">
        <v>3104.5500489999999</v>
      </c>
      <c r="H54" s="2">
        <v>2464.75</v>
      </c>
      <c r="I54" s="2">
        <v>76.369820000000004</v>
      </c>
      <c r="J54" s="2">
        <v>2930.6499020000001</v>
      </c>
      <c r="K54" s="2">
        <v>239.979996</v>
      </c>
      <c r="L54" s="2">
        <v>498.47299199999998</v>
      </c>
      <c r="M54" s="2">
        <v>38.499802000000003</v>
      </c>
      <c r="P54" s="7"/>
      <c r="Q54" s="4">
        <f t="shared" si="4"/>
        <v>9.8032701728104719E-3</v>
      </c>
      <c r="R54" s="4">
        <f t="shared" si="4"/>
        <v>1.1728658418337612E-2</v>
      </c>
      <c r="S54" s="4">
        <f t="shared" si="4"/>
        <v>9.523884547517068E-3</v>
      </c>
      <c r="T54" s="4">
        <f t="shared" si="4"/>
        <v>5.6693916805280941E-3</v>
      </c>
      <c r="U54" s="4">
        <f t="shared" si="4"/>
        <v>5.6557989894333209E-3</v>
      </c>
      <c r="V54" s="4">
        <f t="shared" si="4"/>
        <v>5.5894211566954646E-3</v>
      </c>
      <c r="W54" s="4">
        <f t="shared" si="4"/>
        <v>0</v>
      </c>
      <c r="X54" s="4">
        <f t="shared" si="4"/>
        <v>1.6527888310787414E-2</v>
      </c>
      <c r="Y54" s="4">
        <f t="shared" si="4"/>
        <v>-1.9962196873760819E-3</v>
      </c>
      <c r="Z54" s="4">
        <f t="shared" si="4"/>
        <v>-1.0981582025459476E-3</v>
      </c>
      <c r="AA54" s="4">
        <f t="shared" si="3"/>
        <v>-1.3270908172954985E-2</v>
      </c>
      <c r="AE54" s="7"/>
      <c r="AF54" s="7"/>
      <c r="AH54" s="3"/>
    </row>
    <row r="55" spans="2:35" x14ac:dyDescent="0.35">
      <c r="B55" s="1">
        <v>42583</v>
      </c>
      <c r="C55" s="2">
        <v>16.555700000000002</v>
      </c>
      <c r="D55" s="2">
        <v>12.891500000000001</v>
      </c>
      <c r="E55" s="2">
        <v>25.3888</v>
      </c>
      <c r="F55" s="2">
        <v>231.06500199999999</v>
      </c>
      <c r="G55" s="2">
        <v>3087.0900879999999</v>
      </c>
      <c r="H55" s="2">
        <v>2451.0500489999999</v>
      </c>
      <c r="I55" s="2">
        <v>76.369820000000004</v>
      </c>
      <c r="J55" s="2">
        <v>2883</v>
      </c>
      <c r="K55" s="2">
        <v>240.46000699999999</v>
      </c>
      <c r="L55" s="2">
        <v>499.02099600000003</v>
      </c>
      <c r="M55" s="2">
        <v>39.017600999999999</v>
      </c>
      <c r="P55" s="7"/>
      <c r="Q55" s="4">
        <f t="shared" si="4"/>
        <v>1.064017792375385E-2</v>
      </c>
      <c r="R55" s="4">
        <f t="shared" si="4"/>
        <v>1.1185278729929627E-2</v>
      </c>
      <c r="S55" s="4">
        <f t="shared" si="4"/>
        <v>1.1199836352332987E-2</v>
      </c>
      <c r="T55" s="4">
        <f t="shared" si="4"/>
        <v>5.9250471460019702E-3</v>
      </c>
      <c r="U55" s="4">
        <f t="shared" si="4"/>
        <v>5.9665596187962909E-3</v>
      </c>
      <c r="V55" s="4">
        <f t="shared" si="4"/>
        <v>5.82717460202185E-3</v>
      </c>
      <c r="W55" s="4">
        <f t="shared" si="4"/>
        <v>0</v>
      </c>
      <c r="X55" s="4">
        <f t="shared" si="4"/>
        <v>1.9113814074717638E-3</v>
      </c>
      <c r="Y55" s="4">
        <f t="shared" si="4"/>
        <v>4.3572645981882173E-2</v>
      </c>
      <c r="Z55" s="4">
        <f t="shared" si="4"/>
        <v>2.9030222527619907E-2</v>
      </c>
      <c r="AA55" s="4">
        <f t="shared" si="3"/>
        <v>1.7718626483663239E-2</v>
      </c>
      <c r="AE55" s="7"/>
      <c r="AF55" s="7"/>
    </row>
    <row r="56" spans="2:35" x14ac:dyDescent="0.35">
      <c r="B56" s="1">
        <v>42552</v>
      </c>
      <c r="C56" s="2">
        <v>16.381398999999998</v>
      </c>
      <c r="D56" s="2">
        <v>12.748900000000001</v>
      </c>
      <c r="E56" s="2">
        <v>25.107599</v>
      </c>
      <c r="F56" s="2">
        <v>229.70399499999999</v>
      </c>
      <c r="G56" s="2">
        <v>3068.780029</v>
      </c>
      <c r="H56" s="2">
        <v>2436.8500979999999</v>
      </c>
      <c r="I56" s="2">
        <v>76.369820000000004</v>
      </c>
      <c r="J56" s="2">
        <v>2877.5</v>
      </c>
      <c r="K56" s="2">
        <v>230.41999799999999</v>
      </c>
      <c r="L56" s="2">
        <v>484.942993</v>
      </c>
      <c r="M56" s="2">
        <v>38.338298999999999</v>
      </c>
      <c r="P56" s="7"/>
      <c r="Q56" s="4">
        <f t="shared" si="4"/>
        <v>1.4284148674670309E-2</v>
      </c>
      <c r="R56" s="4">
        <f t="shared" si="4"/>
        <v>1.6447945402069793E-2</v>
      </c>
      <c r="S56" s="4">
        <f t="shared" si="4"/>
        <v>1.3175364014323954E-2</v>
      </c>
      <c r="T56" s="4">
        <f t="shared" si="4"/>
        <v>6.1630158017364862E-3</v>
      </c>
      <c r="U56" s="4">
        <f t="shared" si="4"/>
        <v>6.2134448527791245E-3</v>
      </c>
      <c r="V56" s="4">
        <f t="shared" si="4"/>
        <v>6.1147044481207726E-3</v>
      </c>
      <c r="W56" s="4">
        <f t="shared" si="4"/>
        <v>0</v>
      </c>
      <c r="X56" s="4">
        <f t="shared" si="4"/>
        <v>9.8617600078796837E-3</v>
      </c>
      <c r="Y56" s="4">
        <f t="shared" si="4"/>
        <v>3.7180382837947765E-2</v>
      </c>
      <c r="Z56" s="4">
        <f t="shared" si="4"/>
        <v>5.3939808350746049E-2</v>
      </c>
      <c r="AA56" s="4">
        <f t="shared" si="3"/>
        <v>5.608460224516363E-2</v>
      </c>
      <c r="AE56" s="7"/>
      <c r="AF56" s="7"/>
    </row>
    <row r="57" spans="2:35" x14ac:dyDescent="0.35">
      <c r="B57" s="1">
        <v>42522</v>
      </c>
      <c r="C57" s="2">
        <v>16.150700000000001</v>
      </c>
      <c r="D57" s="2">
        <v>12.5426</v>
      </c>
      <c r="E57" s="2">
        <v>24.781099000000001</v>
      </c>
      <c r="F57" s="2">
        <v>228.296997</v>
      </c>
      <c r="G57" s="2">
        <v>3049.830078</v>
      </c>
      <c r="H57" s="2">
        <v>2422.040039</v>
      </c>
      <c r="I57" s="2">
        <v>76.369820000000004</v>
      </c>
      <c r="J57" s="2">
        <v>2849.3999020000001</v>
      </c>
      <c r="K57" s="2">
        <v>222.16000399999999</v>
      </c>
      <c r="L57" s="2">
        <v>460.12399299999998</v>
      </c>
      <c r="M57" s="2">
        <v>36.302298999999998</v>
      </c>
      <c r="P57" s="7"/>
      <c r="Q57" s="4">
        <f t="shared" si="4"/>
        <v>7.5735679303795128E-3</v>
      </c>
      <c r="R57" s="4">
        <f t="shared" si="4"/>
        <v>7.1950534007870224E-3</v>
      </c>
      <c r="S57" s="4">
        <f t="shared" si="4"/>
        <v>8.8914899420666927E-3</v>
      </c>
      <c r="T57" s="4">
        <f t="shared" si="4"/>
        <v>6.3298894505406838E-3</v>
      </c>
      <c r="U57" s="4">
        <f t="shared" si="4"/>
        <v>6.2888499867106472E-3</v>
      </c>
      <c r="V57" s="4">
        <f t="shared" si="4"/>
        <v>6.1439563817634142E-3</v>
      </c>
      <c r="W57" s="4">
        <f t="shared" si="4"/>
        <v>0</v>
      </c>
      <c r="X57" s="4">
        <f t="shared" si="4"/>
        <v>6.1940948880108281E-2</v>
      </c>
      <c r="Y57" s="4">
        <f t="shared" si="4"/>
        <v>7.0702195992524988E-2</v>
      </c>
      <c r="Z57" s="4">
        <f t="shared" si="4"/>
        <v>2.8154928821725947E-2</v>
      </c>
      <c r="AA57" s="4">
        <f t="shared" si="3"/>
        <v>3.4784161827029189E-2</v>
      </c>
      <c r="AE57" s="7"/>
      <c r="AF57" s="7"/>
    </row>
    <row r="58" spans="2:35" x14ac:dyDescent="0.35">
      <c r="B58" s="1">
        <v>42491</v>
      </c>
      <c r="C58" s="2">
        <v>16.029301</v>
      </c>
      <c r="D58" s="2">
        <v>12.452999999999999</v>
      </c>
      <c r="E58" s="2">
        <v>24.5627</v>
      </c>
      <c r="F58" s="2">
        <v>226.86099200000001</v>
      </c>
      <c r="G58" s="2">
        <v>3030.7700199999999</v>
      </c>
      <c r="H58" s="2">
        <v>2407.25</v>
      </c>
      <c r="I58" s="2">
        <v>76.369820000000004</v>
      </c>
      <c r="J58" s="2">
        <v>2683.1999510000001</v>
      </c>
      <c r="K58" s="2">
        <v>207.490005</v>
      </c>
      <c r="L58" s="2">
        <v>447.52398699999998</v>
      </c>
      <c r="M58" s="2">
        <v>35.082000999999998</v>
      </c>
      <c r="P58" s="7"/>
      <c r="Q58" s="4">
        <f t="shared" si="4"/>
        <v>5.1419989590714412E-3</v>
      </c>
      <c r="R58" s="4">
        <f t="shared" si="4"/>
        <v>5.3768649486533072E-3</v>
      </c>
      <c r="S58" s="4">
        <f t="shared" si="4"/>
        <v>6.6763254894025136E-3</v>
      </c>
      <c r="T58" s="4">
        <f t="shared" si="4"/>
        <v>6.8525277415706657E-3</v>
      </c>
      <c r="U58" s="4">
        <f t="shared" si="4"/>
        <v>6.8802484316144406E-3</v>
      </c>
      <c r="V58" s="4">
        <f t="shared" si="4"/>
        <v>6.6026775515812108E-3</v>
      </c>
      <c r="W58" s="4">
        <f t="shared" si="4"/>
        <v>0</v>
      </c>
      <c r="X58" s="4">
        <f t="shared" si="4"/>
        <v>-4.1611601971271381E-2</v>
      </c>
      <c r="Y58" s="4">
        <f t="shared" si="4"/>
        <v>1.6111694653942625E-2</v>
      </c>
      <c r="Z58" s="4">
        <f t="shared" si="4"/>
        <v>4.3500507199171708E-2</v>
      </c>
      <c r="AA58" s="4">
        <f t="shared" si="3"/>
        <v>3.6022435871122457E-2</v>
      </c>
      <c r="AE58" s="7"/>
      <c r="AF58" s="7"/>
    </row>
    <row r="59" spans="2:35" x14ac:dyDescent="0.35">
      <c r="B59" s="1">
        <v>42461</v>
      </c>
      <c r="C59" s="2">
        <v>15.9473</v>
      </c>
      <c r="D59" s="2">
        <v>12.3864</v>
      </c>
      <c r="E59" s="2">
        <v>24.399799000000002</v>
      </c>
      <c r="F59" s="2">
        <v>225.317001</v>
      </c>
      <c r="G59" s="2">
        <v>3010.0600589999999</v>
      </c>
      <c r="H59" s="2">
        <v>2391.459961</v>
      </c>
      <c r="I59" s="2">
        <v>76.369820000000004</v>
      </c>
      <c r="J59" s="2">
        <v>2799.6999510000001</v>
      </c>
      <c r="K59" s="2">
        <v>204.199997</v>
      </c>
      <c r="L59" s="2">
        <v>428.86801100000002</v>
      </c>
      <c r="M59" s="2">
        <v>33.862202000000003</v>
      </c>
      <c r="P59" s="7"/>
      <c r="Q59" s="4">
        <f t="shared" si="4"/>
        <v>9.9747938542603855E-3</v>
      </c>
      <c r="R59" s="4">
        <f t="shared" si="4"/>
        <v>9.3384833520754381E-3</v>
      </c>
      <c r="S59" s="4">
        <f t="shared" si="4"/>
        <v>9.8167829620984647E-3</v>
      </c>
      <c r="T59" s="4">
        <f t="shared" si="4"/>
        <v>6.5354962335183488E-3</v>
      </c>
      <c r="U59" s="4">
        <f t="shared" si="4"/>
        <v>6.641732434434066E-3</v>
      </c>
      <c r="V59" s="4">
        <f t="shared" si="4"/>
        <v>6.4727965788702107E-3</v>
      </c>
      <c r="W59" s="4">
        <f t="shared" si="4"/>
        <v>0</v>
      </c>
      <c r="X59" s="4">
        <f t="shared" si="4"/>
        <v>6.5720065769481695E-2</v>
      </c>
      <c r="Y59" s="4">
        <f t="shared" si="4"/>
        <v>3.6863993735513439E-2</v>
      </c>
      <c r="Z59" s="4">
        <f t="shared" si="4"/>
        <v>2.9198447618755306E-2</v>
      </c>
      <c r="AA59" s="4">
        <f t="shared" si="3"/>
        <v>1.754599791617981E-2</v>
      </c>
      <c r="AE59" s="7"/>
      <c r="AF59" s="7"/>
    </row>
    <row r="60" spans="2:35" x14ac:dyDescent="0.35">
      <c r="B60" s="1">
        <v>42430</v>
      </c>
      <c r="C60" s="2">
        <v>15.7898</v>
      </c>
      <c r="D60" s="2">
        <v>12.271800000000001</v>
      </c>
      <c r="E60" s="2">
        <v>24.162600000000001</v>
      </c>
      <c r="F60" s="2">
        <v>223.854004</v>
      </c>
      <c r="G60" s="2">
        <v>2990.1999510000001</v>
      </c>
      <c r="H60" s="2">
        <v>2376.080078</v>
      </c>
      <c r="I60" s="2">
        <v>76.369820000000004</v>
      </c>
      <c r="J60" s="2">
        <v>2627.0500489999999</v>
      </c>
      <c r="K60" s="2">
        <v>196.94000199999999</v>
      </c>
      <c r="L60" s="2">
        <v>416.70098899999999</v>
      </c>
      <c r="M60" s="2">
        <v>33.278300999999999</v>
      </c>
      <c r="P60" s="7"/>
      <c r="Q60" s="4">
        <f t="shared" si="4"/>
        <v>1.2991345518466878E-2</v>
      </c>
      <c r="R60" s="4">
        <f t="shared" si="4"/>
        <v>1.5524403766902365E-2</v>
      </c>
      <c r="S60" s="4">
        <f t="shared" si="4"/>
        <v>1.5149987396017209E-2</v>
      </c>
      <c r="T60" s="4">
        <f t="shared" si="4"/>
        <v>7.6206401578278364E-3</v>
      </c>
      <c r="U60" s="4">
        <f t="shared" si="4"/>
        <v>7.5918244252771768E-3</v>
      </c>
      <c r="V60" s="4">
        <f t="shared" si="4"/>
        <v>8.1121942317118282E-3</v>
      </c>
      <c r="W60" s="4">
        <f t="shared" si="4"/>
        <v>0</v>
      </c>
      <c r="X60" s="4">
        <f t="shared" si="4"/>
        <v>-2.8816987430683939E-2</v>
      </c>
      <c r="Y60" s="4">
        <f t="shared" si="4"/>
        <v>9.7770393459433461E-2</v>
      </c>
      <c r="Z60" s="4">
        <f t="shared" si="4"/>
        <v>0.15446266860856786</v>
      </c>
      <c r="AA60" s="4">
        <f t="shared" si="3"/>
        <v>0.13171868145321722</v>
      </c>
      <c r="AE60" s="7"/>
      <c r="AF60" s="7"/>
    </row>
    <row r="61" spans="2:35" x14ac:dyDescent="0.35">
      <c r="B61" s="1">
        <v>42401</v>
      </c>
      <c r="C61" s="2">
        <v>15.587300000000001</v>
      </c>
      <c r="D61" s="2">
        <v>12.084199999999999</v>
      </c>
      <c r="E61" s="2">
        <v>23.802</v>
      </c>
      <c r="F61" s="2">
        <v>222.16099500000001</v>
      </c>
      <c r="G61" s="2">
        <v>2967.669922</v>
      </c>
      <c r="H61" s="2">
        <v>2356.959961</v>
      </c>
      <c r="I61" s="2">
        <v>76.369820000000004</v>
      </c>
      <c r="J61" s="2">
        <v>2705</v>
      </c>
      <c r="K61" s="2">
        <v>179.39999399999999</v>
      </c>
      <c r="L61" s="2">
        <v>360.94799799999998</v>
      </c>
      <c r="M61" s="2">
        <v>29.405100000000001</v>
      </c>
      <c r="P61" s="7"/>
      <c r="Q61" s="4">
        <f t="shared" si="4"/>
        <v>-3.5161069663668205E-3</v>
      </c>
      <c r="R61" s="4">
        <f t="shared" si="4"/>
        <v>3.4044107878303601E-3</v>
      </c>
      <c r="S61" s="4">
        <f t="shared" si="4"/>
        <v>5.6446570110358658E-3</v>
      </c>
      <c r="T61" s="4">
        <f t="shared" si="4"/>
        <v>6.0409235472279202E-3</v>
      </c>
      <c r="U61" s="4">
        <f t="shared" si="4"/>
        <v>6.0682364654313327E-3</v>
      </c>
      <c r="V61" s="4">
        <f t="shared" si="4"/>
        <v>5.9538588996468078E-3</v>
      </c>
      <c r="W61" s="4">
        <f t="shared" si="4"/>
        <v>0</v>
      </c>
      <c r="X61" s="4">
        <f t="shared" si="4"/>
        <v>8.6192661093066975E-2</v>
      </c>
      <c r="Y61" s="4">
        <f t="shared" si="4"/>
        <v>-6.9502120287830135E-2</v>
      </c>
      <c r="Z61" s="4">
        <f t="shared" si="4"/>
        <v>-0.11105746422404511</v>
      </c>
      <c r="AA61" s="4">
        <f t="shared" si="3"/>
        <v>-9.0517946489604498E-2</v>
      </c>
      <c r="AE61" s="7"/>
      <c r="AF61" s="7"/>
    </row>
    <row r="62" spans="2:35" x14ac:dyDescent="0.35">
      <c r="B62" s="1">
        <v>42370</v>
      </c>
      <c r="C62" s="2">
        <v>15.642300000000001</v>
      </c>
      <c r="D62" s="2">
        <v>12.043200000000001</v>
      </c>
      <c r="E62" s="2">
        <v>23.668399999999998</v>
      </c>
      <c r="F62" s="2">
        <v>220.82699600000001</v>
      </c>
      <c r="G62" s="2">
        <v>2949.7700199999999</v>
      </c>
      <c r="H62" s="2">
        <v>2343.01001</v>
      </c>
      <c r="I62" s="2">
        <v>76.369820000000004</v>
      </c>
      <c r="J62" s="2">
        <v>2490.3500979999999</v>
      </c>
      <c r="K62" s="2">
        <v>192.800003</v>
      </c>
      <c r="L62" s="2">
        <v>406.04199199999999</v>
      </c>
      <c r="M62" s="2">
        <v>32.331699</v>
      </c>
      <c r="P62" s="7"/>
      <c r="Q62" s="4">
        <f t="shared" si="4"/>
        <v>4.3210272873195022E-3</v>
      </c>
      <c r="R62" s="4">
        <f t="shared" si="4"/>
        <v>4.8560700876096076E-3</v>
      </c>
      <c r="S62" s="4">
        <f t="shared" si="4"/>
        <v>6.0357725788900756E-3</v>
      </c>
      <c r="T62" s="4">
        <f t="shared" si="4"/>
        <v>6.2976552480868446E-3</v>
      </c>
      <c r="U62" s="4">
        <f t="shared" si="4"/>
        <v>6.366159004206921E-3</v>
      </c>
      <c r="V62" s="4">
        <f t="shared" si="4"/>
        <v>6.253112287746102E-3</v>
      </c>
      <c r="W62" s="4">
        <f t="shared" si="4"/>
        <v>0</v>
      </c>
      <c r="X62" s="4">
        <f t="shared" si="4"/>
        <v>4.9540646734873676E-2</v>
      </c>
      <c r="Y62" s="4">
        <f t="shared" si="4"/>
        <v>-5.3370624572795393E-2</v>
      </c>
      <c r="Z62" s="4">
        <f t="shared" si="4"/>
        <v>-8.6745674413947316E-2</v>
      </c>
      <c r="AA62" s="4">
        <f t="shared" si="3"/>
        <v>-5.5247497099925796E-2</v>
      </c>
      <c r="AE62" s="7"/>
      <c r="AF62" s="7"/>
    </row>
    <row r="63" spans="2:35" x14ac:dyDescent="0.35">
      <c r="B63" s="1">
        <v>42339</v>
      </c>
      <c r="C63" s="2">
        <v>15.574999999999999</v>
      </c>
      <c r="D63" s="2">
        <v>11.984999999999999</v>
      </c>
      <c r="E63" s="2">
        <v>23.526399999999999</v>
      </c>
      <c r="F63" s="2">
        <v>219.445007</v>
      </c>
      <c r="G63" s="2">
        <v>2931.110107</v>
      </c>
      <c r="H63" s="2">
        <v>2328.4499510000001</v>
      </c>
      <c r="I63" s="2">
        <v>76.369820000000004</v>
      </c>
      <c r="J63" s="2">
        <v>2372.8000489999999</v>
      </c>
      <c r="K63" s="2">
        <v>203.66999799999999</v>
      </c>
      <c r="L63" s="2">
        <v>444.60998499999999</v>
      </c>
      <c r="M63" s="2">
        <v>34.222400999999998</v>
      </c>
      <c r="P63" s="7"/>
      <c r="Q63" s="4">
        <f t="shared" si="4"/>
        <v>4.4110249829104175E-3</v>
      </c>
      <c r="R63" s="4">
        <f t="shared" si="4"/>
        <v>7.5238535580681139E-3</v>
      </c>
      <c r="S63" s="4">
        <f t="shared" si="4"/>
        <v>5.2728282698799381E-3</v>
      </c>
      <c r="T63" s="4">
        <f t="shared" si="4"/>
        <v>6.3330583299640933E-3</v>
      </c>
      <c r="U63" s="4">
        <f t="shared" si="4"/>
        <v>6.3931951917197615E-3</v>
      </c>
      <c r="V63" s="4">
        <f t="shared" si="4"/>
        <v>6.3184730542689823E-3</v>
      </c>
      <c r="W63" s="4">
        <f t="shared" si="4"/>
        <v>7.0242646345220587E-3</v>
      </c>
      <c r="X63" s="4">
        <f t="shared" si="4"/>
        <v>4.3598091005290773E-3</v>
      </c>
      <c r="Y63" s="4">
        <f t="shared" si="4"/>
        <v>-1.8457840963855457E-2</v>
      </c>
      <c r="Z63" s="4">
        <f t="shared" si="4"/>
        <v>-2.2181916466063406E-2</v>
      </c>
      <c r="AA63" s="4">
        <f t="shared" si="3"/>
        <v>2.0440201688289465E-2</v>
      </c>
      <c r="AE63" s="7"/>
      <c r="AF63" s="7"/>
    </row>
    <row r="64" spans="2:35" x14ac:dyDescent="0.35">
      <c r="B64" s="1">
        <v>42309</v>
      </c>
      <c r="C64" s="2">
        <v>15.506600000000001</v>
      </c>
      <c r="D64" s="2">
        <v>11.8955</v>
      </c>
      <c r="E64" s="2">
        <v>23.402999999999999</v>
      </c>
      <c r="F64" s="2">
        <v>218.06399500000001</v>
      </c>
      <c r="G64" s="2">
        <v>2912.48999</v>
      </c>
      <c r="H64" s="2">
        <v>2313.830078</v>
      </c>
      <c r="I64" s="2">
        <v>75.837119999999999</v>
      </c>
      <c r="J64" s="2">
        <v>2362.5</v>
      </c>
      <c r="K64" s="2">
        <v>207.5</v>
      </c>
      <c r="L64" s="2">
        <v>454.69601399999999</v>
      </c>
      <c r="M64" s="2">
        <v>33.536900000000003</v>
      </c>
      <c r="P64" s="7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6" spans="16:27" x14ac:dyDescent="0.35">
      <c r="Q66" s="3" t="s">
        <v>11</v>
      </c>
      <c r="R66" s="3" t="s">
        <v>12</v>
      </c>
      <c r="S66" s="3" t="s">
        <v>13</v>
      </c>
      <c r="T66" s="3" t="s">
        <v>16</v>
      </c>
      <c r="U66" s="3" t="s">
        <v>15</v>
      </c>
      <c r="V66" s="3" t="s">
        <v>14</v>
      </c>
      <c r="W66" s="3" t="s">
        <v>4</v>
      </c>
      <c r="X66" s="3" t="s">
        <v>3</v>
      </c>
      <c r="Y66" s="3" t="s">
        <v>18</v>
      </c>
      <c r="Z66" s="3" t="s">
        <v>19</v>
      </c>
      <c r="AA66" s="3" t="s">
        <v>17</v>
      </c>
    </row>
    <row r="67" spans="16:27" x14ac:dyDescent="0.35">
      <c r="P67" s="3" t="s">
        <v>5</v>
      </c>
      <c r="Q67" s="8">
        <f>AVERAGE(Q5:Q63)</f>
        <v>6.6519314917109686E-3</v>
      </c>
      <c r="R67" s="8">
        <f>AVERAGE(R5:R63)</f>
        <v>6.6119225204143419E-3</v>
      </c>
      <c r="S67" s="8">
        <f>AVERAGE(S5:S63)</f>
        <v>6.8828980484478049E-3</v>
      </c>
      <c r="T67" s="8">
        <f t="shared" ref="T67:AA67" si="5">AVERAGE(T5:T63)</f>
        <v>5.3563134159825823E-3</v>
      </c>
      <c r="U67" s="8">
        <f t="shared" si="5"/>
        <v>5.3468537486211056E-3</v>
      </c>
      <c r="V67" s="8">
        <f t="shared" si="5"/>
        <v>5.2692921073550329E-3</v>
      </c>
      <c r="W67" s="8">
        <f t="shared" si="5"/>
        <v>1.0281184646422465E-2</v>
      </c>
      <c r="X67" s="8">
        <f t="shared" si="5"/>
        <v>1.1789081326628091E-2</v>
      </c>
      <c r="Y67" s="8">
        <f t="shared" si="5"/>
        <v>6.6770142146405217E-3</v>
      </c>
      <c r="Z67" s="8">
        <f t="shared" si="5"/>
        <v>5.5433695083489136E-3</v>
      </c>
      <c r="AA67" s="8">
        <f t="shared" si="5"/>
        <v>8.4973886023717079E-3</v>
      </c>
    </row>
    <row r="68" spans="16:27" x14ac:dyDescent="0.35">
      <c r="P68" s="3" t="s">
        <v>6</v>
      </c>
      <c r="Q68" s="8">
        <f>_xlfn.VAR.S(Q5:Q63)</f>
        <v>2.1669243038584048E-5</v>
      </c>
      <c r="R68" s="8">
        <f t="shared" ref="R68:Z68" si="6">_xlfn.VAR.S(R5:R63)</f>
        <v>5.0779322041918526E-5</v>
      </c>
      <c r="S68" s="8">
        <f t="shared" si="6"/>
        <v>3.1273386261601646E-5</v>
      </c>
      <c r="T68" s="8">
        <f t="shared" si="6"/>
        <v>1.7206266668469146E-6</v>
      </c>
      <c r="U68" s="8">
        <f t="shared" si="6"/>
        <v>1.7134409783851719E-6</v>
      </c>
      <c r="V68" s="8">
        <f t="shared" si="6"/>
        <v>1.999478202641968E-6</v>
      </c>
      <c r="W68" s="8">
        <f t="shared" si="6"/>
        <v>4.8718189642342037E-3</v>
      </c>
      <c r="X68" s="8">
        <f t="shared" si="6"/>
        <v>1.4462898565844936E-3</v>
      </c>
      <c r="Y68" s="8">
        <f t="shared" si="6"/>
        <v>2.9755802124420941E-3</v>
      </c>
      <c r="Z68" s="8">
        <f t="shared" si="6"/>
        <v>3.8224446529894203E-3</v>
      </c>
      <c r="AA68" s="8">
        <f>_xlfn.VAR.S(AA5:AA63)</f>
        <v>2.9788952933658239E-3</v>
      </c>
    </row>
    <row r="69" spans="16:27" x14ac:dyDescent="0.35">
      <c r="P69" s="3" t="s">
        <v>39</v>
      </c>
      <c r="Q69" s="8">
        <f>Q67*12</f>
        <v>7.9823177900531617E-2</v>
      </c>
      <c r="R69" s="8">
        <f t="shared" ref="R69:AA70" si="7">R67*12</f>
        <v>7.93430702449721E-2</v>
      </c>
      <c r="S69" s="8">
        <f t="shared" si="7"/>
        <v>8.2594776581373652E-2</v>
      </c>
      <c r="T69" s="8">
        <f t="shared" si="7"/>
        <v>6.4275760991790984E-2</v>
      </c>
      <c r="U69" s="8">
        <f t="shared" si="7"/>
        <v>6.416224498345327E-2</v>
      </c>
      <c r="V69" s="8">
        <f t="shared" si="7"/>
        <v>6.3231505288260395E-2</v>
      </c>
      <c r="W69" s="8">
        <f t="shared" si="7"/>
        <v>0.12337421575706958</v>
      </c>
      <c r="X69" s="8">
        <f t="shared" si="7"/>
        <v>0.14146897591953708</v>
      </c>
      <c r="Y69" s="8">
        <f t="shared" si="7"/>
        <v>8.0124170575686257E-2</v>
      </c>
      <c r="Z69" s="8">
        <f t="shared" si="7"/>
        <v>6.6520434100186959E-2</v>
      </c>
      <c r="AA69" s="8">
        <f t="shared" si="7"/>
        <v>0.10196866322846049</v>
      </c>
    </row>
    <row r="70" spans="16:27" x14ac:dyDescent="0.35">
      <c r="P70" s="3" t="s">
        <v>38</v>
      </c>
      <c r="Q70" s="8">
        <f>Q68*12</f>
        <v>2.6003091646300858E-4</v>
      </c>
      <c r="R70" s="8">
        <f t="shared" si="7"/>
        <v>6.0935186450302228E-4</v>
      </c>
      <c r="S70" s="8">
        <f t="shared" si="7"/>
        <v>3.7528063513921973E-4</v>
      </c>
      <c r="T70" s="8">
        <f t="shared" si="7"/>
        <v>2.0647520002162976E-5</v>
      </c>
      <c r="U70" s="8">
        <f t="shared" si="7"/>
        <v>2.0561291740622063E-5</v>
      </c>
      <c r="V70" s="8">
        <f t="shared" si="7"/>
        <v>2.3993738431703614E-5</v>
      </c>
      <c r="W70" s="8">
        <f t="shared" si="7"/>
        <v>5.8461827570810448E-2</v>
      </c>
      <c r="X70" s="8">
        <f t="shared" si="7"/>
        <v>1.7355478279013924E-2</v>
      </c>
      <c r="Y70" s="8">
        <f t="shared" si="7"/>
        <v>3.5706962549305131E-2</v>
      </c>
      <c r="Z70" s="8">
        <f t="shared" si="7"/>
        <v>4.5869335835873042E-2</v>
      </c>
      <c r="AA70" s="8">
        <f t="shared" si="7"/>
        <v>3.5746743520389888E-2</v>
      </c>
    </row>
  </sheetData>
  <mergeCells count="3">
    <mergeCell ref="AM2:AW2"/>
    <mergeCell ref="C3:M3"/>
    <mergeCell ref="Q3:A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6E71-843C-4806-9F03-7F952C798BC7}">
  <dimension ref="B1:AZ70"/>
  <sheetViews>
    <sheetView topLeftCell="AE26" zoomScale="68" zoomScaleNormal="68" workbookViewId="0">
      <selection activeCell="AN55" sqref="AN55"/>
    </sheetView>
  </sheetViews>
  <sheetFormatPr defaultRowHeight="14.5" x14ac:dyDescent="0.35"/>
  <cols>
    <col min="2" max="2" width="11.54296875" bestFit="1" customWidth="1"/>
    <col min="3" max="3" width="22.453125" bestFit="1" customWidth="1"/>
    <col min="4" max="4" width="19.81640625" bestFit="1" customWidth="1"/>
    <col min="5" max="5" width="17.81640625" bestFit="1" customWidth="1"/>
    <col min="6" max="6" width="14.81640625" bestFit="1" customWidth="1"/>
    <col min="7" max="7" width="18.36328125" customWidth="1"/>
    <col min="8" max="8" width="15.7265625" customWidth="1"/>
    <col min="9" max="9" width="16.81640625" customWidth="1"/>
    <col min="10" max="10" width="16.453125" customWidth="1"/>
    <col min="11" max="11" width="12.453125" bestFit="1" customWidth="1"/>
    <col min="12" max="12" width="15.81640625" bestFit="1" customWidth="1"/>
    <col min="13" max="13" width="19.7265625" bestFit="1" customWidth="1"/>
    <col min="14" max="14" width="11.81640625" bestFit="1" customWidth="1"/>
    <col min="15" max="15" width="19.7265625" customWidth="1"/>
    <col min="16" max="16" width="23" style="6" bestFit="1" customWidth="1"/>
    <col min="17" max="17" width="22.7265625" bestFit="1" customWidth="1"/>
    <col min="18" max="18" width="20" bestFit="1" customWidth="1"/>
    <col min="19" max="19" width="18" bestFit="1" customWidth="1"/>
    <col min="20" max="20" width="14.81640625" bestFit="1" customWidth="1"/>
    <col min="21" max="21" width="16" bestFit="1" customWidth="1"/>
    <col min="22" max="22" width="13.54296875" bestFit="1" customWidth="1"/>
    <col min="23" max="23" width="13.7265625" bestFit="1" customWidth="1"/>
    <col min="24" max="24" width="13.1796875" bestFit="1" customWidth="1"/>
    <col min="25" max="25" width="12.453125" bestFit="1" customWidth="1"/>
    <col min="26" max="26" width="15.81640625" bestFit="1" customWidth="1"/>
    <col min="27" max="27" width="19.7265625" bestFit="1" customWidth="1"/>
    <col min="28" max="28" width="7.6328125" bestFit="1" customWidth="1"/>
    <col min="29" max="30" width="19.7265625" customWidth="1"/>
    <col min="31" max="31" width="17.26953125" customWidth="1"/>
    <col min="33" max="33" width="8.7265625" style="6"/>
    <col min="34" max="34" width="25.6328125" bestFit="1" customWidth="1"/>
    <col min="35" max="35" width="7.81640625" bestFit="1" customWidth="1"/>
    <col min="37" max="37" width="15.36328125" bestFit="1" customWidth="1"/>
    <col min="38" max="38" width="36.453125" bestFit="1" customWidth="1"/>
    <col min="39" max="39" width="22.7265625" bestFit="1" customWidth="1"/>
    <col min="40" max="40" width="23.453125" customWidth="1"/>
    <col min="41" max="41" width="20.81640625" customWidth="1"/>
    <col min="42" max="42" width="16.6328125" bestFit="1" customWidth="1"/>
    <col min="43" max="43" width="16" bestFit="1" customWidth="1"/>
    <col min="44" max="44" width="15.1796875" bestFit="1" customWidth="1"/>
    <col min="45" max="45" width="13.7265625" bestFit="1" customWidth="1"/>
    <col min="46" max="46" width="13.1796875" bestFit="1" customWidth="1"/>
    <col min="47" max="47" width="12.453125" bestFit="1" customWidth="1"/>
    <col min="48" max="48" width="15.81640625" bestFit="1" customWidth="1"/>
    <col min="49" max="49" width="19.7265625" bestFit="1" customWidth="1"/>
    <col min="50" max="52" width="19.7265625" customWidth="1"/>
  </cols>
  <sheetData>
    <row r="1" spans="2:52" x14ac:dyDescent="0.35">
      <c r="P1" s="7"/>
      <c r="AE1" s="7"/>
      <c r="AF1" s="7"/>
    </row>
    <row r="2" spans="2:52" ht="14" customHeight="1" x14ac:dyDescent="0.35">
      <c r="C2" s="3"/>
      <c r="P2" s="7"/>
      <c r="AE2" s="7"/>
      <c r="AF2" s="7"/>
      <c r="AM2" s="54" t="s">
        <v>20</v>
      </c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16"/>
      <c r="AY2" s="16"/>
      <c r="AZ2" s="16"/>
    </row>
    <row r="3" spans="2:52" x14ac:dyDescent="0.35">
      <c r="C3" s="55" t="s">
        <v>2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17"/>
      <c r="O3" s="17"/>
      <c r="P3" s="7"/>
      <c r="Q3" s="56" t="s">
        <v>7</v>
      </c>
      <c r="R3" s="56"/>
      <c r="S3" s="56"/>
      <c r="T3" s="56"/>
      <c r="U3" s="56"/>
      <c r="V3" s="56"/>
      <c r="W3" s="56"/>
      <c r="X3" s="56"/>
      <c r="Y3" s="56"/>
      <c r="Z3" s="56"/>
      <c r="AA3" s="56"/>
      <c r="AB3" s="10"/>
      <c r="AC3" s="10"/>
      <c r="AD3" s="10"/>
      <c r="AE3" s="12"/>
      <c r="AF3" s="7"/>
      <c r="AI3" s="9" t="s">
        <v>7</v>
      </c>
    </row>
    <row r="4" spans="2:52" x14ac:dyDescent="0.35">
      <c r="B4" s="3" t="s">
        <v>0</v>
      </c>
      <c r="C4" s="3" t="s">
        <v>11</v>
      </c>
      <c r="D4" s="3" t="s">
        <v>12</v>
      </c>
      <c r="E4" s="3" t="s">
        <v>13</v>
      </c>
      <c r="F4" s="3" t="s">
        <v>16</v>
      </c>
      <c r="G4" s="3" t="s">
        <v>15</v>
      </c>
      <c r="H4" s="3" t="s">
        <v>14</v>
      </c>
      <c r="I4" s="3" t="s">
        <v>4</v>
      </c>
      <c r="J4" s="3" t="s">
        <v>3</v>
      </c>
      <c r="K4" s="3" t="s">
        <v>18</v>
      </c>
      <c r="L4" s="3" t="s">
        <v>19</v>
      </c>
      <c r="M4" s="3" t="s">
        <v>17</v>
      </c>
      <c r="N4" s="3"/>
      <c r="O4" s="3"/>
      <c r="P4" s="7"/>
      <c r="Q4" s="3" t="s">
        <v>11</v>
      </c>
      <c r="R4" s="3" t="s">
        <v>12</v>
      </c>
      <c r="S4" s="3" t="s">
        <v>13</v>
      </c>
      <c r="T4" s="3" t="s">
        <v>16</v>
      </c>
      <c r="U4" s="3" t="s">
        <v>15</v>
      </c>
      <c r="V4" s="3" t="s">
        <v>14</v>
      </c>
      <c r="W4" s="3" t="s">
        <v>4</v>
      </c>
      <c r="X4" s="3" t="s">
        <v>3</v>
      </c>
      <c r="Y4" s="3" t="s">
        <v>18</v>
      </c>
      <c r="Z4" s="3" t="s">
        <v>19</v>
      </c>
      <c r="AA4" s="3" t="s">
        <v>17</v>
      </c>
      <c r="AB4" s="3"/>
      <c r="AC4" s="3"/>
      <c r="AD4" s="3"/>
      <c r="AE4" s="13"/>
      <c r="AF4" s="7"/>
      <c r="AH4" s="3" t="s">
        <v>11</v>
      </c>
      <c r="AI4" s="8">
        <f>Q69</f>
        <v>7.9823177900531617E-2</v>
      </c>
      <c r="AM4" s="3" t="s">
        <v>11</v>
      </c>
      <c r="AN4" s="3" t="s">
        <v>12</v>
      </c>
      <c r="AO4" s="3" t="s">
        <v>13</v>
      </c>
      <c r="AP4" s="3" t="s">
        <v>16</v>
      </c>
      <c r="AQ4" s="3" t="s">
        <v>15</v>
      </c>
      <c r="AR4" s="3" t="s">
        <v>14</v>
      </c>
      <c r="AS4" s="3" t="s">
        <v>4</v>
      </c>
      <c r="AT4" s="3" t="s">
        <v>3</v>
      </c>
      <c r="AU4" s="3" t="s">
        <v>18</v>
      </c>
      <c r="AV4" s="3" t="s">
        <v>19</v>
      </c>
      <c r="AW4" s="3" t="s">
        <v>17</v>
      </c>
      <c r="AX4" s="3"/>
      <c r="AY4" s="3"/>
      <c r="AZ4" s="3"/>
    </row>
    <row r="5" spans="2:52" x14ac:dyDescent="0.35">
      <c r="B5" s="1">
        <v>44105</v>
      </c>
      <c r="C5" s="2">
        <v>22.915400000000002</v>
      </c>
      <c r="D5" s="2">
        <v>17.523099999999999</v>
      </c>
      <c r="E5" s="2">
        <v>35.046199999999999</v>
      </c>
      <c r="F5" s="2">
        <v>298.84298699999999</v>
      </c>
      <c r="G5" s="2">
        <v>3989.169922</v>
      </c>
      <c r="H5" s="2">
        <v>3154.780029</v>
      </c>
      <c r="I5" s="2">
        <v>121.25</v>
      </c>
      <c r="J5" s="2">
        <v>4529.75</v>
      </c>
      <c r="K5" s="2">
        <v>280.29998799999998</v>
      </c>
      <c r="L5" s="2">
        <v>561.31500200000005</v>
      </c>
      <c r="M5" s="2">
        <v>50.433498</v>
      </c>
      <c r="N5" s="2"/>
      <c r="O5" s="2"/>
      <c r="P5" s="7"/>
      <c r="Q5" s="4">
        <f>(C5-C6)/C6</f>
        <v>7.6645368957527276E-3</v>
      </c>
      <c r="R5" s="4">
        <f t="shared" ref="R5:AA5" si="0">(D5-D6)/D6</f>
        <v>1.1913344954803706E-2</v>
      </c>
      <c r="S5" s="4">
        <f t="shared" si="0"/>
        <v>1.0573941072566095E-2</v>
      </c>
      <c r="T5" s="4">
        <f t="shared" si="0"/>
        <v>1.3805100676538649E-3</v>
      </c>
      <c r="U5" s="4">
        <f t="shared" si="0"/>
        <v>1.4309009585854E-3</v>
      </c>
      <c r="V5" s="4">
        <f t="shared" si="0"/>
        <v>1.8073242017765348E-4</v>
      </c>
      <c r="W5" s="4">
        <f t="shared" si="0"/>
        <v>4.2831367751733893E-2</v>
      </c>
      <c r="X5" s="4">
        <f t="shared" si="0"/>
        <v>1.270999115826702E-3</v>
      </c>
      <c r="Y5" s="4">
        <f t="shared" si="0"/>
        <v>6.4255677285717373E-4</v>
      </c>
      <c r="Z5" s="4">
        <f t="shared" si="0"/>
        <v>5.7912424382576795E-3</v>
      </c>
      <c r="AA5" s="4">
        <f t="shared" si="0"/>
        <v>1.0784500960318978E-2</v>
      </c>
      <c r="AB5" s="4"/>
      <c r="AC5" s="4"/>
      <c r="AD5" s="4"/>
      <c r="AE5" s="14"/>
      <c r="AF5" s="7"/>
      <c r="AH5" s="3" t="s">
        <v>12</v>
      </c>
      <c r="AI5" s="8">
        <f>R69</f>
        <v>7.93430702449721E-2</v>
      </c>
      <c r="AL5" s="3" t="s">
        <v>11</v>
      </c>
      <c r="AM5">
        <f>_xlfn.COVARIANCE.S(ICFR, ICFR)*12</f>
        <v>2.6003091646300804E-4</v>
      </c>
      <c r="AN5">
        <f>_xlfn.COVARIANCE.S(ICFR, HCFR)*12</f>
        <v>3.6290863013469275E-4</v>
      </c>
      <c r="AO5">
        <f>_xlfn.COVARIANCE.S(ICFR, SCFR)*12</f>
        <v>2.5692358074492523E-4</v>
      </c>
      <c r="AP5">
        <f>_xlfn.COVARIANCE.S(ICFR, ILF)*12</f>
        <v>-7.1934706792068851E-6</v>
      </c>
      <c r="AQ5">
        <f>_xlfn.COVARIANCE.S(ICFR, HLF)*12</f>
        <v>-9.138994578844932E-6</v>
      </c>
      <c r="AR5">
        <f>_xlfn.COVARIANCE.S(ICFR, SLF)*12</f>
        <v>-9.8110315636994874E-6</v>
      </c>
      <c r="AS5">
        <f>_xlfn.COVARIANCE.S(ICFR, SN50ETF)*12</f>
        <v>-5.0587777910318689E-5</v>
      </c>
      <c r="AT5">
        <f>_xlfn.COVARIANCE.S(ICFR, HGE)*12</f>
        <v>-3.5489072415028353E-4</v>
      </c>
      <c r="AU5">
        <f>_xlfn.COVARIANCE.S(ICFR, IM)*12</f>
        <v>3.2736427687492394E-4</v>
      </c>
      <c r="AV5">
        <f>_xlfn.COVARIANCE.S(ICFR, HEF)*12</f>
        <v>5.2987546522684692E-4</v>
      </c>
      <c r="AW5">
        <f>_xlfn.COVARIANCE.S(ICFR, SMM)*12</f>
        <v>5.1135659324308956E-4</v>
      </c>
    </row>
    <row r="6" spans="2:52" x14ac:dyDescent="0.35">
      <c r="B6" s="1">
        <v>44075</v>
      </c>
      <c r="C6" s="2">
        <v>22.741099999999999</v>
      </c>
      <c r="D6" s="2">
        <v>17.316799</v>
      </c>
      <c r="E6" s="2">
        <v>34.679501000000002</v>
      </c>
      <c r="F6" s="2">
        <v>298.43099999999998</v>
      </c>
      <c r="G6" s="2">
        <v>3983.469971</v>
      </c>
      <c r="H6" s="2">
        <v>3154.209961</v>
      </c>
      <c r="I6" s="2">
        <v>116.269997</v>
      </c>
      <c r="J6" s="2">
        <v>4524</v>
      </c>
      <c r="K6" s="2">
        <v>280.11999500000002</v>
      </c>
      <c r="L6" s="2">
        <v>558.08300799999995</v>
      </c>
      <c r="M6" s="2">
        <v>49.895401</v>
      </c>
      <c r="N6" s="2"/>
      <c r="O6" s="2"/>
      <c r="P6" s="7"/>
      <c r="Q6" s="4">
        <f t="shared" ref="Q6:Q63" si="1">(C6-C7)/C7</f>
        <v>9.4324099397029189E-3</v>
      </c>
      <c r="R6" s="4">
        <f t="shared" ref="R6:R63" si="2">(D6-D7)/D7</f>
        <v>6.8492358188984729E-3</v>
      </c>
      <c r="S6" s="4">
        <f t="shared" ref="S6:S63" si="3">(E6-E7)/E7</f>
        <v>8.0342180801794769E-3</v>
      </c>
      <c r="T6" s="4">
        <f t="shared" ref="T6:T63" si="4">(F6-F7)/F7</f>
        <v>2.6036565175170442E-3</v>
      </c>
      <c r="U6" s="4">
        <f t="shared" ref="U6:U63" si="5">(G6-G7)/G7</f>
        <v>2.6226505761292114E-3</v>
      </c>
      <c r="V6" s="4">
        <f t="shared" ref="V6:V63" si="6">(H6-H7)/H7</f>
        <v>2.6479326324615293E-3</v>
      </c>
      <c r="W6" s="4">
        <f t="shared" ref="W6:W63" si="7">(I6-I7)/I7</f>
        <v>-1.5245218937918097E-2</v>
      </c>
      <c r="X6" s="4">
        <f t="shared" ref="X6:X63" si="8">(J6-J7)/J7</f>
        <v>-2.7086353556094452E-2</v>
      </c>
      <c r="Y6" s="4">
        <f t="shared" ref="Y6:Y63" si="9">(K6-K7)/K7</f>
        <v>-3.2434163502671302E-2</v>
      </c>
      <c r="Z6" s="4">
        <f t="shared" ref="Z6:Z63" si="10">(L6-L7)/L7</f>
        <v>-5.2667545602711349E-2</v>
      </c>
      <c r="AA6" s="4">
        <f t="shared" ref="AA6:AA63" si="11">(M6-M7)/M7</f>
        <v>-1.4740718944998538E-2</v>
      </c>
      <c r="AB6" s="4"/>
      <c r="AC6" s="4"/>
      <c r="AD6" s="4"/>
      <c r="AE6" s="14"/>
      <c r="AF6" s="7"/>
      <c r="AH6" s="3" t="s">
        <v>13</v>
      </c>
      <c r="AI6" s="8">
        <f>S69</f>
        <v>8.2594776581373652E-2</v>
      </c>
      <c r="AL6" s="3" t="s">
        <v>12</v>
      </c>
      <c r="AM6">
        <f>_xlfn.COVARIANCE.S(ICFR,HCFR)*12</f>
        <v>3.6290863013469275E-4</v>
      </c>
      <c r="AN6">
        <f>_xlfn.COVARIANCE.S(HCFR, HCFR)*12</f>
        <v>6.0935186450302196E-4</v>
      </c>
      <c r="AO6" s="18">
        <f>_xlfn.COVARIANCE.S(HCFR, SCFR)*12</f>
        <v>4.3385194983488275E-4</v>
      </c>
      <c r="AP6">
        <f>_xlfn.COVARIANCE.S(HCFR, ILF)*12</f>
        <v>-5.9491947648587582E-6</v>
      </c>
      <c r="AQ6">
        <f>_xlfn.COVARIANCE.S(HCFR, HLF)*12</f>
        <v>-1.0010622877790591E-5</v>
      </c>
      <c r="AR6">
        <f>_xlfn.COVARIANCE.S(HCFR, SLF)*12</f>
        <v>-1.0769423528608551E-5</v>
      </c>
      <c r="AS6">
        <f>_xlfn.COVARIANCE.S(HCFR, SN50ETF)*12</f>
        <v>-3.2326273346706529E-4</v>
      </c>
      <c r="AT6">
        <f>_xlfn.COVARIANCE.S(HCFR, HGE)*12</f>
        <v>-5.821989080555108E-4</v>
      </c>
      <c r="AU6">
        <f>_xlfn.COVARIANCE.S(HCFR, IM)*12</f>
        <v>-7.78986836026869E-5</v>
      </c>
      <c r="AV6">
        <f>_xlfn.COVARIANCE.S(HCFR, HEF)*12</f>
        <v>2.3538939638994202E-4</v>
      </c>
      <c r="AW6">
        <f>_xlfn.COVARIANCE.S(HCFR, SMM)*12</f>
        <v>1.7349597827995072E-4</v>
      </c>
      <c r="AX6" s="18"/>
    </row>
    <row r="7" spans="2:52" x14ac:dyDescent="0.35">
      <c r="B7" s="1">
        <v>44044</v>
      </c>
      <c r="C7" s="2">
        <v>22.528600999999998</v>
      </c>
      <c r="D7" s="2">
        <v>17.198999000000001</v>
      </c>
      <c r="E7" s="2">
        <v>34.403098999999997</v>
      </c>
      <c r="F7" s="2">
        <v>297.65600599999999</v>
      </c>
      <c r="G7" s="2">
        <v>3973.0500489999999</v>
      </c>
      <c r="H7" s="2">
        <v>3145.8798830000001</v>
      </c>
      <c r="I7" s="2">
        <v>118.07</v>
      </c>
      <c r="J7" s="2">
        <v>4649.9501950000003</v>
      </c>
      <c r="K7" s="2">
        <v>289.51001000000002</v>
      </c>
      <c r="L7" s="2">
        <v>589.10998500000005</v>
      </c>
      <c r="M7" s="2">
        <v>50.641899000000002</v>
      </c>
      <c r="N7" s="2"/>
      <c r="O7" s="2"/>
      <c r="P7" s="7"/>
      <c r="Q7" s="4">
        <f t="shared" si="1"/>
        <v>7.5521064695521127E-4</v>
      </c>
      <c r="R7" s="4">
        <f t="shared" si="2"/>
        <v>1.5781014331553154E-3</v>
      </c>
      <c r="S7" s="4">
        <f t="shared" si="3"/>
        <v>3.2544216496798984E-3</v>
      </c>
      <c r="T7" s="4">
        <f t="shared" si="4"/>
        <v>2.7861023422205543E-3</v>
      </c>
      <c r="U7" s="4">
        <f t="shared" si="5"/>
        <v>2.7839407535351153E-3</v>
      </c>
      <c r="V7" s="4">
        <f t="shared" si="6"/>
        <v>2.7475800451745463E-3</v>
      </c>
      <c r="W7" s="4">
        <f t="shared" si="7"/>
        <v>2.9111800859972059E-2</v>
      </c>
      <c r="X7" s="4">
        <f t="shared" si="8"/>
        <v>-3.8769985529715688E-2</v>
      </c>
      <c r="Y7" s="4">
        <f t="shared" si="9"/>
        <v>5.1272719528338805E-2</v>
      </c>
      <c r="Z7" s="4">
        <f t="shared" si="10"/>
        <v>5.46223971412488E-2</v>
      </c>
      <c r="AA7" s="4">
        <f t="shared" si="11"/>
        <v>4.6549430247120244E-2</v>
      </c>
      <c r="AB7" s="4"/>
      <c r="AC7" s="4"/>
      <c r="AD7" s="4"/>
      <c r="AE7" s="14"/>
      <c r="AF7" s="7"/>
      <c r="AH7" s="3" t="s">
        <v>16</v>
      </c>
      <c r="AI7" s="8">
        <f>T69</f>
        <v>6.4275760991790984E-2</v>
      </c>
      <c r="AL7" s="3" t="s">
        <v>13</v>
      </c>
      <c r="AM7">
        <f>_xlfn.COVARIANCE.S(ICFR, SCFR)*12</f>
        <v>2.5692358074492523E-4</v>
      </c>
      <c r="AN7">
        <f>_xlfn.COVARIANCE.S(HCFR, SCFR)*12</f>
        <v>4.3385194983488275E-4</v>
      </c>
      <c r="AO7">
        <f>_xlfn.COVARIANCE.S(SCFR, SCFR)*12</f>
        <v>3.7528063513922032E-4</v>
      </c>
      <c r="AP7">
        <f>_xlfn.COVARIANCE.S(SCFR, ILF)*12</f>
        <v>-7.3538632345916629E-6</v>
      </c>
      <c r="AQ7">
        <f>_xlfn.COVARIANCE.S(SCFR, HLF)*12</f>
        <v>-1.0475826343026968E-5</v>
      </c>
      <c r="AR7">
        <f>_xlfn.COVARIANCE.S(SCFR, SLF)*12</f>
        <v>-1.1345954318133625E-5</v>
      </c>
      <c r="AS7">
        <f>_xlfn.COVARIANCE.S(SCFR, SN50ETF)*12</f>
        <v>-3.2900999768079142E-5</v>
      </c>
      <c r="AT7">
        <f>_xlfn.COVARIANCE.S(SCFR, HGE)*12</f>
        <v>-3.3801109231861926E-4</v>
      </c>
      <c r="AU7">
        <f>_xlfn.COVARIANCE.S(SCFR, IM)*12</f>
        <v>6.979711882658076E-5</v>
      </c>
      <c r="AV7">
        <f>_xlfn.COVARIANCE.S(SCFR, HEF)*12</f>
        <v>2.5689285759388885E-4</v>
      </c>
      <c r="AW7">
        <f>_xlfn.COVARIANCE.S(SCFR, SMM)*12</f>
        <v>2.213850916297518E-4</v>
      </c>
    </row>
    <row r="8" spans="2:52" x14ac:dyDescent="0.35">
      <c r="B8" s="1">
        <v>44013</v>
      </c>
      <c r="C8" s="2">
        <v>22.511600000000001</v>
      </c>
      <c r="D8" s="2">
        <v>17.171900000000001</v>
      </c>
      <c r="E8" s="2">
        <v>34.291499999999999</v>
      </c>
      <c r="F8" s="2">
        <v>296.82900999999998</v>
      </c>
      <c r="G8" s="2">
        <v>3962.0200199999999</v>
      </c>
      <c r="H8" s="2">
        <v>3137.26001</v>
      </c>
      <c r="I8" s="2">
        <v>114.730003</v>
      </c>
      <c r="J8" s="2">
        <v>4837.5</v>
      </c>
      <c r="K8" s="2">
        <v>275.39001500000001</v>
      </c>
      <c r="L8" s="2">
        <v>558.59802200000001</v>
      </c>
      <c r="M8" s="2">
        <v>48.389400000000002</v>
      </c>
      <c r="N8" s="2"/>
      <c r="O8" s="2"/>
      <c r="P8" s="7"/>
      <c r="Q8" s="4">
        <f t="shared" si="1"/>
        <v>1.4607323943662034E-2</v>
      </c>
      <c r="R8" s="4">
        <f t="shared" si="2"/>
        <v>1.5127689761172881E-2</v>
      </c>
      <c r="S8" s="4">
        <f t="shared" si="3"/>
        <v>1.1760605075417105E-2</v>
      </c>
      <c r="T8" s="4">
        <f t="shared" si="4"/>
        <v>2.7329944938278236E-3</v>
      </c>
      <c r="U8" s="4">
        <f t="shared" si="5"/>
        <v>2.7079436279166891E-3</v>
      </c>
      <c r="V8" s="4">
        <f t="shared" si="6"/>
        <v>2.6045433753731423E-3</v>
      </c>
      <c r="W8" s="4">
        <f t="shared" si="7"/>
        <v>8.2256398787729446E-2</v>
      </c>
      <c r="X8" s="4">
        <f t="shared" si="8"/>
        <v>0.10839980492695005</v>
      </c>
      <c r="Y8" s="4">
        <f t="shared" si="9"/>
        <v>5.0705870643894597E-2</v>
      </c>
      <c r="Z8" s="4">
        <f t="shared" si="10"/>
        <v>4.5732746987570537E-2</v>
      </c>
      <c r="AA8" s="4">
        <f t="shared" si="11"/>
        <v>5.03200943897626E-2</v>
      </c>
      <c r="AB8" s="4"/>
      <c r="AC8" s="4"/>
      <c r="AD8" s="4"/>
      <c r="AE8" s="14"/>
      <c r="AF8" s="7"/>
      <c r="AH8" s="3" t="s">
        <v>15</v>
      </c>
      <c r="AI8" s="8">
        <f>U69</f>
        <v>6.416224498345327E-2</v>
      </c>
      <c r="AL8" s="3" t="s">
        <v>16</v>
      </c>
      <c r="AM8">
        <f>_xlfn.COVARIANCE.S(ICFR, ILF)*12</f>
        <v>-7.1934706792068851E-6</v>
      </c>
      <c r="AN8">
        <f>_xlfn.COVARIANCE.S(HCFR, ILF)*12</f>
        <v>-5.9491947648587582E-6</v>
      </c>
      <c r="AO8">
        <f>_xlfn.COVARIANCE.S(SCFR, ILF)*12</f>
        <v>-7.3538632345916629E-6</v>
      </c>
      <c r="AP8">
        <f>_xlfn.COVARIANCE.S(ILF, ILF)*12</f>
        <v>2.0647520002162976E-5</v>
      </c>
      <c r="AQ8">
        <f>_xlfn.COVARIANCE.S(ILF, HLF)*12</f>
        <v>2.0410587263978206E-5</v>
      </c>
      <c r="AR8">
        <f>_xlfn.COVARIANCE.S(ILF, SLF)*12</f>
        <v>2.2057820497243423E-5</v>
      </c>
      <c r="AS8">
        <f>_xlfn.COVARIANCE.S(ILF, SN50ETF)*12</f>
        <v>-3.65787729462935E-4</v>
      </c>
      <c r="AT8">
        <f>_xlfn.COVARIANCE.S(ILF, HGE)*12</f>
        <v>-4.9444736531587303E-5</v>
      </c>
      <c r="AU8">
        <f>_xlfn.COVARIANCE.S(ILF, IM)*12</f>
        <v>-1.4367328686871943E-4</v>
      </c>
      <c r="AV8">
        <f>_xlfn.COVARIANCE.S(ILF, HEF)*12</f>
        <v>-1.0366263419429476E-4</v>
      </c>
      <c r="AW8">
        <f>_xlfn.COVARIANCE.S(ILF, SMM)*12</f>
        <v>-1.5420382723046314E-4</v>
      </c>
    </row>
    <row r="9" spans="2:52" x14ac:dyDescent="0.35">
      <c r="B9" s="1">
        <v>43983</v>
      </c>
      <c r="C9" s="2">
        <v>22.1875</v>
      </c>
      <c r="D9" s="2">
        <v>16.916</v>
      </c>
      <c r="E9" s="2">
        <v>33.892899</v>
      </c>
      <c r="F9" s="2">
        <v>296.01998900000001</v>
      </c>
      <c r="G9" s="2">
        <v>3951.320068</v>
      </c>
      <c r="H9" s="2">
        <v>3129.110107</v>
      </c>
      <c r="I9" s="2">
        <v>106.010002</v>
      </c>
      <c r="J9" s="2">
        <v>4364.3999020000001</v>
      </c>
      <c r="K9" s="2">
        <v>262.10000600000001</v>
      </c>
      <c r="L9" s="2">
        <v>534.16900599999997</v>
      </c>
      <c r="M9" s="2">
        <v>46.071097999999999</v>
      </c>
      <c r="N9" s="2"/>
      <c r="O9" s="2"/>
      <c r="P9" s="7"/>
      <c r="Q9" s="4">
        <f t="shared" si="1"/>
        <v>1.3817666531917433E-2</v>
      </c>
      <c r="R9" s="4">
        <f t="shared" si="2"/>
        <v>2.2534938826829248E-2</v>
      </c>
      <c r="S9" s="4">
        <f t="shared" si="3"/>
        <v>1.7083927994456644E-2</v>
      </c>
      <c r="T9" s="4">
        <f t="shared" si="4"/>
        <v>3.3249434707787154E-3</v>
      </c>
      <c r="U9" s="4">
        <f t="shared" si="5"/>
        <v>3.0207863684555813E-3</v>
      </c>
      <c r="V9" s="4">
        <f t="shared" si="6"/>
        <v>3.1900240066947533E-3</v>
      </c>
      <c r="W9" s="4">
        <f t="shared" si="7"/>
        <v>7.7118514064590749E-2</v>
      </c>
      <c r="X9" s="4">
        <f t="shared" si="8"/>
        <v>4.0753523786812948E-2</v>
      </c>
      <c r="Y9" s="4">
        <f t="shared" si="9"/>
        <v>6.0790043218471396E-2</v>
      </c>
      <c r="Z9" s="4">
        <f t="shared" si="10"/>
        <v>6.9266113601283569E-2</v>
      </c>
      <c r="AA9" s="4">
        <f t="shared" si="11"/>
        <v>6.4878123939798873E-2</v>
      </c>
      <c r="AB9" s="4"/>
      <c r="AC9" s="4"/>
      <c r="AD9" s="4"/>
      <c r="AE9" s="14"/>
      <c r="AF9" s="7"/>
      <c r="AH9" s="3" t="s">
        <v>14</v>
      </c>
      <c r="AI9" s="8">
        <f>V69</f>
        <v>6.3231505288260395E-2</v>
      </c>
      <c r="AL9" s="3" t="s">
        <v>15</v>
      </c>
      <c r="AM9">
        <f>_xlfn.COVARIANCE.S(ICFR, HLF)*12</f>
        <v>-9.138994578844932E-6</v>
      </c>
      <c r="AN9">
        <f>_xlfn.COVARIANCE.S(HCFR, HLF)*12</f>
        <v>-1.0010622877790591E-5</v>
      </c>
      <c r="AO9">
        <f>_xlfn.COVARIANCE.S(SCFR, HLF)*12</f>
        <v>-1.0475826343026968E-5</v>
      </c>
      <c r="AP9">
        <f>_xlfn.COVARIANCE.S(ILF, HLF)*12</f>
        <v>2.0410587263978206E-5</v>
      </c>
      <c r="AQ9">
        <f>_xlfn.COVARIANCE.S(HLF, HLF)*12</f>
        <v>2.0561291740622063E-5</v>
      </c>
      <c r="AR9">
        <f>_xlfn.COVARIANCE.S(HLF, SLF)*12</f>
        <v>2.1881777060258298E-5</v>
      </c>
      <c r="AS9">
        <f>_xlfn.COVARIANCE.S(HLF, SN50ETF)*12</f>
        <v>-3.5688724921232733E-4</v>
      </c>
      <c r="AT9">
        <f>_xlfn.COVARIANCE.S(HLF, HGE)*12</f>
        <v>-5.011019161225542E-5</v>
      </c>
      <c r="AU9">
        <f>_xlfn.COVARIANCE.S(HLF, IM)*12</f>
        <v>-1.3067867381100933E-4</v>
      </c>
      <c r="AV9">
        <f>_xlfn.COVARIANCE.S(HLF, HEF)*12</f>
        <v>-7.9610865183473873E-5</v>
      </c>
      <c r="AW9">
        <f>_xlfn.COVARIANCE.S(HLF, SMM)*12</f>
        <v>-1.3821562301112884E-4</v>
      </c>
    </row>
    <row r="10" spans="2:52" x14ac:dyDescent="0.35">
      <c r="B10" s="1">
        <v>43952</v>
      </c>
      <c r="C10" s="2">
        <v>21.885099</v>
      </c>
      <c r="D10" s="2">
        <v>16.543199999999999</v>
      </c>
      <c r="E10" s="2">
        <v>33.323600999999996</v>
      </c>
      <c r="F10" s="2">
        <v>295.03900099999998</v>
      </c>
      <c r="G10" s="2">
        <v>3939.419922</v>
      </c>
      <c r="H10" s="2">
        <v>3119.1599120000001</v>
      </c>
      <c r="I10" s="2">
        <v>98.419998000000007</v>
      </c>
      <c r="J10" s="2">
        <v>4193.5</v>
      </c>
      <c r="K10" s="2">
        <v>247.08000200000001</v>
      </c>
      <c r="L10" s="2">
        <v>499.56601000000001</v>
      </c>
      <c r="M10" s="2">
        <v>43.264198</v>
      </c>
      <c r="N10" s="2"/>
      <c r="O10" s="2"/>
      <c r="P10" s="7"/>
      <c r="Q10" s="4">
        <f t="shared" si="1"/>
        <v>1.2936414633243293E-2</v>
      </c>
      <c r="R10" s="4">
        <f t="shared" si="2"/>
        <v>1.5561980883625785E-2</v>
      </c>
      <c r="S10" s="4">
        <f t="shared" si="3"/>
        <v>1.7520686079262215E-2</v>
      </c>
      <c r="T10" s="4">
        <f t="shared" si="4"/>
        <v>4.4564394204853466E-3</v>
      </c>
      <c r="U10" s="4">
        <f t="shared" si="5"/>
        <v>4.1624927375361661E-3</v>
      </c>
      <c r="V10" s="4">
        <f t="shared" si="6"/>
        <v>4.2207507262224837E-3</v>
      </c>
      <c r="W10" s="4">
        <f t="shared" si="7"/>
        <v>-2.3126570719602911E-2</v>
      </c>
      <c r="X10" s="4">
        <f t="shared" si="8"/>
        <v>-3.2384622178041909E-2</v>
      </c>
      <c r="Y10" s="4">
        <f t="shared" si="9"/>
        <v>-1.5460650668534541E-2</v>
      </c>
      <c r="Z10" s="4">
        <f t="shared" si="10"/>
        <v>-3.912064293573126E-2</v>
      </c>
      <c r="AA10" s="4">
        <f t="shared" si="11"/>
        <v>-2.9106061531243843E-2</v>
      </c>
      <c r="AB10" s="4"/>
      <c r="AC10" s="4"/>
      <c r="AD10" s="4"/>
      <c r="AE10" s="14"/>
      <c r="AF10" s="7"/>
      <c r="AH10" s="3" t="s">
        <v>4</v>
      </c>
      <c r="AI10" s="8">
        <f>W69</f>
        <v>0.12337421575706958</v>
      </c>
      <c r="AL10" s="3" t="s">
        <v>14</v>
      </c>
      <c r="AM10" s="18">
        <f>_xlfn.COVARIANCE.S(ICFR, SLF)*12</f>
        <v>-9.8110315636994874E-6</v>
      </c>
      <c r="AN10">
        <f>_xlfn.COVARIANCE.S(HCFR, SLF)*12</f>
        <v>-1.0769423528608551E-5</v>
      </c>
      <c r="AO10">
        <f>_xlfn.COVARIANCE.S(SCFR, SLF)*12</f>
        <v>-1.1345954318133625E-5</v>
      </c>
      <c r="AP10">
        <f>_xlfn.COVARIANCE.S(ILF, SLF)*12</f>
        <v>2.2057820497243423E-5</v>
      </c>
      <c r="AQ10" s="18">
        <f>_xlfn.COVARIANCE.S(HLF, SLF)*12</f>
        <v>2.1881777060258298E-5</v>
      </c>
      <c r="AR10">
        <f>_xlfn.COVARIANCE.S(SLF, SLF)*12</f>
        <v>2.3993738431703614E-5</v>
      </c>
      <c r="AS10">
        <f>_xlfn.COVARIANCE.S(SLF, SN50ETF)*12</f>
        <v>-3.8769057535818259E-4</v>
      </c>
      <c r="AT10">
        <f>_xlfn.COVARIANCE.S(SLF, HGE)*12</f>
        <v>-5.12568941298134E-5</v>
      </c>
      <c r="AU10">
        <f>_xlfn.COVARIANCE.S(SLF, IM)*12</f>
        <v>-1.4891994733027734E-4</v>
      </c>
      <c r="AV10">
        <f>_xlfn.COVARIANCE.S(SLF, HEF)*12</f>
        <v>-1.0396277826779158E-4</v>
      </c>
      <c r="AW10">
        <f>_xlfn.COVARIANCE.S(SLF, SMM)*12</f>
        <v>-1.6115019959309424E-4</v>
      </c>
    </row>
    <row r="11" spans="2:52" x14ac:dyDescent="0.35">
      <c r="B11" s="1">
        <v>43922</v>
      </c>
      <c r="C11" s="2">
        <v>21.605599999999999</v>
      </c>
      <c r="D11" s="2">
        <v>16.2897</v>
      </c>
      <c r="E11" s="2">
        <v>32.749802000000003</v>
      </c>
      <c r="F11" s="2">
        <v>293.73001099999999</v>
      </c>
      <c r="G11" s="2">
        <v>3923.0900879999999</v>
      </c>
      <c r="H11" s="2">
        <v>3106.0500489999999</v>
      </c>
      <c r="I11" s="2">
        <v>100.75</v>
      </c>
      <c r="J11" s="2">
        <v>4333.8500979999999</v>
      </c>
      <c r="K11" s="2">
        <v>250.96000699999999</v>
      </c>
      <c r="L11" s="2">
        <v>519.90502900000001</v>
      </c>
      <c r="M11" s="2">
        <v>44.561199000000002</v>
      </c>
      <c r="N11" s="2"/>
      <c r="O11" s="2"/>
      <c r="P11" s="7"/>
      <c r="Q11" s="4">
        <f t="shared" si="1"/>
        <v>-6.5386380903522164E-3</v>
      </c>
      <c r="R11" s="4">
        <f t="shared" si="2"/>
        <v>-2.1410361670923601E-2</v>
      </c>
      <c r="S11" s="4">
        <f t="shared" si="3"/>
        <v>-1.0884772996984976E-2</v>
      </c>
      <c r="T11" s="4">
        <f t="shared" si="4"/>
        <v>4.2051658119657796E-3</v>
      </c>
      <c r="U11" s="4">
        <f t="shared" si="5"/>
        <v>4.2184862447548956E-3</v>
      </c>
      <c r="V11" s="4">
        <f t="shared" si="6"/>
        <v>4.0211731827006127E-3</v>
      </c>
      <c r="W11" s="4">
        <f t="shared" si="7"/>
        <v>0.12695746919558235</v>
      </c>
      <c r="X11" s="4">
        <f t="shared" si="8"/>
        <v>9.6178164350096088E-2</v>
      </c>
      <c r="Y11" s="4">
        <f t="shared" si="9"/>
        <v>0.14358628585444907</v>
      </c>
      <c r="Z11" s="4">
        <f t="shared" si="10"/>
        <v>0.13582104500926451</v>
      </c>
      <c r="AA11" s="4">
        <f t="shared" si="11"/>
        <v>0.12954426548645648</v>
      </c>
      <c r="AB11" s="4"/>
      <c r="AC11" s="4"/>
      <c r="AD11" s="4"/>
      <c r="AE11" s="14"/>
      <c r="AF11" s="7"/>
      <c r="AH11" s="3" t="s">
        <v>3</v>
      </c>
      <c r="AI11" s="8">
        <f>X69</f>
        <v>0.14146897591953708</v>
      </c>
      <c r="AL11" s="3" t="s">
        <v>4</v>
      </c>
      <c r="AM11" s="18">
        <f>_xlfn.COVARIANCE.S(ICFR, SN50ETF)*12</f>
        <v>-5.0587777910318689E-5</v>
      </c>
      <c r="AN11">
        <f>_xlfn.COVARIANCE.S(HCFR, SN50ETF)*12</f>
        <v>-3.2326273346706529E-4</v>
      </c>
      <c r="AO11">
        <f>_xlfn.COVARIANCE.S(SCFR, SN50ETF)*12</f>
        <v>-3.2900999768079142E-5</v>
      </c>
      <c r="AP11">
        <f>_xlfn.COVARIANCE.S(ILF, SN50ETF)*12</f>
        <v>-3.65787729462935E-4</v>
      </c>
      <c r="AQ11">
        <f>_xlfn.COVARIANCE.S(HLF, SN50ETF)*12</f>
        <v>-3.5688724921232733E-4</v>
      </c>
      <c r="AR11">
        <f>_xlfn.COVARIANCE.S(SLF, SN50ETF)*12</f>
        <v>-3.8769057535818259E-4</v>
      </c>
      <c r="AS11">
        <f>_xlfn.COVARIANCE.S(SN50ETF, SN50ETF)*12</f>
        <v>5.846182757081024E-2</v>
      </c>
      <c r="AT11">
        <f>_xlfn.COVARIANCE.S(SN50ETF, HGE)*12</f>
        <v>8.539728235516038E-4</v>
      </c>
      <c r="AU11">
        <f>_xlfn.COVARIANCE.S(SN50ETF, IM)*12</f>
        <v>2.2866349085361552E-2</v>
      </c>
      <c r="AV11">
        <f>_xlfn.COVARIANCE.S(SN50ETF, HEF)*12</f>
        <v>2.1248064782937285E-2</v>
      </c>
      <c r="AW11">
        <f>_xlfn.COVARIANCE.S(SN50ETF, SMM)*12</f>
        <v>2.1336792154452396E-2</v>
      </c>
    </row>
    <row r="12" spans="2:52" x14ac:dyDescent="0.35">
      <c r="B12" s="1">
        <v>43891</v>
      </c>
      <c r="C12" s="2">
        <v>21.747800999999999</v>
      </c>
      <c r="D12" s="2">
        <v>16.646099</v>
      </c>
      <c r="E12" s="2">
        <v>33.110199000000001</v>
      </c>
      <c r="F12" s="2">
        <v>292.5</v>
      </c>
      <c r="G12" s="2">
        <v>3906.610107</v>
      </c>
      <c r="H12" s="2">
        <v>3093.610107</v>
      </c>
      <c r="I12" s="2">
        <v>89.400002000000001</v>
      </c>
      <c r="J12" s="2">
        <v>3953.6000979999999</v>
      </c>
      <c r="K12" s="2">
        <v>219.449997</v>
      </c>
      <c r="L12" s="2">
        <v>457.73498499999999</v>
      </c>
      <c r="M12" s="2">
        <v>39.450600000000001</v>
      </c>
      <c r="N12" s="2"/>
      <c r="O12" s="2"/>
      <c r="P12" s="7"/>
      <c r="Q12" s="4">
        <f t="shared" si="1"/>
        <v>9.2973913363648703E-4</v>
      </c>
      <c r="R12" s="4">
        <f t="shared" si="2"/>
        <v>2.2216000770656163E-3</v>
      </c>
      <c r="S12" s="4">
        <f t="shared" si="3"/>
        <v>7.9189336235032965E-4</v>
      </c>
      <c r="T12" s="4">
        <f t="shared" si="4"/>
        <v>8.4850623244286227E-3</v>
      </c>
      <c r="U12" s="4">
        <f t="shared" si="5"/>
        <v>8.3604277099525552E-3</v>
      </c>
      <c r="V12" s="4">
        <f t="shared" si="6"/>
        <v>8.71898351735775E-3</v>
      </c>
      <c r="W12" s="4">
        <f t="shared" si="7"/>
        <v>-0.28883937068522286</v>
      </c>
      <c r="X12" s="4">
        <f t="shared" si="8"/>
        <v>3.470298298874637E-2</v>
      </c>
      <c r="Y12" s="4">
        <f t="shared" si="9"/>
        <v>-0.25647975110580556</v>
      </c>
      <c r="Z12" s="4">
        <f t="shared" si="10"/>
        <v>-0.24611231040967882</v>
      </c>
      <c r="AA12" s="4">
        <f t="shared" si="11"/>
        <v>-0.24676082006852218</v>
      </c>
      <c r="AB12" s="4"/>
      <c r="AC12" s="4"/>
      <c r="AD12" s="4"/>
      <c r="AE12" s="14"/>
      <c r="AF12" s="7"/>
      <c r="AH12" s="3" t="s">
        <v>18</v>
      </c>
      <c r="AI12" s="8">
        <f>Y69</f>
        <v>8.0124170575686257E-2</v>
      </c>
      <c r="AL12" s="3" t="s">
        <v>3</v>
      </c>
      <c r="AM12">
        <f>_xlfn.COVARIANCE.S(ICFR, HGE)*12</f>
        <v>-3.5489072415028353E-4</v>
      </c>
      <c r="AN12">
        <f>_xlfn.COVARIANCE.S(HCFR, HGE)*12</f>
        <v>-5.821989080555108E-4</v>
      </c>
      <c r="AO12">
        <f>_xlfn.COVARIANCE.S(SCFR, HGE)*12</f>
        <v>-3.3801109231861926E-4</v>
      </c>
      <c r="AP12">
        <f>_xlfn.COVARIANCE.S(ILF, HGE)*12</f>
        <v>-4.9444736531587303E-5</v>
      </c>
      <c r="AQ12">
        <f>_xlfn.COVARIANCE.S(HLF, HGE)*12</f>
        <v>-5.011019161225542E-5</v>
      </c>
      <c r="AR12">
        <f>_xlfn.COVARIANCE.S(SLF, HGE)*12</f>
        <v>-5.12568941298134E-5</v>
      </c>
      <c r="AS12">
        <f>_xlfn.COVARIANCE.S(SN50ETF, HGE)*12</f>
        <v>8.539728235516038E-4</v>
      </c>
      <c r="AT12">
        <f>_xlfn.COVARIANCE.S(HGE, HGE)*12</f>
        <v>1.7355478279013931E-2</v>
      </c>
      <c r="AU12">
        <f>_xlfn.COVARIANCE.S(HGE, IM)*12</f>
        <v>-1.6845643033706363E-3</v>
      </c>
      <c r="AV12">
        <f>_xlfn.COVARIANCE.S(HGE, HEF)*12</f>
        <v>-3.9275728309937996E-3</v>
      </c>
      <c r="AW12">
        <f>_xlfn.COVARIANCE.S(HGE, SMM)*12</f>
        <v>-2.9348717200157136E-3</v>
      </c>
      <c r="AX12" s="18"/>
    </row>
    <row r="13" spans="2:52" x14ac:dyDescent="0.35">
      <c r="B13" s="1">
        <v>43862</v>
      </c>
      <c r="C13" s="2">
        <v>21.727599999999999</v>
      </c>
      <c r="D13" s="2">
        <v>16.609200000000001</v>
      </c>
      <c r="E13" s="2">
        <v>33.084000000000003</v>
      </c>
      <c r="F13" s="2">
        <v>290.03900099999998</v>
      </c>
      <c r="G13" s="2">
        <v>3874.219971</v>
      </c>
      <c r="H13" s="2">
        <v>3066.8701169999999</v>
      </c>
      <c r="I13" s="2">
        <v>125.709999</v>
      </c>
      <c r="J13" s="2">
        <v>3821</v>
      </c>
      <c r="K13" s="2">
        <v>295.14999399999999</v>
      </c>
      <c r="L13" s="2">
        <v>607.16601600000001</v>
      </c>
      <c r="M13" s="2">
        <v>52.374599000000003</v>
      </c>
      <c r="N13" s="2"/>
      <c r="O13" s="2"/>
      <c r="P13" s="7"/>
      <c r="Q13" s="4">
        <f t="shared" si="1"/>
        <v>1.1305766955357384E-2</v>
      </c>
      <c r="R13" s="4">
        <f t="shared" si="2"/>
        <v>1.3992735896992408E-2</v>
      </c>
      <c r="S13" s="4">
        <f t="shared" si="3"/>
        <v>1.1715242953091762E-2</v>
      </c>
      <c r="T13" s="4">
        <f t="shared" si="4"/>
        <v>1.4017912517121955E-3</v>
      </c>
      <c r="U13" s="4">
        <f t="shared" si="5"/>
        <v>1.4294322068546194E-3</v>
      </c>
      <c r="V13" s="4">
        <f t="shared" si="6"/>
        <v>9.9223485722303782E-4</v>
      </c>
      <c r="W13" s="4">
        <f t="shared" si="7"/>
        <v>1.493620204314385E-2</v>
      </c>
      <c r="X13" s="4">
        <f t="shared" si="8"/>
        <v>4.3746642914303815E-2</v>
      </c>
      <c r="Y13" s="4">
        <f t="shared" si="9"/>
        <v>-7.0891233287417629E-2</v>
      </c>
      <c r="Z13" s="4">
        <f t="shared" si="10"/>
        <v>-7.9566140556619341E-2</v>
      </c>
      <c r="AA13" s="4">
        <f t="shared" si="11"/>
        <v>-4.8390291933200422E-2</v>
      </c>
      <c r="AB13" s="4"/>
      <c r="AC13" s="4"/>
      <c r="AD13" s="4"/>
      <c r="AE13" s="14"/>
      <c r="AF13" s="7"/>
      <c r="AH13" s="3" t="s">
        <v>19</v>
      </c>
      <c r="AI13" s="8">
        <f>Z69</f>
        <v>6.6520434100186959E-2</v>
      </c>
      <c r="AL13" s="3" t="s">
        <v>18</v>
      </c>
      <c r="AM13" s="18">
        <f>_xlfn.COVARIANCE.S(ICFR, IM)*12</f>
        <v>3.2736427687492394E-4</v>
      </c>
      <c r="AN13">
        <f>_xlfn.COVARIANCE.S(HCFR, IM)*12</f>
        <v>-7.78986836026869E-5</v>
      </c>
      <c r="AO13">
        <f>_xlfn.COVARIANCE.S(SCFR, IM)*12</f>
        <v>6.979711882658076E-5</v>
      </c>
      <c r="AP13">
        <f>_xlfn.COVARIANCE.S(ILF, IM)*12</f>
        <v>-1.4367328686871943E-4</v>
      </c>
      <c r="AQ13">
        <f>_xlfn.COVARIANCE.S(HLF, IM)*12</f>
        <v>-1.3067867381100933E-4</v>
      </c>
      <c r="AR13">
        <f>_xlfn.COVARIANCE.S(SLF, IM)*12</f>
        <v>-1.4891994733027734E-4</v>
      </c>
      <c r="AS13">
        <f>_xlfn.COVARIANCE.S(SN50ETF, IM)*12</f>
        <v>2.2866349085361552E-2</v>
      </c>
      <c r="AT13">
        <f>_xlfn.COVARIANCE.S(HGE, IM)*12</f>
        <v>-1.6845643033706363E-3</v>
      </c>
      <c r="AU13">
        <f>_xlfn.COVARIANCE.S(IM, IM)*12</f>
        <v>3.5706962549305124E-2</v>
      </c>
      <c r="AV13">
        <f>_xlfn.COVARIANCE.S(IM, HEF)*12</f>
        <v>3.8260170796480121E-2</v>
      </c>
      <c r="AW13">
        <f>_xlfn.COVARIANCE.S(IM, SMM)*12</f>
        <v>3.3890748963546644E-2</v>
      </c>
      <c r="AX13" s="18"/>
    </row>
    <row r="14" spans="2:52" x14ac:dyDescent="0.35">
      <c r="B14" s="1">
        <v>43831</v>
      </c>
      <c r="C14" s="2">
        <v>21.484698999999999</v>
      </c>
      <c r="D14" s="2">
        <v>16.379999000000002</v>
      </c>
      <c r="E14" s="2">
        <v>32.700901000000002</v>
      </c>
      <c r="F14" s="2">
        <v>289.63299599999999</v>
      </c>
      <c r="G14" s="2">
        <v>3868.6899410000001</v>
      </c>
      <c r="H14" s="2">
        <v>3063.830078</v>
      </c>
      <c r="I14" s="2">
        <v>123.860001</v>
      </c>
      <c r="J14" s="2">
        <v>3660.8500979999999</v>
      </c>
      <c r="K14" s="2">
        <v>317.67001299999998</v>
      </c>
      <c r="L14" s="2">
        <v>659.65197799999999</v>
      </c>
      <c r="M14" s="2">
        <v>55.037899000000003</v>
      </c>
      <c r="N14" s="2"/>
      <c r="O14" s="2"/>
      <c r="P14" s="7"/>
      <c r="Q14" s="4">
        <f t="shared" si="1"/>
        <v>1.0165268362379527E-2</v>
      </c>
      <c r="R14" s="4">
        <f t="shared" si="2"/>
        <v>9.7023898941976435E-3</v>
      </c>
      <c r="S14" s="4">
        <f t="shared" si="3"/>
        <v>1.0116298558922016E-2</v>
      </c>
      <c r="T14" s="4">
        <f t="shared" si="4"/>
        <v>4.2230361180682994E-3</v>
      </c>
      <c r="U14" s="4">
        <f t="shared" si="5"/>
        <v>4.2154966856310589E-3</v>
      </c>
      <c r="V14" s="4">
        <f t="shared" si="6"/>
        <v>4.1788480387436096E-3</v>
      </c>
      <c r="W14" s="4">
        <f t="shared" si="7"/>
        <v>-1.5499539233757848E-2</v>
      </c>
      <c r="X14" s="4">
        <f t="shared" si="8"/>
        <v>4.0516740191194521E-2</v>
      </c>
      <c r="Y14" s="4">
        <f t="shared" si="9"/>
        <v>-1.7597271804764112E-3</v>
      </c>
      <c r="Z14" s="4">
        <f t="shared" si="10"/>
        <v>-1.9269622297622784E-2</v>
      </c>
      <c r="AA14" s="4">
        <f t="shared" si="11"/>
        <v>1.4110381100240951E-2</v>
      </c>
      <c r="AB14" s="4"/>
      <c r="AC14" s="4"/>
      <c r="AD14" s="4"/>
      <c r="AE14" s="14"/>
      <c r="AF14" s="7"/>
      <c r="AH14" s="3" t="s">
        <v>17</v>
      </c>
      <c r="AI14" s="8">
        <f>AA69</f>
        <v>0.10196866322846049</v>
      </c>
      <c r="AL14" s="3" t="s">
        <v>19</v>
      </c>
      <c r="AM14">
        <f>_xlfn.COVARIANCE.S(ICFR, HEF)*12</f>
        <v>5.2987546522684692E-4</v>
      </c>
      <c r="AN14">
        <f>_xlfn.COVARIANCE.S(HCFR, HEF)*12</f>
        <v>2.3538939638994202E-4</v>
      </c>
      <c r="AO14">
        <f>_xlfn.COVARIANCE.S(SCFR, HEF)*12</f>
        <v>2.5689285759388885E-4</v>
      </c>
      <c r="AP14">
        <f>_xlfn.COVARIANCE.S(ILF, HEF)*12</f>
        <v>-1.0366263419429476E-4</v>
      </c>
      <c r="AQ14">
        <f>_xlfn.COVARIANCE.S(HLF, HEF)*12</f>
        <v>-7.9610865183473873E-5</v>
      </c>
      <c r="AR14">
        <f>_xlfn.COVARIANCE.S(SLF, HEF)*12</f>
        <v>-1.0396277826779158E-4</v>
      </c>
      <c r="AS14">
        <f>_xlfn.COVARIANCE.S(SN50ETF, HEF)*12</f>
        <v>2.1248064782937285E-2</v>
      </c>
      <c r="AT14">
        <f>_xlfn.COVARIANCE.S(HGE, HEF)*12</f>
        <v>-3.9275728309937996E-3</v>
      </c>
      <c r="AU14">
        <f>_xlfn.COVARIANCE.S(IM, HEF)*12</f>
        <v>3.8260170796480121E-2</v>
      </c>
      <c r="AV14">
        <f>_xlfn.COVARIANCE.S(HEF, HEF)*12</f>
        <v>4.5869335835873028E-2</v>
      </c>
      <c r="AW14">
        <f>_xlfn.COVARIANCE.S(SMM, HEF)*12</f>
        <v>3.8405490976126042E-2</v>
      </c>
      <c r="AX14" s="18"/>
    </row>
    <row r="15" spans="2:52" x14ac:dyDescent="0.35">
      <c r="B15" s="1">
        <v>43800</v>
      </c>
      <c r="C15" s="2">
        <v>21.268498999999998</v>
      </c>
      <c r="D15" s="2">
        <v>16.222601000000001</v>
      </c>
      <c r="E15" s="2">
        <v>32.373401999999999</v>
      </c>
      <c r="F15" s="2">
        <v>288.415009</v>
      </c>
      <c r="G15" s="2">
        <v>3852.4499510000001</v>
      </c>
      <c r="H15" s="2">
        <v>3051.080078</v>
      </c>
      <c r="I15" s="2">
        <v>125.80999799999999</v>
      </c>
      <c r="J15" s="2">
        <v>3518.3000489999999</v>
      </c>
      <c r="K15" s="2">
        <v>318.23001099999999</v>
      </c>
      <c r="L15" s="2">
        <v>672.612976</v>
      </c>
      <c r="M15" s="2">
        <v>54.272098999999997</v>
      </c>
      <c r="N15" s="2"/>
      <c r="O15" s="2"/>
      <c r="P15" s="7"/>
      <c r="Q15" s="4">
        <f t="shared" si="1"/>
        <v>3.6997937716196452E-3</v>
      </c>
      <c r="R15" s="4">
        <f t="shared" si="2"/>
        <v>2.4675374241633566E-4</v>
      </c>
      <c r="S15" s="4">
        <f t="shared" si="3"/>
        <v>4.477413408299151E-3</v>
      </c>
      <c r="T15" s="4">
        <f t="shared" si="4"/>
        <v>4.2619683673245619E-3</v>
      </c>
      <c r="U15" s="4">
        <f t="shared" si="5"/>
        <v>4.1783822745981485E-3</v>
      </c>
      <c r="V15" s="4">
        <f t="shared" si="6"/>
        <v>4.2559374675647079E-3</v>
      </c>
      <c r="W15" s="4">
        <f t="shared" si="7"/>
        <v>1.2147988443733097E-2</v>
      </c>
      <c r="X15" s="4">
        <f t="shared" si="8"/>
        <v>3.138147277390984E-2</v>
      </c>
      <c r="Y15" s="4">
        <f t="shared" si="9"/>
        <v>8.4292041100091468E-3</v>
      </c>
      <c r="Z15" s="4">
        <f t="shared" si="10"/>
        <v>-1.9623928974754227E-4</v>
      </c>
      <c r="AA15" s="4">
        <f t="shared" si="11"/>
        <v>7.3651189438365622E-3</v>
      </c>
      <c r="AB15" s="4"/>
      <c r="AC15" s="4"/>
      <c r="AD15" s="4"/>
      <c r="AE15" s="14"/>
      <c r="AF15" s="7"/>
      <c r="AH15" s="3"/>
      <c r="AI15" s="8"/>
      <c r="AL15" s="3" t="s">
        <v>17</v>
      </c>
      <c r="AM15" s="18">
        <f>_xlfn.COVARIANCE.S(ICFR, SMM)*12</f>
        <v>5.1135659324308956E-4</v>
      </c>
      <c r="AN15">
        <f>_xlfn.COVARIANCE.S(HCFR, SMM)*12</f>
        <v>1.7349597827995072E-4</v>
      </c>
      <c r="AO15">
        <f>_xlfn.COVARIANCE.S(SCFR, SMM)*12</f>
        <v>2.213850916297518E-4</v>
      </c>
      <c r="AP15">
        <f>_xlfn.COVARIANCE.S(ILF, SMM)*12</f>
        <v>-1.5420382723046314E-4</v>
      </c>
      <c r="AQ15">
        <f>_xlfn.COVARIANCE.S(HLF, SMM)*12</f>
        <v>-1.3821562301112884E-4</v>
      </c>
      <c r="AR15">
        <f>_xlfn.COVARIANCE.S(SLF, SMM)*12</f>
        <v>-1.6115019959309424E-4</v>
      </c>
      <c r="AS15">
        <f>_xlfn.COVARIANCE.S(SN50ETF, SMM)*12</f>
        <v>2.1336792154452396E-2</v>
      </c>
      <c r="AT15">
        <f>_xlfn.COVARIANCE.S(HGE, SMM)*12</f>
        <v>-2.9348717200157136E-3</v>
      </c>
      <c r="AU15">
        <f>_xlfn.COVARIANCE.S(IM, SMM)*12</f>
        <v>3.3890748963546644E-2</v>
      </c>
      <c r="AV15">
        <f>_xlfn.COVARIANCE.S(SMM, HEF)*12</f>
        <v>3.8405490976126042E-2</v>
      </c>
      <c r="AW15">
        <f>_xlfn.COVARIANCE.S(SMM, SMM)*12</f>
        <v>3.5746743520389875E-2</v>
      </c>
      <c r="AX15" s="18"/>
    </row>
    <row r="16" spans="2:52" x14ac:dyDescent="0.35">
      <c r="B16" s="1">
        <v>43770</v>
      </c>
      <c r="C16" s="2">
        <v>21.190100000000001</v>
      </c>
      <c r="D16" s="2">
        <v>16.218599000000001</v>
      </c>
      <c r="E16" s="2">
        <v>32.229098999999998</v>
      </c>
      <c r="F16" s="2">
        <v>287.19101000000001</v>
      </c>
      <c r="G16" s="2">
        <v>3836.419922</v>
      </c>
      <c r="H16" s="2">
        <v>3038.1499020000001</v>
      </c>
      <c r="I16" s="2">
        <v>124.300003</v>
      </c>
      <c r="J16" s="2">
        <v>3411.25</v>
      </c>
      <c r="K16" s="2">
        <v>315.57000699999998</v>
      </c>
      <c r="L16" s="2">
        <v>672.74499500000002</v>
      </c>
      <c r="M16" s="2">
        <v>53.875301</v>
      </c>
      <c r="N16" s="2"/>
      <c r="O16" s="2"/>
      <c r="P16" s="7"/>
      <c r="Q16" s="4">
        <f t="shared" si="1"/>
        <v>1.3332455976794525E-2</v>
      </c>
      <c r="R16" s="4">
        <f t="shared" si="2"/>
        <v>1.1361589883016179E-2</v>
      </c>
      <c r="S16" s="4">
        <f t="shared" si="3"/>
        <v>2.8409227041629116E-3</v>
      </c>
      <c r="T16" s="4">
        <f t="shared" si="4"/>
        <v>4.2977877277865784E-3</v>
      </c>
      <c r="U16" s="4">
        <f t="shared" si="5"/>
        <v>4.3325569962043044E-3</v>
      </c>
      <c r="V16" s="4">
        <f t="shared" si="6"/>
        <v>4.2474639843567349E-3</v>
      </c>
      <c r="W16" s="4">
        <f t="shared" si="7"/>
        <v>1.8435067142112238E-2</v>
      </c>
      <c r="X16" s="4">
        <f t="shared" si="8"/>
        <v>-2.2018046737035207E-2</v>
      </c>
      <c r="Y16" s="4">
        <f t="shared" si="9"/>
        <v>9.3717753947778256E-3</v>
      </c>
      <c r="Z16" s="4">
        <f t="shared" si="10"/>
        <v>9.3077227823591333E-3</v>
      </c>
      <c r="AA16" s="4">
        <f t="shared" si="11"/>
        <v>1.5821097817466546E-3</v>
      </c>
      <c r="AB16" s="4"/>
      <c r="AC16" s="4"/>
      <c r="AD16" s="4"/>
      <c r="AE16" s="14"/>
      <c r="AF16" s="7"/>
      <c r="AL16" s="3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</row>
    <row r="17" spans="2:42" x14ac:dyDescent="0.35">
      <c r="B17" s="1">
        <v>43739</v>
      </c>
      <c r="C17" s="2">
        <v>20.911301000000002</v>
      </c>
      <c r="D17" s="2">
        <v>16.0364</v>
      </c>
      <c r="E17" s="2">
        <v>32.137797999999997</v>
      </c>
      <c r="F17" s="2">
        <v>285.96200599999997</v>
      </c>
      <c r="G17" s="2">
        <v>3819.8701169999999</v>
      </c>
      <c r="H17" s="2">
        <v>3025.3000489999999</v>
      </c>
      <c r="I17" s="2">
        <v>122.050003</v>
      </c>
      <c r="J17" s="2">
        <v>3488.0500489999999</v>
      </c>
      <c r="K17" s="2">
        <v>312.64001500000001</v>
      </c>
      <c r="L17" s="2">
        <v>666.54101600000001</v>
      </c>
      <c r="M17" s="2">
        <v>53.790199000000001</v>
      </c>
      <c r="N17" s="2"/>
      <c r="O17" s="2"/>
      <c r="P17" s="7"/>
      <c r="Q17" s="4">
        <f t="shared" si="1"/>
        <v>1.0354157107109454E-2</v>
      </c>
      <c r="R17" s="4">
        <f t="shared" si="2"/>
        <v>1.1084069959522378E-2</v>
      </c>
      <c r="S17" s="4">
        <f t="shared" si="3"/>
        <v>1.0759253609764732E-2</v>
      </c>
      <c r="T17" s="4">
        <f t="shared" si="4"/>
        <v>4.8845812095398679E-3</v>
      </c>
      <c r="U17" s="4">
        <f t="shared" si="5"/>
        <v>4.8587929384336119E-3</v>
      </c>
      <c r="V17" s="4">
        <f t="shared" si="6"/>
        <v>4.8026333439732055E-3</v>
      </c>
      <c r="W17" s="4">
        <f t="shared" si="7"/>
        <v>3.6342074458913333E-2</v>
      </c>
      <c r="X17" s="4">
        <f t="shared" si="8"/>
        <v>2.7907509766179176E-2</v>
      </c>
      <c r="Y17" s="4">
        <f t="shared" si="9"/>
        <v>4.0676391289551084E-2</v>
      </c>
      <c r="Z17" s="4">
        <f t="shared" si="10"/>
        <v>3.7103149612612407E-2</v>
      </c>
      <c r="AA17" s="4">
        <f t="shared" si="11"/>
        <v>1.8695869198797989E-2</v>
      </c>
      <c r="AB17" s="4"/>
      <c r="AC17" s="4"/>
      <c r="AD17" s="4"/>
      <c r="AE17" s="14"/>
      <c r="AF17" s="7"/>
      <c r="AH17" s="3" t="s">
        <v>21</v>
      </c>
      <c r="AI17" s="3" t="s">
        <v>10</v>
      </c>
    </row>
    <row r="18" spans="2:42" x14ac:dyDescent="0.35">
      <c r="B18" s="1">
        <v>43709</v>
      </c>
      <c r="C18" s="2">
        <v>20.697001</v>
      </c>
      <c r="D18" s="2">
        <v>15.8606</v>
      </c>
      <c r="E18" s="2">
        <v>31.7957</v>
      </c>
      <c r="F18" s="2">
        <v>284.57199100000003</v>
      </c>
      <c r="G18" s="2">
        <v>3801.3999020000001</v>
      </c>
      <c r="H18" s="2">
        <v>3010.8400879999999</v>
      </c>
      <c r="I18" s="2">
        <v>117.769997</v>
      </c>
      <c r="J18" s="2">
        <v>3393.3500979999999</v>
      </c>
      <c r="K18" s="2">
        <v>300.42001299999998</v>
      </c>
      <c r="L18" s="2">
        <v>642.69500700000003</v>
      </c>
      <c r="M18" s="2">
        <v>52.803001000000002</v>
      </c>
      <c r="N18" s="2"/>
      <c r="O18" s="2"/>
      <c r="P18" s="7"/>
      <c r="Q18" s="4">
        <f t="shared" si="1"/>
        <v>7.3101403960646565E-3</v>
      </c>
      <c r="R18" s="4">
        <f t="shared" si="2"/>
        <v>5.751463230584849E-3</v>
      </c>
      <c r="S18" s="4">
        <f t="shared" si="3"/>
        <v>6.059321229456887E-3</v>
      </c>
      <c r="T18" s="4">
        <f t="shared" si="4"/>
        <v>4.4899507726066006E-3</v>
      </c>
      <c r="U18" s="4">
        <f t="shared" si="5"/>
        <v>4.7018044927746409E-3</v>
      </c>
      <c r="V18" s="4">
        <f t="shared" si="6"/>
        <v>4.5039934087052454E-3</v>
      </c>
      <c r="W18" s="4">
        <f t="shared" si="7"/>
        <v>4.0371025804885913E-2</v>
      </c>
      <c r="X18" s="4">
        <f t="shared" si="8"/>
        <v>-2.4577086563503894E-2</v>
      </c>
      <c r="Y18" s="4">
        <f t="shared" si="9"/>
        <v>3.6145447084600595E-2</v>
      </c>
      <c r="Z18" s="4">
        <f t="shared" si="10"/>
        <v>3.3025898451399104E-2</v>
      </c>
      <c r="AA18" s="4">
        <f t="shared" si="11"/>
        <v>5.6089590508534209E-2</v>
      </c>
      <c r="AB18" s="4"/>
      <c r="AC18" s="4"/>
      <c r="AD18" s="4"/>
      <c r="AE18" s="14"/>
      <c r="AF18" s="7"/>
      <c r="AH18" s="15" t="s">
        <v>11</v>
      </c>
      <c r="AI18" s="2">
        <f>1/11</f>
        <v>9.0909090909090912E-2</v>
      </c>
      <c r="AL18" s="3" t="s">
        <v>40</v>
      </c>
      <c r="AM18" s="4">
        <v>6.6500000000000004E-2</v>
      </c>
      <c r="AN18" t="s">
        <v>26</v>
      </c>
    </row>
    <row r="19" spans="2:42" x14ac:dyDescent="0.35">
      <c r="B19" s="1">
        <v>43678</v>
      </c>
      <c r="C19" s="2">
        <v>20.546800999999999</v>
      </c>
      <c r="D19" s="2">
        <v>15.7699</v>
      </c>
      <c r="E19" s="2">
        <v>31.604199999999999</v>
      </c>
      <c r="F19" s="2">
        <v>283.29998799999998</v>
      </c>
      <c r="G19" s="2">
        <v>3783.610107</v>
      </c>
      <c r="H19" s="2">
        <v>2997.3400879999999</v>
      </c>
      <c r="I19" s="2">
        <v>113.199997</v>
      </c>
      <c r="J19" s="2">
        <v>3478.8500979999999</v>
      </c>
      <c r="K19" s="2">
        <v>289.94000199999999</v>
      </c>
      <c r="L19" s="2">
        <v>622.14801</v>
      </c>
      <c r="M19" s="2">
        <v>49.998600000000003</v>
      </c>
      <c r="N19" s="2"/>
      <c r="O19" s="2"/>
      <c r="P19" s="7"/>
      <c r="Q19" s="4">
        <f t="shared" si="1"/>
        <v>7.1319474739354573E-3</v>
      </c>
      <c r="R19" s="4">
        <f t="shared" si="2"/>
        <v>6.1890269190768479E-3</v>
      </c>
      <c r="S19" s="4">
        <f t="shared" si="3"/>
        <v>8.0377134618941862E-3</v>
      </c>
      <c r="T19" s="4">
        <f t="shared" si="4"/>
        <v>5.0945630824656722E-3</v>
      </c>
      <c r="U19" s="4">
        <f t="shared" si="5"/>
        <v>4.9962966838029881E-3</v>
      </c>
      <c r="V19" s="4">
        <f t="shared" si="6"/>
        <v>5.0363541328656385E-3</v>
      </c>
      <c r="W19" s="4">
        <f t="shared" si="7"/>
        <v>-1.1871517316192664E-2</v>
      </c>
      <c r="X19" s="4">
        <f t="shared" si="8"/>
        <v>0.10441440407508235</v>
      </c>
      <c r="Y19" s="4">
        <f t="shared" si="9"/>
        <v>-2.8318685529742049E-2</v>
      </c>
      <c r="Z19" s="4">
        <f t="shared" si="10"/>
        <v>-3.7633172373234818E-2</v>
      </c>
      <c r="AA19" s="4">
        <f t="shared" si="11"/>
        <v>-1.0536067385805313E-2</v>
      </c>
      <c r="AB19" s="4"/>
      <c r="AC19" s="4"/>
      <c r="AD19" s="4"/>
      <c r="AE19" s="14"/>
      <c r="AF19" s="7"/>
      <c r="AH19" s="15" t="s">
        <v>12</v>
      </c>
      <c r="AI19" s="2">
        <f t="shared" ref="AI19:AI28" si="12">1/11</f>
        <v>9.0909090909090912E-2</v>
      </c>
      <c r="AL19" s="3" t="s">
        <v>25</v>
      </c>
      <c r="AM19" s="2">
        <f>(AI31-AM18)/AI32</f>
        <v>0.29601532855735974</v>
      </c>
    </row>
    <row r="20" spans="2:42" x14ac:dyDescent="0.35">
      <c r="B20" s="1">
        <v>43647</v>
      </c>
      <c r="C20" s="2">
        <v>20.401299999999999</v>
      </c>
      <c r="D20" s="2">
        <v>15.6729</v>
      </c>
      <c r="E20" s="2">
        <v>31.3522</v>
      </c>
      <c r="F20" s="2">
        <v>281.864014</v>
      </c>
      <c r="G20" s="2">
        <v>3764.8000489999999</v>
      </c>
      <c r="H20" s="2">
        <v>2982.320068</v>
      </c>
      <c r="I20" s="2">
        <v>114.55999799999999</v>
      </c>
      <c r="J20" s="2">
        <v>3149.9499510000001</v>
      </c>
      <c r="K20" s="2">
        <v>298.39001500000001</v>
      </c>
      <c r="L20" s="2">
        <v>646.47699</v>
      </c>
      <c r="M20" s="2">
        <v>50.530997999999997</v>
      </c>
      <c r="N20" s="2"/>
      <c r="O20" s="2"/>
      <c r="P20" s="7"/>
      <c r="Q20" s="4">
        <f t="shared" si="1"/>
        <v>1.0030348487773982E-2</v>
      </c>
      <c r="R20" s="4">
        <f t="shared" si="2"/>
        <v>1.0190269935803299E-2</v>
      </c>
      <c r="S20" s="4">
        <f t="shared" si="3"/>
        <v>1.0810268299226213E-2</v>
      </c>
      <c r="T20" s="4">
        <f t="shared" si="4"/>
        <v>5.669503287903041E-3</v>
      </c>
      <c r="U20" s="4">
        <f t="shared" si="5"/>
        <v>5.6522947197902174E-3</v>
      </c>
      <c r="V20" s="4">
        <f t="shared" si="6"/>
        <v>5.4922029921228351E-3</v>
      </c>
      <c r="W20" s="4">
        <f t="shared" si="7"/>
        <v>-5.2204888255028871E-2</v>
      </c>
      <c r="X20" s="4">
        <f t="shared" si="8"/>
        <v>2.6410131183222912E-2</v>
      </c>
      <c r="Y20" s="4">
        <f t="shared" si="9"/>
        <v>-5.8617490429323051E-2</v>
      </c>
      <c r="Z20" s="4">
        <f t="shared" si="10"/>
        <v>-7.6373016129174229E-2</v>
      </c>
      <c r="AA20" s="4">
        <f t="shared" si="11"/>
        <v>-4.7106320072155282E-2</v>
      </c>
      <c r="AB20" s="4"/>
      <c r="AC20" s="4"/>
      <c r="AD20" s="4"/>
      <c r="AE20" s="14"/>
      <c r="AF20" s="7"/>
      <c r="AH20" s="15" t="s">
        <v>13</v>
      </c>
      <c r="AI20" s="2">
        <f t="shared" si="12"/>
        <v>9.0909090909090912E-2</v>
      </c>
    </row>
    <row r="21" spans="2:42" x14ac:dyDescent="0.35">
      <c r="B21" s="1">
        <v>43617</v>
      </c>
      <c r="C21" s="2">
        <v>20.198699999999999</v>
      </c>
      <c r="D21" s="2">
        <v>15.514799999999999</v>
      </c>
      <c r="E21" s="2">
        <v>31.016898999999999</v>
      </c>
      <c r="F21" s="2">
        <v>280.27499399999999</v>
      </c>
      <c r="G21" s="2">
        <v>3743.639893</v>
      </c>
      <c r="H21" s="2">
        <v>2966.030029</v>
      </c>
      <c r="I21" s="2">
        <v>120.870003</v>
      </c>
      <c r="J21" s="2">
        <v>3068.8999020000001</v>
      </c>
      <c r="K21" s="2">
        <v>316.97000100000002</v>
      </c>
      <c r="L21" s="2">
        <v>699.93298300000004</v>
      </c>
      <c r="M21" s="2">
        <v>53.028998999999999</v>
      </c>
      <c r="N21" s="2"/>
      <c r="O21" s="2"/>
      <c r="P21" s="7"/>
      <c r="Q21" s="4">
        <f t="shared" si="1"/>
        <v>4.7154529859651769E-3</v>
      </c>
      <c r="R21" s="4">
        <f t="shared" si="2"/>
        <v>3.7329123833059726E-3</v>
      </c>
      <c r="S21" s="4">
        <f t="shared" si="3"/>
        <v>-6.2832673892596329E-4</v>
      </c>
      <c r="T21" s="4">
        <f t="shared" si="4"/>
        <v>5.5033059955654799E-3</v>
      </c>
      <c r="U21" s="4">
        <f t="shared" si="5"/>
        <v>5.5276664017952443E-3</v>
      </c>
      <c r="V21" s="4">
        <f t="shared" si="6"/>
        <v>5.3623532593041747E-3</v>
      </c>
      <c r="W21" s="4">
        <f t="shared" si="7"/>
        <v>-8.6121638551864953E-3</v>
      </c>
      <c r="X21" s="4">
        <f t="shared" si="8"/>
        <v>4.7370328438520203E-2</v>
      </c>
      <c r="Y21" s="4">
        <f t="shared" si="9"/>
        <v>-5.9907616850701686E-4</v>
      </c>
      <c r="Z21" s="4">
        <f t="shared" si="10"/>
        <v>4.9707381358795226E-3</v>
      </c>
      <c r="AA21" s="4">
        <f t="shared" si="11"/>
        <v>-8.9611932489453983E-3</v>
      </c>
      <c r="AB21" s="4"/>
      <c r="AC21" s="4"/>
      <c r="AD21" s="4"/>
      <c r="AE21" s="14"/>
      <c r="AF21" s="7"/>
      <c r="AH21" s="15" t="s">
        <v>16</v>
      </c>
      <c r="AI21" s="2">
        <f t="shared" si="12"/>
        <v>9.0909090909090912E-2</v>
      </c>
    </row>
    <row r="22" spans="2:42" x14ac:dyDescent="0.35">
      <c r="B22" s="1">
        <v>43586</v>
      </c>
      <c r="C22" s="2">
        <v>20.103901</v>
      </c>
      <c r="D22" s="2">
        <v>15.457100000000001</v>
      </c>
      <c r="E22" s="2">
        <v>31.0364</v>
      </c>
      <c r="F22" s="2">
        <v>278.74099699999999</v>
      </c>
      <c r="G22" s="2">
        <v>3723.0600589999999</v>
      </c>
      <c r="H22" s="2">
        <v>2950.209961</v>
      </c>
      <c r="I22" s="2">
        <v>121.91999800000001</v>
      </c>
      <c r="J22" s="2">
        <v>2930.1000979999999</v>
      </c>
      <c r="K22" s="2">
        <v>317.16000400000001</v>
      </c>
      <c r="L22" s="2">
        <v>696.47100799999998</v>
      </c>
      <c r="M22" s="2">
        <v>53.508499</v>
      </c>
      <c r="N22" s="2"/>
      <c r="O22" s="2"/>
      <c r="P22" s="7"/>
      <c r="Q22" s="4">
        <f t="shared" si="1"/>
        <v>9.5614030682703386E-3</v>
      </c>
      <c r="R22" s="4">
        <f t="shared" si="2"/>
        <v>1.238538118941576E-2</v>
      </c>
      <c r="S22" s="4">
        <f t="shared" si="3"/>
        <v>1.2623370691202163E-2</v>
      </c>
      <c r="T22" s="4">
        <f t="shared" si="4"/>
        <v>6.2488247265864881E-3</v>
      </c>
      <c r="U22" s="4">
        <f t="shared" si="5"/>
        <v>6.319499910729008E-3</v>
      </c>
      <c r="V22" s="4">
        <f t="shared" si="6"/>
        <v>5.9740444276307932E-3</v>
      </c>
      <c r="W22" s="4">
        <f t="shared" si="7"/>
        <v>1.3634843811397131E-2</v>
      </c>
      <c r="X22" s="4">
        <f t="shared" si="8"/>
        <v>1.5421402304097094E-2</v>
      </c>
      <c r="Y22" s="4">
        <f t="shared" si="9"/>
        <v>1.5692031778260663E-2</v>
      </c>
      <c r="Z22" s="4">
        <f t="shared" si="10"/>
        <v>3.303480697222947E-2</v>
      </c>
      <c r="AA22" s="4">
        <f t="shared" si="11"/>
        <v>3.2880933206980302E-2</v>
      </c>
      <c r="AB22" s="4"/>
      <c r="AC22" s="4"/>
      <c r="AD22" s="4"/>
      <c r="AE22" s="14"/>
      <c r="AF22" s="7"/>
      <c r="AH22" s="15" t="s">
        <v>15</v>
      </c>
      <c r="AI22" s="2">
        <f t="shared" si="12"/>
        <v>9.0909090909090912E-2</v>
      </c>
    </row>
    <row r="23" spans="2:42" x14ac:dyDescent="0.35">
      <c r="B23" s="1">
        <v>43556</v>
      </c>
      <c r="C23" s="2">
        <v>19.913499999999999</v>
      </c>
      <c r="D23" s="2">
        <v>15.268000000000001</v>
      </c>
      <c r="E23" s="2">
        <v>30.6495</v>
      </c>
      <c r="F23" s="2">
        <v>277.01001000000002</v>
      </c>
      <c r="G23" s="2">
        <v>3699.679932</v>
      </c>
      <c r="H23" s="2">
        <v>2932.6899410000001</v>
      </c>
      <c r="I23" s="2">
        <v>120.279999</v>
      </c>
      <c r="J23" s="2">
        <v>2885.6000979999999</v>
      </c>
      <c r="K23" s="2">
        <v>312.26001000000002</v>
      </c>
      <c r="L23" s="2">
        <v>674.19897500000002</v>
      </c>
      <c r="M23" s="2">
        <v>51.805098999999998</v>
      </c>
      <c r="N23" s="2"/>
      <c r="O23" s="2"/>
      <c r="P23" s="7"/>
      <c r="Q23" s="4">
        <f t="shared" si="1"/>
        <v>5.5850405748651983E-3</v>
      </c>
      <c r="R23" s="4">
        <f t="shared" si="2"/>
        <v>8.4561884222326522E-4</v>
      </c>
      <c r="S23" s="4">
        <f t="shared" si="3"/>
        <v>-8.4533881862200715E-3</v>
      </c>
      <c r="T23" s="4">
        <f t="shared" si="4"/>
        <v>7.2285380017395873E-3</v>
      </c>
      <c r="U23" s="4">
        <f t="shared" si="5"/>
        <v>7.2254364857102325E-3</v>
      </c>
      <c r="V23" s="4">
        <f t="shared" si="6"/>
        <v>7.2780151124850045E-3</v>
      </c>
      <c r="W23" s="4">
        <f t="shared" si="7"/>
        <v>6.0220894282719088E-3</v>
      </c>
      <c r="X23" s="4">
        <f t="shared" si="8"/>
        <v>3.4077643900895368E-3</v>
      </c>
      <c r="Y23" s="4">
        <f t="shared" si="9"/>
        <v>1.8294525060385394E-2</v>
      </c>
      <c r="Z23" s="4">
        <f t="shared" si="10"/>
        <v>7.2653734555819154E-3</v>
      </c>
      <c r="AA23" s="4">
        <f t="shared" si="11"/>
        <v>2.735505848495794E-2</v>
      </c>
      <c r="AB23" s="4"/>
      <c r="AC23" s="4"/>
      <c r="AD23" s="4"/>
      <c r="AE23" s="14"/>
      <c r="AF23" s="7"/>
      <c r="AH23" s="15" t="s">
        <v>14</v>
      </c>
      <c r="AI23" s="2">
        <f t="shared" si="12"/>
        <v>9.0909090909090912E-2</v>
      </c>
    </row>
    <row r="24" spans="2:42" x14ac:dyDescent="0.35">
      <c r="B24" s="1">
        <v>43525</v>
      </c>
      <c r="C24" s="2">
        <v>19.802900000000001</v>
      </c>
      <c r="D24" s="2">
        <v>15.255100000000001</v>
      </c>
      <c r="E24" s="2">
        <v>30.910800999999999</v>
      </c>
      <c r="F24" s="2">
        <v>275.02200299999998</v>
      </c>
      <c r="G24" s="2">
        <v>3673.139893</v>
      </c>
      <c r="H24" s="2">
        <v>2911.5</v>
      </c>
      <c r="I24" s="2">
        <v>119.55999799999999</v>
      </c>
      <c r="J24" s="2">
        <v>2875.8000489999999</v>
      </c>
      <c r="K24" s="2">
        <v>306.64999399999999</v>
      </c>
      <c r="L24" s="2">
        <v>669.33599900000002</v>
      </c>
      <c r="M24" s="2">
        <v>50.425700999999997</v>
      </c>
      <c r="N24" s="2"/>
      <c r="O24" s="2"/>
      <c r="P24" s="7"/>
      <c r="Q24" s="4">
        <f t="shared" si="1"/>
        <v>1.0181959159937368E-2</v>
      </c>
      <c r="R24" s="4">
        <f t="shared" si="2"/>
        <v>1.4801165467051618E-2</v>
      </c>
      <c r="S24" s="4">
        <f t="shared" si="3"/>
        <v>9.9984972944929147E-3</v>
      </c>
      <c r="T24" s="4">
        <f t="shared" si="4"/>
        <v>5.1055386021013572E-3</v>
      </c>
      <c r="U24" s="4">
        <f t="shared" si="5"/>
        <v>5.1225560826504233E-3</v>
      </c>
      <c r="V24" s="4">
        <f t="shared" si="6"/>
        <v>5.0017051891374153E-3</v>
      </c>
      <c r="W24" s="4">
        <f t="shared" si="7"/>
        <v>8.4739583698606541E-2</v>
      </c>
      <c r="X24" s="4">
        <f t="shared" si="8"/>
        <v>-5.1517134234828517E-2</v>
      </c>
      <c r="Y24" s="4">
        <f t="shared" si="9"/>
        <v>5.3961097619751867E-2</v>
      </c>
      <c r="Z24" s="4">
        <f t="shared" si="10"/>
        <v>8.679439639978101E-2</v>
      </c>
      <c r="AA24" s="4">
        <f t="shared" si="11"/>
        <v>6.2034147593124978E-2</v>
      </c>
      <c r="AB24" s="4"/>
      <c r="AC24" s="4"/>
      <c r="AD24" s="4"/>
      <c r="AE24" s="14"/>
      <c r="AF24" s="7"/>
      <c r="AH24" s="15" t="s">
        <v>4</v>
      </c>
      <c r="AI24" s="2">
        <f t="shared" si="12"/>
        <v>9.0909090909090912E-2</v>
      </c>
    </row>
    <row r="25" spans="2:42" x14ac:dyDescent="0.35">
      <c r="B25" s="1">
        <v>43497</v>
      </c>
      <c r="C25" s="2">
        <v>19.603300000000001</v>
      </c>
      <c r="D25" s="2">
        <v>15.0326</v>
      </c>
      <c r="E25" s="2">
        <v>30.604799</v>
      </c>
      <c r="F25" s="2">
        <v>273.625</v>
      </c>
      <c r="G25" s="2">
        <v>3654.419922</v>
      </c>
      <c r="H25" s="2">
        <v>2897.01001</v>
      </c>
      <c r="I25" s="2">
        <v>110.220001</v>
      </c>
      <c r="J25" s="2">
        <v>3032</v>
      </c>
      <c r="K25" s="2">
        <v>290.95001200000002</v>
      </c>
      <c r="L25" s="2">
        <v>615.88098100000002</v>
      </c>
      <c r="M25" s="2">
        <v>47.480300999999997</v>
      </c>
      <c r="N25" s="2"/>
      <c r="O25" s="2"/>
      <c r="P25" s="7"/>
      <c r="Q25" s="4">
        <f t="shared" si="1"/>
        <v>2.7109045533365338E-3</v>
      </c>
      <c r="R25" s="4">
        <f t="shared" si="2"/>
        <v>1.672497084790946E-3</v>
      </c>
      <c r="S25" s="4">
        <f t="shared" si="3"/>
        <v>4.8395465417122811E-3</v>
      </c>
      <c r="T25" s="4">
        <f t="shared" si="4"/>
        <v>5.224031271984079E-3</v>
      </c>
      <c r="U25" s="4">
        <f t="shared" si="5"/>
        <v>5.2761116330039071E-3</v>
      </c>
      <c r="V25" s="4">
        <f t="shared" si="6"/>
        <v>5.2534959541342954E-3</v>
      </c>
      <c r="W25" s="4">
        <f t="shared" si="7"/>
        <v>0.39784405574747128</v>
      </c>
      <c r="X25" s="4">
        <f t="shared" si="8"/>
        <v>9.3712738923765401E-3</v>
      </c>
      <c r="Y25" s="4">
        <f t="shared" si="9"/>
        <v>2.135587186176529E-3</v>
      </c>
      <c r="Z25" s="4">
        <f t="shared" si="10"/>
        <v>-2.1615972852196279E-2</v>
      </c>
      <c r="AA25" s="4">
        <f t="shared" si="11"/>
        <v>-5.5586156332692585E-3</v>
      </c>
      <c r="AB25" s="4"/>
      <c r="AC25" s="4"/>
      <c r="AD25" s="4"/>
      <c r="AE25" s="14"/>
      <c r="AF25" s="7"/>
      <c r="AH25" s="15" t="s">
        <v>3</v>
      </c>
      <c r="AI25" s="2">
        <f t="shared" si="12"/>
        <v>9.0909090909090912E-2</v>
      </c>
    </row>
    <row r="26" spans="2:42" x14ac:dyDescent="0.35">
      <c r="B26" s="1">
        <v>43466</v>
      </c>
      <c r="C26" s="2">
        <v>19.550301000000001</v>
      </c>
      <c r="D26" s="2">
        <v>15.0075</v>
      </c>
      <c r="E26" s="2">
        <v>30.457398999999999</v>
      </c>
      <c r="F26" s="2">
        <v>272.20300300000002</v>
      </c>
      <c r="G26" s="2">
        <v>3635.23999</v>
      </c>
      <c r="H26" s="2">
        <v>2881.8701169999999</v>
      </c>
      <c r="I26" s="2">
        <v>78.849997999999999</v>
      </c>
      <c r="J26" s="2">
        <v>3003.8500979999999</v>
      </c>
      <c r="K26" s="2">
        <v>290.32998700000002</v>
      </c>
      <c r="L26" s="2">
        <v>629.487976</v>
      </c>
      <c r="M26" s="2">
        <v>47.745700999999997</v>
      </c>
      <c r="N26" s="2"/>
      <c r="O26" s="2"/>
      <c r="P26" s="7"/>
      <c r="Q26" s="4">
        <f t="shared" si="1"/>
        <v>6.3209882897955275E-3</v>
      </c>
      <c r="R26" s="4">
        <f t="shared" si="2"/>
        <v>5.0966419759701223E-3</v>
      </c>
      <c r="S26" s="4">
        <f t="shared" si="3"/>
        <v>7.7922960570878637E-3</v>
      </c>
      <c r="T26" s="4">
        <f t="shared" si="4"/>
        <v>6.0428803195506668E-3</v>
      </c>
      <c r="U26" s="4">
        <f t="shared" si="5"/>
        <v>6.1304593742529763E-3</v>
      </c>
      <c r="V26" s="4">
        <f t="shared" si="6"/>
        <v>6.0393177996440426E-3</v>
      </c>
      <c r="W26" s="4">
        <f t="shared" si="7"/>
        <v>0</v>
      </c>
      <c r="X26" s="4">
        <f t="shared" si="8"/>
        <v>4.3311463537684107E-2</v>
      </c>
      <c r="Y26" s="4">
        <f t="shared" si="9"/>
        <v>-2.3674237879985169E-2</v>
      </c>
      <c r="Z26" s="4">
        <f t="shared" si="10"/>
        <v>-2.0813062510104534E-4</v>
      </c>
      <c r="AA26" s="4">
        <f t="shared" si="11"/>
        <v>-1.5107832196393856E-2</v>
      </c>
      <c r="AB26" s="4"/>
      <c r="AC26" s="4"/>
      <c r="AD26" s="4"/>
      <c r="AE26" s="14"/>
      <c r="AF26" s="7"/>
      <c r="AH26" s="15" t="s">
        <v>18</v>
      </c>
      <c r="AI26" s="2">
        <f t="shared" si="12"/>
        <v>9.0909090909090912E-2</v>
      </c>
    </row>
    <row r="27" spans="2:42" x14ac:dyDescent="0.35">
      <c r="B27" s="1">
        <v>43435</v>
      </c>
      <c r="C27" s="2">
        <v>19.427499999999998</v>
      </c>
      <c r="D27" s="2">
        <v>14.9314</v>
      </c>
      <c r="E27" s="2">
        <v>30.221900999999999</v>
      </c>
      <c r="F27" s="2">
        <v>270.567993</v>
      </c>
      <c r="G27" s="2">
        <v>3613.0900879999999</v>
      </c>
      <c r="H27" s="2">
        <v>2864.570068</v>
      </c>
      <c r="I27" s="2">
        <v>78.849997999999999</v>
      </c>
      <c r="J27" s="2">
        <v>2879.1499020000001</v>
      </c>
      <c r="K27" s="2">
        <v>297.36999500000002</v>
      </c>
      <c r="L27" s="2">
        <v>629.61901899999998</v>
      </c>
      <c r="M27" s="2">
        <v>48.478099999999998</v>
      </c>
      <c r="N27" s="2"/>
      <c r="O27" s="2"/>
      <c r="P27" s="7"/>
      <c r="Q27" s="4">
        <f t="shared" si="1"/>
        <v>6.7574920583920936E-3</v>
      </c>
      <c r="R27" s="4">
        <f t="shared" si="2"/>
        <v>8.0746431898891524E-3</v>
      </c>
      <c r="S27" s="4">
        <f t="shared" si="3"/>
        <v>8.6810872510996936E-3</v>
      </c>
      <c r="T27" s="4">
        <f t="shared" si="4"/>
        <v>6.3340452023895859E-3</v>
      </c>
      <c r="U27" s="4">
        <f t="shared" si="5"/>
        <v>6.2804059431350477E-3</v>
      </c>
      <c r="V27" s="4">
        <f t="shared" si="6"/>
        <v>6.0972345692070903E-3</v>
      </c>
      <c r="W27" s="4">
        <f t="shared" si="7"/>
        <v>0</v>
      </c>
      <c r="X27" s="4">
        <f t="shared" si="8"/>
        <v>3.8673119246372734E-2</v>
      </c>
      <c r="Y27" s="4">
        <f t="shared" si="9"/>
        <v>1.3807404552530376E-2</v>
      </c>
      <c r="Z27" s="4">
        <f t="shared" si="10"/>
        <v>2.1026417911862473E-2</v>
      </c>
      <c r="AA27" s="4">
        <f t="shared" si="11"/>
        <v>1.4850728615180967E-2</v>
      </c>
      <c r="AB27" s="4"/>
      <c r="AC27" s="4"/>
      <c r="AD27" s="4"/>
      <c r="AE27" s="14"/>
      <c r="AF27" s="7"/>
      <c r="AH27" s="15" t="s">
        <v>19</v>
      </c>
      <c r="AI27" s="2">
        <f t="shared" si="12"/>
        <v>9.0909090909090912E-2</v>
      </c>
    </row>
    <row r="28" spans="2:42" x14ac:dyDescent="0.35">
      <c r="B28" s="1">
        <v>43405</v>
      </c>
      <c r="C28" s="2">
        <v>19.2971</v>
      </c>
      <c r="D28" s="2">
        <v>14.8118</v>
      </c>
      <c r="E28" s="2">
        <v>29.9618</v>
      </c>
      <c r="F28" s="2">
        <v>268.86498999999998</v>
      </c>
      <c r="G28" s="2">
        <v>3590.540039</v>
      </c>
      <c r="H28" s="2">
        <v>2847.209961</v>
      </c>
      <c r="I28" s="2">
        <v>78.849997999999999</v>
      </c>
      <c r="J28" s="2">
        <v>2771.9499510000001</v>
      </c>
      <c r="K28" s="2">
        <v>293.32000699999998</v>
      </c>
      <c r="L28" s="2">
        <v>616.65301499999998</v>
      </c>
      <c r="M28" s="2">
        <v>47.768700000000003</v>
      </c>
      <c r="N28" s="2"/>
      <c r="O28" s="2"/>
      <c r="P28" s="7"/>
      <c r="Q28" s="4">
        <f t="shared" si="1"/>
        <v>1.0240033505222044E-2</v>
      </c>
      <c r="R28" s="4">
        <f t="shared" si="2"/>
        <v>1.1244546702077534E-2</v>
      </c>
      <c r="S28" s="4">
        <f t="shared" si="3"/>
        <v>1.0304759207181024E-2</v>
      </c>
      <c r="T28" s="4">
        <f t="shared" si="4"/>
        <v>6.3103914916421179E-3</v>
      </c>
      <c r="U28" s="4">
        <f t="shared" si="5"/>
        <v>6.356732416582949E-3</v>
      </c>
      <c r="V28" s="4">
        <f t="shared" si="6"/>
        <v>6.0705829351466603E-3</v>
      </c>
      <c r="W28" s="4">
        <f t="shared" si="7"/>
        <v>0</v>
      </c>
      <c r="X28" s="4">
        <f t="shared" si="8"/>
        <v>-4.6243619133320202E-2</v>
      </c>
      <c r="Y28" s="4">
        <f t="shared" si="9"/>
        <v>1.2530653370633008E-2</v>
      </c>
      <c r="Z28" s="4">
        <f t="shared" si="10"/>
        <v>8.8359643425239501E-3</v>
      </c>
      <c r="AA28" s="4">
        <f t="shared" si="11"/>
        <v>4.9102910242795478E-2</v>
      </c>
      <c r="AB28" s="4"/>
      <c r="AC28" s="4"/>
      <c r="AD28" s="4"/>
      <c r="AE28" s="14"/>
      <c r="AF28" s="7"/>
      <c r="AH28" s="15" t="s">
        <v>17</v>
      </c>
      <c r="AI28" s="2">
        <f t="shared" si="12"/>
        <v>9.0909090909090912E-2</v>
      </c>
    </row>
    <row r="29" spans="2:42" x14ac:dyDescent="0.35">
      <c r="B29" s="1">
        <v>43374</v>
      </c>
      <c r="C29" s="2">
        <v>19.101500000000001</v>
      </c>
      <c r="D29" s="2">
        <v>14.6471</v>
      </c>
      <c r="E29" s="2">
        <v>29.656199999999998</v>
      </c>
      <c r="F29" s="2">
        <v>267.17898600000001</v>
      </c>
      <c r="G29" s="2">
        <v>3567.860107</v>
      </c>
      <c r="H29" s="2">
        <v>2830.030029</v>
      </c>
      <c r="I29" s="2">
        <v>78.849997999999999</v>
      </c>
      <c r="J29" s="2">
        <v>2906.3500979999999</v>
      </c>
      <c r="K29" s="2">
        <v>289.69000199999999</v>
      </c>
      <c r="L29" s="2">
        <v>611.25201400000003</v>
      </c>
      <c r="M29" s="2">
        <v>45.532902</v>
      </c>
      <c r="N29" s="2"/>
      <c r="O29" s="2"/>
      <c r="P29" s="7"/>
      <c r="Q29" s="4">
        <f t="shared" si="1"/>
        <v>6.2265784255941328E-3</v>
      </c>
      <c r="R29" s="4">
        <f t="shared" si="2"/>
        <v>5.6782291065887291E-3</v>
      </c>
      <c r="S29" s="4">
        <f t="shared" si="3"/>
        <v>7.3472059126289072E-3</v>
      </c>
      <c r="T29" s="4">
        <f t="shared" si="4"/>
        <v>6.16854305937003E-3</v>
      </c>
      <c r="U29" s="4">
        <f t="shared" si="5"/>
        <v>6.2243019911647941E-3</v>
      </c>
      <c r="V29" s="4">
        <f t="shared" si="6"/>
        <v>6.2149934029494206E-3</v>
      </c>
      <c r="W29" s="4">
        <f t="shared" si="7"/>
        <v>0</v>
      </c>
      <c r="X29" s="4">
        <f t="shared" si="8"/>
        <v>4.9489057370106573E-2</v>
      </c>
      <c r="Y29" s="4">
        <f t="shared" si="9"/>
        <v>-2.7788028902949971E-2</v>
      </c>
      <c r="Z29" s="4">
        <f t="shared" si="10"/>
        <v>-3.3863800197185415E-3</v>
      </c>
      <c r="AA29" s="4">
        <f t="shared" si="11"/>
        <v>-4.1545743992324129E-2</v>
      </c>
      <c r="AB29" s="4"/>
      <c r="AC29" s="4"/>
      <c r="AD29" s="4"/>
      <c r="AE29" s="14"/>
      <c r="AF29" s="7"/>
      <c r="AH29" s="15"/>
      <c r="AI29" s="2"/>
    </row>
    <row r="30" spans="2:42" x14ac:dyDescent="0.35">
      <c r="B30" s="1">
        <v>43344</v>
      </c>
      <c r="C30" s="2">
        <v>18.983298999999999</v>
      </c>
      <c r="D30" s="2">
        <v>14.564399999999999</v>
      </c>
      <c r="E30" s="2">
        <v>29.439899</v>
      </c>
      <c r="F30" s="2">
        <v>265.54098499999998</v>
      </c>
      <c r="G30" s="2">
        <v>3545.790039</v>
      </c>
      <c r="H30" s="2">
        <v>2812.5500489999999</v>
      </c>
      <c r="I30" s="2">
        <v>78.849997999999999</v>
      </c>
      <c r="J30" s="2">
        <v>2769.3000489999999</v>
      </c>
      <c r="K30" s="2">
        <v>297.97000100000002</v>
      </c>
      <c r="L30" s="2">
        <v>613.328979</v>
      </c>
      <c r="M30" s="2">
        <v>47.506599000000001</v>
      </c>
      <c r="N30" s="2"/>
      <c r="O30" s="2"/>
      <c r="P30" s="7"/>
      <c r="Q30" s="4">
        <f t="shared" si="1"/>
        <v>-1.0104985654256745E-3</v>
      </c>
      <c r="R30" s="4">
        <f t="shared" si="2"/>
        <v>-1.6040801217456046E-3</v>
      </c>
      <c r="S30" s="4">
        <f t="shared" si="3"/>
        <v>8.8390182872719264E-4</v>
      </c>
      <c r="T30" s="4">
        <f t="shared" si="4"/>
        <v>5.6846536465614958E-3</v>
      </c>
      <c r="U30" s="4">
        <f t="shared" si="5"/>
        <v>5.689618636081686E-3</v>
      </c>
      <c r="V30" s="4">
        <f t="shared" si="6"/>
        <v>5.8220518346078802E-3</v>
      </c>
      <c r="W30" s="4">
        <f t="shared" si="7"/>
        <v>0</v>
      </c>
      <c r="X30" s="4">
        <f t="shared" si="8"/>
        <v>9.2167669648502554E-4</v>
      </c>
      <c r="Y30" s="4">
        <f t="shared" si="9"/>
        <v>-6.9425390902233916E-2</v>
      </c>
      <c r="Z30" s="4">
        <f t="shared" si="10"/>
        <v>-7.9068990578892967E-2</v>
      </c>
      <c r="AA30" s="4">
        <f t="shared" si="11"/>
        <v>-8.8137082904657285E-2</v>
      </c>
      <c r="AB30" s="4"/>
      <c r="AC30" s="4"/>
      <c r="AD30" s="4"/>
      <c r="AE30" s="14"/>
      <c r="AF30" s="7"/>
      <c r="AH30" s="15" t="s">
        <v>24</v>
      </c>
      <c r="AI30" s="2">
        <f>SUM(AI18:AI28)</f>
        <v>1.0000000000000002</v>
      </c>
    </row>
    <row r="31" spans="2:42" x14ac:dyDescent="0.35">
      <c r="B31" s="1">
        <v>43313</v>
      </c>
      <c r="C31" s="2">
        <v>19.002500999999999</v>
      </c>
      <c r="D31" s="2">
        <v>14.5878</v>
      </c>
      <c r="E31" s="2">
        <v>29.413900000000002</v>
      </c>
      <c r="F31" s="2">
        <v>264.040009</v>
      </c>
      <c r="G31" s="2">
        <v>3525.7299800000001</v>
      </c>
      <c r="H31" s="2">
        <v>2796.2700199999999</v>
      </c>
      <c r="I31" s="2">
        <v>78.849997999999999</v>
      </c>
      <c r="J31" s="2">
        <v>2766.75</v>
      </c>
      <c r="K31" s="2">
        <v>320.20001200000002</v>
      </c>
      <c r="L31" s="2">
        <v>665.987976</v>
      </c>
      <c r="M31" s="2">
        <v>52.098399999999998</v>
      </c>
      <c r="N31" s="2"/>
      <c r="O31" s="2"/>
      <c r="P31" s="7"/>
      <c r="Q31" s="4">
        <f t="shared" si="1"/>
        <v>5.3754583115089077E-3</v>
      </c>
      <c r="R31" s="4">
        <f t="shared" si="2"/>
        <v>4.8078247692518918E-3</v>
      </c>
      <c r="S31" s="4">
        <f t="shared" si="3"/>
        <v>5.8166519336288183E-3</v>
      </c>
      <c r="T31" s="4">
        <f t="shared" si="4"/>
        <v>5.9778068898185292E-3</v>
      </c>
      <c r="U31" s="4">
        <f t="shared" si="5"/>
        <v>5.9373847229369104E-3</v>
      </c>
      <c r="V31" s="4">
        <f t="shared" si="6"/>
        <v>5.9647224517548596E-3</v>
      </c>
      <c r="W31" s="4">
        <f t="shared" si="7"/>
        <v>0</v>
      </c>
      <c r="X31" s="4">
        <f t="shared" si="8"/>
        <v>1.8010872807957646E-2</v>
      </c>
      <c r="Y31" s="4">
        <f t="shared" si="9"/>
        <v>5.5094241445773594E-2</v>
      </c>
      <c r="Z31" s="4">
        <f t="shared" si="10"/>
        <v>5.1977480893982894E-2</v>
      </c>
      <c r="AA31" s="4">
        <f t="shared" si="11"/>
        <v>2.9329907976463034E-2</v>
      </c>
      <c r="AB31" s="4"/>
      <c r="AC31" s="4"/>
      <c r="AD31" s="4"/>
      <c r="AE31" s="14"/>
      <c r="AF31" s="7"/>
      <c r="AH31" s="3" t="s">
        <v>22</v>
      </c>
      <c r="AI31" s="8">
        <f t="array" ref="AI31">MMULT(TRANSPOSE(AI18:AI28), AI4:AI14)</f>
        <v>8.6080635961029328E-2</v>
      </c>
    </row>
    <row r="32" spans="2:42" x14ac:dyDescent="0.35">
      <c r="B32" s="1">
        <v>43282</v>
      </c>
      <c r="C32" s="2">
        <v>18.9009</v>
      </c>
      <c r="D32" s="2">
        <v>14.518000000000001</v>
      </c>
      <c r="E32" s="2">
        <v>29.243798999999999</v>
      </c>
      <c r="F32" s="2">
        <v>262.47100799999998</v>
      </c>
      <c r="G32" s="2">
        <v>3504.919922</v>
      </c>
      <c r="H32" s="2">
        <v>2779.6899410000001</v>
      </c>
      <c r="I32" s="2">
        <v>78.849997999999999</v>
      </c>
      <c r="J32" s="2">
        <v>2717.8000489999999</v>
      </c>
      <c r="K32" s="2">
        <v>303.48001099999999</v>
      </c>
      <c r="L32" s="2">
        <v>633.08196999999996</v>
      </c>
      <c r="M32" s="2">
        <v>50.613899000000004</v>
      </c>
      <c r="N32" s="2"/>
      <c r="O32" s="2"/>
      <c r="P32" s="7"/>
      <c r="Q32" s="4">
        <f t="shared" si="1"/>
        <v>7.9243612783497629E-3</v>
      </c>
      <c r="R32" s="4">
        <f t="shared" si="2"/>
        <v>8.6427301022677719E-3</v>
      </c>
      <c r="S32" s="4">
        <f t="shared" si="3"/>
        <v>1.0487071661316525E-2</v>
      </c>
      <c r="T32" s="4">
        <f t="shared" si="4"/>
        <v>6.1758149683248231E-3</v>
      </c>
      <c r="U32" s="4">
        <f t="shared" si="5"/>
        <v>6.261592177683079E-3</v>
      </c>
      <c r="V32" s="4">
        <f t="shared" si="6"/>
        <v>6.1279050437682151E-3</v>
      </c>
      <c r="W32" s="4">
        <f t="shared" si="7"/>
        <v>0</v>
      </c>
      <c r="X32" s="4">
        <f t="shared" si="8"/>
        <v>-2.2497184453495377E-2</v>
      </c>
      <c r="Y32" s="4">
        <f t="shared" si="9"/>
        <v>6.2121580921368463E-2</v>
      </c>
      <c r="Z32" s="4">
        <f t="shared" si="10"/>
        <v>7.0386002870839612E-2</v>
      </c>
      <c r="AA32" s="4">
        <f t="shared" si="11"/>
        <v>5.0440526339536482E-2</v>
      </c>
      <c r="AB32" s="4"/>
      <c r="AC32" s="4"/>
      <c r="AD32" s="4"/>
      <c r="AE32" s="14"/>
      <c r="AF32" s="7"/>
      <c r="AH32" s="3" t="s">
        <v>8</v>
      </c>
      <c r="AI32" s="8">
        <f t="array" ref="AI32">SQRT(MMULT(MMULT(TRANSPOSE(AI18:AI28),AM5:AW15),AI18:AI28))</f>
        <v>6.6147371679893013E-2</v>
      </c>
      <c r="AO32" s="22" t="s">
        <v>33</v>
      </c>
      <c r="AP32" s="22">
        <v>250</v>
      </c>
    </row>
    <row r="33" spans="2:45" x14ac:dyDescent="0.35">
      <c r="B33" s="1">
        <v>43252</v>
      </c>
      <c r="C33" s="2">
        <v>18.752300000000002</v>
      </c>
      <c r="D33" s="2">
        <v>14.393599999999999</v>
      </c>
      <c r="E33" s="2">
        <v>28.940300000000001</v>
      </c>
      <c r="F33" s="2">
        <v>260.85998499999999</v>
      </c>
      <c r="G33" s="2">
        <v>3483.110107</v>
      </c>
      <c r="H33" s="2">
        <v>2762.76001</v>
      </c>
      <c r="I33" s="2">
        <v>78.849997999999999</v>
      </c>
      <c r="J33" s="2">
        <v>2780.3500979999999</v>
      </c>
      <c r="K33" s="2">
        <v>285.73001099999999</v>
      </c>
      <c r="L33" s="2">
        <v>591.45202600000005</v>
      </c>
      <c r="M33" s="2">
        <v>48.183498</v>
      </c>
      <c r="N33" s="2"/>
      <c r="O33" s="2"/>
      <c r="P33" s="7"/>
      <c r="Q33" s="4">
        <f t="shared" si="1"/>
        <v>5.5769158582821363E-3</v>
      </c>
      <c r="R33" s="4">
        <f t="shared" si="2"/>
        <v>4.7467470821466202E-3</v>
      </c>
      <c r="S33" s="4">
        <f t="shared" si="3"/>
        <v>6.3321070164336409E-3</v>
      </c>
      <c r="T33" s="4">
        <f t="shared" si="4"/>
        <v>6.1247723688855485E-3</v>
      </c>
      <c r="U33" s="4">
        <f t="shared" si="5"/>
        <v>5.9262050888190636E-3</v>
      </c>
      <c r="V33" s="4">
        <f t="shared" si="6"/>
        <v>6.0118379608556996E-3</v>
      </c>
      <c r="W33" s="4">
        <f t="shared" si="7"/>
        <v>0</v>
      </c>
      <c r="X33" s="4">
        <f t="shared" si="8"/>
        <v>-2.9546213612565483E-2</v>
      </c>
      <c r="Y33" s="4">
        <f t="shared" si="9"/>
        <v>-4.3903238576369413E-3</v>
      </c>
      <c r="Z33" s="4">
        <f t="shared" si="10"/>
        <v>-3.410069639753914E-2</v>
      </c>
      <c r="AA33" s="4">
        <f t="shared" si="11"/>
        <v>-2.9233719071083967E-2</v>
      </c>
      <c r="AB33" s="4"/>
      <c r="AC33" s="4"/>
      <c r="AD33" s="4"/>
      <c r="AE33" s="14"/>
      <c r="AF33" s="7"/>
    </row>
    <row r="34" spans="2:45" x14ac:dyDescent="0.35">
      <c r="B34" s="1">
        <v>43221</v>
      </c>
      <c r="C34" s="2">
        <v>18.648299999999999</v>
      </c>
      <c r="D34" s="2">
        <v>14.3256</v>
      </c>
      <c r="E34" s="2">
        <v>28.758199999999999</v>
      </c>
      <c r="F34" s="2">
        <v>259.27200299999998</v>
      </c>
      <c r="G34" s="2">
        <v>3462.5900879999999</v>
      </c>
      <c r="H34" s="2">
        <v>2746.25</v>
      </c>
      <c r="I34" s="2">
        <v>78.849997999999999</v>
      </c>
      <c r="J34" s="2">
        <v>2865</v>
      </c>
      <c r="K34" s="2">
        <v>286.98998999999998</v>
      </c>
      <c r="L34" s="2">
        <v>612.33300799999995</v>
      </c>
      <c r="M34" s="2">
        <v>49.634498999999998</v>
      </c>
      <c r="N34" s="2"/>
      <c r="O34" s="2"/>
      <c r="P34" s="7"/>
      <c r="Q34" s="4">
        <f t="shared" si="1"/>
        <v>5.4510117673293897E-3</v>
      </c>
      <c r="R34" s="4">
        <f t="shared" si="2"/>
        <v>4.8188732217309578E-4</v>
      </c>
      <c r="S34" s="4">
        <f t="shared" si="3"/>
        <v>1.699791705852437E-3</v>
      </c>
      <c r="T34" s="4">
        <f t="shared" si="4"/>
        <v>5.6747943506546827E-3</v>
      </c>
      <c r="U34" s="4">
        <f t="shared" si="5"/>
        <v>6.2421661417647722E-3</v>
      </c>
      <c r="V34" s="4">
        <f t="shared" si="6"/>
        <v>5.742365736648076E-3</v>
      </c>
      <c r="W34" s="4">
        <f t="shared" si="7"/>
        <v>0</v>
      </c>
      <c r="X34" s="4">
        <f t="shared" si="8"/>
        <v>1.0475064538751418E-2</v>
      </c>
      <c r="Y34" s="4">
        <f t="shared" si="9"/>
        <v>-1.4863438473005386E-2</v>
      </c>
      <c r="Z34" s="4">
        <f t="shared" si="10"/>
        <v>-1.795746873323412E-2</v>
      </c>
      <c r="AA34" s="4">
        <f t="shared" si="11"/>
        <v>-1.7123043872438435E-2</v>
      </c>
      <c r="AB34" s="4"/>
      <c r="AC34" s="4"/>
      <c r="AD34" s="4"/>
      <c r="AE34" s="14"/>
      <c r="AF34" s="7"/>
      <c r="AN34" s="25"/>
      <c r="AO34" s="26" t="s">
        <v>30</v>
      </c>
      <c r="AP34" s="26" t="s">
        <v>34</v>
      </c>
      <c r="AR34" s="31" t="s">
        <v>42</v>
      </c>
      <c r="AS34" s="31" t="s">
        <v>68</v>
      </c>
    </row>
    <row r="35" spans="2:45" x14ac:dyDescent="0.35">
      <c r="B35" s="1">
        <v>43191</v>
      </c>
      <c r="C35" s="2">
        <v>18.547198999999999</v>
      </c>
      <c r="D35" s="2">
        <v>14.3187</v>
      </c>
      <c r="E35" s="2">
        <v>28.709399999999999</v>
      </c>
      <c r="F35" s="2">
        <v>257.80898999999999</v>
      </c>
      <c r="G35" s="2">
        <v>3441.110107</v>
      </c>
      <c r="H35" s="2">
        <v>2730.570068</v>
      </c>
      <c r="I35" s="2">
        <v>78.849997999999999</v>
      </c>
      <c r="J35" s="2">
        <v>2835.3000489999999</v>
      </c>
      <c r="K35" s="2">
        <v>291.32000699999998</v>
      </c>
      <c r="L35" s="2">
        <v>623.53002900000001</v>
      </c>
      <c r="M35" s="2">
        <v>50.499198999999997</v>
      </c>
      <c r="N35" s="2"/>
      <c r="O35" s="2"/>
      <c r="P35" s="7"/>
      <c r="Q35" s="4">
        <f t="shared" si="1"/>
        <v>-9.3199380904452082E-4</v>
      </c>
      <c r="R35" s="4">
        <f t="shared" si="2"/>
        <v>-6.3910400532933833E-3</v>
      </c>
      <c r="S35" s="4">
        <f t="shared" si="3"/>
        <v>-1.8357080416556558E-3</v>
      </c>
      <c r="T35" s="4">
        <f t="shared" si="4"/>
        <v>5.5423420752922043E-3</v>
      </c>
      <c r="U35" s="4">
        <f t="shared" si="5"/>
        <v>5.6021339738644704E-3</v>
      </c>
      <c r="V35" s="4">
        <f t="shared" si="6"/>
        <v>5.5162890990785168E-3</v>
      </c>
      <c r="W35" s="4">
        <f t="shared" si="7"/>
        <v>0</v>
      </c>
      <c r="X35" s="4">
        <f t="shared" si="8"/>
        <v>1.0802156506238839E-2</v>
      </c>
      <c r="Y35" s="4">
        <f t="shared" si="9"/>
        <v>3.550997213816371E-2</v>
      </c>
      <c r="Z35" s="4">
        <f t="shared" si="10"/>
        <v>5.4022176278685205E-2</v>
      </c>
      <c r="AA35" s="4">
        <f t="shared" si="11"/>
        <v>5.233854380458882E-2</v>
      </c>
      <c r="AB35" s="4"/>
      <c r="AC35" s="4"/>
      <c r="AD35" s="4"/>
      <c r="AE35" s="14"/>
      <c r="AF35" s="7"/>
      <c r="AH35" s="3" t="s">
        <v>23</v>
      </c>
      <c r="AI35" s="3" t="s">
        <v>10</v>
      </c>
      <c r="AN35" s="26" t="s">
        <v>1</v>
      </c>
      <c r="AO35" s="35">
        <v>0.3</v>
      </c>
      <c r="AP35" s="28">
        <f>AO35*AP32</f>
        <v>75</v>
      </c>
      <c r="AR35" s="31" t="s">
        <v>43</v>
      </c>
      <c r="AS35" s="32">
        <f>SUM(AP35:AP36)</f>
        <v>100</v>
      </c>
    </row>
    <row r="36" spans="2:45" x14ac:dyDescent="0.35">
      <c r="B36" s="1">
        <v>43160</v>
      </c>
      <c r="C36" s="2">
        <v>18.564501</v>
      </c>
      <c r="D36" s="2">
        <v>14.4108</v>
      </c>
      <c r="E36" s="2">
        <v>28.762198999999999</v>
      </c>
      <c r="F36" s="2">
        <v>256.38799999999998</v>
      </c>
      <c r="G36" s="2">
        <v>3421.9399410000001</v>
      </c>
      <c r="H36" s="2">
        <v>2715.5900879999999</v>
      </c>
      <c r="I36" s="2">
        <v>78.849997999999999</v>
      </c>
      <c r="J36" s="2">
        <v>2805</v>
      </c>
      <c r="K36" s="2">
        <v>281.32998700000002</v>
      </c>
      <c r="L36" s="2">
        <v>591.57202099999995</v>
      </c>
      <c r="M36" s="2">
        <v>47.987597999999998</v>
      </c>
      <c r="N36" s="2"/>
      <c r="O36" s="2"/>
      <c r="P36" s="7"/>
      <c r="Q36" s="4">
        <f t="shared" si="1"/>
        <v>1.1551559103579384E-2</v>
      </c>
      <c r="R36" s="4">
        <f t="shared" si="2"/>
        <v>1.5660459805759613E-2</v>
      </c>
      <c r="S36" s="4">
        <f t="shared" si="3"/>
        <v>1.2503925088886505E-2</v>
      </c>
      <c r="T36" s="4">
        <f t="shared" si="4"/>
        <v>7.0465370051108417E-3</v>
      </c>
      <c r="U36" s="4">
        <f t="shared" si="5"/>
        <v>5.994294279454874E-3</v>
      </c>
      <c r="V36" s="4">
        <f t="shared" si="6"/>
        <v>6.7659247275458877E-3</v>
      </c>
      <c r="W36" s="4">
        <f t="shared" si="7"/>
        <v>1.6108247837841438E-2</v>
      </c>
      <c r="X36" s="4">
        <f t="shared" si="8"/>
        <v>3.0215625867384775E-3</v>
      </c>
      <c r="Y36" s="4">
        <f t="shared" si="9"/>
        <v>-2.1631025072412692E-2</v>
      </c>
      <c r="Z36" s="4">
        <f t="shared" si="10"/>
        <v>-5.7488598565821517E-2</v>
      </c>
      <c r="AA36" s="4">
        <f t="shared" si="11"/>
        <v>-2.3810969097666491E-2</v>
      </c>
      <c r="AB36" s="4"/>
      <c r="AC36" s="4"/>
      <c r="AD36" s="4"/>
      <c r="AE36" s="14"/>
      <c r="AF36" s="7"/>
      <c r="AH36" s="15" t="s">
        <v>11</v>
      </c>
      <c r="AI36" s="5">
        <v>0.1</v>
      </c>
      <c r="AN36" s="26" t="s">
        <v>32</v>
      </c>
      <c r="AO36" s="35">
        <v>0.1</v>
      </c>
      <c r="AP36" s="28">
        <f>AO36*AP32</f>
        <v>25</v>
      </c>
      <c r="AR36" s="31" t="s">
        <v>44</v>
      </c>
      <c r="AS36" s="32">
        <f>SUM(AP37:AP38)</f>
        <v>76.452503364786864</v>
      </c>
    </row>
    <row r="37" spans="2:45" x14ac:dyDescent="0.35">
      <c r="B37" s="1">
        <v>43132</v>
      </c>
      <c r="C37" s="2">
        <v>18.352501</v>
      </c>
      <c r="D37" s="2">
        <v>14.188599999999999</v>
      </c>
      <c r="E37" s="2">
        <v>28.407</v>
      </c>
      <c r="F37" s="2">
        <v>254.59399400000001</v>
      </c>
      <c r="G37" s="2">
        <v>3401.5500489999999</v>
      </c>
      <c r="H37" s="2">
        <v>2697.3400879999999</v>
      </c>
      <c r="I37" s="2">
        <v>77.599997999999999</v>
      </c>
      <c r="J37" s="2">
        <v>2796.5500489999999</v>
      </c>
      <c r="K37" s="2">
        <v>287.54998799999998</v>
      </c>
      <c r="L37" s="2">
        <v>627.65502900000001</v>
      </c>
      <c r="M37" s="2">
        <v>49.158099999999997</v>
      </c>
      <c r="N37" s="2"/>
      <c r="O37" s="2"/>
      <c r="P37" s="7"/>
      <c r="Q37" s="4">
        <f t="shared" si="1"/>
        <v>2.9073244827574466E-3</v>
      </c>
      <c r="R37" s="4">
        <f t="shared" si="2"/>
        <v>-3.1405225773362909E-3</v>
      </c>
      <c r="S37" s="4">
        <f t="shared" si="3"/>
        <v>1.6678949942311068E-3</v>
      </c>
      <c r="T37" s="4">
        <f t="shared" si="4"/>
        <v>5.0371510720125115E-3</v>
      </c>
      <c r="U37" s="4">
        <f t="shared" si="5"/>
        <v>5.0376862165755487E-3</v>
      </c>
      <c r="V37" s="4">
        <f t="shared" si="6"/>
        <v>4.9852185555758748E-3</v>
      </c>
      <c r="W37" s="4">
        <f t="shared" si="7"/>
        <v>0</v>
      </c>
      <c r="X37" s="4">
        <f t="shared" si="8"/>
        <v>1.238074457859688E-2</v>
      </c>
      <c r="Y37" s="4">
        <f t="shared" si="9"/>
        <v>-3.5649625224855507E-2</v>
      </c>
      <c r="Z37" s="4">
        <f t="shared" si="10"/>
        <v>-6.6432665138096605E-2</v>
      </c>
      <c r="AA37" s="4">
        <f t="shared" si="11"/>
        <v>-3.4690473004633508E-2</v>
      </c>
      <c r="AB37" s="4"/>
      <c r="AC37" s="4"/>
      <c r="AD37" s="4"/>
      <c r="AE37" s="14"/>
      <c r="AF37" s="7"/>
      <c r="AH37" s="15" t="s">
        <v>12</v>
      </c>
      <c r="AI37" s="5">
        <v>0</v>
      </c>
      <c r="AN37" s="26" t="s">
        <v>31</v>
      </c>
      <c r="AO37" s="27">
        <f>AI36*0.6</f>
        <v>0.06</v>
      </c>
      <c r="AP37" s="28">
        <f>AO37*AP32</f>
        <v>15</v>
      </c>
      <c r="AR37" s="31" t="s">
        <v>45</v>
      </c>
      <c r="AS37" s="32">
        <f>SUM(AP39:AP40)</f>
        <v>43.547496323537679</v>
      </c>
    </row>
    <row r="38" spans="2:45" x14ac:dyDescent="0.35">
      <c r="B38" s="1">
        <v>43101</v>
      </c>
      <c r="C38" s="2">
        <v>18.299299000000001</v>
      </c>
      <c r="D38" s="2">
        <v>14.2333</v>
      </c>
      <c r="E38" s="2">
        <v>28.359698999999999</v>
      </c>
      <c r="F38" s="2">
        <v>253.317993</v>
      </c>
      <c r="G38" s="2">
        <v>3384.5</v>
      </c>
      <c r="H38" s="2">
        <v>2683.959961</v>
      </c>
      <c r="I38" s="2">
        <v>77.599997999999999</v>
      </c>
      <c r="J38" s="2">
        <v>2762.3500979999999</v>
      </c>
      <c r="K38" s="2">
        <v>298.17999300000002</v>
      </c>
      <c r="L38" s="2">
        <v>672.31897000000004</v>
      </c>
      <c r="M38" s="2">
        <v>50.924702000000003</v>
      </c>
      <c r="N38" s="2"/>
      <c r="O38" s="2"/>
      <c r="P38" s="7"/>
      <c r="Q38" s="4">
        <f t="shared" si="1"/>
        <v>4.5121890970573142E-3</v>
      </c>
      <c r="R38" s="4">
        <f t="shared" si="2"/>
        <v>4.3325171642474899E-3</v>
      </c>
      <c r="S38" s="4">
        <f t="shared" si="3"/>
        <v>5.246014951243585E-3</v>
      </c>
      <c r="T38" s="4">
        <f t="shared" si="4"/>
        <v>5.4815172917279994E-3</v>
      </c>
      <c r="U38" s="4">
        <f t="shared" si="5"/>
        <v>5.4632476108720553E-3</v>
      </c>
      <c r="V38" s="4">
        <f t="shared" si="6"/>
        <v>5.4431205800984529E-3</v>
      </c>
      <c r="W38" s="4">
        <f t="shared" si="7"/>
        <v>0</v>
      </c>
      <c r="X38" s="4">
        <f t="shared" si="8"/>
        <v>2.6705109830886409E-2</v>
      </c>
      <c r="Y38" s="4">
        <f t="shared" si="9"/>
        <v>1.4769932817450895E-2</v>
      </c>
      <c r="Z38" s="4">
        <f t="shared" si="10"/>
        <v>3.0088112105847588E-2</v>
      </c>
      <c r="AA38" s="4">
        <f t="shared" si="11"/>
        <v>4.0161076474023519E-3</v>
      </c>
      <c r="AB38" s="4"/>
      <c r="AC38" s="4"/>
      <c r="AD38" s="4"/>
      <c r="AE38" s="14"/>
      <c r="AF38" s="7"/>
      <c r="AH38" s="15" t="s">
        <v>13</v>
      </c>
      <c r="AI38" s="5">
        <v>0.40968335576524578</v>
      </c>
      <c r="AN38" s="26" t="s">
        <v>41</v>
      </c>
      <c r="AO38" s="27">
        <f>AI38*0.6</f>
        <v>0.24581001345914746</v>
      </c>
      <c r="AP38" s="28">
        <f>AO38*AP32</f>
        <v>61.452503364786864</v>
      </c>
      <c r="AR38" s="31" t="s">
        <v>46</v>
      </c>
      <c r="AS38" s="32">
        <f>AP41</f>
        <v>30</v>
      </c>
    </row>
    <row r="39" spans="2:45" x14ac:dyDescent="0.35">
      <c r="B39" s="1">
        <v>43070</v>
      </c>
      <c r="C39" s="2">
        <v>18.217099999999999</v>
      </c>
      <c r="D39" s="2">
        <v>14.171900000000001</v>
      </c>
      <c r="E39" s="2">
        <v>28.2117</v>
      </c>
      <c r="F39" s="2">
        <v>251.93699599999999</v>
      </c>
      <c r="G39" s="2">
        <v>3366.110107</v>
      </c>
      <c r="H39" s="2">
        <v>2669.429932</v>
      </c>
      <c r="I39" s="2">
        <v>77.599997999999999</v>
      </c>
      <c r="J39" s="2">
        <v>2690.5</v>
      </c>
      <c r="K39" s="2">
        <v>293.83999599999999</v>
      </c>
      <c r="L39" s="2">
        <v>652.68102999999996</v>
      </c>
      <c r="M39" s="2">
        <v>50.721001000000001</v>
      </c>
      <c r="N39" s="2"/>
      <c r="O39" s="2"/>
      <c r="P39" s="7"/>
      <c r="Q39" s="4">
        <f t="shared" si="1"/>
        <v>2.7459767267902692E-4</v>
      </c>
      <c r="R39" s="4">
        <f t="shared" si="2"/>
        <v>-1.9859015077358612E-3</v>
      </c>
      <c r="S39" s="4">
        <f t="shared" si="3"/>
        <v>1.205319001853774E-4</v>
      </c>
      <c r="T39" s="4">
        <f t="shared" si="4"/>
        <v>5.3431749758488627E-3</v>
      </c>
      <c r="U39" s="4">
        <f t="shared" si="5"/>
        <v>5.3672231669801207E-3</v>
      </c>
      <c r="V39" s="4">
        <f t="shared" si="6"/>
        <v>5.3479179231020659E-3</v>
      </c>
      <c r="W39" s="4">
        <f t="shared" si="7"/>
        <v>0</v>
      </c>
      <c r="X39" s="4">
        <f t="shared" si="8"/>
        <v>-1.1509124915393767E-3</v>
      </c>
      <c r="Y39" s="4">
        <f t="shared" si="9"/>
        <v>3.6472649029982311E-2</v>
      </c>
      <c r="Z39" s="4">
        <f t="shared" si="10"/>
        <v>2.7591684301887739E-2</v>
      </c>
      <c r="AA39" s="4">
        <f t="shared" si="11"/>
        <v>3.3593215491088263E-2</v>
      </c>
      <c r="AB39" s="4"/>
      <c r="AC39" s="4"/>
      <c r="AD39" s="4"/>
      <c r="AE39" s="14"/>
      <c r="AF39" s="7"/>
      <c r="AH39" s="15" t="s">
        <v>16</v>
      </c>
      <c r="AI39" s="5">
        <v>0</v>
      </c>
      <c r="AN39" s="26" t="s">
        <v>4</v>
      </c>
      <c r="AO39" s="27">
        <f>AI42*0.6</f>
        <v>0</v>
      </c>
      <c r="AP39" s="28">
        <f>AO39*AP32</f>
        <v>0</v>
      </c>
      <c r="AR39" s="31" t="s">
        <v>24</v>
      </c>
      <c r="AS39" s="32">
        <f>SUM(AS35:AS38)</f>
        <v>249.99999968832455</v>
      </c>
    </row>
    <row r="40" spans="2:45" x14ac:dyDescent="0.35">
      <c r="B40" s="1">
        <v>43040</v>
      </c>
      <c r="C40" s="2">
        <v>18.212098999999998</v>
      </c>
      <c r="D40" s="2">
        <v>14.200100000000001</v>
      </c>
      <c r="E40" s="2">
        <v>28.208300000000001</v>
      </c>
      <c r="F40" s="2">
        <v>250.598007</v>
      </c>
      <c r="G40" s="2">
        <v>3348.139893</v>
      </c>
      <c r="H40" s="2">
        <v>2655.2299800000001</v>
      </c>
      <c r="I40" s="2">
        <v>77.599997999999999</v>
      </c>
      <c r="J40" s="2">
        <v>2693.6000979999999</v>
      </c>
      <c r="K40" s="2">
        <v>283.5</v>
      </c>
      <c r="L40" s="2">
        <v>635.15600600000005</v>
      </c>
      <c r="M40" s="2">
        <v>49.072498000000003</v>
      </c>
      <c r="N40" s="2"/>
      <c r="O40" s="2"/>
      <c r="P40" s="7"/>
      <c r="Q40" s="4">
        <f>(C40-C41)/C41</f>
        <v>2.1735469883230403E-3</v>
      </c>
      <c r="R40" s="4">
        <f t="shared" si="2"/>
        <v>-9.1464916168885742E-4</v>
      </c>
      <c r="S40" s="4">
        <f t="shared" si="3"/>
        <v>2.6729723111576413E-3</v>
      </c>
      <c r="T40" s="4">
        <f t="shared" si="4"/>
        <v>5.1541755920601279E-3</v>
      </c>
      <c r="U40" s="4">
        <f t="shared" si="5"/>
        <v>5.1365084826739084E-3</v>
      </c>
      <c r="V40" s="4">
        <f t="shared" si="6"/>
        <v>5.117904387536224E-3</v>
      </c>
      <c r="W40" s="4">
        <f t="shared" si="7"/>
        <v>0</v>
      </c>
      <c r="X40" s="4">
        <f t="shared" si="8"/>
        <v>-1.2420894198492919E-3</v>
      </c>
      <c r="Y40" s="4">
        <f t="shared" si="9"/>
        <v>1.6606048887419344E-3</v>
      </c>
      <c r="Z40" s="4">
        <f t="shared" si="10"/>
        <v>1.0104936020862147E-2</v>
      </c>
      <c r="AA40" s="4">
        <f t="shared" si="11"/>
        <v>9.8634580586696181E-3</v>
      </c>
      <c r="AB40" s="2"/>
      <c r="AC40" s="2"/>
      <c r="AD40" s="2"/>
      <c r="AE40" s="19"/>
      <c r="AF40" s="7"/>
      <c r="AH40" s="15" t="s">
        <v>15</v>
      </c>
      <c r="AI40" s="5">
        <v>0</v>
      </c>
      <c r="AN40" s="26" t="s">
        <v>3</v>
      </c>
      <c r="AO40" s="27">
        <f>AI43*0.6</f>
        <v>0.17418998529415072</v>
      </c>
      <c r="AP40" s="28">
        <f>AO40*AP32</f>
        <v>43.547496323537679</v>
      </c>
    </row>
    <row r="41" spans="2:45" x14ac:dyDescent="0.35">
      <c r="B41" s="1">
        <v>43009</v>
      </c>
      <c r="C41" s="2">
        <v>18.172599999999999</v>
      </c>
      <c r="D41" s="2">
        <v>14.213100000000001</v>
      </c>
      <c r="E41" s="2">
        <v>28.133101</v>
      </c>
      <c r="F41" s="2">
        <v>249.31300400000001</v>
      </c>
      <c r="G41" s="2">
        <v>3331.030029</v>
      </c>
      <c r="H41" s="2">
        <v>2641.709961</v>
      </c>
      <c r="I41" s="2">
        <v>77.599997999999999</v>
      </c>
      <c r="J41" s="2">
        <v>2696.9499510000001</v>
      </c>
      <c r="K41" s="2">
        <v>283.02999899999998</v>
      </c>
      <c r="L41" s="2">
        <v>628.80200200000002</v>
      </c>
      <c r="M41" s="2">
        <v>48.593201000000001</v>
      </c>
      <c r="P41" s="7"/>
      <c r="Q41" s="4">
        <f t="shared" si="1"/>
        <v>5.7502196754486336E-3</v>
      </c>
      <c r="R41" s="4">
        <f t="shared" si="2"/>
        <v>9.1879264681866551E-3</v>
      </c>
      <c r="S41" s="4">
        <f t="shared" si="3"/>
        <v>6.3170284662610659E-3</v>
      </c>
      <c r="T41" s="4">
        <f t="shared" si="4"/>
        <v>5.3348883960061622E-3</v>
      </c>
      <c r="U41" s="4">
        <f t="shared" si="5"/>
        <v>5.469547159844392E-3</v>
      </c>
      <c r="V41" s="4">
        <f t="shared" si="6"/>
        <v>5.2933677375085839E-3</v>
      </c>
      <c r="W41" s="4">
        <f t="shared" si="7"/>
        <v>0</v>
      </c>
      <c r="X41" s="4">
        <f t="shared" si="8"/>
        <v>-1.5783519733374378E-2</v>
      </c>
      <c r="Y41" s="4">
        <f t="shared" si="9"/>
        <v>6.0752535697220042E-2</v>
      </c>
      <c r="Z41" s="4">
        <f t="shared" si="10"/>
        <v>8.8308870184743579E-2</v>
      </c>
      <c r="AA41" s="4">
        <f t="shared" si="11"/>
        <v>4.9896575039066658E-2</v>
      </c>
      <c r="AD41" s="4"/>
      <c r="AE41" s="7"/>
      <c r="AF41" s="7"/>
      <c r="AH41" s="15" t="s">
        <v>14</v>
      </c>
      <c r="AI41" s="5">
        <v>0</v>
      </c>
      <c r="AN41" s="26" t="s">
        <v>36</v>
      </c>
      <c r="AO41" s="27">
        <f>AI46*0.6</f>
        <v>0.12</v>
      </c>
      <c r="AP41" s="28">
        <f>AO41*AP32</f>
        <v>30</v>
      </c>
    </row>
    <row r="42" spans="2:45" x14ac:dyDescent="0.35">
      <c r="B42" s="1">
        <v>42979</v>
      </c>
      <c r="C42" s="2">
        <v>18.068701000000001</v>
      </c>
      <c r="D42" s="2">
        <v>14.0837</v>
      </c>
      <c r="E42" s="2">
        <v>27.956499000000001</v>
      </c>
      <c r="F42" s="2">
        <v>247.990005</v>
      </c>
      <c r="G42" s="2">
        <v>3312.9099120000001</v>
      </c>
      <c r="H42" s="2">
        <v>2627.8000489999999</v>
      </c>
      <c r="I42" s="2">
        <v>77.599997999999999</v>
      </c>
      <c r="J42" s="2">
        <v>2740.1999510000001</v>
      </c>
      <c r="K42" s="2">
        <v>266.82000699999998</v>
      </c>
      <c r="L42" s="2">
        <v>577.77899200000002</v>
      </c>
      <c r="M42" s="2">
        <v>46.283797999999997</v>
      </c>
      <c r="P42" s="7"/>
      <c r="Q42" s="4">
        <f t="shared" si="1"/>
        <v>3.1423876172129049E-3</v>
      </c>
      <c r="R42" s="4">
        <f t="shared" si="2"/>
        <v>2.0990166640577567E-3</v>
      </c>
      <c r="S42" s="4">
        <f t="shared" si="3"/>
        <v>3.5141032387089612E-3</v>
      </c>
      <c r="T42" s="4">
        <f t="shared" si="4"/>
        <v>5.1760872573729669E-3</v>
      </c>
      <c r="U42" s="4">
        <f t="shared" si="5"/>
        <v>4.9779802821174205E-3</v>
      </c>
      <c r="V42" s="4">
        <f t="shared" si="6"/>
        <v>5.1523604893475078E-3</v>
      </c>
      <c r="W42" s="4">
        <f t="shared" si="7"/>
        <v>0</v>
      </c>
      <c r="X42" s="4">
        <f t="shared" si="8"/>
        <v>9.8210467906501876E-3</v>
      </c>
      <c r="Y42" s="4">
        <f t="shared" si="9"/>
        <v>-2.0196664807563451E-3</v>
      </c>
      <c r="Z42" s="4">
        <f t="shared" si="10"/>
        <v>-1.7912153984150265E-2</v>
      </c>
      <c r="AA42" s="4">
        <f t="shared" si="11"/>
        <v>-3.6660702213122441E-3</v>
      </c>
      <c r="AE42" s="7"/>
      <c r="AF42" s="7"/>
      <c r="AH42" s="15" t="s">
        <v>4</v>
      </c>
      <c r="AI42" s="5">
        <v>0</v>
      </c>
      <c r="AK42" s="3" t="s">
        <v>29</v>
      </c>
      <c r="AL42" s="5">
        <f>SUM(AI36:AI38)</f>
        <v>0.50968335576524582</v>
      </c>
      <c r="AN42" s="29"/>
      <c r="AO42" s="27"/>
      <c r="AP42" s="28"/>
    </row>
    <row r="43" spans="2:45" x14ac:dyDescent="0.35">
      <c r="B43" s="1">
        <v>42948</v>
      </c>
      <c r="C43" s="2">
        <v>18.0121</v>
      </c>
      <c r="D43" s="2">
        <v>14.0542</v>
      </c>
      <c r="E43" s="2">
        <v>27.858601</v>
      </c>
      <c r="F43" s="2">
        <v>246.712997</v>
      </c>
      <c r="G43" s="2">
        <v>3296.5</v>
      </c>
      <c r="H43" s="2">
        <v>2614.330078</v>
      </c>
      <c r="I43" s="2">
        <v>77.599997999999999</v>
      </c>
      <c r="J43" s="2">
        <v>2713.5500489999999</v>
      </c>
      <c r="K43" s="2">
        <v>267.35998499999999</v>
      </c>
      <c r="L43" s="2">
        <v>588.31701699999996</v>
      </c>
      <c r="M43" s="2">
        <v>46.454101999999999</v>
      </c>
      <c r="P43" s="7"/>
      <c r="Q43" s="4">
        <f t="shared" si="1"/>
        <v>5.9085349848935044E-3</v>
      </c>
      <c r="R43" s="4">
        <f t="shared" si="2"/>
        <v>6.4738824675230899E-3</v>
      </c>
      <c r="S43" s="4">
        <f t="shared" si="3"/>
        <v>7.2164937271774563E-3</v>
      </c>
      <c r="T43" s="4">
        <f t="shared" si="4"/>
        <v>5.3668398077693358E-3</v>
      </c>
      <c r="U43" s="4">
        <f t="shared" si="5"/>
        <v>5.3646146042697143E-3</v>
      </c>
      <c r="V43" s="4">
        <f t="shared" si="6"/>
        <v>5.3453261050988203E-3</v>
      </c>
      <c r="W43" s="4">
        <f t="shared" si="7"/>
        <v>0</v>
      </c>
      <c r="X43" s="4">
        <f t="shared" si="8"/>
        <v>3.4896359066409262E-2</v>
      </c>
      <c r="Y43" s="4">
        <f t="shared" si="9"/>
        <v>-1.2630231230630815E-2</v>
      </c>
      <c r="Z43" s="4">
        <f t="shared" si="10"/>
        <v>-3.2419465616534374E-2</v>
      </c>
      <c r="AA43" s="4">
        <f t="shared" si="11"/>
        <v>1.2080736823834306E-2</v>
      </c>
      <c r="AB43" s="3"/>
      <c r="AC43" s="3"/>
      <c r="AD43" s="3"/>
      <c r="AE43" s="13"/>
      <c r="AF43" s="7"/>
      <c r="AH43" s="15" t="s">
        <v>3</v>
      </c>
      <c r="AI43" s="5">
        <v>0.29031664215691788</v>
      </c>
      <c r="AK43" s="3" t="s">
        <v>28</v>
      </c>
      <c r="AL43" s="5">
        <f>SUM(AI39:AI41)</f>
        <v>0</v>
      </c>
      <c r="AN43" s="29" t="s">
        <v>35</v>
      </c>
      <c r="AO43" s="35">
        <f>SUM(AO35:AO40)</f>
        <v>0.87999999875329826</v>
      </c>
      <c r="AP43" s="28">
        <f>SUM(AP35:AP41)</f>
        <v>249.99999968832455</v>
      </c>
    </row>
    <row r="44" spans="2:45" x14ac:dyDescent="0.35">
      <c r="B44" s="1">
        <v>42917</v>
      </c>
      <c r="C44" s="2">
        <v>17.906300000000002</v>
      </c>
      <c r="D44" s="2">
        <v>13.963800000000001</v>
      </c>
      <c r="E44" s="2">
        <v>27.658999999999999</v>
      </c>
      <c r="F44" s="2">
        <v>245.395996</v>
      </c>
      <c r="G44" s="2">
        <v>3278.9099120000001</v>
      </c>
      <c r="H44" s="2">
        <v>2600.429932</v>
      </c>
      <c r="I44" s="2">
        <v>77.599997999999999</v>
      </c>
      <c r="J44" s="2">
        <v>2622.0500489999999</v>
      </c>
      <c r="K44" s="2">
        <v>270.77999899999998</v>
      </c>
      <c r="L44" s="2">
        <v>608.02899200000002</v>
      </c>
      <c r="M44" s="2">
        <v>45.899600999999997</v>
      </c>
      <c r="P44" s="7"/>
      <c r="Q44" s="4">
        <f t="shared" si="1"/>
        <v>9.0898276083502729E-3</v>
      </c>
      <c r="R44" s="4">
        <f t="shared" si="2"/>
        <v>8.9377966922205235E-3</v>
      </c>
      <c r="S44" s="4">
        <f t="shared" si="3"/>
        <v>1.0164130579719642E-2</v>
      </c>
      <c r="T44" s="4">
        <f t="shared" si="4"/>
        <v>5.5317070238457234E-3</v>
      </c>
      <c r="U44" s="4">
        <f t="shared" si="5"/>
        <v>5.5199317018114541E-3</v>
      </c>
      <c r="V44" s="4">
        <f t="shared" si="6"/>
        <v>5.4361187161829829E-3</v>
      </c>
      <c r="W44" s="4">
        <f t="shared" si="7"/>
        <v>0</v>
      </c>
      <c r="X44" s="4">
        <f t="shared" si="8"/>
        <v>-2.5487212553495218E-3</v>
      </c>
      <c r="Y44" s="4">
        <f t="shared" si="9"/>
        <v>2.7511099409976474E-2</v>
      </c>
      <c r="Z44" s="4">
        <f t="shared" si="10"/>
        <v>6.5442723867058974E-2</v>
      </c>
      <c r="AA44" s="4">
        <f t="shared" si="11"/>
        <v>5.0367745182505974E-2</v>
      </c>
      <c r="AB44" s="8"/>
      <c r="AC44" s="8"/>
      <c r="AD44" s="8"/>
      <c r="AE44" s="20"/>
      <c r="AF44" s="7"/>
      <c r="AH44" s="15" t="s">
        <v>18</v>
      </c>
      <c r="AI44" s="5">
        <v>0</v>
      </c>
      <c r="AK44" s="3" t="s">
        <v>53</v>
      </c>
      <c r="AL44" s="5">
        <f>SUM(AI44:AI46)</f>
        <v>0.2</v>
      </c>
    </row>
    <row r="45" spans="2:45" x14ac:dyDescent="0.35">
      <c r="B45" s="1">
        <v>42887</v>
      </c>
      <c r="C45" s="2">
        <v>17.745000999999998</v>
      </c>
      <c r="D45" s="2">
        <v>13.8401</v>
      </c>
      <c r="E45" s="2">
        <v>27.380699</v>
      </c>
      <c r="F45" s="2">
        <v>244.04600500000001</v>
      </c>
      <c r="G45" s="2">
        <v>3260.9099120000001</v>
      </c>
      <c r="H45" s="2">
        <v>2586.3701169999999</v>
      </c>
      <c r="I45" s="2">
        <v>77.599997999999999</v>
      </c>
      <c r="J45" s="2">
        <v>2628.75</v>
      </c>
      <c r="K45" s="2">
        <v>263.52999899999998</v>
      </c>
      <c r="L45" s="2">
        <v>570.682007</v>
      </c>
      <c r="M45" s="2">
        <v>43.698600999999996</v>
      </c>
      <c r="P45" s="7"/>
      <c r="Q45" s="4">
        <f t="shared" si="1"/>
        <v>9.25368125899333E-3</v>
      </c>
      <c r="R45" s="4">
        <f t="shared" si="2"/>
        <v>8.1217312763136439E-3</v>
      </c>
      <c r="S45" s="4">
        <f t="shared" si="3"/>
        <v>8.9171183586538721E-3</v>
      </c>
      <c r="T45" s="4">
        <f t="shared" si="4"/>
        <v>5.2974543849368776E-3</v>
      </c>
      <c r="U45" s="4">
        <f t="shared" si="5"/>
        <v>5.2901462813102354E-3</v>
      </c>
      <c r="V45" s="4">
        <f t="shared" si="6"/>
        <v>5.2627023897844757E-3</v>
      </c>
      <c r="W45" s="4">
        <f t="shared" si="7"/>
        <v>0</v>
      </c>
      <c r="X45" s="4">
        <f t="shared" si="8"/>
        <v>-1.5523163718311391E-2</v>
      </c>
      <c r="Y45" s="4">
        <f t="shared" si="9"/>
        <v>5.6861164281213922E-3</v>
      </c>
      <c r="Z45" s="4">
        <f t="shared" si="10"/>
        <v>-4.6029660062118965E-3</v>
      </c>
      <c r="AA45" s="4">
        <f t="shared" si="11"/>
        <v>-4.3721990948428708E-3</v>
      </c>
      <c r="AB45" s="8"/>
      <c r="AC45" s="8"/>
      <c r="AD45" s="8"/>
      <c r="AE45" s="20"/>
      <c r="AF45" s="7"/>
      <c r="AH45" s="15" t="s">
        <v>19</v>
      </c>
      <c r="AI45" s="5">
        <v>0</v>
      </c>
      <c r="AK45" s="3" t="s">
        <v>27</v>
      </c>
      <c r="AL45" s="5">
        <f>SUM(AI42:AI43)</f>
        <v>0.29031664215691788</v>
      </c>
    </row>
    <row r="46" spans="2:45" x14ac:dyDescent="0.35">
      <c r="B46" s="1">
        <v>42856</v>
      </c>
      <c r="C46" s="2">
        <v>17.5823</v>
      </c>
      <c r="D46" s="2">
        <v>13.7286</v>
      </c>
      <c r="E46" s="2">
        <v>27.1387</v>
      </c>
      <c r="F46" s="2">
        <v>242.759995</v>
      </c>
      <c r="G46" s="2">
        <v>3243.75</v>
      </c>
      <c r="H46" s="2">
        <v>2572.830078</v>
      </c>
      <c r="I46" s="2">
        <v>77.599997999999999</v>
      </c>
      <c r="J46" s="2">
        <v>2670.1999510000001</v>
      </c>
      <c r="K46" s="2">
        <v>262.040009</v>
      </c>
      <c r="L46" s="2">
        <v>573.32098399999995</v>
      </c>
      <c r="M46" s="2">
        <v>43.890498999999998</v>
      </c>
      <c r="P46" s="7"/>
      <c r="Q46" s="4">
        <f t="shared" si="1"/>
        <v>8.0091270796785619E-3</v>
      </c>
      <c r="R46" s="4">
        <f t="shared" si="2"/>
        <v>8.3955840550009962E-3</v>
      </c>
      <c r="S46" s="4">
        <f t="shared" si="3"/>
        <v>8.4686814041693061E-3</v>
      </c>
      <c r="T46" s="4">
        <f t="shared" si="4"/>
        <v>5.8337613561570056E-3</v>
      </c>
      <c r="U46" s="4">
        <f t="shared" si="5"/>
        <v>5.8264410185649368E-3</v>
      </c>
      <c r="V46" s="4">
        <f t="shared" si="6"/>
        <v>5.4162835660723626E-3</v>
      </c>
      <c r="W46" s="4">
        <f t="shared" si="7"/>
        <v>0</v>
      </c>
      <c r="X46" s="4">
        <f t="shared" si="8"/>
        <v>-1.0633944215097479E-2</v>
      </c>
      <c r="Y46" s="4">
        <f t="shared" si="9"/>
        <v>-1.5109332594973594E-2</v>
      </c>
      <c r="Z46" s="4">
        <f t="shared" si="10"/>
        <v>1.8793572744258587E-2</v>
      </c>
      <c r="AA46" s="4">
        <f t="shared" si="11"/>
        <v>1.7719998754356429E-2</v>
      </c>
      <c r="AB46" s="8"/>
      <c r="AC46" s="8"/>
      <c r="AD46" s="8"/>
      <c r="AE46" s="20"/>
      <c r="AF46" s="7"/>
      <c r="AH46" s="15" t="s">
        <v>17</v>
      </c>
      <c r="AI46" s="5">
        <v>0.2</v>
      </c>
      <c r="AK46" s="3"/>
      <c r="AL46" s="5"/>
    </row>
    <row r="47" spans="2:45" x14ac:dyDescent="0.35">
      <c r="B47" s="1">
        <v>42826</v>
      </c>
      <c r="C47" s="2">
        <v>17.442599999999999</v>
      </c>
      <c r="D47" s="2">
        <v>13.6143</v>
      </c>
      <c r="E47" s="2">
        <v>26.910800999999999</v>
      </c>
      <c r="F47" s="2">
        <v>241.35200499999999</v>
      </c>
      <c r="G47" s="2">
        <v>3224.959961</v>
      </c>
      <c r="H47" s="2">
        <v>2558.969971</v>
      </c>
      <c r="I47" s="2">
        <v>77.599997999999999</v>
      </c>
      <c r="J47" s="2">
        <v>2698.8999020000001</v>
      </c>
      <c r="K47" s="2">
        <v>266.05999800000001</v>
      </c>
      <c r="L47" s="2">
        <v>562.74499500000002</v>
      </c>
      <c r="M47" s="2">
        <v>43.126300999999998</v>
      </c>
      <c r="P47" s="7"/>
      <c r="Q47" s="4">
        <f t="shared" si="1"/>
        <v>4.208584254502541E-3</v>
      </c>
      <c r="R47" s="4">
        <f t="shared" si="2"/>
        <v>4.1525298716625046E-3</v>
      </c>
      <c r="S47" s="4">
        <f t="shared" si="3"/>
        <v>5.1732572407579202E-3</v>
      </c>
      <c r="T47" s="4">
        <f t="shared" si="4"/>
        <v>4.9800919823758246E-3</v>
      </c>
      <c r="U47" s="4">
        <f t="shared" si="5"/>
        <v>4.9985787710161433E-3</v>
      </c>
      <c r="V47" s="4">
        <f t="shared" si="6"/>
        <v>5.2166722215916143E-3</v>
      </c>
      <c r="W47" s="4">
        <f t="shared" si="7"/>
        <v>1.6108169431327649E-2</v>
      </c>
      <c r="X47" s="4">
        <f t="shared" si="8"/>
        <v>1.7090257263883312E-2</v>
      </c>
      <c r="Y47" s="4">
        <f t="shared" si="9"/>
        <v>1.105834720254645E-2</v>
      </c>
      <c r="Z47" s="4">
        <f t="shared" si="10"/>
        <v>3.4897196471570649E-2</v>
      </c>
      <c r="AA47" s="4">
        <f t="shared" si="11"/>
        <v>3.1241181659377094E-2</v>
      </c>
      <c r="AB47" s="8"/>
      <c r="AC47" s="8"/>
      <c r="AD47" s="8"/>
      <c r="AE47" s="20"/>
      <c r="AF47" s="7"/>
      <c r="AH47" s="15"/>
      <c r="AI47" s="2"/>
    </row>
    <row r="48" spans="2:45" x14ac:dyDescent="0.35">
      <c r="B48" s="1">
        <v>42795</v>
      </c>
      <c r="C48" s="2">
        <v>17.369499000000001</v>
      </c>
      <c r="D48" s="2">
        <v>13.558</v>
      </c>
      <c r="E48" s="2">
        <v>26.772300999999999</v>
      </c>
      <c r="F48" s="2">
        <v>240.15600599999999</v>
      </c>
      <c r="G48" s="2">
        <v>3208.919922</v>
      </c>
      <c r="H48" s="2">
        <v>2545.6899410000001</v>
      </c>
      <c r="I48" s="2">
        <v>76.369820000000004</v>
      </c>
      <c r="J48" s="2">
        <v>2653.5500489999999</v>
      </c>
      <c r="K48" s="2">
        <v>263.14999399999999</v>
      </c>
      <c r="L48" s="2">
        <v>543.76898200000005</v>
      </c>
      <c r="M48" s="2">
        <v>41.819800999999998</v>
      </c>
      <c r="P48" s="7"/>
      <c r="Q48" s="4">
        <f t="shared" si="1"/>
        <v>6.1225801967122722E-3</v>
      </c>
      <c r="R48" s="4">
        <f t="shared" si="2"/>
        <v>7.9473054248351098E-3</v>
      </c>
      <c r="S48" s="4">
        <f t="shared" si="3"/>
        <v>7.8718302011805963E-3</v>
      </c>
      <c r="T48" s="4">
        <f t="shared" si="4"/>
        <v>5.7205621677788691E-3</v>
      </c>
      <c r="U48" s="4">
        <f t="shared" si="5"/>
        <v>5.7449667598917578E-3</v>
      </c>
      <c r="V48" s="4">
        <f t="shared" si="6"/>
        <v>5.6530661778985249E-3</v>
      </c>
      <c r="W48" s="4">
        <f t="shared" si="7"/>
        <v>0</v>
      </c>
      <c r="X48" s="4">
        <f t="shared" si="8"/>
        <v>-3.5686363586808413E-2</v>
      </c>
      <c r="Y48" s="4">
        <f t="shared" si="9"/>
        <v>6.4608792994018727E-2</v>
      </c>
      <c r="Z48" s="4">
        <f t="shared" si="10"/>
        <v>3.8853136086498534E-2</v>
      </c>
      <c r="AA48" s="4">
        <f t="shared" si="11"/>
        <v>3.2233380833901953E-2</v>
      </c>
      <c r="AE48" s="7"/>
      <c r="AF48" s="7"/>
    </row>
    <row r="49" spans="2:36" x14ac:dyDescent="0.35">
      <c r="B49" s="1">
        <v>42767</v>
      </c>
      <c r="C49" s="2">
        <v>17.2638</v>
      </c>
      <c r="D49" s="2">
        <v>13.4511</v>
      </c>
      <c r="E49" s="2">
        <v>26.563199999999998</v>
      </c>
      <c r="F49" s="2">
        <v>238.78999300000001</v>
      </c>
      <c r="G49" s="2">
        <v>3190.5900879999999</v>
      </c>
      <c r="H49" s="2">
        <v>2531.3798830000001</v>
      </c>
      <c r="I49" s="2">
        <v>76.369820000000004</v>
      </c>
      <c r="J49" s="2">
        <v>2751.75</v>
      </c>
      <c r="K49" s="2">
        <v>247.179993</v>
      </c>
      <c r="L49" s="2">
        <v>523.432007</v>
      </c>
      <c r="M49" s="2">
        <v>40.513900999999997</v>
      </c>
      <c r="P49" s="7"/>
      <c r="Q49" s="4">
        <f t="shared" si="1"/>
        <v>1.6012810248198341E-3</v>
      </c>
      <c r="R49" s="4">
        <f t="shared" si="2"/>
        <v>-1.5513657957244101E-3</v>
      </c>
      <c r="S49" s="4">
        <f t="shared" si="3"/>
        <v>1.8178767421412622E-3</v>
      </c>
      <c r="T49" s="4">
        <f t="shared" si="4"/>
        <v>5.0337930680183791E-3</v>
      </c>
      <c r="U49" s="4">
        <f t="shared" si="5"/>
        <v>5.0336830229211994E-3</v>
      </c>
      <c r="V49" s="4">
        <f t="shared" si="6"/>
        <v>4.9545362997913808E-3</v>
      </c>
      <c r="W49" s="4">
        <f t="shared" si="7"/>
        <v>0</v>
      </c>
      <c r="X49" s="4">
        <f t="shared" si="8"/>
        <v>1.8223866790009251E-2</v>
      </c>
      <c r="Y49" s="4">
        <f t="shared" si="9"/>
        <v>4.5954577176362352E-2</v>
      </c>
      <c r="Z49" s="4">
        <f t="shared" si="10"/>
        <v>3.5748368721372457E-2</v>
      </c>
      <c r="AA49" s="4">
        <f t="shared" si="11"/>
        <v>5.437407427465922E-2</v>
      </c>
      <c r="AE49" s="7"/>
      <c r="AF49" s="7"/>
      <c r="AH49" s="3" t="s">
        <v>24</v>
      </c>
      <c r="AI49" s="2">
        <f>SUM(AI36:AI47)</f>
        <v>0.99999999792216365</v>
      </c>
    </row>
    <row r="50" spans="2:36" x14ac:dyDescent="0.35">
      <c r="B50" s="1">
        <v>42736</v>
      </c>
      <c r="C50" s="2">
        <v>17.2362</v>
      </c>
      <c r="D50" s="2">
        <v>13.472</v>
      </c>
      <c r="E50" s="2">
        <v>26.514999</v>
      </c>
      <c r="F50" s="2">
        <v>237.59399400000001</v>
      </c>
      <c r="G50" s="2">
        <v>3174.610107</v>
      </c>
      <c r="H50" s="2">
        <v>2518.8999020000001</v>
      </c>
      <c r="I50" s="2">
        <v>76.369820000000004</v>
      </c>
      <c r="J50" s="2">
        <v>2702.5</v>
      </c>
      <c r="K50" s="2">
        <v>236.320007</v>
      </c>
      <c r="L50" s="2">
        <v>505.36599699999999</v>
      </c>
      <c r="M50" s="2">
        <v>38.424599000000001</v>
      </c>
      <c r="P50" s="7"/>
      <c r="Q50" s="4">
        <f t="shared" si="1"/>
        <v>1.0245408363053852E-2</v>
      </c>
      <c r="R50" s="4">
        <f t="shared" si="2"/>
        <v>1.3061819931871006E-2</v>
      </c>
      <c r="S50" s="4">
        <f t="shared" si="3"/>
        <v>1.2405412732291916E-2</v>
      </c>
      <c r="T50" s="4">
        <f t="shared" si="4"/>
        <v>5.6803540527925736E-3</v>
      </c>
      <c r="U50" s="4">
        <f t="shared" si="5"/>
        <v>5.7278333593828636E-3</v>
      </c>
      <c r="V50" s="4">
        <f t="shared" si="6"/>
        <v>5.4404842157493982E-3</v>
      </c>
      <c r="W50" s="4">
        <f t="shared" si="7"/>
        <v>0</v>
      </c>
      <c r="X50" s="4">
        <f t="shared" si="8"/>
        <v>3.6771373833692486E-2</v>
      </c>
      <c r="Y50" s="4">
        <f t="shared" si="9"/>
        <v>4.2067237155248426E-2</v>
      </c>
      <c r="Z50" s="4">
        <f t="shared" si="10"/>
        <v>5.9674073192964319E-2</v>
      </c>
      <c r="AA50" s="4">
        <f t="shared" si="11"/>
        <v>4.9763517297715304E-2</v>
      </c>
      <c r="AE50" s="7"/>
      <c r="AF50" s="7"/>
      <c r="AH50" s="3" t="s">
        <v>22</v>
      </c>
      <c r="AI50" s="8">
        <f t="array" ref="AI50">MMULT(TRANSPOSE(AI36:AI46), AI4:AI14)</f>
        <v>0.10328455373262103</v>
      </c>
      <c r="AJ50" t="s">
        <v>37</v>
      </c>
    </row>
    <row r="51" spans="2:36" x14ac:dyDescent="0.35">
      <c r="B51" s="1">
        <v>42705</v>
      </c>
      <c r="C51" s="2">
        <v>17.061399000000002</v>
      </c>
      <c r="D51" s="2">
        <v>13.298299999999999</v>
      </c>
      <c r="E51" s="2">
        <v>26.190100000000001</v>
      </c>
      <c r="F51" s="2">
        <v>236.25199900000001</v>
      </c>
      <c r="G51" s="2">
        <v>3156.530029</v>
      </c>
      <c r="H51" s="2">
        <v>2505.2700199999999</v>
      </c>
      <c r="I51" s="2">
        <v>76.369820000000004</v>
      </c>
      <c r="J51" s="2">
        <v>2606.6499020000001</v>
      </c>
      <c r="K51" s="2">
        <v>226.779999</v>
      </c>
      <c r="L51" s="2">
        <v>476.90701300000001</v>
      </c>
      <c r="M51" s="2">
        <v>36.603099999999998</v>
      </c>
      <c r="P51" s="7"/>
      <c r="Q51" s="4">
        <f t="shared" si="1"/>
        <v>-1.422242075082805E-3</v>
      </c>
      <c r="R51" s="4">
        <f t="shared" si="2"/>
        <v>-6.2472444122285004E-3</v>
      </c>
      <c r="S51" s="4">
        <f t="shared" si="3"/>
        <v>-2.9845253053856426E-3</v>
      </c>
      <c r="T51" s="4">
        <f t="shared" si="4"/>
        <v>5.1394333365813042E-3</v>
      </c>
      <c r="U51" s="4">
        <f t="shared" si="5"/>
        <v>5.190718228860405E-3</v>
      </c>
      <c r="V51" s="4">
        <f t="shared" si="6"/>
        <v>5.3008196781986231E-3</v>
      </c>
      <c r="W51" s="4">
        <f t="shared" si="7"/>
        <v>0</v>
      </c>
      <c r="X51" s="4">
        <f t="shared" si="8"/>
        <v>-2.8981746883013481E-2</v>
      </c>
      <c r="Y51" s="4">
        <f t="shared" si="9"/>
        <v>-1.8395879402657141E-2</v>
      </c>
      <c r="Z51" s="4">
        <f t="shared" si="10"/>
        <v>-2.0099040866950302E-2</v>
      </c>
      <c r="AA51" s="4">
        <f t="shared" si="11"/>
        <v>-2.3792404793349521E-2</v>
      </c>
      <c r="AE51" s="7"/>
      <c r="AF51" s="7"/>
      <c r="AH51" s="3" t="s">
        <v>8</v>
      </c>
      <c r="AI51" s="8">
        <f t="array" ref="AI51">SQRT(MMULT(MMULT(TRANSPOSE(AI36:AI46),AM5:AW15), AI36:AI46))</f>
        <v>5.093328350118722E-2</v>
      </c>
      <c r="AJ51" t="s">
        <v>37</v>
      </c>
    </row>
    <row r="52" spans="2:36" x14ac:dyDescent="0.35">
      <c r="B52" s="1">
        <v>42675</v>
      </c>
      <c r="C52" s="2">
        <v>17.085699000000002</v>
      </c>
      <c r="D52" s="2">
        <v>13.3819</v>
      </c>
      <c r="E52" s="2">
        <v>26.268498999999998</v>
      </c>
      <c r="F52" s="2">
        <v>235.044006</v>
      </c>
      <c r="G52" s="2">
        <v>3140.2299800000001</v>
      </c>
      <c r="H52" s="2">
        <v>2492.0600589999999</v>
      </c>
      <c r="I52" s="2">
        <v>76.369820000000004</v>
      </c>
      <c r="J52" s="2">
        <v>2684.4499510000001</v>
      </c>
      <c r="K52" s="2">
        <v>231.029999</v>
      </c>
      <c r="L52" s="2">
        <v>486.68899499999998</v>
      </c>
      <c r="M52" s="2">
        <v>37.495201000000002</v>
      </c>
      <c r="P52" s="7"/>
      <c r="Q52" s="4">
        <f t="shared" si="1"/>
        <v>1.495182369015101E-2</v>
      </c>
      <c r="R52" s="4">
        <f t="shared" si="2"/>
        <v>1.9386931151637046E-2</v>
      </c>
      <c r="S52" s="4">
        <f t="shared" si="3"/>
        <v>1.8411505179579315E-2</v>
      </c>
      <c r="T52" s="4">
        <f t="shared" si="4"/>
        <v>5.7208598556275385E-3</v>
      </c>
      <c r="U52" s="4">
        <f t="shared" si="5"/>
        <v>5.6298587903627108E-3</v>
      </c>
      <c r="V52" s="4">
        <f t="shared" si="6"/>
        <v>5.4385900700360396E-3</v>
      </c>
      <c r="W52" s="4">
        <f t="shared" si="7"/>
        <v>0</v>
      </c>
      <c r="X52" s="4">
        <f t="shared" si="8"/>
        <v>-5.3771606979203364E-2</v>
      </c>
      <c r="Y52" s="4">
        <f t="shared" si="9"/>
        <v>-5.7020412244897942E-2</v>
      </c>
      <c r="Z52" s="4">
        <f t="shared" si="10"/>
        <v>-4.8158356188675651E-2</v>
      </c>
      <c r="AA52" s="4">
        <f t="shared" si="11"/>
        <v>-5.1731457756980855E-2</v>
      </c>
      <c r="AE52" s="7"/>
      <c r="AF52" s="7"/>
      <c r="AH52" s="3" t="s">
        <v>9</v>
      </c>
      <c r="AI52" s="2">
        <f t="array" ref="AI52">(AI50-AM18)/AI51</f>
        <v>0.72221053118956313</v>
      </c>
      <c r="AJ52" t="s">
        <v>37</v>
      </c>
    </row>
    <row r="53" spans="2:36" x14ac:dyDescent="0.35">
      <c r="B53" s="1">
        <v>42644</v>
      </c>
      <c r="C53" s="2">
        <v>16.834</v>
      </c>
      <c r="D53" s="2">
        <v>13.1274</v>
      </c>
      <c r="E53" s="2">
        <v>25.793600000000001</v>
      </c>
      <c r="F53" s="2">
        <v>233.70700099999999</v>
      </c>
      <c r="G53" s="2">
        <v>3122.6499020000001</v>
      </c>
      <c r="H53" s="2">
        <v>2478.580078</v>
      </c>
      <c r="I53" s="2">
        <v>76.369820000000004</v>
      </c>
      <c r="J53" s="2">
        <v>2837</v>
      </c>
      <c r="K53" s="2">
        <v>245</v>
      </c>
      <c r="L53" s="2">
        <v>511.31298800000002</v>
      </c>
      <c r="M53" s="2">
        <v>39.540698999999996</v>
      </c>
      <c r="P53" s="7"/>
      <c r="Q53" s="4">
        <f t="shared" si="1"/>
        <v>6.9386290226103398E-3</v>
      </c>
      <c r="R53" s="4">
        <f t="shared" si="2"/>
        <v>6.4940541452306487E-3</v>
      </c>
      <c r="S53" s="4">
        <f t="shared" si="3"/>
        <v>6.3595858075893756E-3</v>
      </c>
      <c r="T53" s="4">
        <f t="shared" si="4"/>
        <v>5.7321183431952279E-3</v>
      </c>
      <c r="U53" s="4">
        <f t="shared" si="5"/>
        <v>5.8301050762026765E-3</v>
      </c>
      <c r="V53" s="4">
        <f t="shared" si="6"/>
        <v>5.6111483923318621E-3</v>
      </c>
      <c r="W53" s="4">
        <f t="shared" si="7"/>
        <v>0</v>
      </c>
      <c r="X53" s="4">
        <f t="shared" si="8"/>
        <v>-3.1955335891908972E-2</v>
      </c>
      <c r="Y53" s="4">
        <f t="shared" si="9"/>
        <v>2.0918426884214133E-2</v>
      </c>
      <c r="Z53" s="4">
        <f t="shared" si="10"/>
        <v>2.5758659357817411E-2</v>
      </c>
      <c r="AA53" s="4">
        <f t="shared" si="11"/>
        <v>2.7036424758755742E-2</v>
      </c>
      <c r="AE53" s="7"/>
      <c r="AF53" s="7"/>
    </row>
    <row r="54" spans="2:36" x14ac:dyDescent="0.35">
      <c r="B54" s="1">
        <v>42614</v>
      </c>
      <c r="C54" s="2">
        <v>16.718</v>
      </c>
      <c r="D54" s="2">
        <v>13.0427</v>
      </c>
      <c r="E54" s="2">
        <v>25.630600000000001</v>
      </c>
      <c r="F54" s="2">
        <v>232.375</v>
      </c>
      <c r="G54" s="2">
        <v>3104.5500489999999</v>
      </c>
      <c r="H54" s="2">
        <v>2464.75</v>
      </c>
      <c r="I54" s="2">
        <v>76.369820000000004</v>
      </c>
      <c r="J54" s="2">
        <v>2930.6499020000001</v>
      </c>
      <c r="K54" s="2">
        <v>239.979996</v>
      </c>
      <c r="L54" s="2">
        <v>498.47299199999998</v>
      </c>
      <c r="M54" s="2">
        <v>38.499802000000003</v>
      </c>
      <c r="P54" s="7"/>
      <c r="Q54" s="4">
        <f t="shared" si="1"/>
        <v>9.8032701728104719E-3</v>
      </c>
      <c r="R54" s="4">
        <f t="shared" si="2"/>
        <v>1.1728658418337612E-2</v>
      </c>
      <c r="S54" s="4">
        <f t="shared" si="3"/>
        <v>9.523884547517068E-3</v>
      </c>
      <c r="T54" s="4">
        <f t="shared" si="4"/>
        <v>5.6693916805280941E-3</v>
      </c>
      <c r="U54" s="4">
        <f t="shared" si="5"/>
        <v>5.6557989894333209E-3</v>
      </c>
      <c r="V54" s="4">
        <f t="shared" si="6"/>
        <v>5.5894211566954646E-3</v>
      </c>
      <c r="W54" s="4">
        <f t="shared" si="7"/>
        <v>0</v>
      </c>
      <c r="X54" s="4">
        <f t="shared" si="8"/>
        <v>1.6527888310787414E-2</v>
      </c>
      <c r="Y54" s="4">
        <f t="shared" si="9"/>
        <v>-1.9962196873760819E-3</v>
      </c>
      <c r="Z54" s="4">
        <f t="shared" si="10"/>
        <v>-1.0981582025459476E-3</v>
      </c>
      <c r="AA54" s="4">
        <f t="shared" si="11"/>
        <v>-1.3270908172954985E-2</v>
      </c>
      <c r="AE54" s="7"/>
      <c r="AF54" s="7"/>
      <c r="AH54" s="3"/>
    </row>
    <row r="55" spans="2:36" x14ac:dyDescent="0.35">
      <c r="B55" s="1">
        <v>42583</v>
      </c>
      <c r="C55" s="2">
        <v>16.555700000000002</v>
      </c>
      <c r="D55" s="2">
        <v>12.891500000000001</v>
      </c>
      <c r="E55" s="2">
        <v>25.3888</v>
      </c>
      <c r="F55" s="2">
        <v>231.06500199999999</v>
      </c>
      <c r="G55" s="2">
        <v>3087.0900879999999</v>
      </c>
      <c r="H55" s="2">
        <v>2451.0500489999999</v>
      </c>
      <c r="I55" s="2">
        <v>76.369820000000004</v>
      </c>
      <c r="J55" s="2">
        <v>2883</v>
      </c>
      <c r="K55" s="2">
        <v>240.46000699999999</v>
      </c>
      <c r="L55" s="2">
        <v>499.02099600000003</v>
      </c>
      <c r="M55" s="2">
        <v>39.017600999999999</v>
      </c>
      <c r="P55" s="7"/>
      <c r="Q55" s="4">
        <f t="shared" si="1"/>
        <v>1.064017792375385E-2</v>
      </c>
      <c r="R55" s="4">
        <f t="shared" si="2"/>
        <v>1.1185278729929627E-2</v>
      </c>
      <c r="S55" s="4">
        <f t="shared" si="3"/>
        <v>1.1199836352332987E-2</v>
      </c>
      <c r="T55" s="4">
        <f t="shared" si="4"/>
        <v>5.9250471460019702E-3</v>
      </c>
      <c r="U55" s="4">
        <f t="shared" si="5"/>
        <v>5.9665596187962909E-3</v>
      </c>
      <c r="V55" s="4">
        <f t="shared" si="6"/>
        <v>5.82717460202185E-3</v>
      </c>
      <c r="W55" s="4">
        <f t="shared" si="7"/>
        <v>0</v>
      </c>
      <c r="X55" s="4">
        <f t="shared" si="8"/>
        <v>1.9113814074717638E-3</v>
      </c>
      <c r="Y55" s="4">
        <f t="shared" si="9"/>
        <v>4.3572645981882173E-2</v>
      </c>
      <c r="Z55" s="4">
        <f t="shared" si="10"/>
        <v>2.9030222527619907E-2</v>
      </c>
      <c r="AA55" s="4">
        <f t="shared" si="11"/>
        <v>1.7718626483663239E-2</v>
      </c>
      <c r="AE55" s="7"/>
      <c r="AF55" s="7"/>
    </row>
    <row r="56" spans="2:36" x14ac:dyDescent="0.35">
      <c r="B56" s="1">
        <v>42552</v>
      </c>
      <c r="C56" s="2">
        <v>16.381398999999998</v>
      </c>
      <c r="D56" s="2">
        <v>12.748900000000001</v>
      </c>
      <c r="E56" s="2">
        <v>25.107599</v>
      </c>
      <c r="F56" s="2">
        <v>229.70399499999999</v>
      </c>
      <c r="G56" s="2">
        <v>3068.780029</v>
      </c>
      <c r="H56" s="2">
        <v>2436.8500979999999</v>
      </c>
      <c r="I56" s="2">
        <v>76.369820000000004</v>
      </c>
      <c r="J56" s="2">
        <v>2877.5</v>
      </c>
      <c r="K56" s="2">
        <v>230.41999799999999</v>
      </c>
      <c r="L56" s="2">
        <v>484.942993</v>
      </c>
      <c r="M56" s="2">
        <v>38.338298999999999</v>
      </c>
      <c r="P56" s="7"/>
      <c r="Q56" s="4">
        <f t="shared" si="1"/>
        <v>1.4284148674670309E-2</v>
      </c>
      <c r="R56" s="4">
        <f t="shared" si="2"/>
        <v>1.6447945402069793E-2</v>
      </c>
      <c r="S56" s="4">
        <f t="shared" si="3"/>
        <v>1.3175364014323954E-2</v>
      </c>
      <c r="T56" s="4">
        <f t="shared" si="4"/>
        <v>6.1630158017364862E-3</v>
      </c>
      <c r="U56" s="4">
        <f t="shared" si="5"/>
        <v>6.2134448527791245E-3</v>
      </c>
      <c r="V56" s="4">
        <f t="shared" si="6"/>
        <v>6.1147044481207726E-3</v>
      </c>
      <c r="W56" s="4">
        <f t="shared" si="7"/>
        <v>0</v>
      </c>
      <c r="X56" s="4">
        <f t="shared" si="8"/>
        <v>9.8617600078796837E-3</v>
      </c>
      <c r="Y56" s="4">
        <f t="shared" si="9"/>
        <v>3.7180382837947765E-2</v>
      </c>
      <c r="Z56" s="4">
        <f t="shared" si="10"/>
        <v>5.3939808350746049E-2</v>
      </c>
      <c r="AA56" s="4">
        <f t="shared" si="11"/>
        <v>5.608460224516363E-2</v>
      </c>
      <c r="AE56" s="7"/>
      <c r="AF56" s="7"/>
    </row>
    <row r="57" spans="2:36" x14ac:dyDescent="0.35">
      <c r="B57" s="1">
        <v>42522</v>
      </c>
      <c r="C57" s="2">
        <v>16.150700000000001</v>
      </c>
      <c r="D57" s="2">
        <v>12.5426</v>
      </c>
      <c r="E57" s="2">
        <v>24.781099000000001</v>
      </c>
      <c r="F57" s="2">
        <v>228.296997</v>
      </c>
      <c r="G57" s="2">
        <v>3049.830078</v>
      </c>
      <c r="H57" s="2">
        <v>2422.040039</v>
      </c>
      <c r="I57" s="2">
        <v>76.369820000000004</v>
      </c>
      <c r="J57" s="2">
        <v>2849.3999020000001</v>
      </c>
      <c r="K57" s="2">
        <v>222.16000399999999</v>
      </c>
      <c r="L57" s="2">
        <v>460.12399299999998</v>
      </c>
      <c r="M57" s="2">
        <v>36.302298999999998</v>
      </c>
      <c r="P57" s="7"/>
      <c r="Q57" s="4">
        <f t="shared" si="1"/>
        <v>7.5735679303795128E-3</v>
      </c>
      <c r="R57" s="4">
        <f t="shared" si="2"/>
        <v>7.1950534007870224E-3</v>
      </c>
      <c r="S57" s="4">
        <f t="shared" si="3"/>
        <v>8.8914899420666927E-3</v>
      </c>
      <c r="T57" s="4">
        <f t="shared" si="4"/>
        <v>6.3298894505406838E-3</v>
      </c>
      <c r="U57" s="4">
        <f t="shared" si="5"/>
        <v>6.2888499867106472E-3</v>
      </c>
      <c r="V57" s="4">
        <f t="shared" si="6"/>
        <v>6.1439563817634142E-3</v>
      </c>
      <c r="W57" s="4">
        <f t="shared" si="7"/>
        <v>0</v>
      </c>
      <c r="X57" s="4">
        <f t="shared" si="8"/>
        <v>6.1940948880108281E-2</v>
      </c>
      <c r="Y57" s="4">
        <f t="shared" si="9"/>
        <v>7.0702195992524988E-2</v>
      </c>
      <c r="Z57" s="4">
        <f t="shared" si="10"/>
        <v>2.8154928821725947E-2</v>
      </c>
      <c r="AA57" s="4">
        <f t="shared" si="11"/>
        <v>3.4784161827029189E-2</v>
      </c>
      <c r="AE57" s="7"/>
      <c r="AF57" s="7"/>
    </row>
    <row r="58" spans="2:36" x14ac:dyDescent="0.35">
      <c r="B58" s="1">
        <v>42491</v>
      </c>
      <c r="C58" s="2">
        <v>16.029301</v>
      </c>
      <c r="D58" s="2">
        <v>12.452999999999999</v>
      </c>
      <c r="E58" s="2">
        <v>24.5627</v>
      </c>
      <c r="F58" s="2">
        <v>226.86099200000001</v>
      </c>
      <c r="G58" s="2">
        <v>3030.7700199999999</v>
      </c>
      <c r="H58" s="2">
        <v>2407.25</v>
      </c>
      <c r="I58" s="2">
        <v>76.369820000000004</v>
      </c>
      <c r="J58" s="2">
        <v>2683.1999510000001</v>
      </c>
      <c r="K58" s="2">
        <v>207.490005</v>
      </c>
      <c r="L58" s="2">
        <v>447.52398699999998</v>
      </c>
      <c r="M58" s="2">
        <v>35.082000999999998</v>
      </c>
      <c r="P58" s="7"/>
      <c r="Q58" s="4">
        <f t="shared" si="1"/>
        <v>5.1419989590714412E-3</v>
      </c>
      <c r="R58" s="4">
        <f t="shared" si="2"/>
        <v>5.3768649486533072E-3</v>
      </c>
      <c r="S58" s="4">
        <f t="shared" si="3"/>
        <v>6.6763254894025136E-3</v>
      </c>
      <c r="T58" s="4">
        <f t="shared" si="4"/>
        <v>6.8525277415706657E-3</v>
      </c>
      <c r="U58" s="4">
        <f t="shared" si="5"/>
        <v>6.8802484316144406E-3</v>
      </c>
      <c r="V58" s="4">
        <f t="shared" si="6"/>
        <v>6.6026775515812108E-3</v>
      </c>
      <c r="W58" s="4">
        <f t="shared" si="7"/>
        <v>0</v>
      </c>
      <c r="X58" s="4">
        <f t="shared" si="8"/>
        <v>-4.1611601971271381E-2</v>
      </c>
      <c r="Y58" s="4">
        <f t="shared" si="9"/>
        <v>1.6111694653942625E-2</v>
      </c>
      <c r="Z58" s="4">
        <f t="shared" si="10"/>
        <v>4.3500507199171708E-2</v>
      </c>
      <c r="AA58" s="4">
        <f t="shared" si="11"/>
        <v>3.6022435871122457E-2</v>
      </c>
      <c r="AE58" s="7"/>
      <c r="AF58" s="7"/>
    </row>
    <row r="59" spans="2:36" x14ac:dyDescent="0.35">
      <c r="B59" s="1">
        <v>42461</v>
      </c>
      <c r="C59" s="2">
        <v>15.9473</v>
      </c>
      <c r="D59" s="2">
        <v>12.3864</v>
      </c>
      <c r="E59" s="2">
        <v>24.399799000000002</v>
      </c>
      <c r="F59" s="2">
        <v>225.317001</v>
      </c>
      <c r="G59" s="2">
        <v>3010.0600589999999</v>
      </c>
      <c r="H59" s="2">
        <v>2391.459961</v>
      </c>
      <c r="I59" s="2">
        <v>76.369820000000004</v>
      </c>
      <c r="J59" s="2">
        <v>2799.6999510000001</v>
      </c>
      <c r="K59" s="2">
        <v>204.199997</v>
      </c>
      <c r="L59" s="2">
        <v>428.86801100000002</v>
      </c>
      <c r="M59" s="2">
        <v>33.862202000000003</v>
      </c>
      <c r="P59" s="7"/>
      <c r="Q59" s="4">
        <f t="shared" si="1"/>
        <v>9.9747938542603855E-3</v>
      </c>
      <c r="R59" s="4">
        <f t="shared" si="2"/>
        <v>9.3384833520754381E-3</v>
      </c>
      <c r="S59" s="4">
        <f t="shared" si="3"/>
        <v>9.8167829620984647E-3</v>
      </c>
      <c r="T59" s="4">
        <f t="shared" si="4"/>
        <v>6.5354962335183488E-3</v>
      </c>
      <c r="U59" s="4">
        <f t="shared" si="5"/>
        <v>6.641732434434066E-3</v>
      </c>
      <c r="V59" s="4">
        <f t="shared" si="6"/>
        <v>6.4727965788702107E-3</v>
      </c>
      <c r="W59" s="4">
        <f t="shared" si="7"/>
        <v>0</v>
      </c>
      <c r="X59" s="4">
        <f t="shared" si="8"/>
        <v>6.5720065769481695E-2</v>
      </c>
      <c r="Y59" s="4">
        <f t="shared" si="9"/>
        <v>3.6863993735513439E-2</v>
      </c>
      <c r="Z59" s="4">
        <f t="shared" si="10"/>
        <v>2.9198447618755306E-2</v>
      </c>
      <c r="AA59" s="4">
        <f t="shared" si="11"/>
        <v>1.754599791617981E-2</v>
      </c>
      <c r="AE59" s="7"/>
      <c r="AF59" s="7"/>
    </row>
    <row r="60" spans="2:36" x14ac:dyDescent="0.35">
      <c r="B60" s="1">
        <v>42430</v>
      </c>
      <c r="C60" s="2">
        <v>15.7898</v>
      </c>
      <c r="D60" s="2">
        <v>12.271800000000001</v>
      </c>
      <c r="E60" s="2">
        <v>24.162600000000001</v>
      </c>
      <c r="F60" s="2">
        <v>223.854004</v>
      </c>
      <c r="G60" s="2">
        <v>2990.1999510000001</v>
      </c>
      <c r="H60" s="2">
        <v>2376.080078</v>
      </c>
      <c r="I60" s="2">
        <v>76.369820000000004</v>
      </c>
      <c r="J60" s="2">
        <v>2627.0500489999999</v>
      </c>
      <c r="K60" s="2">
        <v>196.94000199999999</v>
      </c>
      <c r="L60" s="2">
        <v>416.70098899999999</v>
      </c>
      <c r="M60" s="2">
        <v>33.278300999999999</v>
      </c>
      <c r="P60" s="7"/>
      <c r="Q60" s="4">
        <f t="shared" si="1"/>
        <v>1.2991345518466878E-2</v>
      </c>
      <c r="R60" s="4">
        <f t="shared" si="2"/>
        <v>1.5524403766902365E-2</v>
      </c>
      <c r="S60" s="4">
        <f t="shared" si="3"/>
        <v>1.5149987396017209E-2</v>
      </c>
      <c r="T60" s="4">
        <f t="shared" si="4"/>
        <v>7.6206401578278364E-3</v>
      </c>
      <c r="U60" s="4">
        <f t="shared" si="5"/>
        <v>7.5918244252771768E-3</v>
      </c>
      <c r="V60" s="4">
        <f t="shared" si="6"/>
        <v>8.1121942317118282E-3</v>
      </c>
      <c r="W60" s="4">
        <f t="shared" si="7"/>
        <v>0</v>
      </c>
      <c r="X60" s="4">
        <f t="shared" si="8"/>
        <v>-2.8816987430683939E-2</v>
      </c>
      <c r="Y60" s="4">
        <f t="shared" si="9"/>
        <v>9.7770393459433461E-2</v>
      </c>
      <c r="Z60" s="4">
        <f t="shared" si="10"/>
        <v>0.15446266860856786</v>
      </c>
      <c r="AA60" s="4">
        <f t="shared" si="11"/>
        <v>0.13171868145321722</v>
      </c>
      <c r="AE60" s="7"/>
      <c r="AF60" s="7"/>
    </row>
    <row r="61" spans="2:36" x14ac:dyDescent="0.35">
      <c r="B61" s="1">
        <v>42401</v>
      </c>
      <c r="C61" s="2">
        <v>15.587300000000001</v>
      </c>
      <c r="D61" s="2">
        <v>12.084199999999999</v>
      </c>
      <c r="E61" s="2">
        <v>23.802</v>
      </c>
      <c r="F61" s="2">
        <v>222.16099500000001</v>
      </c>
      <c r="G61" s="2">
        <v>2967.669922</v>
      </c>
      <c r="H61" s="2">
        <v>2356.959961</v>
      </c>
      <c r="I61" s="2">
        <v>76.369820000000004</v>
      </c>
      <c r="J61" s="2">
        <v>2705</v>
      </c>
      <c r="K61" s="2">
        <v>179.39999399999999</v>
      </c>
      <c r="L61" s="2">
        <v>360.94799799999998</v>
      </c>
      <c r="M61" s="2">
        <v>29.405100000000001</v>
      </c>
      <c r="P61" s="7"/>
      <c r="Q61" s="4">
        <f t="shared" si="1"/>
        <v>-3.5161069663668205E-3</v>
      </c>
      <c r="R61" s="4">
        <f t="shared" si="2"/>
        <v>3.4044107878303601E-3</v>
      </c>
      <c r="S61" s="4">
        <f t="shared" si="3"/>
        <v>5.6446570110358658E-3</v>
      </c>
      <c r="T61" s="4">
        <f t="shared" si="4"/>
        <v>6.0409235472279202E-3</v>
      </c>
      <c r="U61" s="4">
        <f t="shared" si="5"/>
        <v>6.0682364654313327E-3</v>
      </c>
      <c r="V61" s="4">
        <f t="shared" si="6"/>
        <v>5.9538588996468078E-3</v>
      </c>
      <c r="W61" s="4">
        <f t="shared" si="7"/>
        <v>0</v>
      </c>
      <c r="X61" s="4">
        <f t="shared" si="8"/>
        <v>8.6192661093066975E-2</v>
      </c>
      <c r="Y61" s="4">
        <f t="shared" si="9"/>
        <v>-6.9502120287830135E-2</v>
      </c>
      <c r="Z61" s="4">
        <f t="shared" si="10"/>
        <v>-0.11105746422404511</v>
      </c>
      <c r="AA61" s="4">
        <f t="shared" si="11"/>
        <v>-9.0517946489604498E-2</v>
      </c>
      <c r="AE61" s="7"/>
      <c r="AF61" s="7"/>
    </row>
    <row r="62" spans="2:36" x14ac:dyDescent="0.35">
      <c r="B62" s="1">
        <v>42370</v>
      </c>
      <c r="C62" s="2">
        <v>15.642300000000001</v>
      </c>
      <c r="D62" s="2">
        <v>12.043200000000001</v>
      </c>
      <c r="E62" s="2">
        <v>23.668399999999998</v>
      </c>
      <c r="F62" s="2">
        <v>220.82699600000001</v>
      </c>
      <c r="G62" s="2">
        <v>2949.7700199999999</v>
      </c>
      <c r="H62" s="2">
        <v>2343.01001</v>
      </c>
      <c r="I62" s="2">
        <v>76.369820000000004</v>
      </c>
      <c r="J62" s="2">
        <v>2490.3500979999999</v>
      </c>
      <c r="K62" s="2">
        <v>192.800003</v>
      </c>
      <c r="L62" s="2">
        <v>406.04199199999999</v>
      </c>
      <c r="M62" s="2">
        <v>32.331699</v>
      </c>
      <c r="P62" s="7"/>
      <c r="Q62" s="4">
        <f t="shared" si="1"/>
        <v>4.3210272873195022E-3</v>
      </c>
      <c r="R62" s="4">
        <f t="shared" si="2"/>
        <v>4.8560700876096076E-3</v>
      </c>
      <c r="S62" s="4">
        <f t="shared" si="3"/>
        <v>6.0357725788900756E-3</v>
      </c>
      <c r="T62" s="4">
        <f t="shared" si="4"/>
        <v>6.2976552480868446E-3</v>
      </c>
      <c r="U62" s="4">
        <f t="shared" si="5"/>
        <v>6.366159004206921E-3</v>
      </c>
      <c r="V62" s="4">
        <f t="shared" si="6"/>
        <v>6.253112287746102E-3</v>
      </c>
      <c r="W62" s="4">
        <f t="shared" si="7"/>
        <v>0</v>
      </c>
      <c r="X62" s="4">
        <f t="shared" si="8"/>
        <v>4.9540646734873676E-2</v>
      </c>
      <c r="Y62" s="4">
        <f t="shared" si="9"/>
        <v>-5.3370624572795393E-2</v>
      </c>
      <c r="Z62" s="4">
        <f t="shared" si="10"/>
        <v>-8.6745674413947316E-2</v>
      </c>
      <c r="AA62" s="4">
        <f t="shared" si="11"/>
        <v>-5.5247497099925796E-2</v>
      </c>
      <c r="AE62" s="7"/>
      <c r="AF62" s="7"/>
    </row>
    <row r="63" spans="2:36" x14ac:dyDescent="0.35">
      <c r="B63" s="1">
        <v>42339</v>
      </c>
      <c r="C63" s="2">
        <v>15.574999999999999</v>
      </c>
      <c r="D63" s="2">
        <v>11.984999999999999</v>
      </c>
      <c r="E63" s="2">
        <v>23.526399999999999</v>
      </c>
      <c r="F63" s="2">
        <v>219.445007</v>
      </c>
      <c r="G63" s="2">
        <v>2931.110107</v>
      </c>
      <c r="H63" s="2">
        <v>2328.4499510000001</v>
      </c>
      <c r="I63" s="2">
        <v>76.369820000000004</v>
      </c>
      <c r="J63" s="2">
        <v>2372.8000489999999</v>
      </c>
      <c r="K63" s="2">
        <v>203.66999799999999</v>
      </c>
      <c r="L63" s="2">
        <v>444.60998499999999</v>
      </c>
      <c r="M63" s="2">
        <v>34.222400999999998</v>
      </c>
      <c r="P63" s="7"/>
      <c r="Q63" s="4">
        <f t="shared" si="1"/>
        <v>4.4110249829104175E-3</v>
      </c>
      <c r="R63" s="4">
        <f t="shared" si="2"/>
        <v>7.5238535580681139E-3</v>
      </c>
      <c r="S63" s="4">
        <f t="shared" si="3"/>
        <v>5.2728282698799381E-3</v>
      </c>
      <c r="T63" s="4">
        <f t="shared" si="4"/>
        <v>6.3330583299640933E-3</v>
      </c>
      <c r="U63" s="4">
        <f t="shared" si="5"/>
        <v>6.3931951917197615E-3</v>
      </c>
      <c r="V63" s="4">
        <f t="shared" si="6"/>
        <v>6.3184730542689823E-3</v>
      </c>
      <c r="W63" s="4">
        <f t="shared" si="7"/>
        <v>7.0242646345220587E-3</v>
      </c>
      <c r="X63" s="4">
        <f t="shared" si="8"/>
        <v>4.3598091005290773E-3</v>
      </c>
      <c r="Y63" s="4">
        <f t="shared" si="9"/>
        <v>-1.8457840963855457E-2</v>
      </c>
      <c r="Z63" s="4">
        <f t="shared" si="10"/>
        <v>-2.2181916466063406E-2</v>
      </c>
      <c r="AA63" s="4">
        <f t="shared" si="11"/>
        <v>2.0440201688289465E-2</v>
      </c>
      <c r="AE63" s="7"/>
      <c r="AF63" s="7"/>
    </row>
    <row r="64" spans="2:36" x14ac:dyDescent="0.35">
      <c r="B64" s="1">
        <v>42309</v>
      </c>
      <c r="C64" s="2">
        <v>15.506600000000001</v>
      </c>
      <c r="D64" s="2">
        <v>11.8955</v>
      </c>
      <c r="E64" s="2">
        <v>23.402999999999999</v>
      </c>
      <c r="F64" s="2">
        <v>218.06399500000001</v>
      </c>
      <c r="G64" s="2">
        <v>2912.48999</v>
      </c>
      <c r="H64" s="2">
        <v>2313.830078</v>
      </c>
      <c r="I64" s="2">
        <v>75.837119999999999</v>
      </c>
      <c r="J64" s="2">
        <v>2362.5</v>
      </c>
      <c r="K64" s="2">
        <v>207.5</v>
      </c>
      <c r="L64" s="2">
        <v>454.69601399999999</v>
      </c>
      <c r="M64" s="2">
        <v>33.536900000000003</v>
      </c>
      <c r="P64" s="7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6" spans="16:27" x14ac:dyDescent="0.35">
      <c r="Q66" s="3" t="s">
        <v>11</v>
      </c>
      <c r="R66" s="3" t="s">
        <v>12</v>
      </c>
      <c r="S66" s="3" t="s">
        <v>13</v>
      </c>
      <c r="T66" s="3" t="s">
        <v>16</v>
      </c>
      <c r="U66" s="3" t="s">
        <v>15</v>
      </c>
      <c r="V66" s="3" t="s">
        <v>14</v>
      </c>
      <c r="W66" s="3" t="s">
        <v>4</v>
      </c>
      <c r="X66" s="3" t="s">
        <v>3</v>
      </c>
      <c r="Y66" s="3" t="s">
        <v>18</v>
      </c>
      <c r="Z66" s="3" t="s">
        <v>19</v>
      </c>
      <c r="AA66" s="3" t="s">
        <v>17</v>
      </c>
    </row>
    <row r="67" spans="16:27" x14ac:dyDescent="0.35">
      <c r="P67" s="3" t="s">
        <v>5</v>
      </c>
      <c r="Q67" s="8">
        <f>AVERAGE(Q5:Q63)</f>
        <v>6.6519314917109686E-3</v>
      </c>
      <c r="R67" s="8">
        <f>AVERAGE(R5:R63)</f>
        <v>6.6119225204143419E-3</v>
      </c>
      <c r="S67" s="8">
        <f>AVERAGE(S5:S63)</f>
        <v>6.8828980484478049E-3</v>
      </c>
      <c r="T67" s="8">
        <f t="shared" ref="T67:AA67" si="13">AVERAGE(T5:T63)</f>
        <v>5.3563134159825823E-3</v>
      </c>
      <c r="U67" s="8">
        <f t="shared" si="13"/>
        <v>5.3468537486211056E-3</v>
      </c>
      <c r="V67" s="8">
        <f t="shared" si="13"/>
        <v>5.2692921073550329E-3</v>
      </c>
      <c r="W67" s="8">
        <f t="shared" si="13"/>
        <v>1.0281184646422465E-2</v>
      </c>
      <c r="X67" s="8">
        <f t="shared" si="13"/>
        <v>1.1789081326628091E-2</v>
      </c>
      <c r="Y67" s="8">
        <f t="shared" si="13"/>
        <v>6.6770142146405217E-3</v>
      </c>
      <c r="Z67" s="8">
        <f t="shared" si="13"/>
        <v>5.5433695083489136E-3</v>
      </c>
      <c r="AA67" s="8">
        <f t="shared" si="13"/>
        <v>8.4973886023717079E-3</v>
      </c>
    </row>
    <row r="68" spans="16:27" x14ac:dyDescent="0.35">
      <c r="P68" s="3" t="s">
        <v>6</v>
      </c>
      <c r="Q68" s="8">
        <f>_xlfn.VAR.S(Q5:Q63)</f>
        <v>2.1669243038584048E-5</v>
      </c>
      <c r="R68" s="8">
        <f t="shared" ref="R68:Z68" si="14">_xlfn.VAR.S(R5:R63)</f>
        <v>5.0779322041918526E-5</v>
      </c>
      <c r="S68" s="8">
        <f t="shared" si="14"/>
        <v>3.1273386261601646E-5</v>
      </c>
      <c r="T68" s="8">
        <f t="shared" si="14"/>
        <v>1.7206266668469146E-6</v>
      </c>
      <c r="U68" s="8">
        <f t="shared" si="14"/>
        <v>1.7134409783851719E-6</v>
      </c>
      <c r="V68" s="8">
        <f t="shared" si="14"/>
        <v>1.999478202641968E-6</v>
      </c>
      <c r="W68" s="8">
        <f t="shared" si="14"/>
        <v>4.8718189642342037E-3</v>
      </c>
      <c r="X68" s="8">
        <f t="shared" si="14"/>
        <v>1.4462898565844936E-3</v>
      </c>
      <c r="Y68" s="8">
        <f t="shared" si="14"/>
        <v>2.9755802124420941E-3</v>
      </c>
      <c r="Z68" s="8">
        <f t="shared" si="14"/>
        <v>3.8224446529894203E-3</v>
      </c>
      <c r="AA68" s="8">
        <f>_xlfn.VAR.S(AA5:AA63)</f>
        <v>2.9788952933658239E-3</v>
      </c>
    </row>
    <row r="69" spans="16:27" x14ac:dyDescent="0.35">
      <c r="P69" s="3" t="s">
        <v>39</v>
      </c>
      <c r="Q69" s="8">
        <f>Q67*12</f>
        <v>7.9823177900531617E-2</v>
      </c>
      <c r="R69" s="8">
        <f t="shared" ref="R69:AA69" si="15">R67*12</f>
        <v>7.93430702449721E-2</v>
      </c>
      <c r="S69" s="8">
        <f t="shared" si="15"/>
        <v>8.2594776581373652E-2</v>
      </c>
      <c r="T69" s="8">
        <f t="shared" si="15"/>
        <v>6.4275760991790984E-2</v>
      </c>
      <c r="U69" s="8">
        <f t="shared" si="15"/>
        <v>6.416224498345327E-2</v>
      </c>
      <c r="V69" s="8">
        <f t="shared" si="15"/>
        <v>6.3231505288260395E-2</v>
      </c>
      <c r="W69" s="8">
        <f t="shared" si="15"/>
        <v>0.12337421575706958</v>
      </c>
      <c r="X69" s="8">
        <f t="shared" si="15"/>
        <v>0.14146897591953708</v>
      </c>
      <c r="Y69" s="8">
        <f t="shared" si="15"/>
        <v>8.0124170575686257E-2</v>
      </c>
      <c r="Z69" s="8">
        <f t="shared" si="15"/>
        <v>6.6520434100186959E-2</v>
      </c>
      <c r="AA69" s="8">
        <f t="shared" si="15"/>
        <v>0.10196866322846049</v>
      </c>
    </row>
    <row r="70" spans="16:27" x14ac:dyDescent="0.35">
      <c r="P70" s="3" t="s">
        <v>38</v>
      </c>
      <c r="Q70" s="8">
        <f>Q68*12</f>
        <v>2.6003091646300858E-4</v>
      </c>
      <c r="R70" s="8">
        <f t="shared" ref="R70:AA70" si="16">R68*12</f>
        <v>6.0935186450302228E-4</v>
      </c>
      <c r="S70" s="8">
        <f t="shared" si="16"/>
        <v>3.7528063513921973E-4</v>
      </c>
      <c r="T70" s="8">
        <f t="shared" si="16"/>
        <v>2.0647520002162976E-5</v>
      </c>
      <c r="U70" s="8">
        <f t="shared" si="16"/>
        <v>2.0561291740622063E-5</v>
      </c>
      <c r="V70" s="8">
        <f t="shared" si="16"/>
        <v>2.3993738431703614E-5</v>
      </c>
      <c r="W70" s="8">
        <f t="shared" si="16"/>
        <v>5.8461827570810448E-2</v>
      </c>
      <c r="X70" s="8">
        <f t="shared" si="16"/>
        <v>1.7355478279013924E-2</v>
      </c>
      <c r="Y70" s="8">
        <f t="shared" si="16"/>
        <v>3.5706962549305131E-2</v>
      </c>
      <c r="Z70" s="8">
        <f t="shared" si="16"/>
        <v>4.5869335835873042E-2</v>
      </c>
      <c r="AA70" s="8">
        <f t="shared" si="16"/>
        <v>3.5746743520389888E-2</v>
      </c>
    </row>
  </sheetData>
  <mergeCells count="3">
    <mergeCell ref="C3:M3"/>
    <mergeCell ref="Q3:AA3"/>
    <mergeCell ref="AM2:AW2"/>
  </mergeCells>
  <pageMargins left="0.7" right="0.7" top="0.75" bottom="0.75" header="0.3" footer="0.3"/>
  <pageSetup orientation="portrait" r:id="rId1"/>
  <ignoredErrors>
    <ignoredError sqref="AL42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7761E-7545-4886-80D0-2D4E50881DA7}">
  <dimension ref="A1:Q52"/>
  <sheetViews>
    <sheetView topLeftCell="B3" workbookViewId="0">
      <selection activeCell="Q6" sqref="Q6"/>
    </sheetView>
  </sheetViews>
  <sheetFormatPr defaultRowHeight="14.5" x14ac:dyDescent="0.35"/>
  <cols>
    <col min="1" max="1" width="31.7265625" style="18" bestFit="1" customWidth="1"/>
    <col min="2" max="2" width="8.7265625" style="18"/>
    <col min="3" max="3" width="10.1796875" style="18" customWidth="1"/>
    <col min="4" max="10" width="8.7265625" style="18"/>
    <col min="11" max="11" width="11.6328125" style="18" customWidth="1"/>
    <col min="12" max="14" width="8.7265625" style="18"/>
    <col min="15" max="15" width="14.6328125" style="18" bestFit="1" customWidth="1"/>
    <col min="16" max="16" width="18.26953125" style="18" bestFit="1" customWidth="1"/>
    <col min="17" max="17" width="11.81640625" style="18" bestFit="1" customWidth="1"/>
    <col min="18" max="16384" width="8.7265625" style="18"/>
  </cols>
  <sheetData>
    <row r="1" spans="1:17" ht="21" x14ac:dyDescent="0.5">
      <c r="B1" s="59" t="s">
        <v>81</v>
      </c>
      <c r="C1" s="59"/>
      <c r="D1" s="59"/>
    </row>
    <row r="3" spans="1:17" ht="18.5" x14ac:dyDescent="0.45">
      <c r="A3" s="3" t="s">
        <v>82</v>
      </c>
      <c r="B3" s="60" t="s">
        <v>83</v>
      </c>
      <c r="C3" s="60"/>
      <c r="D3" s="60"/>
      <c r="N3" s="18" t="s">
        <v>84</v>
      </c>
      <c r="O3" s="18" t="s">
        <v>85</v>
      </c>
      <c r="P3" s="18" t="s">
        <v>86</v>
      </c>
      <c r="Q3" s="18" t="s">
        <v>87</v>
      </c>
    </row>
    <row r="4" spans="1:17" x14ac:dyDescent="0.35">
      <c r="A4" s="3" t="s">
        <v>88</v>
      </c>
      <c r="B4" s="61" t="s">
        <v>89</v>
      </c>
      <c r="C4" s="61"/>
      <c r="D4" s="61"/>
      <c r="N4" s="18" t="s">
        <v>90</v>
      </c>
      <c r="O4" s="18">
        <v>1152.1300000000001</v>
      </c>
      <c r="P4" s="18">
        <v>64.33</v>
      </c>
      <c r="Q4" s="18">
        <f t="shared" ref="Q4:Q8" si="0">O4/P4</f>
        <v>17.909684439608274</v>
      </c>
    </row>
    <row r="5" spans="1:17" x14ac:dyDescent="0.35">
      <c r="A5" s="3" t="s">
        <v>91</v>
      </c>
      <c r="B5" s="61">
        <v>626.25</v>
      </c>
      <c r="C5" s="61"/>
      <c r="D5" s="61"/>
      <c r="N5" s="18" t="s">
        <v>92</v>
      </c>
      <c r="O5" s="18">
        <v>1732.75</v>
      </c>
      <c r="P5" s="40">
        <v>54.89</v>
      </c>
      <c r="Q5" s="18">
        <f t="shared" si="0"/>
        <v>31.567680816177809</v>
      </c>
    </row>
    <row r="6" spans="1:17" x14ac:dyDescent="0.35">
      <c r="A6" s="3" t="s">
        <v>93</v>
      </c>
      <c r="B6" s="62">
        <v>44124</v>
      </c>
      <c r="C6" s="62"/>
      <c r="D6" s="62"/>
      <c r="N6" s="18" t="s">
        <v>94</v>
      </c>
      <c r="O6" s="18">
        <v>1629.83</v>
      </c>
      <c r="P6" s="40">
        <v>60.2</v>
      </c>
      <c r="Q6" s="18">
        <f t="shared" si="0"/>
        <v>27.073588039867108</v>
      </c>
    </row>
    <row r="7" spans="1:17" x14ac:dyDescent="0.35">
      <c r="A7" s="3" t="s">
        <v>86</v>
      </c>
      <c r="B7" s="40">
        <v>64.33</v>
      </c>
      <c r="C7" s="40">
        <v>54.89</v>
      </c>
      <c r="D7" s="40">
        <v>60.2</v>
      </c>
      <c r="E7" s="40">
        <v>48.07</v>
      </c>
      <c r="F7" s="40">
        <v>39.68</v>
      </c>
      <c r="G7" s="40">
        <v>33.99</v>
      </c>
      <c r="H7" s="40">
        <v>26.85</v>
      </c>
      <c r="I7" s="40">
        <v>21.83</v>
      </c>
      <c r="J7" s="40">
        <v>17.2</v>
      </c>
      <c r="N7" s="18" t="s">
        <v>95</v>
      </c>
      <c r="O7" s="18">
        <v>1183.77</v>
      </c>
      <c r="P7" s="40">
        <v>48.07</v>
      </c>
      <c r="Q7" s="18">
        <f t="shared" si="0"/>
        <v>24.625962138547951</v>
      </c>
    </row>
    <row r="8" spans="1:17" x14ac:dyDescent="0.35">
      <c r="A8" s="3"/>
      <c r="B8" s="50" t="s">
        <v>90</v>
      </c>
      <c r="C8" s="50" t="s">
        <v>92</v>
      </c>
      <c r="D8" s="50" t="s">
        <v>94</v>
      </c>
      <c r="E8" s="50" t="s">
        <v>95</v>
      </c>
      <c r="F8" s="50" t="s">
        <v>96</v>
      </c>
      <c r="G8" s="50" t="s">
        <v>97</v>
      </c>
      <c r="H8" s="50" t="s">
        <v>98</v>
      </c>
      <c r="I8" s="50" t="s">
        <v>99</v>
      </c>
      <c r="J8" s="50" t="s">
        <v>100</v>
      </c>
      <c r="N8" s="18" t="s">
        <v>96</v>
      </c>
      <c r="O8" s="18">
        <v>911.59</v>
      </c>
      <c r="P8" s="40">
        <v>39.68</v>
      </c>
      <c r="Q8" s="18">
        <f t="shared" si="0"/>
        <v>22.973538306451612</v>
      </c>
    </row>
    <row r="9" spans="1:17" x14ac:dyDescent="0.35">
      <c r="A9" s="3" t="s">
        <v>101</v>
      </c>
      <c r="B9" s="4">
        <f>(B7/J7)^(1/8)-100%</f>
        <v>0.17926290639371878</v>
      </c>
      <c r="N9" s="18" t="s">
        <v>97</v>
      </c>
      <c r="O9" s="18">
        <v>685.5</v>
      </c>
      <c r="P9" s="40">
        <v>33.99</v>
      </c>
      <c r="Q9" s="18">
        <f>O9/P9</f>
        <v>20.167696381288614</v>
      </c>
    </row>
    <row r="10" spans="1:17" x14ac:dyDescent="0.35">
      <c r="A10" s="3" t="s">
        <v>102</v>
      </c>
      <c r="B10" s="2">
        <f>B5/B7</f>
        <v>9.7349603606404482</v>
      </c>
      <c r="C10" s="42" t="s">
        <v>103</v>
      </c>
      <c r="N10" s="18" t="s">
        <v>98</v>
      </c>
      <c r="O10" s="18">
        <v>420.53</v>
      </c>
      <c r="P10" s="40">
        <v>26.85</v>
      </c>
      <c r="Q10" s="18">
        <f>O10/P10</f>
        <v>15.662197392923648</v>
      </c>
    </row>
    <row r="11" spans="1:17" x14ac:dyDescent="0.35">
      <c r="A11" s="3" t="s">
        <v>104</v>
      </c>
      <c r="B11" s="43">
        <v>22.24</v>
      </c>
      <c r="N11" s="18" t="s">
        <v>99</v>
      </c>
      <c r="O11" s="18">
        <v>369.38</v>
      </c>
      <c r="P11" s="40">
        <v>21.83</v>
      </c>
      <c r="Q11" s="18">
        <f>O11/P11</f>
        <v>16.920751259734313</v>
      </c>
    </row>
    <row r="12" spans="1:17" x14ac:dyDescent="0.35">
      <c r="A12" s="49" t="s">
        <v>105</v>
      </c>
      <c r="B12" s="18">
        <v>21.4</v>
      </c>
      <c r="N12" s="18" t="s">
        <v>100</v>
      </c>
      <c r="O12" s="18">
        <v>270.83999999999997</v>
      </c>
      <c r="P12" s="40">
        <v>17.2</v>
      </c>
      <c r="Q12" s="18">
        <f>O12/P12</f>
        <v>15.746511627906976</v>
      </c>
    </row>
    <row r="13" spans="1:17" x14ac:dyDescent="0.35">
      <c r="A13" s="3" t="s">
        <v>106</v>
      </c>
      <c r="B13" s="18">
        <f>B12*1.04</f>
        <v>22.256</v>
      </c>
    </row>
    <row r="14" spans="1:17" x14ac:dyDescent="0.35">
      <c r="A14" s="3" t="s">
        <v>107</v>
      </c>
      <c r="B14" s="2">
        <f>B12*B7</f>
        <v>1376.6619999999998</v>
      </c>
      <c r="P14" s="3" t="s">
        <v>105</v>
      </c>
      <c r="Q14" s="18">
        <f>AVERAGE(Q4:Q12)</f>
        <v>21.405290044722921</v>
      </c>
    </row>
    <row r="15" spans="1:17" x14ac:dyDescent="0.35">
      <c r="A15" s="3" t="s">
        <v>110</v>
      </c>
      <c r="B15" s="2">
        <f>B13*B7</f>
        <v>1431.72848</v>
      </c>
      <c r="P15" s="3" t="s">
        <v>108</v>
      </c>
      <c r="Q15" s="18" t="s">
        <v>109</v>
      </c>
    </row>
    <row r="16" spans="1:17" x14ac:dyDescent="0.35">
      <c r="A16" s="3" t="s">
        <v>111</v>
      </c>
      <c r="B16" s="2">
        <f>B10/12.84</f>
        <v>0.75817448291592282</v>
      </c>
      <c r="C16" s="42" t="s">
        <v>112</v>
      </c>
    </row>
    <row r="17" spans="1:6" x14ac:dyDescent="0.35">
      <c r="A17" s="3"/>
    </row>
    <row r="18" spans="1:6" ht="18.5" x14ac:dyDescent="0.45">
      <c r="A18" s="44"/>
      <c r="B18" s="63" t="s">
        <v>113</v>
      </c>
      <c r="C18" s="63"/>
      <c r="D18" s="63"/>
    </row>
    <row r="19" spans="1:6" x14ac:dyDescent="0.35">
      <c r="A19" s="3"/>
    </row>
    <row r="20" spans="1:6" x14ac:dyDescent="0.35">
      <c r="A20" s="3" t="s">
        <v>114</v>
      </c>
      <c r="B20" s="18">
        <v>437.2</v>
      </c>
    </row>
    <row r="21" spans="1:6" x14ac:dyDescent="0.35">
      <c r="A21" s="3" t="s">
        <v>115</v>
      </c>
      <c r="B21" s="2">
        <f>B5/B20</f>
        <v>1.4324107959743824</v>
      </c>
      <c r="C21" s="42" t="s">
        <v>112</v>
      </c>
    </row>
    <row r="22" spans="1:6" x14ac:dyDescent="0.35">
      <c r="A22" s="3" t="s">
        <v>116</v>
      </c>
      <c r="B22" s="4">
        <f>B7/B20</f>
        <v>0.1471408966148216</v>
      </c>
      <c r="C22" s="18" t="s">
        <v>117</v>
      </c>
    </row>
    <row r="23" spans="1:6" x14ac:dyDescent="0.35">
      <c r="A23" s="3" t="s">
        <v>118</v>
      </c>
      <c r="B23" s="18">
        <v>1.33</v>
      </c>
      <c r="C23" s="18" t="s">
        <v>119</v>
      </c>
      <c r="E23" s="3" t="s">
        <v>120</v>
      </c>
    </row>
    <row r="24" spans="1:6" x14ac:dyDescent="0.35">
      <c r="A24" s="3" t="s">
        <v>121</v>
      </c>
      <c r="B24" s="18">
        <v>0.85</v>
      </c>
      <c r="C24" s="18" t="s">
        <v>122</v>
      </c>
      <c r="F24" s="42" t="s">
        <v>112</v>
      </c>
    </row>
    <row r="25" spans="1:6" x14ac:dyDescent="0.35">
      <c r="A25" s="3" t="s">
        <v>123</v>
      </c>
      <c r="B25" s="18" t="s">
        <v>124</v>
      </c>
      <c r="D25" s="45" t="s">
        <v>125</v>
      </c>
    </row>
    <row r="26" spans="1:6" x14ac:dyDescent="0.35">
      <c r="A26" s="3"/>
    </row>
    <row r="27" spans="1:6" x14ac:dyDescent="0.35">
      <c r="A27" s="3"/>
    </row>
    <row r="28" spans="1:6" ht="18.5" x14ac:dyDescent="0.45">
      <c r="A28" s="44"/>
      <c r="C28" s="46" t="s">
        <v>126</v>
      </c>
    </row>
    <row r="29" spans="1:6" x14ac:dyDescent="0.35">
      <c r="A29" s="3"/>
    </row>
    <row r="30" spans="1:6" x14ac:dyDescent="0.35">
      <c r="A30" s="3" t="s">
        <v>127</v>
      </c>
      <c r="B30" s="36" t="s">
        <v>128</v>
      </c>
    </row>
    <row r="31" spans="1:6" x14ac:dyDescent="0.35">
      <c r="A31" s="3" t="s">
        <v>129</v>
      </c>
      <c r="B31" s="2">
        <f>(B14-B5)</f>
        <v>750.41199999999981</v>
      </c>
      <c r="C31" s="42"/>
    </row>
    <row r="32" spans="1:6" x14ac:dyDescent="0.35">
      <c r="A32" s="3" t="s">
        <v>130</v>
      </c>
      <c r="B32" s="4">
        <v>0.17929999999999999</v>
      </c>
    </row>
    <row r="33" spans="1:6" x14ac:dyDescent="0.35">
      <c r="A33" s="3" t="s">
        <v>131</v>
      </c>
      <c r="B33" s="47">
        <v>0.15</v>
      </c>
    </row>
    <row r="34" spans="1:6" x14ac:dyDescent="0.35">
      <c r="A34" s="3" t="s">
        <v>132</v>
      </c>
      <c r="B34" s="2">
        <f>B7*((1.15)^3)</f>
        <v>97.837888749999962</v>
      </c>
      <c r="C34" s="18" t="s">
        <v>133</v>
      </c>
    </row>
    <row r="35" spans="1:6" x14ac:dyDescent="0.35">
      <c r="A35" s="3" t="s">
        <v>134</v>
      </c>
      <c r="B35" s="2">
        <f>B34*B12</f>
        <v>2093.7308192499991</v>
      </c>
      <c r="C35" s="18" t="s">
        <v>135</v>
      </c>
    </row>
    <row r="36" spans="1:6" x14ac:dyDescent="0.35">
      <c r="A36" s="3" t="s">
        <v>136</v>
      </c>
      <c r="B36" s="2">
        <f>B35-B5</f>
        <v>1467.4808192499991</v>
      </c>
      <c r="C36" s="42"/>
    </row>
    <row r="37" spans="1:6" x14ac:dyDescent="0.35">
      <c r="A37" s="57" t="s">
        <v>137</v>
      </c>
      <c r="B37" s="48">
        <v>7.5</v>
      </c>
      <c r="C37" s="48">
        <v>7.5</v>
      </c>
      <c r="D37" s="48">
        <v>6</v>
      </c>
      <c r="E37" s="48">
        <v>4.5</v>
      </c>
      <c r="F37" s="48">
        <v>4</v>
      </c>
    </row>
    <row r="38" spans="1:6" x14ac:dyDescent="0.35">
      <c r="A38" s="57"/>
      <c r="B38" s="51" t="s">
        <v>92</v>
      </c>
      <c r="C38" s="52" t="s">
        <v>94</v>
      </c>
      <c r="D38" s="50" t="s">
        <v>95</v>
      </c>
      <c r="E38" s="50" t="s">
        <v>96</v>
      </c>
      <c r="F38" s="50" t="s">
        <v>97</v>
      </c>
    </row>
    <row r="39" spans="1:6" x14ac:dyDescent="0.35">
      <c r="A39" s="57" t="s">
        <v>138</v>
      </c>
      <c r="B39" s="4">
        <f>B37/C7</f>
        <v>0.13663691018400437</v>
      </c>
      <c r="C39" s="4">
        <f>C37/D7</f>
        <v>0.12458471760797342</v>
      </c>
      <c r="D39" s="4">
        <f>D37/E7</f>
        <v>0.1248179737882255</v>
      </c>
      <c r="E39" s="4">
        <f>E37/F7</f>
        <v>0.11340725806451613</v>
      </c>
      <c r="F39" s="4">
        <f>F37/G7</f>
        <v>0.11768167107972932</v>
      </c>
    </row>
    <row r="40" spans="1:6" x14ac:dyDescent="0.35">
      <c r="A40" s="57"/>
      <c r="B40" s="51" t="s">
        <v>92</v>
      </c>
      <c r="C40" s="52" t="s">
        <v>94</v>
      </c>
      <c r="D40" s="50" t="s">
        <v>95</v>
      </c>
      <c r="E40" s="50" t="s">
        <v>96</v>
      </c>
      <c r="F40" s="50" t="s">
        <v>97</v>
      </c>
    </row>
    <row r="41" spans="1:6" x14ac:dyDescent="0.35">
      <c r="A41" s="3"/>
    </row>
    <row r="42" spans="1:6" x14ac:dyDescent="0.35">
      <c r="A42" s="3" t="s">
        <v>139</v>
      </c>
      <c r="B42" s="4">
        <f>AVERAGE(B39:F39)</f>
        <v>0.12342570614488975</v>
      </c>
    </row>
    <row r="43" spans="1:6" x14ac:dyDescent="0.35">
      <c r="A43" s="3" t="s">
        <v>140</v>
      </c>
      <c r="B43" s="47">
        <v>0.12</v>
      </c>
    </row>
    <row r="44" spans="1:6" x14ac:dyDescent="0.35">
      <c r="A44" s="3"/>
    </row>
    <row r="45" spans="1:6" x14ac:dyDescent="0.35">
      <c r="A45" s="58" t="s">
        <v>141</v>
      </c>
      <c r="B45" s="2">
        <f>B7*1.15</f>
        <v>73.979499999999987</v>
      </c>
      <c r="C45" s="2">
        <f>B45*1.15</f>
        <v>85.076424999999972</v>
      </c>
      <c r="D45" s="2">
        <f>C45*1.15</f>
        <v>97.837888749999962</v>
      </c>
    </row>
    <row r="46" spans="1:6" x14ac:dyDescent="0.35">
      <c r="A46" s="58"/>
      <c r="B46" s="41" t="s">
        <v>142</v>
      </c>
      <c r="C46" s="41" t="s">
        <v>143</v>
      </c>
      <c r="D46" s="41" t="s">
        <v>144</v>
      </c>
    </row>
    <row r="47" spans="1:6" x14ac:dyDescent="0.35">
      <c r="A47" s="3"/>
    </row>
    <row r="48" spans="1:6" x14ac:dyDescent="0.35">
      <c r="A48" s="58" t="s">
        <v>145</v>
      </c>
      <c r="B48" s="2">
        <f>B45*0.12</f>
        <v>8.877539999999998</v>
      </c>
      <c r="C48" s="2">
        <f>C45*0.12</f>
        <v>10.209170999999996</v>
      </c>
      <c r="D48" s="2">
        <f>D45*0.12</f>
        <v>11.740546649999995</v>
      </c>
    </row>
    <row r="49" spans="1:4" x14ac:dyDescent="0.35">
      <c r="A49" s="58"/>
      <c r="B49" s="41" t="s">
        <v>142</v>
      </c>
      <c r="C49" s="41" t="s">
        <v>143</v>
      </c>
      <c r="D49" s="41" t="s">
        <v>144</v>
      </c>
    </row>
    <row r="50" spans="1:4" x14ac:dyDescent="0.35">
      <c r="A50" s="3"/>
    </row>
    <row r="51" spans="1:4" x14ac:dyDescent="0.35">
      <c r="A51" s="3" t="s">
        <v>146</v>
      </c>
      <c r="B51" s="2">
        <f>B36+B48+C48+D48</f>
        <v>1498.3080768999989</v>
      </c>
    </row>
    <row r="52" spans="1:4" x14ac:dyDescent="0.35">
      <c r="A52" s="3" t="s">
        <v>147</v>
      </c>
      <c r="B52" s="4">
        <f>(((B51+B5)/B5)^(1/3))-1</f>
        <v>0.50258929184011336</v>
      </c>
      <c r="D52" s="42"/>
    </row>
  </sheetData>
  <mergeCells count="10">
    <mergeCell ref="A37:A38"/>
    <mergeCell ref="A39:A40"/>
    <mergeCell ref="A45:A46"/>
    <mergeCell ref="A48:A49"/>
    <mergeCell ref="B1:D1"/>
    <mergeCell ref="B3:D3"/>
    <mergeCell ref="B4:D4"/>
    <mergeCell ref="B5:D5"/>
    <mergeCell ref="B6:D6"/>
    <mergeCell ref="B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24</vt:i4>
      </vt:variant>
    </vt:vector>
  </HeadingPairs>
  <TitlesOfParts>
    <vt:vector size="32" baseType="lpstr">
      <vt:lpstr>&lt; 3 days</vt:lpstr>
      <vt:lpstr>3-7 days</vt:lpstr>
      <vt:lpstr>7-30 days</vt:lpstr>
      <vt:lpstr>1-3 months</vt:lpstr>
      <vt:lpstr>3-6 months</vt:lpstr>
      <vt:lpstr>6-12 months</vt:lpstr>
      <vt:lpstr>1-3 year</vt:lpstr>
      <vt:lpstr>Fundamental Analysis - IndusInd</vt:lpstr>
      <vt:lpstr>HCFR</vt:lpstr>
      <vt:lpstr>HCRFret</vt:lpstr>
      <vt:lpstr>HEF</vt:lpstr>
      <vt:lpstr>HEFret</vt:lpstr>
      <vt:lpstr>HGE</vt:lpstr>
      <vt:lpstr>HGEret</vt:lpstr>
      <vt:lpstr>HLF</vt:lpstr>
      <vt:lpstr>HLFret</vt:lpstr>
      <vt:lpstr>ICFR</vt:lpstr>
      <vt:lpstr>ICFRret</vt:lpstr>
      <vt:lpstr>ICRFret</vt:lpstr>
      <vt:lpstr>ILF</vt:lpstr>
      <vt:lpstr>ILFret</vt:lpstr>
      <vt:lpstr>IM</vt:lpstr>
      <vt:lpstr>IMret</vt:lpstr>
      <vt:lpstr>SCFR</vt:lpstr>
      <vt:lpstr>SCRFret</vt:lpstr>
      <vt:lpstr>SLF</vt:lpstr>
      <vt:lpstr>SLFret</vt:lpstr>
      <vt:lpstr>SMM</vt:lpstr>
      <vt:lpstr>SMMret</vt:lpstr>
      <vt:lpstr>SN50ETF</vt:lpstr>
      <vt:lpstr>SN50ret</vt:lpstr>
      <vt:lpstr>UTIret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2020-10-19T09:56:36Z</dcterms:created>
  <dcterms:modified xsi:type="dcterms:W3CDTF">2021-06-19T12:38:07Z</dcterms:modified>
</cp:coreProperties>
</file>