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Feuil1" sheetId="1" r:id="rId1"/>
  </sheets>
  <calcPr calcId="162913"/>
</workbook>
</file>

<file path=xl/sharedStrings.xml><?xml version="1.0" encoding="utf-8"?>
<sst xmlns="http://schemas.openxmlformats.org/spreadsheetml/2006/main" count="275" uniqueCount="275">
  <si>
    <t>Bord2Ligne</t>
  </si>
  <si>
    <t>Nom</t>
  </si>
  <si>
    <t>Début</t>
  </si>
  <si>
    <t>Fin</t>
  </si>
  <si>
    <t>Durée</t>
  </si>
  <si>
    <t>Prédécesseurs</t>
  </si>
  <si>
    <t>Progression</t>
  </si>
  <si>
    <t>Priorité</t>
  </si>
  <si>
    <t>Ressources</t>
  </si>
  <si>
    <t>Travail</t>
  </si>
  <si>
    <t>Travail réel</t>
  </si>
  <si>
    <t>Travail restant</t>
  </si>
  <si>
    <t>Coût</t>
  </si>
  <si>
    <t>Coût fixe</t>
  </si>
  <si>
    <t>Coût réel</t>
  </si>
  <si>
    <t>Coût restant</t>
  </si>
  <si>
    <t>Début de référence</t>
  </si>
  <si>
    <t>Fin de référence</t>
  </si>
  <si>
    <t>Durée de référence</t>
  </si>
  <si>
    <t>Travail de référence</t>
  </si>
  <si>
    <t>Coût de référence</t>
  </si>
  <si>
    <t>1</t>
  </si>
  <si>
    <t>ﾠ</t>
  </si>
  <si>
    <t>304,16 jours</t>
  </si>
  <si>
    <t>26632 h</t>
  </si>
  <si>
    <t>0 h</t>
  </si>
  <si>
    <t>2</t>
  </si>
  <si>
    <t>1ﾠ</t>
  </si>
  <si>
    <t>Lancement de projet</t>
  </si>
  <si>
    <t>1 jour</t>
  </si>
  <si>
    <t>Tous</t>
  </si>
  <si>
    <t>24 h</t>
  </si>
  <si>
    <t>3</t>
  </si>
  <si>
    <t>2ﾠ</t>
  </si>
  <si>
    <t>Canva d'opportunités</t>
  </si>
  <si>
    <t>Missana Matis</t>
  </si>
  <si>
    <t>4</t>
  </si>
  <si>
    <t>3ﾠ</t>
  </si>
  <si>
    <t>Cahier des charges</t>
  </si>
  <si>
    <t>5 jours</t>
  </si>
  <si>
    <t>120 h</t>
  </si>
  <si>
    <t>5</t>
  </si>
  <si>
    <t>4ﾠ</t>
  </si>
  <si>
    <t>Maquettes de l'application</t>
  </si>
  <si>
    <t>Missana Matis[53,33%]</t>
  </si>
  <si>
    <t>64 h</t>
  </si>
  <si>
    <t>6</t>
  </si>
  <si>
    <t>5ﾠ</t>
  </si>
  <si>
    <t>Utisateur</t>
  </si>
  <si>
    <t>32 jours</t>
  </si>
  <si>
    <t>Matrat Nayati;Roch Florent</t>
  </si>
  <si>
    <t>3072 h</t>
  </si>
  <si>
    <t>7</t>
  </si>
  <si>
    <t>5.1ﾠ</t>
  </si>
  <si>
    <t>Intégration avec une couche de sécurité</t>
  </si>
  <si>
    <t>10 jours</t>
  </si>
  <si>
    <t>10</t>
  </si>
  <si>
    <t>480 h</t>
  </si>
  <si>
    <t>8</t>
  </si>
  <si>
    <t>5.2ﾠ</t>
  </si>
  <si>
    <t>Mise en place d'un serveur d'authentification</t>
  </si>
  <si>
    <t>8 jours</t>
  </si>
  <si>
    <t>9</t>
  </si>
  <si>
    <t>384 h</t>
  </si>
  <si>
    <t>5.3ﾠ</t>
  </si>
  <si>
    <t>Profils utilisateur (classique/professionnel)</t>
  </si>
  <si>
    <t>6 jours</t>
  </si>
  <si>
    <t>Matrat Nayati[50%];Roch Florent[50%]</t>
  </si>
  <si>
    <t>144 h</t>
  </si>
  <si>
    <t>5.4ﾠ</t>
  </si>
  <si>
    <t>Authentification et sécurité</t>
  </si>
  <si>
    <t>11</t>
  </si>
  <si>
    <t>5.5ﾠ</t>
  </si>
  <si>
    <t>Création de compte utilisateur</t>
  </si>
  <si>
    <t>12</t>
  </si>
  <si>
    <t>6ﾠ</t>
  </si>
  <si>
    <t>Journal de bord</t>
  </si>
  <si>
    <t>20 jours</t>
  </si>
  <si>
    <t>Roch Florent;Matrat Nayati</t>
  </si>
  <si>
    <t>1920 h</t>
  </si>
  <si>
    <t>13</t>
  </si>
  <si>
    <t>6.1ﾠ</t>
  </si>
  <si>
    <t>API REST pour la gestion des journaux</t>
  </si>
  <si>
    <t>15</t>
  </si>
  <si>
    <t>14</t>
  </si>
  <si>
    <t>6.2ﾠ</t>
  </si>
  <si>
    <t>Ajout d'entrées au journal(photos,commentaires,type de pêche ...)</t>
  </si>
  <si>
    <t>6.3ﾠ</t>
  </si>
  <si>
    <t>Gestion des journaux sur le serveur</t>
  </si>
  <si>
    <t>4 jours</t>
  </si>
  <si>
    <t>192 h</t>
  </si>
  <si>
    <t>16</t>
  </si>
  <si>
    <t>7ﾠ</t>
  </si>
  <si>
    <t>Notation des Endroits de Pêche</t>
  </si>
  <si>
    <t>30 jours</t>
  </si>
  <si>
    <t>2880 h</t>
  </si>
  <si>
    <t>17</t>
  </si>
  <si>
    <t>7.1ﾠ</t>
  </si>
  <si>
    <t>API REST pour la gestion des lieux</t>
  </si>
  <si>
    <t>18</t>
  </si>
  <si>
    <t>7.2ﾠ</t>
  </si>
  <si>
    <t>Stockage des lieux dans la base de données</t>
  </si>
  <si>
    <t>19</t>
  </si>
  <si>
    <t>288 h</t>
  </si>
  <si>
    <t>7.3ﾠ</t>
  </si>
  <si>
    <t>Confidentialité des lieux (public/privé)</t>
  </si>
  <si>
    <t>20</t>
  </si>
  <si>
    <t>7.4ﾠ</t>
  </si>
  <si>
    <t>Ajout de lieux de pêche sur maps</t>
  </si>
  <si>
    <t>21</t>
  </si>
  <si>
    <t>8ﾠ</t>
  </si>
  <si>
    <t>Chat et Groupes de Chat</t>
  </si>
  <si>
    <t>50 jours</t>
  </si>
  <si>
    <t>Missana Matis;Ribes Alexandre</t>
  </si>
  <si>
    <t>5808 h</t>
  </si>
  <si>
    <t>22</t>
  </si>
  <si>
    <t>8.1ﾠ</t>
  </si>
  <si>
    <t>Création et gestion de groupes</t>
  </si>
  <si>
    <t>27</t>
  </si>
  <si>
    <t>23</t>
  </si>
  <si>
    <t>8.2ﾠ</t>
  </si>
  <si>
    <t>API REST pour la gestion des groupes</t>
  </si>
  <si>
    <t>24</t>
  </si>
  <si>
    <t>8.3ﾠ</t>
  </si>
  <si>
    <t>Stockage des messages dans la base de données</t>
  </si>
  <si>
    <t>7 jours</t>
  </si>
  <si>
    <t>Ganibenq Léo[200%]</t>
  </si>
  <si>
    <t>336 h</t>
  </si>
  <si>
    <t>25</t>
  </si>
  <si>
    <t>8.4ﾠ</t>
  </si>
  <si>
    <t>API REST pour la gestion des messages</t>
  </si>
  <si>
    <t>11 jours</t>
  </si>
  <si>
    <t>528 h</t>
  </si>
  <si>
    <t>26</t>
  </si>
  <si>
    <t>8.5ﾠ</t>
  </si>
  <si>
    <t>Implémentation du chat en temps réel sur le serveur</t>
  </si>
  <si>
    <t>8.6ﾠ</t>
  </si>
  <si>
    <t>Forum par type de pêche</t>
  </si>
  <si>
    <t>28</t>
  </si>
  <si>
    <t>8.7ﾠ</t>
  </si>
  <si>
    <t>Chat général</t>
  </si>
  <si>
    <t>29</t>
  </si>
  <si>
    <t>9ﾠ</t>
  </si>
  <si>
    <t>Événement de pêche</t>
  </si>
  <si>
    <t>43 jours</t>
  </si>
  <si>
    <t>3960 h</t>
  </si>
  <si>
    <t>30</t>
  </si>
  <si>
    <t>9.1ﾠ</t>
  </si>
  <si>
    <t>API REST pour la gestion des événements et réservations</t>
  </si>
  <si>
    <t>32</t>
  </si>
  <si>
    <t>31</t>
  </si>
  <si>
    <t>9.2ﾠ</t>
  </si>
  <si>
    <t>Intégration avec un service de paiement en ligne sur le serveur</t>
  </si>
  <si>
    <t>9.3ﾠ</t>
  </si>
  <si>
    <t>Gestion des événements et réservations sur le serveur</t>
  </si>
  <si>
    <t>33</t>
  </si>
  <si>
    <t>Ganibenq Léo[33,33%];Missana Matis[33,33%];Ribes Alexandre[33,33%]</t>
  </si>
  <si>
    <t>168 h</t>
  </si>
  <si>
    <t>9.4ﾠ</t>
  </si>
  <si>
    <t>Paiement en ligne</t>
  </si>
  <si>
    <t>34</t>
  </si>
  <si>
    <t>9.5ﾠ</t>
  </si>
  <si>
    <t>Proposition de stages de pêche</t>
  </si>
  <si>
    <t>35</t>
  </si>
  <si>
    <t>9.6ﾠ</t>
  </si>
  <si>
    <t>Création d'événements pour les utilisateurs</t>
  </si>
  <si>
    <t>36</t>
  </si>
  <si>
    <t>10ﾠ</t>
  </si>
  <si>
    <t>Tutoriels de Pêche</t>
  </si>
  <si>
    <t>12 jours</t>
  </si>
  <si>
    <t>Ribes Alexandre;Missana Matis</t>
  </si>
  <si>
    <t>1056 h</t>
  </si>
  <si>
    <t>37</t>
  </si>
  <si>
    <t>10.1ﾠ</t>
  </si>
  <si>
    <t>API REST pour la gestion des tutoriels</t>
  </si>
  <si>
    <t>38</t>
  </si>
  <si>
    <t>240 h</t>
  </si>
  <si>
    <t>10.2ﾠ</t>
  </si>
  <si>
    <t>Stockage des tutoriels sur le serveur</t>
  </si>
  <si>
    <t>39</t>
  </si>
  <si>
    <t>Ganibenq Léo[33,33%];Ribes Alexandre[33,33%];Missana Matis[33,33%]</t>
  </si>
  <si>
    <t>96 h</t>
  </si>
  <si>
    <t>10.3ﾠ</t>
  </si>
  <si>
    <t>Création et affichage des tutoriels</t>
  </si>
  <si>
    <t>3 jours</t>
  </si>
  <si>
    <t>40</t>
  </si>
  <si>
    <t>11ﾠ</t>
  </si>
  <si>
    <t>Recommandation de Matériel</t>
  </si>
  <si>
    <t>13 jours</t>
  </si>
  <si>
    <t>1176 h</t>
  </si>
  <si>
    <t>41</t>
  </si>
  <si>
    <t>11.1ﾠ</t>
  </si>
  <si>
    <t>Stockage des configuration</t>
  </si>
  <si>
    <t>44</t>
  </si>
  <si>
    <t>Ganibenq Léo[33,33%];Matrat Nayati[33,33%];Roch Florent[33,33%]</t>
  </si>
  <si>
    <t>72 h</t>
  </si>
  <si>
    <t>42</t>
  </si>
  <si>
    <t>11.2ﾠ</t>
  </si>
  <si>
    <t>Interface des recommandations</t>
  </si>
  <si>
    <t>43</t>
  </si>
  <si>
    <t>11.3ﾠ</t>
  </si>
  <si>
    <t>API REST pour la gestion des recommandations</t>
  </si>
  <si>
    <t>11.4ﾠ</t>
  </si>
  <si>
    <t>Reccomandation avec type de pêche et niveau</t>
  </si>
  <si>
    <t>45</t>
  </si>
  <si>
    <t>12ﾠ</t>
  </si>
  <si>
    <t>Wikipédia des Poissons</t>
  </si>
  <si>
    <t>15 jours</t>
  </si>
  <si>
    <t>Ribes Alexandre;Ganibenq Léo</t>
  </si>
  <si>
    <t>1296 h</t>
  </si>
  <si>
    <t>46</t>
  </si>
  <si>
    <t>12.1ﾠ</t>
  </si>
  <si>
    <t>API REST pour la gestion des informations sur les poissons</t>
  </si>
  <si>
    <t>47</t>
  </si>
  <si>
    <t>12.2ﾠ</t>
  </si>
  <si>
    <t>Stockage des informations sur les poissons sur la base de données</t>
  </si>
  <si>
    <t>48</t>
  </si>
  <si>
    <t>Ganibenq Léo[50%];Ribes Alexandre[50%]</t>
  </si>
  <si>
    <t>12.3ﾠ</t>
  </si>
  <si>
    <t>Répertoire des poissons en France (localisation, informations)</t>
  </si>
  <si>
    <t>49</t>
  </si>
  <si>
    <t>13ﾠ</t>
  </si>
  <si>
    <t>Météo de Pêche</t>
  </si>
  <si>
    <t>2832 h</t>
  </si>
  <si>
    <t>50</t>
  </si>
  <si>
    <t>13.1ﾠ</t>
  </si>
  <si>
    <t>API REST pour la gestion des prévisions météorologiques</t>
  </si>
  <si>
    <t>52</t>
  </si>
  <si>
    <t>51</t>
  </si>
  <si>
    <t>13.2ﾠ</t>
  </si>
  <si>
    <t>Intégration avec un service de données météorologiques sur le serveur</t>
  </si>
  <si>
    <t>13.3ﾠ</t>
  </si>
  <si>
    <t>Notification des moments opportuns de pêche</t>
  </si>
  <si>
    <t>53</t>
  </si>
  <si>
    <t>13.4ﾠ</t>
  </si>
  <si>
    <t>Intégration des données météorologiques</t>
  </si>
  <si>
    <t>54</t>
  </si>
  <si>
    <t>14ﾠ</t>
  </si>
  <si>
    <t>Tests et Validation</t>
  </si>
  <si>
    <t>21 jours</t>
  </si>
  <si>
    <t>1008 h</t>
  </si>
  <si>
    <t>55</t>
  </si>
  <si>
    <t>14.1ﾠ</t>
  </si>
  <si>
    <t>Mise en place de tests côté serveur</t>
  </si>
  <si>
    <t>56</t>
  </si>
  <si>
    <t>14.2ﾠ</t>
  </si>
  <si>
    <t>Tests d'intégration</t>
  </si>
  <si>
    <t>57</t>
  </si>
  <si>
    <t>14.3ﾠ</t>
  </si>
  <si>
    <t>Tests unitaires</t>
  </si>
  <si>
    <t>58</t>
  </si>
  <si>
    <t>15ﾠ</t>
  </si>
  <si>
    <t>Déploiement et Maintenance</t>
  </si>
  <si>
    <t>16 jours</t>
  </si>
  <si>
    <t>768 h</t>
  </si>
  <si>
    <t>59</t>
  </si>
  <si>
    <t>15.1ﾠ</t>
  </si>
  <si>
    <t>Configuration du serveur de déploiement</t>
  </si>
  <si>
    <t>60</t>
  </si>
  <si>
    <t>15.2ﾠ</t>
  </si>
  <si>
    <t>Déploiement de l'application</t>
  </si>
  <si>
    <t>61</t>
  </si>
  <si>
    <t>16ﾠ</t>
  </si>
  <si>
    <t>Marge de réserve</t>
  </si>
  <si>
    <t>624 h</t>
  </si>
  <si>
    <t>62</t>
  </si>
  <si>
    <t>16.1ﾠ</t>
  </si>
  <si>
    <t>312 h</t>
  </si>
  <si>
    <t>Bord2 Ligne</t>
  </si>
  <si>
    <t>Légende</t>
  </si>
  <si>
    <t>Constantes</t>
  </si>
  <si>
    <t>Matrat Nayati</t>
  </si>
  <si>
    <t>Roch Florent</t>
  </si>
  <si>
    <t>Ribes Alexandre</t>
  </si>
  <si>
    <t>Ganibenq Léo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</si>
</sst>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General "/>
    <numFmt numFmtId="165" formatCode="0"/>
    <numFmt numFmtId="166" formatCode="0.00&quot; €/h&quot;"/>
  </numFmts>
  <fonts count="10">
    <font>
      <name val="Calibri"/>
      <color theme="1"/>
      <sz val="11"/>
      <scheme val="minor"/>
    </font>
    <font>
      <name val="Calibri"/>
      <b val="false"/>
      <i val="false"/>
      <strike val="false"/>
      <color rgb="FF000000"/>
      <sz val="11"/>
    </font>
    <font>
      <name val="Arial"/>
      <b val="false"/>
      <i val="false"/>
      <strike val="false"/>
      <color rgb="FF000000"/>
      <sz val="11"/>
    </font>
    <font>
      <name val="Arial"/>
      <b val="false"/>
      <i val="false"/>
      <strike val="false"/>
      <sz val="20"/>
    </font>
    <font>
      <name val="Arial"/>
      <b/>
      <i val="false"/>
      <strike val="false"/>
      <color rgb="FFFFFFFF"/>
      <sz val="11"/>
    </font>
    <font>
      <name val="Arial"/>
      <b val="false"/>
      <i val="false"/>
      <strike val="false"/>
      <color rgb="FFFF0000"/>
      <sz val="11"/>
    </font>
    <font>
      <name val="Arial"/>
      <b/>
      <i val="false"/>
      <strike val="false"/>
      <color rgb="FF000000"/>
      <sz val="10"/>
    </font>
    <font>
      <name val="Arial"/>
      <b val="false"/>
      <i val="false"/>
      <strike val="false"/>
      <color rgb="FF000000"/>
      <sz val="10"/>
    </font>
    <font>
      <name val="Arial"/>
      <b val="false"/>
      <i val="false"/>
      <strike val="false"/>
      <color rgb="FF003366"/>
      <sz val="8"/>
    </font>
    <font>
      <name val="Arial"/>
      <b val="false"/>
      <i/>
      <strike val="false"/>
      <color rgb="FF000000"/>
      <sz val="10"/>
    </font>
  </fonts>
  <fills count="7">
    <fill>
      <patternFill patternType="none"/>
    </fill>
    <fill>
      <patternFill patternType="gray125"/>
    </fill>
    <fill>
      <patternFill patternType="solid">
        <fgColor rgb="FF4C85B4"/>
      </patternFill>
    </fill>
    <fill>
      <patternFill patternType="solid">
        <fgColor rgb="FFEAF0F6"/>
      </patternFill>
    </fill>
    <fill>
      <patternFill patternType="solid">
        <fgColor rgb="FFD1DEEB"/>
      </patternFill>
    </fill>
    <fill>
      <patternFill patternType="solid">
        <fgColor rgb="FFA6A6A6"/>
      </patternFill>
    </fill>
    <fill>
      <patternFill patternType="solid">
        <fgColor rgb="FFF2F2F2"/>
      </patternFill>
    </fill>
  </fills>
  <borders count="18">
    <border>
      <left/>
      <right/>
      <top/>
      <bottom/>
      <diagonal/>
    </border>
    <border>
      <bottom style="medium">
        <color rgb="FF94B6D2"/>
      </bottom>
    </border>
    <border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E2EAF2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E2EAF2"/>
      </top>
      <bottom style="thin">
        <color rgb="FFE2EAF2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bottom style="thin">
        <color rgb="FF94B6D2"/>
      </bottom>
    </border>
    <border>
      <left style="thin">
        <color theme="1"/>
      </left>
      <right style="thin">
        <color rgb="FFFFFFFF"/>
      </right>
      <top style="thin">
        <color theme="1"/>
      </top>
    </border>
    <border>
      <left style="thin">
        <color rgb="FFFFFFFF"/>
      </left>
      <right style="thin">
        <color theme="1"/>
      </right>
      <top style="thin">
        <color theme="1"/>
      </top>
    </border>
    <border>
      <left style="thin">
        <color theme="1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theme="1"/>
      </right>
      <top style="thin">
        <color rgb="FFFFFFFF"/>
      </top>
      <bottom style="thin">
        <color rgb="FFFFFFFF"/>
      </bottom>
    </border>
    <border>
      <left style="thin">
        <color theme="1"/>
      </left>
      <right style="thin">
        <color rgb="FFFFFFFF"/>
      </right>
      <top style="thin">
        <color rgb="FFFFFFFF"/>
      </top>
    </border>
    <border>
      <right style="thin">
        <color theme="1"/>
      </right>
      <top style="thin">
        <color rgb="FFFFFFFF"/>
      </top>
    </border>
    <border>
      <top style="thin">
        <color theme="1"/>
      </top>
    </border>
  </borders>
  <cellStyleXfs count="2">
    <xf numFmtId="0" fontId="0" fillId="0" borderId="0"/>
    <xf numFmtId="164" fontId="1" fillId="0" borderId="0"/>
  </cellStyleXfs>
  <cellXfs count="33">
    <xf numFmtId="0" fontId="0" fillId="0" borderId="0" xfId="0"/>
    <xf numFmtId="164" fontId="2" fillId="0" borderId="0" xfId="1" applyFont="true"/>
    <xf numFmtId="164" fontId="2" fillId="0" borderId="0" xfId="1" applyFont="true" applyBorder="true"/>
    <xf numFmtId="164" fontId="3" fillId="0" borderId="1" xfId="1" applyFont="true" applyFill="true" applyBorder="true"/>
    <xf numFmtId="164" fontId="1" fillId="0" borderId="0" xfId="1" applyFont="true" applyFill="true" applyBorder="true" applyAlignment="true" applyProtection="true">
      <alignment vertical="bottom"/>
      <protection locked="false" hidden="false"/>
    </xf>
    <xf numFmtId="164" fontId="2" fillId="0" borderId="0" xfId="1" applyFont="true" applyBorder="true" applyAlignment="true">
      <alignment vertical="center"/>
    </xf>
    <xf numFmtId="164" fontId="4" fillId="2" borderId="2" xfId="1" applyFont="true" applyFill="true" applyBorder="true" applyAlignment="true">
      <alignment vertical="center"/>
    </xf>
    <xf numFmtId="164" fontId="4" fillId="2" borderId="3" xfId="1" applyFont="true" applyFill="true" applyBorder="true" applyAlignment="true">
      <alignment vertical="center"/>
    </xf>
    <xf numFmtId="164" fontId="5" fillId="0" borderId="0" xfId="1" applyFont="true" applyBorder="true"/>
    <xf numFmtId="164" fontId="6" fillId="3" borderId="4" xfId="1" applyFont="true" applyFill="true" applyBorder="true" applyAlignment="true" applyProtection="true">
      <alignment vertical="bottom"/>
      <protection locked="false" hidden="false"/>
    </xf>
    <xf numFmtId="164" fontId="6" fillId="3" borderId="5" xfId="1" applyFont="true" applyFill="true" applyBorder="true" applyAlignment="true" applyProtection="true">
      <alignment vertical="bottom"/>
      <protection locked="false" hidden="false"/>
    </xf>
    <xf numFmtId="164" fontId="6" fillId="4" borderId="6" xfId="1" applyFont="true" applyFill="true" applyBorder="true" applyAlignment="true" applyProtection="true">
      <alignment vertical="bottom"/>
      <protection locked="false" hidden="false"/>
    </xf>
    <xf numFmtId="14" fontId="6" fillId="0" borderId="7" xfId="1" applyNumberFormat="true" applyFont="true" applyFill="true" applyBorder="true"/>
    <xf numFmtId="164" fontId="6" fillId="0" borderId="7" xfId="1" applyFont="true" applyFill="true" applyBorder="true"/>
    <xf numFmtId="164" fontId="6" fillId="3" borderId="5" xfId="1" applyFont="true" applyFill="true" applyBorder="true"/>
    <xf numFmtId="164" fontId="6" fillId="4" borderId="8" xfId="1" applyFont="true" applyFill="true" applyBorder="true" applyAlignment="true">
      <alignment horizontal="left" vertical="bottom" indent="1"/>
    </xf>
    <xf numFmtId="164" fontId="7" fillId="3" borderId="9" xfId="1" applyFont="true" applyFill="true" applyBorder="true"/>
    <xf numFmtId="164" fontId="7" fillId="3" borderId="2" xfId="1" applyFont="true" applyFill="true" applyBorder="true"/>
    <xf numFmtId="164" fontId="7" fillId="4" borderId="8" xfId="1" applyFont="true" applyFill="true" applyBorder="true" applyAlignment="true">
      <alignment horizontal="left" vertical="bottom" indent="2"/>
    </xf>
    <xf numFmtId="14" fontId="7" fillId="0" borderId="3" xfId="1" applyNumberFormat="true" applyFont="true" applyFill="true" applyBorder="true"/>
    <xf numFmtId="164" fontId="7" fillId="0" borderId="3" xfId="1" applyFont="true" applyFill="true" applyBorder="true"/>
    <xf numFmtId="164" fontId="2" fillId="0" borderId="10" xfId="1" applyFont="true" applyBorder="true"/>
    <xf numFmtId="164" fontId="7" fillId="0" borderId="0" xfId="1" applyFont="true"/>
    <xf numFmtId="165" fontId="2" fillId="0" borderId="0" xfId="1" applyNumberFormat="true" applyFont="true"/>
    <xf numFmtId="164" fontId="8" fillId="0" borderId="0" xfId="1" applyFont="true" applyBorder="true"/>
    <xf numFmtId="164" fontId="4" fillId="5" borderId="11" xfId="1" applyFont="true" applyFill="true" applyBorder="true" applyAlignment="true">
      <alignment vertical="center"/>
    </xf>
    <xf numFmtId="164" fontId="4" fillId="5" borderId="12" xfId="1" applyFont="true" applyFill="true" applyBorder="true" applyAlignment="true">
      <alignment vertical="center"/>
    </xf>
    <xf numFmtId="164" fontId="9" fillId="6" borderId="13" xfId="1" applyFont="true" applyFill="true" applyBorder="true" applyAlignment="true" applyProtection="true">
      <alignment vertical="bottom"/>
      <protection locked="false" hidden="false"/>
    </xf>
    <xf numFmtId="164" fontId="6" fillId="6" borderId="14" xfId="1" applyFont="true" applyFill="true" applyBorder="true" applyAlignment="true" applyProtection="true">
      <alignment vertical="bottom"/>
      <protection locked="false" hidden="false"/>
    </xf>
    <xf numFmtId="164" fontId="6" fillId="6" borderId="13" xfId="1" applyFont="true" applyFill="true" applyBorder="true" applyAlignment="true" applyProtection="true">
      <alignment vertical="bottom"/>
      <protection locked="false" hidden="false"/>
    </xf>
    <xf numFmtId="164" fontId="7" fillId="6" borderId="15" xfId="1" applyFont="true" applyFill="true" applyBorder="true" applyAlignment="true" applyProtection="true">
      <alignment vertical="bottom"/>
      <protection locked="false" hidden="false"/>
    </xf>
    <xf numFmtId="166" fontId="7" fillId="6" borderId="16" xfId="1" applyNumberFormat="true" applyFont="true" applyFill="true" applyBorder="true" applyAlignment="true" applyProtection="true">
      <alignment vertical="bottom"/>
      <protection locked="false" hidden="false"/>
    </xf>
    <xf numFmtId="164" fontId="2" fillId="0" borderId="17" xfId="1" applyFont="true" applyBorder="true"/>
  </cellXfs>
  <cellStyles count="2">
    <cellStyle name="Normal" xfId="0" builtinId="0"/>
    <cellStyle name="Normal" xfId="1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>
    <outlinePr summaryBelow="0"/>
  </sheetPr>
  <dimension ref="A1:V81"/>
  <sheetViews>
    <sheetView tabSelected="1" workbookViewId="0" topLeftCell="A1" zoomScaleNormal="100" zoomScaleSheetLayoutView="60" zoomScale="100" view="normal"/>
  </sheetViews>
  <sheetFormatPr defaultRowHeight="15" customHeight="1" outlineLevelRow="2"/>
  <cols>
    <col min="1" max="1" width="15.421875" customWidth="1" style="1"/>
    <col min="2" max="2" width="8.8515625" customWidth="1" style="1"/>
    <col min="3" max="3" width="31.25" customWidth="1" style="1"/>
    <col min="4" max="5" width="11.421875" customWidth="1" style="1"/>
    <col min="6" max="6" width="12.8515625" customWidth="1" style="1"/>
    <col min="7" max="7" width="16.7109375" customWidth="1" style="1"/>
    <col min="8" max="8" width="14.00390625" customWidth="1" style="1"/>
    <col min="9" max="9" width="9.140625" customWidth="1" style="1"/>
    <col min="10" max="10" width="31.25" customWidth="1" style="1"/>
    <col min="11" max="11" width="8.8515625" customWidth="1" style="1"/>
    <col min="12" max="12" width="12.8515625" customWidth="1" style="1"/>
    <col min="13" max="13" width="16.00390625" customWidth="1" style="1"/>
    <col min="14" max="14" width="6.8515625" customWidth="1" style="1"/>
    <col min="15" max="16" width="10.8515625" customWidth="1" style="1"/>
    <col min="17" max="17" width="14.140625" customWidth="1" style="1"/>
    <col min="18" max="18" width="20.57421875" customWidth="1" style="1"/>
    <col min="19" max="19" width="17.7109375" customWidth="1" style="1"/>
    <col min="20" max="20" width="20.57421875" customWidth="1" style="1"/>
    <col min="21" max="21" width="21.421875" customWidth="1" style="1"/>
    <col min="22" max="22" width="19.421875" customWidth="1"/>
  </cols>
  <sheetData>
    <row r="1" ht="30" customHeight="true" customFormat="true" s="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ht="21" customHeight="true" customFormat="true" s="4"/>
    <row r="3" ht="18.75" customHeight="true" customFormat="true" s="5">
      <c r="A3" s="6"/>
      <c r="B3" s="7"/>
      <c r="C3" s="6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12</v>
      </c>
      <c r="O3" s="7" t="s">
        <v>13</v>
      </c>
      <c r="P3" s="7" t="s">
        <v>14</v>
      </c>
      <c r="Q3" s="7" t="s">
        <v>15</v>
      </c>
      <c r="R3" s="7" t="s">
        <v>16</v>
      </c>
      <c r="S3" s="7" t="s">
        <v>17</v>
      </c>
      <c r="T3" s="7" t="s">
        <v>18</v>
      </c>
      <c r="U3" s="7" t="s">
        <v>19</v>
      </c>
      <c r="V3" s="7" t="s">
        <v>20</v>
      </c>
    </row>
    <row r="4" ht="17.25" customHeight="true" outlineLevel="1" customFormat="true" s="8">
      <c r="A4" s="9" t="s">
        <v>21</v>
      </c>
      <c r="B4" s="10" t="s">
        <v>22</v>
      </c>
      <c r="C4" s="11" t="s">
        <v>0</v>
      </c>
      <c r="D4" s="12">
        <v>45241.333333333336</v>
      </c>
      <c r="E4" s="12">
        <v>45545.708333333336</v>
      </c>
      <c r="F4" s="13" t="s">
        <v>23</v>
      </c>
      <c r="G4" s="13"/>
      <c r="H4" s="13">
        <v>0</v>
      </c>
      <c r="I4" s="13">
        <v>500</v>
      </c>
      <c r="J4" s="13"/>
      <c r="K4" s="13" t="s">
        <v>24</v>
      </c>
      <c r="L4" s="13" t="s">
        <v>25</v>
      </c>
      <c r="M4" s="13" t="s">
        <v>24</v>
      </c>
      <c r="N4" s="13" t="str">
        <f ca="1">SUM(N5,N6,N7,N8,N9,N15,N19,N24,N32,N39,N43,N48,N52,N57,N61,N64)</f>
        <v>0</v>
      </c>
      <c r="O4" s="13">
        <v>0</v>
      </c>
      <c r="P4" s="13" t="str">
        <f ca="1">SUM(P5,P6,P7,P8,P9,P15,P19,P24,P32,P39,P43,P48,P52,P57,P61,P64)</f>
        <v>0</v>
      </c>
      <c r="Q4" s="13" t="str">
        <f ca="1">SUM(Q5,Q6,Q7,Q8,Q9,Q15,Q19,Q24,Q32,Q39,Q43,Q48,Q52,Q57,Q61,Q64)</f>
        <v>0</v>
      </c>
      <c r="R4" s="13"/>
      <c r="S4" s="13"/>
      <c r="T4" s="13"/>
      <c r="U4" s="13"/>
      <c r="V4" s="13"/>
    </row>
    <row r="5" outlineLevel="1" customFormat="true" s="4">
      <c r="A5" s="9" t="s">
        <v>26</v>
      </c>
      <c r="B5" s="14" t="s">
        <v>27</v>
      </c>
      <c r="C5" s="15" t="s">
        <v>28</v>
      </c>
      <c r="D5" s="12">
        <v>45241.333333333336</v>
      </c>
      <c r="E5" s="12">
        <v>45242.334027777775</v>
      </c>
      <c r="F5" s="13" t="s">
        <v>29</v>
      </c>
      <c r="G5" s="13"/>
      <c r="H5" s="13">
        <v>0</v>
      </c>
      <c r="I5" s="13">
        <v>500</v>
      </c>
      <c r="J5" s="13" t="s">
        <v>30</v>
      </c>
      <c r="K5" s="13" t="s">
        <v>31</v>
      </c>
      <c r="L5" s="13" t="s">
        <v>25</v>
      </c>
      <c r="M5" s="13" t="s">
        <v>31</v>
      </c>
      <c r="N5" s="13" t="str">
        <f ca="1">24*B80</f>
        <v>0</v>
      </c>
      <c r="O5" s="13">
        <v>0</v>
      </c>
      <c r="P5" s="13" t="str">
        <f ca="1">(24*B80)*H5/100</f>
        <v>0</v>
      </c>
      <c r="Q5" s="13" t="str">
        <f ca="1">24*B80-(24*B80)*H5/100</f>
        <v>0</v>
      </c>
      <c r="R5" s="13"/>
      <c r="S5" s="13"/>
      <c r="T5" s="13"/>
      <c r="U5" s="13"/>
      <c r="V5" s="13"/>
    </row>
    <row r="6" outlineLevel="1" customFormat="true" s="4">
      <c r="A6" s="9" t="s">
        <v>32</v>
      </c>
      <c r="B6" s="14" t="s">
        <v>33</v>
      </c>
      <c r="C6" s="15" t="s">
        <v>34</v>
      </c>
      <c r="D6" s="12">
        <v>45242.334027777775</v>
      </c>
      <c r="E6" s="12">
        <v>45243.334722222222</v>
      </c>
      <c r="F6" s="13" t="s">
        <v>29</v>
      </c>
      <c r="G6" s="13" t="s">
        <v>26</v>
      </c>
      <c r="H6" s="13">
        <v>0</v>
      </c>
      <c r="I6" s="13">
        <v>500</v>
      </c>
      <c r="J6" s="13" t="s">
        <v>35</v>
      </c>
      <c r="K6" s="13" t="s">
        <v>31</v>
      </c>
      <c r="L6" s="13" t="s">
        <v>25</v>
      </c>
      <c r="M6" s="13" t="s">
        <v>31</v>
      </c>
      <c r="N6" s="13" t="str">
        <f ca="1">24*B79</f>
        <v>0</v>
      </c>
      <c r="O6" s="13">
        <v>0</v>
      </c>
      <c r="P6" s="13" t="str">
        <f ca="1">(24*B79)*H6/100</f>
        <v>0</v>
      </c>
      <c r="Q6" s="13" t="str">
        <f ca="1">24*B79-(24*B79)*H6/100</f>
        <v>0</v>
      </c>
      <c r="R6" s="13"/>
      <c r="S6" s="13"/>
      <c r="T6" s="13"/>
      <c r="U6" s="13"/>
      <c r="V6" s="13"/>
    </row>
    <row r="7" outlineLevel="1" customFormat="true" s="4">
      <c r="A7" s="9" t="s">
        <v>36</v>
      </c>
      <c r="B7" s="14" t="s">
        <v>37</v>
      </c>
      <c r="C7" s="15" t="s">
        <v>38</v>
      </c>
      <c r="D7" s="12">
        <v>45243.334722222222</v>
      </c>
      <c r="E7" s="12">
        <v>45248.338194444441</v>
      </c>
      <c r="F7" s="13" t="s">
        <v>39</v>
      </c>
      <c r="G7" s="13" t="s">
        <v>32</v>
      </c>
      <c r="H7" s="13">
        <v>0</v>
      </c>
      <c r="I7" s="13">
        <v>500</v>
      </c>
      <c r="J7" s="13" t="s">
        <v>35</v>
      </c>
      <c r="K7" s="13" t="s">
        <v>40</v>
      </c>
      <c r="L7" s="13" t="s">
        <v>25</v>
      </c>
      <c r="M7" s="13" t="s">
        <v>40</v>
      </c>
      <c r="N7" s="13" t="str">
        <f ca="1">120*B79</f>
        <v>0</v>
      </c>
      <c r="O7" s="13">
        <v>0</v>
      </c>
      <c r="P7" s="13" t="str">
        <f ca="1">(120*B79)*H7/100</f>
        <v>0</v>
      </c>
      <c r="Q7" s="13" t="str">
        <f ca="1">120*B79-(120*B79)*H7/100</f>
        <v>0</v>
      </c>
      <c r="R7" s="13"/>
      <c r="S7" s="13"/>
      <c r="T7" s="13"/>
      <c r="U7" s="13"/>
      <c r="V7" s="13"/>
    </row>
    <row r="8" outlineLevel="1" customFormat="true" s="4">
      <c r="A8" s="9" t="s">
        <v>41</v>
      </c>
      <c r="B8" s="14" t="s">
        <v>42</v>
      </c>
      <c r="C8" s="15" t="s">
        <v>43</v>
      </c>
      <c r="D8" s="12">
        <v>45243.334722222222</v>
      </c>
      <c r="E8" s="12">
        <v>45248.338194444441</v>
      </c>
      <c r="F8" s="13" t="s">
        <v>39</v>
      </c>
      <c r="G8" s="13" t="s">
        <v>32</v>
      </c>
      <c r="H8" s="13">
        <v>0</v>
      </c>
      <c r="I8" s="13">
        <v>500</v>
      </c>
      <c r="J8" s="13" t="s">
        <v>44</v>
      </c>
      <c r="K8" s="13" t="s">
        <v>45</v>
      </c>
      <c r="L8" s="13" t="s">
        <v>25</v>
      </c>
      <c r="M8" s="13" t="s">
        <v>45</v>
      </c>
      <c r="N8" s="13" t="str">
        <f ca="1">64*B79</f>
        <v>0</v>
      </c>
      <c r="O8" s="13">
        <v>0</v>
      </c>
      <c r="P8" s="13" t="str">
        <f ca="1">(64*B79)*H8/100</f>
        <v>0</v>
      </c>
      <c r="Q8" s="13" t="str">
        <f ca="1">64*B79-(64*B79)*H8/100</f>
        <v>0</v>
      </c>
      <c r="R8" s="13"/>
      <c r="S8" s="13"/>
      <c r="T8" s="13"/>
      <c r="U8" s="13"/>
      <c r="V8" s="13"/>
    </row>
    <row r="9" outlineLevel="1" customFormat="true" s="4">
      <c r="A9" s="9" t="s">
        <v>46</v>
      </c>
      <c r="B9" s="14" t="s">
        <v>47</v>
      </c>
      <c r="C9" s="15" t="s">
        <v>48</v>
      </c>
      <c r="D9" s="12">
        <v>45248.338194444441</v>
      </c>
      <c r="E9" s="12">
        <v>45280.36041666667</v>
      </c>
      <c r="F9" s="13" t="s">
        <v>49</v>
      </c>
      <c r="G9" s="13" t="s">
        <v>41</v>
      </c>
      <c r="H9" s="13">
        <v>0</v>
      </c>
      <c r="I9" s="13">
        <v>500</v>
      </c>
      <c r="J9" s="13" t="s">
        <v>50</v>
      </c>
      <c r="K9" s="13" t="s">
        <v>51</v>
      </c>
      <c r="L9" s="13" t="s">
        <v>25</v>
      </c>
      <c r="M9" s="13" t="s">
        <v>51</v>
      </c>
      <c r="N9" s="13" t="str">
        <f ca="1">768*B75+768*B76+SUM(N10,N11,N12,N13,N14)</f>
        <v>0</v>
      </c>
      <c r="O9" s="13">
        <v>0</v>
      </c>
      <c r="P9" s="13" t="str">
        <f ca="1">(768*B75+768*B76)*H9/100+SUM(P10,P11,P12,P13,P14)</f>
        <v>0</v>
      </c>
      <c r="Q9" s="13" t="str">
        <f ca="1">768*B75+768*B76-(768*B75+768*B76)*H9/100+SUM(Q10,Q11,Q12,Q13,Q14)</f>
        <v>0</v>
      </c>
      <c r="R9" s="13"/>
      <c r="S9" s="13"/>
      <c r="T9" s="13"/>
      <c r="U9" s="13"/>
      <c r="V9" s="13"/>
    </row>
    <row r="10" outlineLevel="2" customFormat="true" s="4">
      <c r="A10" s="16" t="s">
        <v>52</v>
      </c>
      <c r="B10" s="17" t="s">
        <v>53</v>
      </c>
      <c r="C10" s="18" t="s">
        <v>54</v>
      </c>
      <c r="D10" s="19">
        <v>45270.353472222225</v>
      </c>
      <c r="E10" s="19">
        <v>45280.36041666667</v>
      </c>
      <c r="F10" s="20" t="s">
        <v>55</v>
      </c>
      <c r="G10" s="20" t="s">
        <v>56</v>
      </c>
      <c r="H10" s="20">
        <v>0</v>
      </c>
      <c r="I10" s="20">
        <v>500</v>
      </c>
      <c r="J10" s="20" t="s">
        <v>50</v>
      </c>
      <c r="K10" s="20" t="s">
        <v>57</v>
      </c>
      <c r="L10" s="20" t="s">
        <v>25</v>
      </c>
      <c r="M10" s="20" t="s">
        <v>57</v>
      </c>
      <c r="N10" s="20" t="str">
        <f ca="1">240*B75+240*B76</f>
        <v>0</v>
      </c>
      <c r="O10" s="20">
        <v>0</v>
      </c>
      <c r="P10" s="20" t="str">
        <f ca="1">(240*B75+240*B76)*H10/100</f>
        <v>0</v>
      </c>
      <c r="Q10" s="20" t="str">
        <f ca="1">240*B75+240*B76-(240*B75+240*B76)*H10/100</f>
        <v>0</v>
      </c>
      <c r="R10" s="20"/>
      <c r="S10" s="20"/>
      <c r="T10" s="20"/>
      <c r="U10" s="20"/>
      <c r="V10" s="20"/>
    </row>
    <row r="11" outlineLevel="2" customFormat="true" s="4">
      <c r="A11" s="16" t="s">
        <v>58</v>
      </c>
      <c r="B11" s="17" t="s">
        <v>59</v>
      </c>
      <c r="C11" s="18" t="s">
        <v>60</v>
      </c>
      <c r="D11" s="19">
        <v>45254.342361111114</v>
      </c>
      <c r="E11" s="19">
        <v>45262.347916666666</v>
      </c>
      <c r="F11" s="20" t="s">
        <v>61</v>
      </c>
      <c r="G11" s="20" t="s">
        <v>62</v>
      </c>
      <c r="H11" s="20">
        <v>0</v>
      </c>
      <c r="I11" s="20">
        <v>500</v>
      </c>
      <c r="J11" s="20" t="s">
        <v>50</v>
      </c>
      <c r="K11" s="20" t="s">
        <v>63</v>
      </c>
      <c r="L11" s="20" t="s">
        <v>25</v>
      </c>
      <c r="M11" s="20" t="s">
        <v>63</v>
      </c>
      <c r="N11" s="20" t="str">
        <f ca="1">192*B75+192*B76</f>
        <v>0</v>
      </c>
      <c r="O11" s="20">
        <v>0</v>
      </c>
      <c r="P11" s="20" t="str">
        <f ca="1">(192*B75+192*B76)*H11/100</f>
        <v>0</v>
      </c>
      <c r="Q11" s="20" t="str">
        <f ca="1">192*B75+192*B76-(192*B75+192*B76)*H11/100</f>
        <v>0</v>
      </c>
      <c r="R11" s="20"/>
      <c r="S11" s="20"/>
      <c r="T11" s="20"/>
      <c r="U11" s="20"/>
      <c r="V11" s="20"/>
    </row>
    <row r="12" outlineLevel="2" customFormat="true" s="4">
      <c r="A12" s="16" t="s">
        <v>62</v>
      </c>
      <c r="B12" s="17" t="s">
        <v>64</v>
      </c>
      <c r="C12" s="18" t="s">
        <v>65</v>
      </c>
      <c r="D12" s="19">
        <v>45248.338194444441</v>
      </c>
      <c r="E12" s="19">
        <v>45254.342361111114</v>
      </c>
      <c r="F12" s="20" t="s">
        <v>66</v>
      </c>
      <c r="G12" s="20" t="s">
        <v>41</v>
      </c>
      <c r="H12" s="20">
        <v>0</v>
      </c>
      <c r="I12" s="20">
        <v>500</v>
      </c>
      <c r="J12" s="20" t="s">
        <v>67</v>
      </c>
      <c r="K12" s="20" t="s">
        <v>68</v>
      </c>
      <c r="L12" s="20" t="s">
        <v>25</v>
      </c>
      <c r="M12" s="20" t="s">
        <v>68</v>
      </c>
      <c r="N12" s="20" t="str">
        <f ca="1">72*B75+72*B76</f>
        <v>0</v>
      </c>
      <c r="O12" s="20">
        <v>0</v>
      </c>
      <c r="P12" s="20" t="str">
        <f ca="1">(72*B75+72*B76)*H12/100</f>
        <v>0</v>
      </c>
      <c r="Q12" s="20" t="str">
        <f ca="1">72*B75+72*B76-(72*B75+72*B76)*H12/100</f>
        <v>0</v>
      </c>
      <c r="R12" s="20"/>
      <c r="S12" s="20"/>
      <c r="T12" s="20"/>
      <c r="U12" s="20"/>
      <c r="V12" s="20"/>
    </row>
    <row r="13" outlineLevel="2" customFormat="true" s="4">
      <c r="A13" s="16" t="s">
        <v>56</v>
      </c>
      <c r="B13" s="17" t="s">
        <v>69</v>
      </c>
      <c r="C13" s="18" t="s">
        <v>70</v>
      </c>
      <c r="D13" s="19">
        <v>45262.347916666666</v>
      </c>
      <c r="E13" s="19">
        <v>45270.353472222225</v>
      </c>
      <c r="F13" s="20" t="s">
        <v>61</v>
      </c>
      <c r="G13" s="20" t="s">
        <v>58</v>
      </c>
      <c r="H13" s="20">
        <v>0</v>
      </c>
      <c r="I13" s="20">
        <v>500</v>
      </c>
      <c r="J13" s="20" t="s">
        <v>50</v>
      </c>
      <c r="K13" s="20" t="s">
        <v>63</v>
      </c>
      <c r="L13" s="20" t="s">
        <v>25</v>
      </c>
      <c r="M13" s="20" t="s">
        <v>63</v>
      </c>
      <c r="N13" s="20" t="str">
        <f ca="1">192*B75+192*B76</f>
        <v>0</v>
      </c>
      <c r="O13" s="20">
        <v>0</v>
      </c>
      <c r="P13" s="20" t="str">
        <f ca="1">(192*B75+192*B76)*H13/100</f>
        <v>0</v>
      </c>
      <c r="Q13" s="20" t="str">
        <f ca="1">192*B75+192*B76-(192*B75+192*B76)*H13/100</f>
        <v>0</v>
      </c>
      <c r="R13" s="20"/>
      <c r="S13" s="20"/>
      <c r="T13" s="20"/>
      <c r="U13" s="20"/>
      <c r="V13" s="20"/>
    </row>
    <row r="14" outlineLevel="2" customFormat="true" s="4">
      <c r="A14" s="16" t="s">
        <v>71</v>
      </c>
      <c r="B14" s="17" t="s">
        <v>72</v>
      </c>
      <c r="C14" s="18" t="s">
        <v>73</v>
      </c>
      <c r="D14" s="19">
        <v>45248.338194444441</v>
      </c>
      <c r="E14" s="19">
        <v>45254.342361111114</v>
      </c>
      <c r="F14" s="20" t="s">
        <v>66</v>
      </c>
      <c r="G14" s="20" t="s">
        <v>41</v>
      </c>
      <c r="H14" s="20">
        <v>0</v>
      </c>
      <c r="I14" s="20">
        <v>500</v>
      </c>
      <c r="J14" s="20" t="s">
        <v>67</v>
      </c>
      <c r="K14" s="20" t="s">
        <v>68</v>
      </c>
      <c r="L14" s="20" t="s">
        <v>25</v>
      </c>
      <c r="M14" s="20" t="s">
        <v>68</v>
      </c>
      <c r="N14" s="20" t="str">
        <f ca="1">72*B75+72*B76</f>
        <v>0</v>
      </c>
      <c r="O14" s="20">
        <v>0</v>
      </c>
      <c r="P14" s="20" t="str">
        <f ca="1">(72*B75+72*B76)*H14/100</f>
        <v>0</v>
      </c>
      <c r="Q14" s="20" t="str">
        <f ca="1">72*B75+72*B76-(72*B75+72*B76)*H14/100</f>
        <v>0</v>
      </c>
      <c r="R14" s="20"/>
      <c r="S14" s="20"/>
      <c r="T14" s="20"/>
      <c r="U14" s="20"/>
      <c r="V14" s="20"/>
    </row>
    <row r="15" outlineLevel="1" customFormat="true" s="4">
      <c r="A15" s="9" t="s">
        <v>74</v>
      </c>
      <c r="B15" s="14" t="s">
        <v>75</v>
      </c>
      <c r="C15" s="15" t="s">
        <v>76</v>
      </c>
      <c r="D15" s="12">
        <v>45280.36041666667</v>
      </c>
      <c r="E15" s="12">
        <v>45300.374305555553</v>
      </c>
      <c r="F15" s="13" t="s">
        <v>77</v>
      </c>
      <c r="G15" s="13" t="s">
        <v>46</v>
      </c>
      <c r="H15" s="13">
        <v>0</v>
      </c>
      <c r="I15" s="13">
        <v>500</v>
      </c>
      <c r="J15" s="13" t="s">
        <v>78</v>
      </c>
      <c r="K15" s="13" t="s">
        <v>79</v>
      </c>
      <c r="L15" s="13" t="s">
        <v>25</v>
      </c>
      <c r="M15" s="13" t="s">
        <v>79</v>
      </c>
      <c r="N15" s="13" t="str">
        <f ca="1">480*B75+480*B76+SUM(N16,N17,N18)</f>
        <v>0</v>
      </c>
      <c r="O15" s="13">
        <v>0</v>
      </c>
      <c r="P15" s="13" t="str">
        <f ca="1">(480*B75+480*B76)*H15/100+SUM(P16,P17,P18)</f>
        <v>0</v>
      </c>
      <c r="Q15" s="13" t="str">
        <f ca="1">480*B75+480*B76-(480*B75+480*B76)*H15/100+SUM(Q16,Q17,Q18)</f>
        <v>0</v>
      </c>
      <c r="R15" s="13"/>
      <c r="S15" s="13"/>
      <c r="T15" s="13"/>
      <c r="U15" s="13"/>
      <c r="V15" s="13"/>
    </row>
    <row r="16" outlineLevel="2" customFormat="true" s="4">
      <c r="A16" s="16" t="s">
        <v>80</v>
      </c>
      <c r="B16" s="17" t="s">
        <v>81</v>
      </c>
      <c r="C16" s="18" t="s">
        <v>82</v>
      </c>
      <c r="D16" s="19">
        <v>45292.368750000001</v>
      </c>
      <c r="E16" s="19">
        <v>45300.374305555553</v>
      </c>
      <c r="F16" s="20" t="s">
        <v>61</v>
      </c>
      <c r="G16" s="20" t="s">
        <v>83</v>
      </c>
      <c r="H16" s="20">
        <v>0</v>
      </c>
      <c r="I16" s="20">
        <v>500</v>
      </c>
      <c r="J16" s="20" t="s">
        <v>78</v>
      </c>
      <c r="K16" s="20" t="s">
        <v>63</v>
      </c>
      <c r="L16" s="20" t="s">
        <v>25</v>
      </c>
      <c r="M16" s="20" t="s">
        <v>63</v>
      </c>
      <c r="N16" s="20" t="str">
        <f ca="1">192*B75+192*B76</f>
        <v>0</v>
      </c>
      <c r="O16" s="20">
        <v>0</v>
      </c>
      <c r="P16" s="20" t="str">
        <f ca="1">(192*B75+192*B76)*H16/100</f>
        <v>0</v>
      </c>
      <c r="Q16" s="20" t="str">
        <f ca="1">192*B75+192*B76-(192*B75+192*B76)*H16/100</f>
        <v>0</v>
      </c>
      <c r="R16" s="20"/>
      <c r="S16" s="20"/>
      <c r="T16" s="20"/>
      <c r="U16" s="20"/>
      <c r="V16" s="20"/>
    </row>
    <row r="17" outlineLevel="2" customFormat="true" s="4">
      <c r="A17" s="16" t="s">
        <v>84</v>
      </c>
      <c r="B17" s="17" t="s">
        <v>85</v>
      </c>
      <c r="C17" s="18" t="s">
        <v>86</v>
      </c>
      <c r="D17" s="19">
        <v>45280.36041666667</v>
      </c>
      <c r="E17" s="19">
        <v>45288.365972222222</v>
      </c>
      <c r="F17" s="20" t="s">
        <v>61</v>
      </c>
      <c r="G17" s="20" t="s">
        <v>52</v>
      </c>
      <c r="H17" s="20">
        <v>0</v>
      </c>
      <c r="I17" s="20">
        <v>500</v>
      </c>
      <c r="J17" s="20" t="s">
        <v>78</v>
      </c>
      <c r="K17" s="20" t="s">
        <v>63</v>
      </c>
      <c r="L17" s="20" t="s">
        <v>25</v>
      </c>
      <c r="M17" s="20" t="s">
        <v>63</v>
      </c>
      <c r="N17" s="20" t="str">
        <f ca="1">192*B75+192*B76</f>
        <v>0</v>
      </c>
      <c r="O17" s="20">
        <v>0</v>
      </c>
      <c r="P17" s="20" t="str">
        <f ca="1">(192*B75+192*B76)*H17/100</f>
        <v>0</v>
      </c>
      <c r="Q17" s="20" t="str">
        <f ca="1">192*B75+192*B76-(192*B75+192*B76)*H17/100</f>
        <v>0</v>
      </c>
      <c r="R17" s="20"/>
      <c r="S17" s="20"/>
      <c r="T17" s="20"/>
      <c r="U17" s="20"/>
      <c r="V17" s="20"/>
    </row>
    <row r="18" outlineLevel="2" customFormat="true" s="4">
      <c r="A18" s="16" t="s">
        <v>83</v>
      </c>
      <c r="B18" s="17" t="s">
        <v>87</v>
      </c>
      <c r="C18" s="18" t="s">
        <v>88</v>
      </c>
      <c r="D18" s="19">
        <v>45288.365972222222</v>
      </c>
      <c r="E18" s="19">
        <v>45292.368750000001</v>
      </c>
      <c r="F18" s="20" t="s">
        <v>89</v>
      </c>
      <c r="G18" s="20" t="s">
        <v>84</v>
      </c>
      <c r="H18" s="20">
        <v>0</v>
      </c>
      <c r="I18" s="20">
        <v>500</v>
      </c>
      <c r="J18" s="20" t="s">
        <v>78</v>
      </c>
      <c r="K18" s="20" t="s">
        <v>90</v>
      </c>
      <c r="L18" s="20" t="s">
        <v>25</v>
      </c>
      <c r="M18" s="20" t="s">
        <v>90</v>
      </c>
      <c r="N18" s="20" t="str">
        <f ca="1">96*B75+96*B76</f>
        <v>0</v>
      </c>
      <c r="O18" s="20">
        <v>0</v>
      </c>
      <c r="P18" s="20" t="str">
        <f ca="1">(96*B75+96*B76)*H18/100</f>
        <v>0</v>
      </c>
      <c r="Q18" s="20" t="str">
        <f ca="1">96*B75+96*B76-(96*B75+96*B76)*H18/100</f>
        <v>0</v>
      </c>
      <c r="R18" s="20"/>
      <c r="S18" s="20"/>
      <c r="T18" s="20"/>
      <c r="U18" s="20"/>
      <c r="V18" s="20"/>
    </row>
    <row r="19" outlineLevel="1" customFormat="true" s="4">
      <c r="A19" s="9" t="s">
        <v>91</v>
      </c>
      <c r="B19" s="14" t="s">
        <v>92</v>
      </c>
      <c r="C19" s="15" t="s">
        <v>93</v>
      </c>
      <c r="D19" s="12">
        <v>45300.374305555553</v>
      </c>
      <c r="E19" s="12">
        <v>45330.395138888889</v>
      </c>
      <c r="F19" s="13" t="s">
        <v>94</v>
      </c>
      <c r="G19" s="13" t="s">
        <v>80</v>
      </c>
      <c r="H19" s="13">
        <v>0</v>
      </c>
      <c r="I19" s="13">
        <v>500</v>
      </c>
      <c r="J19" s="13" t="s">
        <v>50</v>
      </c>
      <c r="K19" s="13" t="s">
        <v>95</v>
      </c>
      <c r="L19" s="13" t="s">
        <v>25</v>
      </c>
      <c r="M19" s="13" t="s">
        <v>95</v>
      </c>
      <c r="N19" s="13" t="str">
        <f ca="1">720*B75+720*B76+SUM(N20,N21,N22,N23)</f>
        <v>0</v>
      </c>
      <c r="O19" s="13">
        <v>0</v>
      </c>
      <c r="P19" s="13" t="str">
        <f ca="1">(720*B75+720*B76)*H19/100+SUM(P20,P21,P22,P23)</f>
        <v>0</v>
      </c>
      <c r="Q19" s="13" t="str">
        <f ca="1">720*B75+720*B76-(720*B75+720*B76)*H19/100+SUM(Q20,Q21,Q22,Q23)</f>
        <v>0</v>
      </c>
      <c r="R19" s="13"/>
      <c r="S19" s="13"/>
      <c r="T19" s="13"/>
      <c r="U19" s="13"/>
      <c r="V19" s="13"/>
    </row>
    <row r="20" outlineLevel="2" customFormat="true" s="4">
      <c r="A20" s="16" t="s">
        <v>96</v>
      </c>
      <c r="B20" s="17" t="s">
        <v>97</v>
      </c>
      <c r="C20" s="18" t="s">
        <v>98</v>
      </c>
      <c r="D20" s="19">
        <v>45320.388194444444</v>
      </c>
      <c r="E20" s="19">
        <v>45330.395138888889</v>
      </c>
      <c r="F20" s="20" t="s">
        <v>55</v>
      </c>
      <c r="G20" s="20" t="s">
        <v>99</v>
      </c>
      <c r="H20" s="20">
        <v>0</v>
      </c>
      <c r="I20" s="20">
        <v>500</v>
      </c>
      <c r="J20" s="20" t="s">
        <v>50</v>
      </c>
      <c r="K20" s="20" t="s">
        <v>57</v>
      </c>
      <c r="L20" s="20" t="s">
        <v>25</v>
      </c>
      <c r="M20" s="20" t="s">
        <v>57</v>
      </c>
      <c r="N20" s="20" t="str">
        <f ca="1">240*B75+240*B76</f>
        <v>0</v>
      </c>
      <c r="O20" s="20">
        <v>0</v>
      </c>
      <c r="P20" s="20" t="str">
        <f ca="1">(240*B75+240*B76)*H20/100</f>
        <v>0</v>
      </c>
      <c r="Q20" s="20" t="str">
        <f ca="1">240*B75+240*B76-(240*B75+240*B76)*H20/100</f>
        <v>0</v>
      </c>
      <c r="R20" s="20"/>
      <c r="S20" s="20"/>
      <c r="T20" s="20"/>
      <c r="U20" s="20"/>
      <c r="V20" s="20"/>
    </row>
    <row r="21" outlineLevel="2" customFormat="true" s="4">
      <c r="A21" s="16" t="s">
        <v>99</v>
      </c>
      <c r="B21" s="17" t="s">
        <v>100</v>
      </c>
      <c r="C21" s="18" t="s">
        <v>101</v>
      </c>
      <c r="D21" s="19">
        <v>45314.384027777778</v>
      </c>
      <c r="E21" s="19">
        <v>45320.388194444444</v>
      </c>
      <c r="F21" s="20" t="s">
        <v>66</v>
      </c>
      <c r="G21" s="20" t="s">
        <v>102</v>
      </c>
      <c r="H21" s="20">
        <v>0</v>
      </c>
      <c r="I21" s="20">
        <v>500</v>
      </c>
      <c r="J21" s="20" t="s">
        <v>50</v>
      </c>
      <c r="K21" s="20" t="s">
        <v>103</v>
      </c>
      <c r="L21" s="20" t="s">
        <v>25</v>
      </c>
      <c r="M21" s="20" t="s">
        <v>103</v>
      </c>
      <c r="N21" s="20" t="str">
        <f ca="1">144*B75+144*B76</f>
        <v>0</v>
      </c>
      <c r="O21" s="20">
        <v>0</v>
      </c>
      <c r="P21" s="20" t="str">
        <f ca="1">(144*B75+144*B76)*H21/100</f>
        <v>0</v>
      </c>
      <c r="Q21" s="20" t="str">
        <f ca="1">144*B75+144*B76-(144*B75+144*B76)*H21/100</f>
        <v>0</v>
      </c>
      <c r="R21" s="20"/>
      <c r="S21" s="20"/>
      <c r="T21" s="20"/>
      <c r="U21" s="20"/>
      <c r="V21" s="20"/>
    </row>
    <row r="22" outlineLevel="2" customFormat="true" s="4">
      <c r="A22" s="16" t="s">
        <v>102</v>
      </c>
      <c r="B22" s="17" t="s">
        <v>104</v>
      </c>
      <c r="C22" s="18" t="s">
        <v>105</v>
      </c>
      <c r="D22" s="19">
        <v>45308.379861111112</v>
      </c>
      <c r="E22" s="19">
        <v>45314.384027777778</v>
      </c>
      <c r="F22" s="20" t="s">
        <v>66</v>
      </c>
      <c r="G22" s="20" t="s">
        <v>106</v>
      </c>
      <c r="H22" s="20">
        <v>0</v>
      </c>
      <c r="I22" s="20">
        <v>500</v>
      </c>
      <c r="J22" s="20" t="s">
        <v>50</v>
      </c>
      <c r="K22" s="20" t="s">
        <v>103</v>
      </c>
      <c r="L22" s="20" t="s">
        <v>25</v>
      </c>
      <c r="M22" s="20" t="s">
        <v>103</v>
      </c>
      <c r="N22" s="20" t="str">
        <f ca="1">144*B75+144*B76</f>
        <v>0</v>
      </c>
      <c r="O22" s="20">
        <v>0</v>
      </c>
      <c r="P22" s="20" t="str">
        <f ca="1">(144*B75+144*B76)*H22/100</f>
        <v>0</v>
      </c>
      <c r="Q22" s="20" t="str">
        <f ca="1">144*B75+144*B76-(144*B75+144*B76)*H22/100</f>
        <v>0</v>
      </c>
      <c r="R22" s="20"/>
      <c r="S22" s="20"/>
      <c r="T22" s="20"/>
      <c r="U22" s="20"/>
      <c r="V22" s="20"/>
    </row>
    <row r="23" outlineLevel="2" customFormat="true" s="4">
      <c r="A23" s="16" t="s">
        <v>106</v>
      </c>
      <c r="B23" s="17" t="s">
        <v>107</v>
      </c>
      <c r="C23" s="18" t="s">
        <v>108</v>
      </c>
      <c r="D23" s="19">
        <v>45300.374305555553</v>
      </c>
      <c r="E23" s="19">
        <v>45308.379861111112</v>
      </c>
      <c r="F23" s="20" t="s">
        <v>61</v>
      </c>
      <c r="G23" s="20" t="s">
        <v>80</v>
      </c>
      <c r="H23" s="20">
        <v>0</v>
      </c>
      <c r="I23" s="20">
        <v>500</v>
      </c>
      <c r="J23" s="20" t="s">
        <v>50</v>
      </c>
      <c r="K23" s="20" t="s">
        <v>63</v>
      </c>
      <c r="L23" s="20" t="s">
        <v>25</v>
      </c>
      <c r="M23" s="20" t="s">
        <v>63</v>
      </c>
      <c r="N23" s="20" t="str">
        <f ca="1">192*B75+192*B76</f>
        <v>0</v>
      </c>
      <c r="O23" s="20">
        <v>0</v>
      </c>
      <c r="P23" s="20" t="str">
        <f ca="1">(192*B75+192*B76)*H23/100</f>
        <v>0</v>
      </c>
      <c r="Q23" s="20" t="str">
        <f ca="1">192*B75+192*B76-(192*B75+192*B76)*H23/100</f>
        <v>0</v>
      </c>
      <c r="R23" s="20"/>
      <c r="S23" s="20"/>
      <c r="T23" s="20"/>
      <c r="U23" s="20"/>
      <c r="V23" s="20"/>
    </row>
    <row r="24" outlineLevel="1" customFormat="true" s="4">
      <c r="A24" s="9" t="s">
        <v>109</v>
      </c>
      <c r="B24" s="14" t="s">
        <v>110</v>
      </c>
      <c r="C24" s="15" t="s">
        <v>111</v>
      </c>
      <c r="D24" s="12">
        <v>45330.395138888889</v>
      </c>
      <c r="E24" s="12">
        <v>45380.429861111108</v>
      </c>
      <c r="F24" s="13" t="s">
        <v>112</v>
      </c>
      <c r="G24" s="13" t="s">
        <v>96</v>
      </c>
      <c r="H24" s="13">
        <v>0</v>
      </c>
      <c r="I24" s="13">
        <v>500</v>
      </c>
      <c r="J24" s="13" t="s">
        <v>113</v>
      </c>
      <c r="K24" s="13" t="s">
        <v>114</v>
      </c>
      <c r="L24" s="13" t="s">
        <v>25</v>
      </c>
      <c r="M24" s="13" t="s">
        <v>114</v>
      </c>
      <c r="N24" s="13" t="str">
        <f ca="1">1200*B77+1200*B79+SUM(N25,N26,N27,N28,N29,N30,N31)</f>
        <v>0</v>
      </c>
      <c r="O24" s="13">
        <v>0</v>
      </c>
      <c r="P24" s="13" t="str">
        <f ca="1">(1200*B77+1200*B79)*H24/100+SUM(P25,P26,P27,P28,P29,P30,P31)</f>
        <v>0</v>
      </c>
      <c r="Q24" s="13" t="str">
        <f ca="1">1200*B77+1200*B79-(1200*B77+1200*B79)*H24/100+SUM(Q25,Q26,Q27,Q28,Q29,Q30,Q31)</f>
        <v>0</v>
      </c>
      <c r="R24" s="13"/>
      <c r="S24" s="13"/>
      <c r="T24" s="13"/>
      <c r="U24" s="13"/>
      <c r="V24" s="13"/>
    </row>
    <row r="25" outlineLevel="2" customFormat="true" s="4">
      <c r="A25" s="16" t="s">
        <v>115</v>
      </c>
      <c r="B25" s="17" t="s">
        <v>116</v>
      </c>
      <c r="C25" s="18" t="s">
        <v>117</v>
      </c>
      <c r="D25" s="19">
        <v>45341.402777777781</v>
      </c>
      <c r="E25" s="19">
        <v>45351.409722222219</v>
      </c>
      <c r="F25" s="20" t="s">
        <v>55</v>
      </c>
      <c r="G25" s="20" t="s">
        <v>118</v>
      </c>
      <c r="H25" s="20">
        <v>0</v>
      </c>
      <c r="I25" s="20">
        <v>500</v>
      </c>
      <c r="J25" s="20" t="s">
        <v>113</v>
      </c>
      <c r="K25" s="20" t="s">
        <v>57</v>
      </c>
      <c r="L25" s="20" t="s">
        <v>25</v>
      </c>
      <c r="M25" s="20" t="s">
        <v>57</v>
      </c>
      <c r="N25" s="20" t="str">
        <f ca="1">240*B77+240*B79</f>
        <v>0</v>
      </c>
      <c r="O25" s="20">
        <v>0</v>
      </c>
      <c r="P25" s="20" t="str">
        <f ca="1">(240*B77+240*B79)*H25/100</f>
        <v>0</v>
      </c>
      <c r="Q25" s="20" t="str">
        <f ca="1">240*B77+240*B79-(240*B77+240*B79)*H25/100</f>
        <v>0</v>
      </c>
      <c r="R25" s="20"/>
      <c r="S25" s="20"/>
      <c r="T25" s="20"/>
      <c r="U25" s="20"/>
      <c r="V25" s="20"/>
    </row>
    <row r="26" outlineLevel="2" customFormat="true" s="4">
      <c r="A26" s="16" t="s">
        <v>119</v>
      </c>
      <c r="B26" s="17" t="s">
        <v>120</v>
      </c>
      <c r="C26" s="18" t="s">
        <v>121</v>
      </c>
      <c r="D26" s="19">
        <v>45358.414583333331</v>
      </c>
      <c r="E26" s="19">
        <v>45368.421527777777</v>
      </c>
      <c r="F26" s="20" t="s">
        <v>55</v>
      </c>
      <c r="G26" s="20" t="s">
        <v>122</v>
      </c>
      <c r="H26" s="20">
        <v>0</v>
      </c>
      <c r="I26" s="20">
        <v>500</v>
      </c>
      <c r="J26" s="20" t="s">
        <v>113</v>
      </c>
      <c r="K26" s="20" t="s">
        <v>57</v>
      </c>
      <c r="L26" s="20" t="s">
        <v>25</v>
      </c>
      <c r="M26" s="20" t="s">
        <v>57</v>
      </c>
      <c r="N26" s="20" t="str">
        <f ca="1">240*B77+240*B79</f>
        <v>0</v>
      </c>
      <c r="O26" s="20">
        <v>0</v>
      </c>
      <c r="P26" s="20" t="str">
        <f ca="1">(240*B77+240*B79)*H26/100</f>
        <v>0</v>
      </c>
      <c r="Q26" s="20" t="str">
        <f ca="1">240*B77+240*B79-(240*B77+240*B79)*H26/100</f>
        <v>0</v>
      </c>
      <c r="R26" s="20"/>
      <c r="S26" s="20"/>
      <c r="T26" s="20"/>
      <c r="U26" s="20"/>
      <c r="V26" s="20"/>
    </row>
    <row r="27" outlineLevel="2" customFormat="true" s="4">
      <c r="A27" s="16" t="s">
        <v>122</v>
      </c>
      <c r="B27" s="17" t="s">
        <v>123</v>
      </c>
      <c r="C27" s="18" t="s">
        <v>124</v>
      </c>
      <c r="D27" s="19">
        <v>45351.409722222219</v>
      </c>
      <c r="E27" s="19">
        <v>45358.414583333331</v>
      </c>
      <c r="F27" s="20" t="s">
        <v>125</v>
      </c>
      <c r="G27" s="20" t="s">
        <v>115</v>
      </c>
      <c r="H27" s="20">
        <v>0</v>
      </c>
      <c r="I27" s="20">
        <v>500</v>
      </c>
      <c r="J27" s="20" t="s">
        <v>126</v>
      </c>
      <c r="K27" s="20" t="s">
        <v>127</v>
      </c>
      <c r="L27" s="20" t="s">
        <v>25</v>
      </c>
      <c r="M27" s="20" t="s">
        <v>127</v>
      </c>
      <c r="N27" s="20" t="str">
        <f ca="1">336*B78</f>
        <v>0</v>
      </c>
      <c r="O27" s="20">
        <v>0</v>
      </c>
      <c r="P27" s="20" t="str">
        <f ca="1">(336*B78)*H27/100</f>
        <v>0</v>
      </c>
      <c r="Q27" s="20" t="str">
        <f ca="1">336*B78-(336*B78)*H27/100</f>
        <v>0</v>
      </c>
      <c r="R27" s="20"/>
      <c r="S27" s="20"/>
      <c r="T27" s="20"/>
      <c r="U27" s="20"/>
      <c r="V27" s="20"/>
    </row>
    <row r="28" outlineLevel="2" customFormat="true" s="4">
      <c r="A28" s="16" t="s">
        <v>128</v>
      </c>
      <c r="B28" s="17" t="s">
        <v>129</v>
      </c>
      <c r="C28" s="18" t="s">
        <v>130</v>
      </c>
      <c r="D28" s="19">
        <v>45358.414583333331</v>
      </c>
      <c r="E28" s="19">
        <v>45369.422222222223</v>
      </c>
      <c r="F28" s="20" t="s">
        <v>131</v>
      </c>
      <c r="G28" s="20" t="s">
        <v>122</v>
      </c>
      <c r="H28" s="20">
        <v>0</v>
      </c>
      <c r="I28" s="20">
        <v>500</v>
      </c>
      <c r="J28" s="20" t="s">
        <v>113</v>
      </c>
      <c r="K28" s="20" t="s">
        <v>132</v>
      </c>
      <c r="L28" s="20" t="s">
        <v>25</v>
      </c>
      <c r="M28" s="20" t="s">
        <v>132</v>
      </c>
      <c r="N28" s="20" t="str">
        <f ca="1">264*B77+264*B79</f>
        <v>0</v>
      </c>
      <c r="O28" s="20">
        <v>0</v>
      </c>
      <c r="P28" s="20" t="str">
        <f ca="1">(264*B77+264*B79)*H28/100</f>
        <v>0</v>
      </c>
      <c r="Q28" s="20" t="str">
        <f ca="1">264*B77+264*B79-(264*B77+264*B79)*H28/100</f>
        <v>0</v>
      </c>
      <c r="R28" s="20"/>
      <c r="S28" s="20"/>
      <c r="T28" s="20"/>
      <c r="U28" s="20"/>
      <c r="V28" s="20"/>
    </row>
    <row r="29" outlineLevel="2" customFormat="true" s="4">
      <c r="A29" s="16" t="s">
        <v>133</v>
      </c>
      <c r="B29" s="17" t="s">
        <v>134</v>
      </c>
      <c r="C29" s="18" t="s">
        <v>135</v>
      </c>
      <c r="D29" s="19">
        <v>45369.422222222223</v>
      </c>
      <c r="E29" s="19">
        <v>45380.429861111108</v>
      </c>
      <c r="F29" s="20" t="s">
        <v>131</v>
      </c>
      <c r="G29" s="20" t="s">
        <v>128</v>
      </c>
      <c r="H29" s="20">
        <v>0</v>
      </c>
      <c r="I29" s="20">
        <v>500</v>
      </c>
      <c r="J29" s="20" t="s">
        <v>126</v>
      </c>
      <c r="K29" s="20" t="s">
        <v>132</v>
      </c>
      <c r="L29" s="20" t="s">
        <v>25</v>
      </c>
      <c r="M29" s="20" t="s">
        <v>132</v>
      </c>
      <c r="N29" s="20" t="str">
        <f ca="1">528*B78</f>
        <v>0</v>
      </c>
      <c r="O29" s="20">
        <v>0</v>
      </c>
      <c r="P29" s="20" t="str">
        <f ca="1">(528*B78)*H29/100</f>
        <v>0</v>
      </c>
      <c r="Q29" s="20" t="str">
        <f ca="1">528*B78-(528*B78)*H29/100</f>
        <v>0</v>
      </c>
      <c r="R29" s="20"/>
      <c r="S29" s="20"/>
      <c r="T29" s="20"/>
      <c r="U29" s="20"/>
      <c r="V29" s="20"/>
    </row>
    <row r="30" outlineLevel="2" customFormat="true" s="4">
      <c r="A30" s="16" t="s">
        <v>118</v>
      </c>
      <c r="B30" s="17" t="s">
        <v>136</v>
      </c>
      <c r="C30" s="18" t="s">
        <v>137</v>
      </c>
      <c r="D30" s="19">
        <v>45330.395138888889</v>
      </c>
      <c r="E30" s="19">
        <v>45341.402777777781</v>
      </c>
      <c r="F30" s="20" t="s">
        <v>131</v>
      </c>
      <c r="G30" s="20" t="s">
        <v>96</v>
      </c>
      <c r="H30" s="20">
        <v>0</v>
      </c>
      <c r="I30" s="20">
        <v>500</v>
      </c>
      <c r="J30" s="20" t="s">
        <v>113</v>
      </c>
      <c r="K30" s="20" t="s">
        <v>132</v>
      </c>
      <c r="L30" s="20" t="s">
        <v>25</v>
      </c>
      <c r="M30" s="20" t="s">
        <v>132</v>
      </c>
      <c r="N30" s="20" t="str">
        <f ca="1">264*B77+264*B79</f>
        <v>0</v>
      </c>
      <c r="O30" s="20">
        <v>0</v>
      </c>
      <c r="P30" s="20" t="str">
        <f ca="1">(264*B77+264*B79)*H30/100</f>
        <v>0</v>
      </c>
      <c r="Q30" s="20" t="str">
        <f ca="1">264*B77+264*B79-(264*B77+264*B79)*H30/100</f>
        <v>0</v>
      </c>
      <c r="R30" s="20"/>
      <c r="S30" s="20"/>
      <c r="T30" s="20"/>
      <c r="U30" s="20"/>
      <c r="V30" s="20"/>
    </row>
    <row r="31" outlineLevel="2" customFormat="true" s="4">
      <c r="A31" s="16" t="s">
        <v>138</v>
      </c>
      <c r="B31" s="17" t="s">
        <v>139</v>
      </c>
      <c r="C31" s="18" t="s">
        <v>140</v>
      </c>
      <c r="D31" s="19">
        <v>45330.395138888889</v>
      </c>
      <c r="E31" s="19">
        <v>45341.402777777781</v>
      </c>
      <c r="F31" s="20" t="s">
        <v>131</v>
      </c>
      <c r="G31" s="20" t="s">
        <v>96</v>
      </c>
      <c r="H31" s="20">
        <v>0</v>
      </c>
      <c r="I31" s="20">
        <v>500</v>
      </c>
      <c r="J31" s="20" t="s">
        <v>113</v>
      </c>
      <c r="K31" s="20" t="s">
        <v>132</v>
      </c>
      <c r="L31" s="20" t="s">
        <v>25</v>
      </c>
      <c r="M31" s="20" t="s">
        <v>132</v>
      </c>
      <c r="N31" s="20" t="str">
        <f ca="1">264*B77+264*B79</f>
        <v>0</v>
      </c>
      <c r="O31" s="20">
        <v>0</v>
      </c>
      <c r="P31" s="20" t="str">
        <f ca="1">(264*B77+264*B79)*H31/100</f>
        <v>0</v>
      </c>
      <c r="Q31" s="20" t="str">
        <f ca="1">264*B77+264*B79-(264*B77+264*B79)*H31/100</f>
        <v>0</v>
      </c>
      <c r="R31" s="20"/>
      <c r="S31" s="20"/>
      <c r="T31" s="20"/>
      <c r="U31" s="20"/>
      <c r="V31" s="20"/>
    </row>
    <row r="32" outlineLevel="1" customFormat="true" s="4">
      <c r="A32" s="9" t="s">
        <v>141</v>
      </c>
      <c r="B32" s="14" t="s">
        <v>142</v>
      </c>
      <c r="C32" s="15" t="s">
        <v>143</v>
      </c>
      <c r="D32" s="12">
        <v>45380.429861111108</v>
      </c>
      <c r="E32" s="12">
        <v>45423.459722222222</v>
      </c>
      <c r="F32" s="13" t="s">
        <v>144</v>
      </c>
      <c r="G32" s="13" t="s">
        <v>109</v>
      </c>
      <c r="H32" s="13">
        <v>0</v>
      </c>
      <c r="I32" s="13">
        <v>500</v>
      </c>
      <c r="J32" s="13" t="s">
        <v>113</v>
      </c>
      <c r="K32" s="13" t="s">
        <v>145</v>
      </c>
      <c r="L32" s="13" t="s">
        <v>25</v>
      </c>
      <c r="M32" s="13" t="s">
        <v>145</v>
      </c>
      <c r="N32" s="13" t="str">
        <f ca="1">1032*B77+1032*B79+SUM(N33,N34,N35,N36,N37,N38)</f>
        <v>0</v>
      </c>
      <c r="O32" s="13">
        <v>0</v>
      </c>
      <c r="P32" s="13" t="str">
        <f ca="1">(1032*B77+1032*B79)*H32/100+SUM(P33,P34,P35,P36,P37,P38)</f>
        <v>0</v>
      </c>
      <c r="Q32" s="13" t="str">
        <f ca="1">1032*B77+1032*B79-(1032*B77+1032*B79)*H32/100+SUM(Q33,Q34,Q35,Q36,Q37,Q38)</f>
        <v>0</v>
      </c>
      <c r="R32" s="13"/>
      <c r="S32" s="13"/>
      <c r="T32" s="13"/>
      <c r="U32" s="13"/>
      <c r="V32" s="13"/>
    </row>
    <row r="33" outlineLevel="2" customFormat="true" s="4">
      <c r="A33" s="16" t="s">
        <v>146</v>
      </c>
      <c r="B33" s="17" t="s">
        <v>147</v>
      </c>
      <c r="C33" s="18" t="s">
        <v>148</v>
      </c>
      <c r="D33" s="19">
        <v>45409.449999999997</v>
      </c>
      <c r="E33" s="19">
        <v>45416.454861111109</v>
      </c>
      <c r="F33" s="20" t="s">
        <v>125</v>
      </c>
      <c r="G33" s="20" t="s">
        <v>149</v>
      </c>
      <c r="H33" s="20">
        <v>0</v>
      </c>
      <c r="I33" s="20">
        <v>500</v>
      </c>
      <c r="J33" s="20" t="s">
        <v>113</v>
      </c>
      <c r="K33" s="20" t="s">
        <v>127</v>
      </c>
      <c r="L33" s="20" t="s">
        <v>25</v>
      </c>
      <c r="M33" s="20" t="s">
        <v>127</v>
      </c>
      <c r="N33" s="20" t="str">
        <f ca="1">168*B77+168*B79</f>
        <v>0</v>
      </c>
      <c r="O33" s="20">
        <v>0</v>
      </c>
      <c r="P33" s="20" t="str">
        <f ca="1">(168*B77+168*B79)*H33/100</f>
        <v>0</v>
      </c>
      <c r="Q33" s="20" t="str">
        <f ca="1">168*B77+168*B79-(168*B77+168*B79)*H33/100</f>
        <v>0</v>
      </c>
      <c r="R33" s="20"/>
      <c r="S33" s="20"/>
      <c r="T33" s="20"/>
      <c r="U33" s="20"/>
      <c r="V33" s="20"/>
    </row>
    <row r="34" outlineLevel="2" customFormat="true" s="4">
      <c r="A34" s="16" t="s">
        <v>150</v>
      </c>
      <c r="B34" s="17" t="s">
        <v>151</v>
      </c>
      <c r="C34" s="18" t="s">
        <v>152</v>
      </c>
      <c r="D34" s="19">
        <v>45416.454861111109</v>
      </c>
      <c r="E34" s="19">
        <v>45423.459722222222</v>
      </c>
      <c r="F34" s="20" t="s">
        <v>125</v>
      </c>
      <c r="G34" s="20" t="s">
        <v>146</v>
      </c>
      <c r="H34" s="20">
        <v>0</v>
      </c>
      <c r="I34" s="20">
        <v>500</v>
      </c>
      <c r="J34" s="20" t="s">
        <v>113</v>
      </c>
      <c r="K34" s="20" t="s">
        <v>127</v>
      </c>
      <c r="L34" s="20" t="s">
        <v>25</v>
      </c>
      <c r="M34" s="20" t="s">
        <v>127</v>
      </c>
      <c r="N34" s="20" t="str">
        <f ca="1">168*B77+168*B79</f>
        <v>0</v>
      </c>
      <c r="O34" s="20">
        <v>0</v>
      </c>
      <c r="P34" s="20" t="str">
        <f ca="1">(168*B77+168*B79)*H34/100</f>
        <v>0</v>
      </c>
      <c r="Q34" s="20" t="str">
        <f ca="1">168*B77+168*B79-(168*B77+168*B79)*H34/100</f>
        <v>0</v>
      </c>
      <c r="R34" s="20"/>
      <c r="S34" s="20"/>
      <c r="T34" s="20"/>
      <c r="U34" s="20"/>
      <c r="V34" s="20"/>
    </row>
    <row r="35" outlineLevel="2" customFormat="true" s="4">
      <c r="A35" s="16" t="s">
        <v>149</v>
      </c>
      <c r="B35" s="17" t="s">
        <v>153</v>
      </c>
      <c r="C35" s="18" t="s">
        <v>154</v>
      </c>
      <c r="D35" s="19">
        <v>45402.445138888892</v>
      </c>
      <c r="E35" s="19">
        <v>45409.449999999997</v>
      </c>
      <c r="F35" s="20" t="s">
        <v>125</v>
      </c>
      <c r="G35" s="20" t="s">
        <v>155</v>
      </c>
      <c r="H35" s="20">
        <v>0</v>
      </c>
      <c r="I35" s="20">
        <v>500</v>
      </c>
      <c r="J35" s="20" t="s">
        <v>156</v>
      </c>
      <c r="K35" s="20" t="s">
        <v>157</v>
      </c>
      <c r="L35" s="20" t="s">
        <v>25</v>
      </c>
      <c r="M35" s="20" t="s">
        <v>157</v>
      </c>
      <c r="N35" s="20" t="str">
        <f ca="1">56*B78+56*B77+56*B79</f>
        <v>0</v>
      </c>
      <c r="O35" s="20">
        <v>0</v>
      </c>
      <c r="P35" s="20" t="str">
        <f ca="1">(56*B78+56*B77+56*B79)*H35/100</f>
        <v>0</v>
      </c>
      <c r="Q35" s="20" t="str">
        <f ca="1">56*B78+56*B77+56*B79-(56*B78+56*B77+56*B79)*H35/100</f>
        <v>0</v>
      </c>
      <c r="R35" s="20"/>
      <c r="S35" s="20"/>
      <c r="T35" s="20"/>
      <c r="U35" s="20"/>
      <c r="V35" s="20"/>
    </row>
    <row r="36" outlineLevel="2" customFormat="true" s="4">
      <c r="A36" s="16" t="s">
        <v>155</v>
      </c>
      <c r="B36" s="17" t="s">
        <v>158</v>
      </c>
      <c r="C36" s="18" t="s">
        <v>159</v>
      </c>
      <c r="D36" s="19">
        <v>45394.439583333333</v>
      </c>
      <c r="E36" s="19">
        <v>45402.445138888892</v>
      </c>
      <c r="F36" s="20" t="s">
        <v>61</v>
      </c>
      <c r="G36" s="20" t="s">
        <v>160</v>
      </c>
      <c r="H36" s="20">
        <v>0</v>
      </c>
      <c r="I36" s="20">
        <v>500</v>
      </c>
      <c r="J36" s="20" t="s">
        <v>113</v>
      </c>
      <c r="K36" s="20" t="s">
        <v>63</v>
      </c>
      <c r="L36" s="20" t="s">
        <v>25</v>
      </c>
      <c r="M36" s="20" t="s">
        <v>63</v>
      </c>
      <c r="N36" s="20" t="str">
        <f ca="1">192*B77+192*B79</f>
        <v>0</v>
      </c>
      <c r="O36" s="20">
        <v>0</v>
      </c>
      <c r="P36" s="20" t="str">
        <f ca="1">(192*B77+192*B79)*H36/100</f>
        <v>0</v>
      </c>
      <c r="Q36" s="20" t="str">
        <f ca="1">192*B77+192*B79-(192*B77+192*B79)*H36/100</f>
        <v>0</v>
      </c>
      <c r="R36" s="20"/>
      <c r="S36" s="20"/>
      <c r="T36" s="20"/>
      <c r="U36" s="20"/>
      <c r="V36" s="20"/>
    </row>
    <row r="37" outlineLevel="2" customFormat="true" s="4">
      <c r="A37" s="16" t="s">
        <v>160</v>
      </c>
      <c r="B37" s="17" t="s">
        <v>161</v>
      </c>
      <c r="C37" s="18" t="s">
        <v>162</v>
      </c>
      <c r="D37" s="19">
        <v>45387.43472222222</v>
      </c>
      <c r="E37" s="19">
        <v>45394.439583333333</v>
      </c>
      <c r="F37" s="20" t="s">
        <v>125</v>
      </c>
      <c r="G37" s="20" t="s">
        <v>163</v>
      </c>
      <c r="H37" s="20">
        <v>0</v>
      </c>
      <c r="I37" s="20">
        <v>500</v>
      </c>
      <c r="J37" s="20" t="s">
        <v>113</v>
      </c>
      <c r="K37" s="20" t="s">
        <v>127</v>
      </c>
      <c r="L37" s="20" t="s">
        <v>25</v>
      </c>
      <c r="M37" s="20" t="s">
        <v>127</v>
      </c>
      <c r="N37" s="20" t="str">
        <f ca="1">168*B77+168*B79</f>
        <v>0</v>
      </c>
      <c r="O37" s="20">
        <v>0</v>
      </c>
      <c r="P37" s="20" t="str">
        <f ca="1">(168*B77+168*B79)*H37/100</f>
        <v>0</v>
      </c>
      <c r="Q37" s="20" t="str">
        <f ca="1">168*B77+168*B79-(168*B77+168*B79)*H37/100</f>
        <v>0</v>
      </c>
      <c r="R37" s="20"/>
      <c r="S37" s="20"/>
      <c r="T37" s="20"/>
      <c r="U37" s="20"/>
      <c r="V37" s="20"/>
    </row>
    <row r="38" outlineLevel="2" customFormat="true" s="4">
      <c r="A38" s="16" t="s">
        <v>163</v>
      </c>
      <c r="B38" s="17" t="s">
        <v>164</v>
      </c>
      <c r="C38" s="18" t="s">
        <v>165</v>
      </c>
      <c r="D38" s="19">
        <v>45380.429861111108</v>
      </c>
      <c r="E38" s="19">
        <v>45387.43472222222</v>
      </c>
      <c r="F38" s="20" t="s">
        <v>125</v>
      </c>
      <c r="G38" s="20" t="s">
        <v>133</v>
      </c>
      <c r="H38" s="20">
        <v>0</v>
      </c>
      <c r="I38" s="20">
        <v>500</v>
      </c>
      <c r="J38" s="20" t="s">
        <v>113</v>
      </c>
      <c r="K38" s="20" t="s">
        <v>127</v>
      </c>
      <c r="L38" s="20" t="s">
        <v>25</v>
      </c>
      <c r="M38" s="20" t="s">
        <v>127</v>
      </c>
      <c r="N38" s="20" t="str">
        <f ca="1">168*B77+168*B79</f>
        <v>0</v>
      </c>
      <c r="O38" s="20">
        <v>0</v>
      </c>
      <c r="P38" s="20" t="str">
        <f ca="1">(168*B77+168*B79)*H38/100</f>
        <v>0</v>
      </c>
      <c r="Q38" s="20" t="str">
        <f ca="1">168*B77+168*B79-(168*B77+168*B79)*H38/100</f>
        <v>0</v>
      </c>
      <c r="R38" s="20"/>
      <c r="S38" s="20"/>
      <c r="T38" s="20"/>
      <c r="U38" s="20"/>
      <c r="V38" s="20"/>
    </row>
    <row r="39" outlineLevel="1" customFormat="true" s="4">
      <c r="A39" s="9" t="s">
        <v>166</v>
      </c>
      <c r="B39" s="14" t="s">
        <v>167</v>
      </c>
      <c r="C39" s="15" t="s">
        <v>168</v>
      </c>
      <c r="D39" s="12">
        <v>45423.459722222222</v>
      </c>
      <c r="E39" s="12">
        <v>45435.468055555553</v>
      </c>
      <c r="F39" s="13" t="s">
        <v>169</v>
      </c>
      <c r="G39" s="13" t="s">
        <v>141</v>
      </c>
      <c r="H39" s="13">
        <v>0</v>
      </c>
      <c r="I39" s="13">
        <v>500</v>
      </c>
      <c r="J39" s="13" t="s">
        <v>170</v>
      </c>
      <c r="K39" s="13" t="s">
        <v>171</v>
      </c>
      <c r="L39" s="13" t="s">
        <v>25</v>
      </c>
      <c r="M39" s="13" t="s">
        <v>171</v>
      </c>
      <c r="N39" s="13" t="str">
        <f ca="1">288*B77+288*B79+SUM(N40,N41,N42)</f>
        <v>0</v>
      </c>
      <c r="O39" s="13">
        <v>0</v>
      </c>
      <c r="P39" s="13" t="str">
        <f ca="1">(288*B77+288*B79)*H39/100+SUM(P40,P41,P42)</f>
        <v>0</v>
      </c>
      <c r="Q39" s="13" t="str">
        <f ca="1">288*B77+288*B79-(288*B77+288*B79)*H39/100+SUM(Q40,Q41,Q42)</f>
        <v>0</v>
      </c>
      <c r="R39" s="13"/>
      <c r="S39" s="13"/>
      <c r="T39" s="13"/>
      <c r="U39" s="13"/>
      <c r="V39" s="13"/>
    </row>
    <row r="40" outlineLevel="2" customFormat="true" s="4">
      <c r="A40" s="16" t="s">
        <v>172</v>
      </c>
      <c r="B40" s="17" t="s">
        <v>173</v>
      </c>
      <c r="C40" s="18" t="s">
        <v>174</v>
      </c>
      <c r="D40" s="19">
        <v>45430.464583333334</v>
      </c>
      <c r="E40" s="19">
        <v>45435.468055555553</v>
      </c>
      <c r="F40" s="20" t="s">
        <v>39</v>
      </c>
      <c r="G40" s="20" t="s">
        <v>175</v>
      </c>
      <c r="H40" s="20">
        <v>0</v>
      </c>
      <c r="I40" s="20">
        <v>500</v>
      </c>
      <c r="J40" s="20" t="s">
        <v>170</v>
      </c>
      <c r="K40" s="20" t="s">
        <v>176</v>
      </c>
      <c r="L40" s="20" t="s">
        <v>25</v>
      </c>
      <c r="M40" s="20" t="s">
        <v>176</v>
      </c>
      <c r="N40" s="20" t="str">
        <f ca="1">120*B77+120*B79</f>
        <v>0</v>
      </c>
      <c r="O40" s="20">
        <v>0</v>
      </c>
      <c r="P40" s="20" t="str">
        <f ca="1">(120*B77+120*B79)*H40/100</f>
        <v>0</v>
      </c>
      <c r="Q40" s="20" t="str">
        <f ca="1">120*B77+120*B79-(120*B77+120*B79)*H40/100</f>
        <v>0</v>
      </c>
      <c r="R40" s="20"/>
      <c r="S40" s="20"/>
      <c r="T40" s="20"/>
      <c r="U40" s="20"/>
      <c r="V40" s="20"/>
    </row>
    <row r="41" outlineLevel="2" customFormat="true" s="4">
      <c r="A41" s="16" t="s">
        <v>175</v>
      </c>
      <c r="B41" s="17" t="s">
        <v>177</v>
      </c>
      <c r="C41" s="18" t="s">
        <v>178</v>
      </c>
      <c r="D41" s="19">
        <v>45426.461805555555</v>
      </c>
      <c r="E41" s="19">
        <v>45430.464583333334</v>
      </c>
      <c r="F41" s="20" t="s">
        <v>89</v>
      </c>
      <c r="G41" s="20" t="s">
        <v>179</v>
      </c>
      <c r="H41" s="20">
        <v>0</v>
      </c>
      <c r="I41" s="20">
        <v>500</v>
      </c>
      <c r="J41" s="20" t="s">
        <v>180</v>
      </c>
      <c r="K41" s="20" t="s">
        <v>181</v>
      </c>
      <c r="L41" s="20" t="s">
        <v>25</v>
      </c>
      <c r="M41" s="20" t="s">
        <v>181</v>
      </c>
      <c r="N41" s="20" t="str">
        <f ca="1">32*B78+32*B77+32*B79</f>
        <v>0</v>
      </c>
      <c r="O41" s="20">
        <v>0</v>
      </c>
      <c r="P41" s="20" t="str">
        <f ca="1">(32*B78+32*B77+32*B79)*H41/100</f>
        <v>0</v>
      </c>
      <c r="Q41" s="20" t="str">
        <f ca="1">32*B78+32*B77+32*B79-(32*B78+32*B77+32*B79)*H41/100</f>
        <v>0</v>
      </c>
      <c r="R41" s="20"/>
      <c r="S41" s="20"/>
      <c r="T41" s="20"/>
      <c r="U41" s="20"/>
      <c r="V41" s="20"/>
    </row>
    <row r="42" outlineLevel="2" customFormat="true" s="4">
      <c r="A42" s="16" t="s">
        <v>179</v>
      </c>
      <c r="B42" s="17" t="s">
        <v>182</v>
      </c>
      <c r="C42" s="18" t="s">
        <v>183</v>
      </c>
      <c r="D42" s="19">
        <v>45423.459722222222</v>
      </c>
      <c r="E42" s="19">
        <v>45426.461805555555</v>
      </c>
      <c r="F42" s="20" t="s">
        <v>184</v>
      </c>
      <c r="G42" s="20" t="s">
        <v>141</v>
      </c>
      <c r="H42" s="20">
        <v>0</v>
      </c>
      <c r="I42" s="20">
        <v>500</v>
      </c>
      <c r="J42" s="20" t="s">
        <v>170</v>
      </c>
      <c r="K42" s="20" t="s">
        <v>68</v>
      </c>
      <c r="L42" s="20" t="s">
        <v>25</v>
      </c>
      <c r="M42" s="20" t="s">
        <v>68</v>
      </c>
      <c r="N42" s="20" t="str">
        <f ca="1">72*B77+72*B79</f>
        <v>0</v>
      </c>
      <c r="O42" s="20">
        <v>0</v>
      </c>
      <c r="P42" s="20" t="str">
        <f ca="1">(72*B77+72*B79)*H42/100</f>
        <v>0</v>
      </c>
      <c r="Q42" s="20" t="str">
        <f ca="1">72*B77+72*B79-(72*B77+72*B79)*H42/100</f>
        <v>0</v>
      </c>
      <c r="R42" s="20"/>
      <c r="S42" s="20"/>
      <c r="T42" s="20"/>
      <c r="U42" s="20"/>
      <c r="V42" s="20"/>
    </row>
    <row r="43" outlineLevel="1" customFormat="true" s="4">
      <c r="A43" s="9" t="s">
        <v>185</v>
      </c>
      <c r="B43" s="14" t="s">
        <v>186</v>
      </c>
      <c r="C43" s="15" t="s">
        <v>187</v>
      </c>
      <c r="D43" s="12">
        <v>45435.468055555553</v>
      </c>
      <c r="E43" s="12">
        <v>45448.477083333331</v>
      </c>
      <c r="F43" s="13" t="s">
        <v>188</v>
      </c>
      <c r="G43" s="13" t="s">
        <v>166</v>
      </c>
      <c r="H43" s="13">
        <v>0</v>
      </c>
      <c r="I43" s="13">
        <v>500</v>
      </c>
      <c r="J43" s="13" t="s">
        <v>50</v>
      </c>
      <c r="K43" s="13" t="s">
        <v>189</v>
      </c>
      <c r="L43" s="13" t="s">
        <v>25</v>
      </c>
      <c r="M43" s="13" t="s">
        <v>189</v>
      </c>
      <c r="N43" s="13" t="str">
        <f ca="1">312*B75+312*B76+SUM(N44,N45,N46,N47)</f>
        <v>0</v>
      </c>
      <c r="O43" s="13">
        <v>0</v>
      </c>
      <c r="P43" s="13" t="str">
        <f ca="1">(312*B75+312*B76)*H43/100+SUM(P44,P45,P46,P47)</f>
        <v>0</v>
      </c>
      <c r="Q43" s="13" t="str">
        <f ca="1">312*B75+312*B76-(312*B75+312*B76)*H43/100+SUM(Q44,Q45,Q46,Q47)</f>
        <v>0</v>
      </c>
      <c r="R43" s="13"/>
      <c r="S43" s="13"/>
      <c r="T43" s="13"/>
      <c r="U43" s="13"/>
      <c r="V43" s="13"/>
    </row>
    <row r="44" outlineLevel="2" customFormat="true" s="4">
      <c r="A44" s="16" t="s">
        <v>190</v>
      </c>
      <c r="B44" s="17" t="s">
        <v>191</v>
      </c>
      <c r="C44" s="18" t="s">
        <v>192</v>
      </c>
      <c r="D44" s="19">
        <v>45438.470138888886</v>
      </c>
      <c r="E44" s="19">
        <v>45441.472222222219</v>
      </c>
      <c r="F44" s="20" t="s">
        <v>184</v>
      </c>
      <c r="G44" s="20" t="s">
        <v>193</v>
      </c>
      <c r="H44" s="20">
        <v>0</v>
      </c>
      <c r="I44" s="20">
        <v>500</v>
      </c>
      <c r="J44" s="20" t="s">
        <v>194</v>
      </c>
      <c r="K44" s="20" t="s">
        <v>195</v>
      </c>
      <c r="L44" s="20" t="s">
        <v>25</v>
      </c>
      <c r="M44" s="20" t="s">
        <v>195</v>
      </c>
      <c r="N44" s="20" t="str">
        <f ca="1">24*B78+24*B75+24*B76</f>
        <v>0</v>
      </c>
      <c r="O44" s="20">
        <v>0</v>
      </c>
      <c r="P44" s="20" t="str">
        <f ca="1">(24*B78+24*B75+24*B76)*H44/100</f>
        <v>0</v>
      </c>
      <c r="Q44" s="20" t="str">
        <f ca="1">24*B78+24*B75+24*B76-(24*B78+24*B75+24*B76)*H44/100</f>
        <v>0</v>
      </c>
      <c r="R44" s="20"/>
      <c r="S44" s="20"/>
      <c r="T44" s="20"/>
      <c r="U44" s="20"/>
      <c r="V44" s="20"/>
    </row>
    <row r="45" outlineLevel="2" customFormat="true" s="4">
      <c r="A45" s="16" t="s">
        <v>196</v>
      </c>
      <c r="B45" s="17" t="s">
        <v>197</v>
      </c>
      <c r="C45" s="18" t="s">
        <v>198</v>
      </c>
      <c r="D45" s="19">
        <v>45441.472222222219</v>
      </c>
      <c r="E45" s="19">
        <v>45444.474305555559</v>
      </c>
      <c r="F45" s="20" t="s">
        <v>184</v>
      </c>
      <c r="G45" s="20" t="s">
        <v>190</v>
      </c>
      <c r="H45" s="20">
        <v>0</v>
      </c>
      <c r="I45" s="20">
        <v>500</v>
      </c>
      <c r="J45" s="20" t="s">
        <v>50</v>
      </c>
      <c r="K45" s="20" t="s">
        <v>68</v>
      </c>
      <c r="L45" s="20" t="s">
        <v>25</v>
      </c>
      <c r="M45" s="20" t="s">
        <v>68</v>
      </c>
      <c r="N45" s="20" t="str">
        <f ca="1">72*B75+72*B76</f>
        <v>0</v>
      </c>
      <c r="O45" s="20">
        <v>0</v>
      </c>
      <c r="P45" s="20" t="str">
        <f ca="1">(72*B75+72*B76)*H45/100</f>
        <v>0</v>
      </c>
      <c r="Q45" s="20" t="str">
        <f ca="1">72*B75+72*B76-(72*B75+72*B76)*H45/100</f>
        <v>0</v>
      </c>
      <c r="R45" s="20"/>
      <c r="S45" s="20"/>
      <c r="T45" s="20"/>
      <c r="U45" s="20"/>
      <c r="V45" s="20"/>
    </row>
    <row r="46" outlineLevel="2" customFormat="true" s="4">
      <c r="A46" s="16" t="s">
        <v>199</v>
      </c>
      <c r="B46" s="17" t="s">
        <v>200</v>
      </c>
      <c r="C46" s="18" t="s">
        <v>201</v>
      </c>
      <c r="D46" s="19">
        <v>45444.474305555559</v>
      </c>
      <c r="E46" s="19">
        <v>45448.477083333331</v>
      </c>
      <c r="F46" s="20" t="s">
        <v>89</v>
      </c>
      <c r="G46" s="20" t="s">
        <v>196</v>
      </c>
      <c r="H46" s="20">
        <v>0</v>
      </c>
      <c r="I46" s="20">
        <v>500</v>
      </c>
      <c r="J46" s="20" t="s">
        <v>50</v>
      </c>
      <c r="K46" s="20" t="s">
        <v>90</v>
      </c>
      <c r="L46" s="20" t="s">
        <v>25</v>
      </c>
      <c r="M46" s="20" t="s">
        <v>90</v>
      </c>
      <c r="N46" s="20" t="str">
        <f ca="1">96*B75+96*B76</f>
        <v>0</v>
      </c>
      <c r="O46" s="20">
        <v>0</v>
      </c>
      <c r="P46" s="20" t="str">
        <f ca="1">(96*B75+96*B76)*H46/100</f>
        <v>0</v>
      </c>
      <c r="Q46" s="20" t="str">
        <f ca="1">96*B75+96*B76-(96*B75+96*B76)*H46/100</f>
        <v>0</v>
      </c>
      <c r="R46" s="20"/>
      <c r="S46" s="20"/>
      <c r="T46" s="20"/>
      <c r="U46" s="20"/>
      <c r="V46" s="20"/>
    </row>
    <row r="47" outlineLevel="2" customFormat="true" s="4">
      <c r="A47" s="16" t="s">
        <v>193</v>
      </c>
      <c r="B47" s="17" t="s">
        <v>202</v>
      </c>
      <c r="C47" s="18" t="s">
        <v>203</v>
      </c>
      <c r="D47" s="19">
        <v>45435.468055555553</v>
      </c>
      <c r="E47" s="19">
        <v>45438.470138888886</v>
      </c>
      <c r="F47" s="20" t="s">
        <v>184</v>
      </c>
      <c r="G47" s="20" t="s">
        <v>166</v>
      </c>
      <c r="H47" s="20">
        <v>0</v>
      </c>
      <c r="I47" s="20">
        <v>500</v>
      </c>
      <c r="J47" s="20" t="s">
        <v>50</v>
      </c>
      <c r="K47" s="20" t="s">
        <v>68</v>
      </c>
      <c r="L47" s="20" t="s">
        <v>25</v>
      </c>
      <c r="M47" s="20" t="s">
        <v>68</v>
      </c>
      <c r="N47" s="20" t="str">
        <f ca="1">72*B75+72*B76</f>
        <v>0</v>
      </c>
      <c r="O47" s="20">
        <v>0</v>
      </c>
      <c r="P47" s="20" t="str">
        <f ca="1">(72*B75+72*B76)*H47/100</f>
        <v>0</v>
      </c>
      <c r="Q47" s="20" t="str">
        <f ca="1">72*B75+72*B76-(72*B75+72*B76)*H47/100</f>
        <v>0</v>
      </c>
      <c r="R47" s="20"/>
      <c r="S47" s="20"/>
      <c r="T47" s="20"/>
      <c r="U47" s="20"/>
      <c r="V47" s="20"/>
    </row>
    <row r="48" outlineLevel="1" customFormat="true" s="4">
      <c r="A48" s="9" t="s">
        <v>204</v>
      </c>
      <c r="B48" s="14" t="s">
        <v>205</v>
      </c>
      <c r="C48" s="15" t="s">
        <v>206</v>
      </c>
      <c r="D48" s="12">
        <v>45448.477083333331</v>
      </c>
      <c r="E48" s="12">
        <v>45463.487500000003</v>
      </c>
      <c r="F48" s="13" t="s">
        <v>207</v>
      </c>
      <c r="G48" s="13" t="s">
        <v>185</v>
      </c>
      <c r="H48" s="13">
        <v>0</v>
      </c>
      <c r="I48" s="13">
        <v>500</v>
      </c>
      <c r="J48" s="13" t="s">
        <v>208</v>
      </c>
      <c r="K48" s="13" t="s">
        <v>209</v>
      </c>
      <c r="L48" s="13" t="s">
        <v>25</v>
      </c>
      <c r="M48" s="13" t="s">
        <v>209</v>
      </c>
      <c r="N48" s="13" t="str">
        <f ca="1">360*B78+360*B77+SUM(N49,N50,N51)</f>
        <v>0</v>
      </c>
      <c r="O48" s="13">
        <v>0</v>
      </c>
      <c r="P48" s="13" t="str">
        <f ca="1">(360*B78+360*B77)*H48/100+SUM(P49,P50,P51)</f>
        <v>0</v>
      </c>
      <c r="Q48" s="13" t="str">
        <f ca="1">360*B78+360*B77-(360*B78+360*B77)*H48/100+SUM(Q49,Q50,Q51)</f>
        <v>0</v>
      </c>
      <c r="R48" s="13"/>
      <c r="S48" s="13"/>
      <c r="T48" s="13"/>
      <c r="U48" s="13"/>
      <c r="V48" s="13"/>
    </row>
    <row r="49" outlineLevel="2" customFormat="true" s="4">
      <c r="A49" s="16" t="s">
        <v>210</v>
      </c>
      <c r="B49" s="17" t="s">
        <v>211</v>
      </c>
      <c r="C49" s="18" t="s">
        <v>212</v>
      </c>
      <c r="D49" s="19">
        <v>45458.484027777777</v>
      </c>
      <c r="E49" s="19">
        <v>45463.487500000003</v>
      </c>
      <c r="F49" s="20" t="s">
        <v>39</v>
      </c>
      <c r="G49" s="20" t="s">
        <v>213</v>
      </c>
      <c r="H49" s="20">
        <v>0</v>
      </c>
      <c r="I49" s="20">
        <v>500</v>
      </c>
      <c r="J49" s="20" t="s">
        <v>208</v>
      </c>
      <c r="K49" s="20" t="s">
        <v>176</v>
      </c>
      <c r="L49" s="20" t="s">
        <v>25</v>
      </c>
      <c r="M49" s="20" t="s">
        <v>176</v>
      </c>
      <c r="N49" s="20" t="str">
        <f ca="1">120*B78+120*B77</f>
        <v>0</v>
      </c>
      <c r="O49" s="20">
        <v>0</v>
      </c>
      <c r="P49" s="20" t="str">
        <f ca="1">(120*B78+120*B77)*H49/100</f>
        <v>0</v>
      </c>
      <c r="Q49" s="20" t="str">
        <f ca="1">120*B78+120*B77-(120*B78+120*B77)*H49/100</f>
        <v>0</v>
      </c>
      <c r="R49" s="20"/>
      <c r="S49" s="20"/>
      <c r="T49" s="20"/>
      <c r="U49" s="20"/>
      <c r="V49" s="20"/>
    </row>
    <row r="50" outlineLevel="2" customFormat="true" s="4">
      <c r="A50" s="16" t="s">
        <v>213</v>
      </c>
      <c r="B50" s="17" t="s">
        <v>214</v>
      </c>
      <c r="C50" s="18" t="s">
        <v>215</v>
      </c>
      <c r="D50" s="19">
        <v>45452.479861111111</v>
      </c>
      <c r="E50" s="19">
        <v>45458.484027777777</v>
      </c>
      <c r="F50" s="20" t="s">
        <v>66</v>
      </c>
      <c r="G50" s="20" t="s">
        <v>216</v>
      </c>
      <c r="H50" s="20">
        <v>0</v>
      </c>
      <c r="I50" s="20">
        <v>500</v>
      </c>
      <c r="J50" s="20" t="s">
        <v>217</v>
      </c>
      <c r="K50" s="20" t="s">
        <v>68</v>
      </c>
      <c r="L50" s="20" t="s">
        <v>25</v>
      </c>
      <c r="M50" s="20" t="s">
        <v>68</v>
      </c>
      <c r="N50" s="20" t="str">
        <f ca="1">72*B78+72*B77</f>
        <v>0</v>
      </c>
      <c r="O50" s="20">
        <v>0</v>
      </c>
      <c r="P50" s="20" t="str">
        <f ca="1">(72*B78+72*B77)*H50/100</f>
        <v>0</v>
      </c>
      <c r="Q50" s="20" t="str">
        <f ca="1">72*B78+72*B77-(72*B78+72*B77)*H50/100</f>
        <v>0</v>
      </c>
      <c r="R50" s="20"/>
      <c r="S50" s="20"/>
      <c r="T50" s="20"/>
      <c r="U50" s="20"/>
      <c r="V50" s="20"/>
    </row>
    <row r="51" outlineLevel="2" customFormat="true" s="4">
      <c r="A51" s="16" t="s">
        <v>216</v>
      </c>
      <c r="B51" s="17" t="s">
        <v>218</v>
      </c>
      <c r="C51" s="18" t="s">
        <v>219</v>
      </c>
      <c r="D51" s="19">
        <v>45448.477083333331</v>
      </c>
      <c r="E51" s="19">
        <v>45452.479861111111</v>
      </c>
      <c r="F51" s="20" t="s">
        <v>89</v>
      </c>
      <c r="G51" s="20" t="s">
        <v>185</v>
      </c>
      <c r="H51" s="20">
        <v>0</v>
      </c>
      <c r="I51" s="20">
        <v>500</v>
      </c>
      <c r="J51" s="20" t="s">
        <v>208</v>
      </c>
      <c r="K51" s="20" t="s">
        <v>90</v>
      </c>
      <c r="L51" s="20" t="s">
        <v>25</v>
      </c>
      <c r="M51" s="20" t="s">
        <v>90</v>
      </c>
      <c r="N51" s="20" t="str">
        <f ca="1">96*B78+96*B77</f>
        <v>0</v>
      </c>
      <c r="O51" s="20">
        <v>0</v>
      </c>
      <c r="P51" s="20" t="str">
        <f ca="1">(96*B78+96*B77)*H51/100</f>
        <v>0</v>
      </c>
      <c r="Q51" s="20" t="str">
        <f ca="1">96*B78+96*B77-(96*B78+96*B77)*H51/100</f>
        <v>0</v>
      </c>
      <c r="R51" s="20"/>
      <c r="S51" s="20"/>
      <c r="T51" s="20"/>
      <c r="U51" s="20"/>
      <c r="V51" s="20"/>
    </row>
    <row r="52" outlineLevel="1" customFormat="true" s="4">
      <c r="A52" s="9" t="s">
        <v>220</v>
      </c>
      <c r="B52" s="14" t="s">
        <v>221</v>
      </c>
      <c r="C52" s="15" t="s">
        <v>222</v>
      </c>
      <c r="D52" s="12">
        <v>45463.487500000003</v>
      </c>
      <c r="E52" s="12">
        <v>45495.509722222225</v>
      </c>
      <c r="F52" s="13" t="s">
        <v>49</v>
      </c>
      <c r="G52" s="13" t="s">
        <v>204</v>
      </c>
      <c r="H52" s="13">
        <v>0</v>
      </c>
      <c r="I52" s="13">
        <v>500</v>
      </c>
      <c r="J52" s="13" t="s">
        <v>50</v>
      </c>
      <c r="K52" s="13" t="s">
        <v>223</v>
      </c>
      <c r="L52" s="13" t="s">
        <v>25</v>
      </c>
      <c r="M52" s="13" t="s">
        <v>223</v>
      </c>
      <c r="N52" s="13" t="str">
        <f ca="1">768*B75+768*B76+SUM(N53,N54,N55,N56)</f>
        <v>0</v>
      </c>
      <c r="O52" s="13">
        <v>0</v>
      </c>
      <c r="P52" s="13" t="str">
        <f ca="1">(768*B75+768*B76)*H52/100+SUM(P53,P54,P55,P56)</f>
        <v>0</v>
      </c>
      <c r="Q52" s="13" t="str">
        <f ca="1">768*B75+768*B76-(768*B75+768*B76)*H52/100+SUM(Q53,Q54,Q55,Q56)</f>
        <v>0</v>
      </c>
      <c r="R52" s="13"/>
      <c r="S52" s="13"/>
      <c r="T52" s="13"/>
      <c r="U52" s="13"/>
      <c r="V52" s="13"/>
    </row>
    <row r="53" outlineLevel="2" customFormat="true" s="4">
      <c r="A53" s="16" t="s">
        <v>224</v>
      </c>
      <c r="B53" s="17" t="s">
        <v>225</v>
      </c>
      <c r="C53" s="18" t="s">
        <v>226</v>
      </c>
      <c r="D53" s="19">
        <v>45477.49722222222</v>
      </c>
      <c r="E53" s="19">
        <v>45485.50277777778</v>
      </c>
      <c r="F53" s="20" t="s">
        <v>61</v>
      </c>
      <c r="G53" s="20" t="s">
        <v>227</v>
      </c>
      <c r="H53" s="20">
        <v>0</v>
      </c>
      <c r="I53" s="20">
        <v>500</v>
      </c>
      <c r="J53" s="20" t="s">
        <v>50</v>
      </c>
      <c r="K53" s="20" t="s">
        <v>63</v>
      </c>
      <c r="L53" s="20" t="s">
        <v>25</v>
      </c>
      <c r="M53" s="20" t="s">
        <v>63</v>
      </c>
      <c r="N53" s="20" t="str">
        <f ca="1">192*B75+192*B76</f>
        <v>0</v>
      </c>
      <c r="O53" s="20">
        <v>0</v>
      </c>
      <c r="P53" s="20" t="str">
        <f ca="1">(192*B75+192*B76)*H53/100</f>
        <v>0</v>
      </c>
      <c r="Q53" s="20" t="str">
        <f ca="1">192*B75+192*B76-(192*B75+192*B76)*H53/100</f>
        <v>0</v>
      </c>
      <c r="R53" s="20"/>
      <c r="S53" s="20"/>
      <c r="T53" s="20"/>
      <c r="U53" s="20"/>
      <c r="V53" s="20"/>
    </row>
    <row r="54" outlineLevel="2" customFormat="true" s="4">
      <c r="A54" s="16" t="s">
        <v>228</v>
      </c>
      <c r="B54" s="17" t="s">
        <v>229</v>
      </c>
      <c r="C54" s="18" t="s">
        <v>230</v>
      </c>
      <c r="D54" s="19">
        <v>45485.50277777778</v>
      </c>
      <c r="E54" s="19">
        <v>45495.509722222225</v>
      </c>
      <c r="F54" s="20" t="s">
        <v>55</v>
      </c>
      <c r="G54" s="20" t="s">
        <v>224</v>
      </c>
      <c r="H54" s="20">
        <v>0</v>
      </c>
      <c r="I54" s="20">
        <v>500</v>
      </c>
      <c r="J54" s="20" t="s">
        <v>194</v>
      </c>
      <c r="K54" s="20" t="s">
        <v>176</v>
      </c>
      <c r="L54" s="20" t="s">
        <v>25</v>
      </c>
      <c r="M54" s="20" t="s">
        <v>176</v>
      </c>
      <c r="N54" s="20" t="str">
        <f ca="1">80*B78+80*B75+80*B76</f>
        <v>0</v>
      </c>
      <c r="O54" s="20">
        <v>0</v>
      </c>
      <c r="P54" s="20" t="str">
        <f ca="1">(80*B78+80*B75+80*B76)*H54/100</f>
        <v>0</v>
      </c>
      <c r="Q54" s="20" t="str">
        <f ca="1">80*B78+80*B75+80*B76-(80*B78+80*B75+80*B76)*H54/100</f>
        <v>0</v>
      </c>
      <c r="R54" s="20"/>
      <c r="S54" s="20"/>
      <c r="T54" s="20"/>
      <c r="U54" s="20"/>
      <c r="V54" s="20"/>
    </row>
    <row r="55" outlineLevel="2" customFormat="true" s="4">
      <c r="A55" s="16" t="s">
        <v>227</v>
      </c>
      <c r="B55" s="17" t="s">
        <v>231</v>
      </c>
      <c r="C55" s="18" t="s">
        <v>232</v>
      </c>
      <c r="D55" s="19">
        <v>45473.494444444441</v>
      </c>
      <c r="E55" s="19">
        <v>45477.49722222222</v>
      </c>
      <c r="F55" s="20" t="s">
        <v>89</v>
      </c>
      <c r="G55" s="20" t="s">
        <v>233</v>
      </c>
      <c r="H55" s="20">
        <v>0</v>
      </c>
      <c r="I55" s="20">
        <v>500</v>
      </c>
      <c r="J55" s="20" t="s">
        <v>50</v>
      </c>
      <c r="K55" s="20" t="s">
        <v>90</v>
      </c>
      <c r="L55" s="20" t="s">
        <v>25</v>
      </c>
      <c r="M55" s="20" t="s">
        <v>90</v>
      </c>
      <c r="N55" s="20" t="str">
        <f ca="1">96*B75+96*B76</f>
        <v>0</v>
      </c>
      <c r="O55" s="20">
        <v>0</v>
      </c>
      <c r="P55" s="20" t="str">
        <f ca="1">(96*B75+96*B76)*H55/100</f>
        <v>0</v>
      </c>
      <c r="Q55" s="20" t="str">
        <f ca="1">96*B75+96*B76-(96*B75+96*B76)*H55/100</f>
        <v>0</v>
      </c>
      <c r="R55" s="20"/>
      <c r="S55" s="20"/>
      <c r="T55" s="20"/>
      <c r="U55" s="20"/>
      <c r="V55" s="20"/>
    </row>
    <row r="56" outlineLevel="2" customFormat="true" s="4">
      <c r="A56" s="16" t="s">
        <v>233</v>
      </c>
      <c r="B56" s="17" t="s">
        <v>234</v>
      </c>
      <c r="C56" s="18" t="s">
        <v>235</v>
      </c>
      <c r="D56" s="19">
        <v>45463.487500000003</v>
      </c>
      <c r="E56" s="19">
        <v>45473.494444444441</v>
      </c>
      <c r="F56" s="20" t="s">
        <v>55</v>
      </c>
      <c r="G56" s="20" t="s">
        <v>204</v>
      </c>
      <c r="H56" s="20">
        <v>0</v>
      </c>
      <c r="I56" s="20">
        <v>500</v>
      </c>
      <c r="J56" s="20" t="s">
        <v>50</v>
      </c>
      <c r="K56" s="20" t="s">
        <v>57</v>
      </c>
      <c r="L56" s="20" t="s">
        <v>25</v>
      </c>
      <c r="M56" s="20" t="s">
        <v>57</v>
      </c>
      <c r="N56" s="20" t="str">
        <f ca="1">240*B75+240*B76</f>
        <v>0</v>
      </c>
      <c r="O56" s="20">
        <v>0</v>
      </c>
      <c r="P56" s="20" t="str">
        <f ca="1">(240*B75+240*B76)*H56/100</f>
        <v>0</v>
      </c>
      <c r="Q56" s="20" t="str">
        <f ca="1">240*B75+240*B76-(240*B75+240*B76)*H56/100</f>
        <v>0</v>
      </c>
      <c r="R56" s="20"/>
      <c r="S56" s="20"/>
      <c r="T56" s="20"/>
      <c r="U56" s="20"/>
      <c r="V56" s="20"/>
    </row>
    <row r="57" outlineLevel="1" customFormat="true" s="4">
      <c r="A57" s="9" t="s">
        <v>236</v>
      </c>
      <c r="B57" s="14" t="s">
        <v>237</v>
      </c>
      <c r="C57" s="15" t="s">
        <v>238</v>
      </c>
      <c r="D57" s="12">
        <v>45495.509722222225</v>
      </c>
      <c r="E57" s="12">
        <v>45516.524305555555</v>
      </c>
      <c r="F57" s="13" t="s">
        <v>239</v>
      </c>
      <c r="G57" s="13" t="s">
        <v>220</v>
      </c>
      <c r="H57" s="13">
        <v>0</v>
      </c>
      <c r="I57" s="13">
        <v>500</v>
      </c>
      <c r="J57" s="13" t="s">
        <v>30</v>
      </c>
      <c r="K57" s="13" t="s">
        <v>240</v>
      </c>
      <c r="L57" s="13" t="s">
        <v>25</v>
      </c>
      <c r="M57" s="13" t="s">
        <v>240</v>
      </c>
      <c r="N57" s="13" t="str">
        <f ca="1">504*B80+SUM(N58,N59,N60)</f>
        <v>0</v>
      </c>
      <c r="O57" s="13">
        <v>0</v>
      </c>
      <c r="P57" s="13" t="str">
        <f ca="1">(504*B80)*H57/100+SUM(P58,P59,P60)</f>
        <v>0</v>
      </c>
      <c r="Q57" s="13" t="str">
        <f ca="1">504*B80-(504*B80)*H57/100+SUM(Q58,Q59,Q60)</f>
        <v>0</v>
      </c>
      <c r="R57" s="13"/>
      <c r="S57" s="13"/>
      <c r="T57" s="13"/>
      <c r="U57" s="13"/>
      <c r="V57" s="13"/>
    </row>
    <row r="58" outlineLevel="2" customFormat="true" s="4">
      <c r="A58" s="16" t="s">
        <v>241</v>
      </c>
      <c r="B58" s="17" t="s">
        <v>242</v>
      </c>
      <c r="C58" s="18" t="s">
        <v>243</v>
      </c>
      <c r="D58" s="19">
        <v>45495.509722222225</v>
      </c>
      <c r="E58" s="19">
        <v>45502.51458333333</v>
      </c>
      <c r="F58" s="20" t="s">
        <v>125</v>
      </c>
      <c r="G58" s="20" t="s">
        <v>220</v>
      </c>
      <c r="H58" s="20">
        <v>0</v>
      </c>
      <c r="I58" s="20">
        <v>500</v>
      </c>
      <c r="J58" s="20" t="s">
        <v>30</v>
      </c>
      <c r="K58" s="20" t="s">
        <v>157</v>
      </c>
      <c r="L58" s="20" t="s">
        <v>25</v>
      </c>
      <c r="M58" s="20" t="s">
        <v>157</v>
      </c>
      <c r="N58" s="20" t="str">
        <f ca="1">168*B80</f>
        <v>0</v>
      </c>
      <c r="O58" s="20">
        <v>0</v>
      </c>
      <c r="P58" s="20" t="str">
        <f ca="1">(168*B80)*H58/100</f>
        <v>0</v>
      </c>
      <c r="Q58" s="20" t="str">
        <f ca="1">168*B80-(168*B80)*H58/100</f>
        <v>0</v>
      </c>
      <c r="R58" s="20"/>
      <c r="S58" s="20"/>
      <c r="T58" s="20"/>
      <c r="U58" s="20"/>
      <c r="V58" s="20"/>
    </row>
    <row r="59" outlineLevel="2" customFormat="true" s="4">
      <c r="A59" s="16" t="s">
        <v>244</v>
      </c>
      <c r="B59" s="17" t="s">
        <v>245</v>
      </c>
      <c r="C59" s="18" t="s">
        <v>246</v>
      </c>
      <c r="D59" s="19">
        <v>45502.51458333333</v>
      </c>
      <c r="E59" s="19">
        <v>45509.519444444442</v>
      </c>
      <c r="F59" s="20" t="s">
        <v>125</v>
      </c>
      <c r="G59" s="20" t="s">
        <v>241</v>
      </c>
      <c r="H59" s="20">
        <v>0</v>
      </c>
      <c r="I59" s="20">
        <v>500</v>
      </c>
      <c r="J59" s="20" t="s">
        <v>30</v>
      </c>
      <c r="K59" s="20" t="s">
        <v>157</v>
      </c>
      <c r="L59" s="20" t="s">
        <v>25</v>
      </c>
      <c r="M59" s="20" t="s">
        <v>157</v>
      </c>
      <c r="N59" s="20" t="str">
        <f ca="1">168*B80</f>
        <v>0</v>
      </c>
      <c r="O59" s="20">
        <v>0</v>
      </c>
      <c r="P59" s="20" t="str">
        <f ca="1">(168*B80)*H59/100</f>
        <v>0</v>
      </c>
      <c r="Q59" s="20" t="str">
        <f ca="1">168*B80-(168*B80)*H59/100</f>
        <v>0</v>
      </c>
      <c r="R59" s="20"/>
      <c r="S59" s="20"/>
      <c r="T59" s="20"/>
      <c r="U59" s="20"/>
      <c r="V59" s="20"/>
    </row>
    <row r="60" outlineLevel="2" customFormat="true" s="4">
      <c r="A60" s="16" t="s">
        <v>247</v>
      </c>
      <c r="B60" s="17" t="s">
        <v>248</v>
      </c>
      <c r="C60" s="18" t="s">
        <v>249</v>
      </c>
      <c r="D60" s="19">
        <v>45509.519444444442</v>
      </c>
      <c r="E60" s="19">
        <v>45516.524305555555</v>
      </c>
      <c r="F60" s="20" t="s">
        <v>125</v>
      </c>
      <c r="G60" s="20" t="s">
        <v>244</v>
      </c>
      <c r="H60" s="20">
        <v>0</v>
      </c>
      <c r="I60" s="20">
        <v>500</v>
      </c>
      <c r="J60" s="20" t="s">
        <v>30</v>
      </c>
      <c r="K60" s="20" t="s">
        <v>157</v>
      </c>
      <c r="L60" s="20" t="s">
        <v>25</v>
      </c>
      <c r="M60" s="20" t="s">
        <v>157</v>
      </c>
      <c r="N60" s="20" t="str">
        <f ca="1">168*B80</f>
        <v>0</v>
      </c>
      <c r="O60" s="20">
        <v>0</v>
      </c>
      <c r="P60" s="20" t="str">
        <f ca="1">(168*B80)*H60/100</f>
        <v>0</v>
      </c>
      <c r="Q60" s="20" t="str">
        <f ca="1">168*B80-(168*B80)*H60/100</f>
        <v>0</v>
      </c>
      <c r="R60" s="20"/>
      <c r="S60" s="20"/>
      <c r="T60" s="20"/>
      <c r="U60" s="20"/>
      <c r="V60" s="20"/>
    </row>
    <row r="61" outlineLevel="1" customFormat="true" s="4">
      <c r="A61" s="9" t="s">
        <v>250</v>
      </c>
      <c r="B61" s="14" t="s">
        <v>251</v>
      </c>
      <c r="C61" s="15" t="s">
        <v>252</v>
      </c>
      <c r="D61" s="12">
        <v>45516.524305555555</v>
      </c>
      <c r="E61" s="12">
        <v>45532.535416666666</v>
      </c>
      <c r="F61" s="13" t="s">
        <v>253</v>
      </c>
      <c r="G61" s="13" t="s">
        <v>236</v>
      </c>
      <c r="H61" s="13">
        <v>0</v>
      </c>
      <c r="I61" s="13">
        <v>500</v>
      </c>
      <c r="J61" s="13" t="s">
        <v>30</v>
      </c>
      <c r="K61" s="13" t="s">
        <v>254</v>
      </c>
      <c r="L61" s="13" t="s">
        <v>25</v>
      </c>
      <c r="M61" s="13" t="s">
        <v>254</v>
      </c>
      <c r="N61" s="13" t="str">
        <f ca="1">384*B80+SUM(N62,N63)</f>
        <v>0</v>
      </c>
      <c r="O61" s="13">
        <v>0</v>
      </c>
      <c r="P61" s="13" t="str">
        <f ca="1">(384*B80)*H61/100+SUM(P62,P63)</f>
        <v>0</v>
      </c>
      <c r="Q61" s="13" t="str">
        <f ca="1">384*B80-(384*B80)*H61/100+SUM(Q62,Q63)</f>
        <v>0</v>
      </c>
      <c r="R61" s="13"/>
      <c r="S61" s="13"/>
      <c r="T61" s="13"/>
      <c r="U61" s="13"/>
      <c r="V61" s="13"/>
    </row>
    <row r="62" outlineLevel="2" customFormat="true" s="4">
      <c r="A62" s="16" t="s">
        <v>255</v>
      </c>
      <c r="B62" s="17" t="s">
        <v>256</v>
      </c>
      <c r="C62" s="18" t="s">
        <v>257</v>
      </c>
      <c r="D62" s="19">
        <v>45516.524305555555</v>
      </c>
      <c r="E62" s="19">
        <v>45524.529861111114</v>
      </c>
      <c r="F62" s="20" t="s">
        <v>61</v>
      </c>
      <c r="G62" s="20"/>
      <c r="H62" s="20">
        <v>0</v>
      </c>
      <c r="I62" s="20">
        <v>500</v>
      </c>
      <c r="J62" s="20" t="s">
        <v>30</v>
      </c>
      <c r="K62" s="20" t="s">
        <v>90</v>
      </c>
      <c r="L62" s="20" t="s">
        <v>25</v>
      </c>
      <c r="M62" s="20" t="s">
        <v>90</v>
      </c>
      <c r="N62" s="20" t="str">
        <f ca="1">192*B80</f>
        <v>0</v>
      </c>
      <c r="O62" s="20">
        <v>0</v>
      </c>
      <c r="P62" s="20" t="str">
        <f ca="1">(192*B80)*H62/100</f>
        <v>0</v>
      </c>
      <c r="Q62" s="20" t="str">
        <f ca="1">192*B80-(192*B80)*H62/100</f>
        <v>0</v>
      </c>
      <c r="R62" s="20"/>
      <c r="S62" s="20"/>
      <c r="T62" s="20"/>
      <c r="U62" s="20"/>
      <c r="V62" s="20"/>
    </row>
    <row r="63" outlineLevel="2" customFormat="true" s="4">
      <c r="A63" s="16" t="s">
        <v>258</v>
      </c>
      <c r="B63" s="17" t="s">
        <v>259</v>
      </c>
      <c r="C63" s="18" t="s">
        <v>260</v>
      </c>
      <c r="D63" s="19">
        <v>45524.529861111114</v>
      </c>
      <c r="E63" s="19">
        <v>45532.535416666666</v>
      </c>
      <c r="F63" s="20" t="s">
        <v>61</v>
      </c>
      <c r="G63" s="20" t="s">
        <v>255</v>
      </c>
      <c r="H63" s="20">
        <v>0</v>
      </c>
      <c r="I63" s="20">
        <v>500</v>
      </c>
      <c r="J63" s="20" t="s">
        <v>30</v>
      </c>
      <c r="K63" s="20" t="s">
        <v>90</v>
      </c>
      <c r="L63" s="20" t="s">
        <v>25</v>
      </c>
      <c r="M63" s="20" t="s">
        <v>90</v>
      </c>
      <c r="N63" s="20" t="str">
        <f ca="1">192*B80</f>
        <v>0</v>
      </c>
      <c r="O63" s="20">
        <v>0</v>
      </c>
      <c r="P63" s="20" t="str">
        <f ca="1">(192*B80)*H63/100</f>
        <v>0</v>
      </c>
      <c r="Q63" s="20" t="str">
        <f ca="1">192*B80-(192*B80)*H63/100</f>
        <v>0</v>
      </c>
      <c r="R63" s="20"/>
      <c r="S63" s="20"/>
      <c r="T63" s="20"/>
      <c r="U63" s="20"/>
      <c r="V63" s="20"/>
    </row>
    <row r="64" outlineLevel="1" customFormat="true" s="4">
      <c r="A64" s="9" t="s">
        <v>261</v>
      </c>
      <c r="B64" s="14" t="s">
        <v>262</v>
      </c>
      <c r="C64" s="15" t="s">
        <v>263</v>
      </c>
      <c r="D64" s="12">
        <v>45532.535416666666</v>
      </c>
      <c r="E64" s="12">
        <v>45545.544444444444</v>
      </c>
      <c r="F64" s="13" t="s">
        <v>188</v>
      </c>
      <c r="G64" s="13" t="s">
        <v>250</v>
      </c>
      <c r="H64" s="13">
        <v>0</v>
      </c>
      <c r="I64" s="13">
        <v>500</v>
      </c>
      <c r="J64" s="13" t="s">
        <v>30</v>
      </c>
      <c r="K64" s="13" t="s">
        <v>264</v>
      </c>
      <c r="L64" s="13" t="s">
        <v>25</v>
      </c>
      <c r="M64" s="13" t="s">
        <v>264</v>
      </c>
      <c r="N64" s="13" t="str">
        <f ca="1">312*B80+SUM(N65)</f>
        <v>0</v>
      </c>
      <c r="O64" s="13">
        <v>0</v>
      </c>
      <c r="P64" s="13" t="str">
        <f ca="1">(312*B80)*H64/100+SUM(P65)</f>
        <v>0</v>
      </c>
      <c r="Q64" s="13" t="str">
        <f ca="1">312*B80-(312*B80)*H64/100+SUM(Q65)</f>
        <v>0</v>
      </c>
      <c r="R64" s="13"/>
      <c r="S64" s="13"/>
      <c r="T64" s="13"/>
      <c r="U64" s="13"/>
      <c r="V64" s="13"/>
    </row>
    <row r="65" outlineLevel="2" customFormat="true" s="4">
      <c r="A65" s="16" t="s">
        <v>265</v>
      </c>
      <c r="B65" s="17" t="s">
        <v>266</v>
      </c>
      <c r="C65" s="18" t="s">
        <v>263</v>
      </c>
      <c r="D65" s="19">
        <v>45532.535416666666</v>
      </c>
      <c r="E65" s="19">
        <v>45545.544444444444</v>
      </c>
      <c r="F65" s="20" t="s">
        <v>188</v>
      </c>
      <c r="G65" s="20" t="s">
        <v>250</v>
      </c>
      <c r="H65" s="20">
        <v>0</v>
      </c>
      <c r="I65" s="20">
        <v>500</v>
      </c>
      <c r="J65" s="20" t="s">
        <v>30</v>
      </c>
      <c r="K65" s="20" t="s">
        <v>267</v>
      </c>
      <c r="L65" s="20" t="s">
        <v>25</v>
      </c>
      <c r="M65" s="20" t="s">
        <v>267</v>
      </c>
      <c r="N65" s="20" t="str">
        <f ca="1">312*B80</f>
        <v>0</v>
      </c>
      <c r="O65" s="20">
        <v>0</v>
      </c>
      <c r="P65" s="20" t="str">
        <f ca="1">(312*B80)*H65/100</f>
        <v>0</v>
      </c>
      <c r="Q65" s="20" t="str">
        <f ca="1">312*B80-(312*B80)*H65/100</f>
        <v>0</v>
      </c>
      <c r="R65" s="20"/>
      <c r="S65" s="20"/>
      <c r="T65" s="20"/>
      <c r="U65" s="20"/>
      <c r="V65" s="20"/>
    </row>
    <row r="66" customFormat="true" s="4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customFormat="true" s="4">
      <c r="A67" s="22"/>
      <c r="B67" s="23"/>
    </row>
    <row r="68" customFormat="true" s="4">
      <c r="A68" s="24" t="s">
        <v>268</v>
      </c>
    </row>
    <row r="69" customFormat="true" s="4">
      <c r="A69" s="4"/>
    </row>
    <row r="70" customFormat="true" s="4">
      <c r="A70" s="25" t="s">
        <v>269</v>
      </c>
      <c r="B70" s="26"/>
    </row>
    <row r="71" customFormat="true" s="4">
      <c r="A71" s="27" t="s">
        <v>270</v>
      </c>
      <c r="B71" s="28"/>
    </row>
    <row r="72" customFormat="true" s="4">
      <c r="A72" s="29"/>
      <c r="B72" s="28"/>
    </row>
    <row r="73" customFormat="true" s="4">
      <c r="A73" s="27" t="s">
        <v>8</v>
      </c>
      <c r="B73" s="28"/>
    </row>
    <row r="74" customFormat="true" s="4">
      <c r="A74" s="30" t="s">
        <v>268</v>
      </c>
      <c r="B74" s="31">
        <v>0</v>
      </c>
    </row>
    <row r="75" customFormat="true" s="4">
      <c r="A75" s="30" t="s">
        <v>271</v>
      </c>
      <c r="B75" s="31">
        <v>0</v>
      </c>
    </row>
    <row r="76" customFormat="true" s="4">
      <c r="A76" s="30" t="s">
        <v>272</v>
      </c>
      <c r="B76" s="31">
        <v>0</v>
      </c>
    </row>
    <row r="77" customFormat="true" s="4">
      <c r="A77" s="30" t="s">
        <v>273</v>
      </c>
      <c r="B77" s="31">
        <v>0</v>
      </c>
    </row>
    <row r="78" customFormat="true" s="4">
      <c r="A78" s="30" t="s">
        <v>274</v>
      </c>
      <c r="B78" s="31">
        <v>0</v>
      </c>
    </row>
    <row r="79" customFormat="true" s="4">
      <c r="A79" s="30" t="s">
        <v>35</v>
      </c>
      <c r="B79" s="31">
        <v>0</v>
      </c>
    </row>
    <row r="80" customFormat="true" s="4">
      <c r="A80" s="30" t="s">
        <v>30</v>
      </c>
      <c r="B80" s="31">
        <v>0</v>
      </c>
    </row>
    <row r="81" customFormat="true" s="4">
      <c r="A81" s="32"/>
      <c r="B81" s="32"/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300" verticalDpi="300" copies="1"/>
  <headerFooter alignWithMargins="0" scaleWithDoc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530F5661A704448BAC8452C875B1E9" ma:contentTypeVersion="10" ma:contentTypeDescription="Crée un document." ma:contentTypeScope="" ma:versionID="5fcf332eea4d5f8ea9568e459ca5d62f">
  <xsd:schema xmlns:xsd="http://www.w3.org/2001/XMLSchema" xmlns:xs="http://www.w3.org/2001/XMLSchema" xmlns:p="http://schemas.microsoft.com/office/2006/metadata/properties" xmlns:ns2="d009b7f6-0423-4475-89ce-78b2e83ee31f" xmlns:ns3="12b03367-e648-4beb-b973-9bebdf0fafd6" targetNamespace="http://schemas.microsoft.com/office/2006/metadata/properties" ma:root="true" ma:fieldsID="d009b7ec827b2d8a8c0b5627fb909642" ns2:_="" ns3:_="">
    <xsd:import namespace="d009b7f6-0423-4475-89ce-78b2e83ee31f"/>
    <xsd:import namespace="12b03367-e648-4beb-b973-9bebdf0faf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09b7f6-0423-4475-89ce-78b2e83ee3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bdc69af5-2641-4753-b55b-240bc1c93bd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b03367-e648-4beb-b973-9bebdf0fafd6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388ed62-9dfb-47e7-abbd-d85ed922ad1d}" ma:internalName="TaxCatchAll" ma:showField="CatchAllData" ma:web="12b03367-e648-4beb-b973-9bebdf0faf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55CDD9-A073-4CFD-A24F-E31C8DF41597}"/>
</file>

<file path=customXml/itemProps2.xml><?xml version="1.0" encoding="utf-8"?>
<ds:datastoreItem xmlns:ds="http://schemas.openxmlformats.org/officeDocument/2006/customXml" ds:itemID="{62E81802-9116-4C2D-81E6-492091307059}"/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Bord2 Ligne</dc:creator>
</cp:coreProperties>
</file>