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entevaLE\Desktop\"/>
    </mc:Choice>
  </mc:AlternateContent>
  <xr:revisionPtr revIDLastSave="0" documentId="13_ncr:1_{FE35A0AD-A494-4E2E-81E6-82CC169AA0D1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стройка" sheetId="3" state="hidden" r:id="rId1"/>
    <sheet name="стройка (2)" sheetId="4" state="hidden" r:id="rId2"/>
    <sheet name="авансы" sheetId="5" r:id="rId3"/>
    <sheet name="авансы (2)" sheetId="6" state="hidden" r:id="rId4"/>
  </sheets>
  <definedNames>
    <definedName name="_xlnm._FilterDatabase" localSheetId="2" hidden="1">авансы!$A$5:$Q$32</definedName>
    <definedName name="_xlnm._FilterDatabase" localSheetId="3" hidden="1">'авансы (2)'!$A$4:$G$31</definedName>
    <definedName name="_xlnm._FilterDatabase" localSheetId="0" hidden="1">стройка!$A$4:$Q$35</definedName>
    <definedName name="_xlnm._FilterDatabase" localSheetId="1" hidden="1">'стройка (2)'!$A$4:$Q$32</definedName>
    <definedName name="_xlnm.Print_Titles" localSheetId="2">авансы!$5:$5</definedName>
    <definedName name="_xlnm.Print_Titles" localSheetId="3">'авансы (2)'!$4:$4</definedName>
    <definedName name="_xlnm.Print_Titles" localSheetId="0">стройка!$4:$4</definedName>
    <definedName name="_xlnm.Print_Titles" localSheetId="1">'стройка (2)'!$4:$4</definedName>
    <definedName name="_xlnm.Print_Area" localSheetId="2">авансы!$A$1:$AI$32</definedName>
    <definedName name="_xlnm.Print_Area" localSheetId="3">'авансы (2)'!$A$1:$K$31</definedName>
    <definedName name="_xlnm.Print_Area" localSheetId="0">стройка!$A$1:$AC$35</definedName>
    <definedName name="_xlnm.Print_Area" localSheetId="1">'стройка (2)'!$A$1:$R$32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5" l="1"/>
  <c r="N6" i="5"/>
  <c r="E30" i="6"/>
  <c r="D30" i="6"/>
  <c r="E25" i="6"/>
  <c r="D25" i="6"/>
  <c r="E14" i="6"/>
  <c r="D14" i="6"/>
  <c r="E8" i="6"/>
  <c r="D8" i="6"/>
  <c r="G31" i="5"/>
  <c r="F31" i="5"/>
  <c r="E31" i="5"/>
  <c r="D31" i="5"/>
  <c r="R30" i="5"/>
  <c r="Z30" i="5" s="1"/>
  <c r="AG30" i="5" s="1"/>
  <c r="Q30" i="5"/>
  <c r="P30" i="5"/>
  <c r="S30" i="5" s="1"/>
  <c r="O30" i="5"/>
  <c r="N30" i="5" s="1"/>
  <c r="R29" i="5"/>
  <c r="Z29" i="5" s="1"/>
  <c r="AG29" i="5" s="1"/>
  <c r="Q29" i="5"/>
  <c r="P29" i="5"/>
  <c r="S29" i="5" s="1"/>
  <c r="O29" i="5"/>
  <c r="N29" i="5" s="1"/>
  <c r="R28" i="5"/>
  <c r="Z28" i="5" s="1"/>
  <c r="Q28" i="5"/>
  <c r="P28" i="5"/>
  <c r="X28" i="5" s="1"/>
  <c r="AE28" i="5" s="1"/>
  <c r="O28" i="5"/>
  <c r="R27" i="5"/>
  <c r="Q27" i="5"/>
  <c r="P27" i="5"/>
  <c r="S27" i="5" s="1"/>
  <c r="O27" i="5"/>
  <c r="G26" i="5"/>
  <c r="F26" i="5"/>
  <c r="E26" i="5"/>
  <c r="D26" i="5"/>
  <c r="R25" i="5"/>
  <c r="Z25" i="5" s="1"/>
  <c r="AG25" i="5" s="1"/>
  <c r="Q25" i="5"/>
  <c r="Y25" i="5" s="1"/>
  <c r="P25" i="5"/>
  <c r="X25" i="5" s="1"/>
  <c r="O25" i="5"/>
  <c r="R24" i="5"/>
  <c r="Z24" i="5" s="1"/>
  <c r="Q24" i="5"/>
  <c r="P24" i="5"/>
  <c r="X24" i="5" s="1"/>
  <c r="AE24" i="5" s="1"/>
  <c r="O24" i="5"/>
  <c r="N24" i="5" s="1"/>
  <c r="R22" i="5"/>
  <c r="Z22" i="5" s="1"/>
  <c r="Q22" i="5"/>
  <c r="P22" i="5"/>
  <c r="X22" i="5" s="1"/>
  <c r="AE22" i="5" s="1"/>
  <c r="O22" i="5"/>
  <c r="W22" i="5" s="1"/>
  <c r="AD22" i="5" s="1"/>
  <c r="R20" i="5"/>
  <c r="Z20" i="5" s="1"/>
  <c r="AG20" i="5" s="1"/>
  <c r="Q20" i="5"/>
  <c r="P20" i="5"/>
  <c r="S20" i="5" s="1"/>
  <c r="O20" i="5"/>
  <c r="N20" i="5" s="1"/>
  <c r="R19" i="5"/>
  <c r="Z19" i="5" s="1"/>
  <c r="Q19" i="5"/>
  <c r="P19" i="5"/>
  <c r="S19" i="5" s="1"/>
  <c r="O19" i="5"/>
  <c r="N19" i="5" s="1"/>
  <c r="R18" i="5"/>
  <c r="Q18" i="5"/>
  <c r="Y18" i="5" s="1"/>
  <c r="AF18" i="5" s="1"/>
  <c r="P18" i="5"/>
  <c r="S18" i="5" s="1"/>
  <c r="O18" i="5"/>
  <c r="N18" i="5" s="1"/>
  <c r="R16" i="5"/>
  <c r="Q16" i="5"/>
  <c r="P16" i="5"/>
  <c r="X16" i="5" s="1"/>
  <c r="AE16" i="5" s="1"/>
  <c r="O16" i="5"/>
  <c r="N16" i="5" s="1"/>
  <c r="AI15" i="5"/>
  <c r="G15" i="5"/>
  <c r="F15" i="5"/>
  <c r="E15" i="5"/>
  <c r="D15" i="5"/>
  <c r="R12" i="5"/>
  <c r="Q12" i="5"/>
  <c r="P12" i="5"/>
  <c r="S12" i="5" s="1"/>
  <c r="O12" i="5"/>
  <c r="N12" i="5" s="1"/>
  <c r="R14" i="5"/>
  <c r="Z14" i="5" s="1"/>
  <c r="AG14" i="5" s="1"/>
  <c r="Q14" i="5"/>
  <c r="Y14" i="5" s="1"/>
  <c r="AF14" i="5" s="1"/>
  <c r="P14" i="5"/>
  <c r="O14" i="5"/>
  <c r="R11" i="5"/>
  <c r="Z11" i="5" s="1"/>
  <c r="Q11" i="5"/>
  <c r="Y11" i="5" s="1"/>
  <c r="P11" i="5"/>
  <c r="O11" i="5"/>
  <c r="N11" i="5" s="1"/>
  <c r="R13" i="5"/>
  <c r="Q13" i="5"/>
  <c r="Y13" i="5" s="1"/>
  <c r="P13" i="5"/>
  <c r="S13" i="5" s="1"/>
  <c r="O13" i="5"/>
  <c r="W13" i="5" s="1"/>
  <c r="AD13" i="5" s="1"/>
  <c r="R10" i="5"/>
  <c r="Z10" i="5" s="1"/>
  <c r="AG10" i="5" s="1"/>
  <c r="Q10" i="5"/>
  <c r="P10" i="5"/>
  <c r="O10" i="5"/>
  <c r="N10" i="5" s="1"/>
  <c r="G9" i="5"/>
  <c r="F9" i="5"/>
  <c r="E9" i="5"/>
  <c r="D9" i="5"/>
  <c r="R8" i="5"/>
  <c r="Z8" i="5" s="1"/>
  <c r="Q8" i="5"/>
  <c r="P8" i="5"/>
  <c r="X8" i="5" s="1"/>
  <c r="AE8" i="5" s="1"/>
  <c r="O8" i="5"/>
  <c r="N8" i="5" s="1"/>
  <c r="V8" i="5" s="1"/>
  <c r="R7" i="5"/>
  <c r="Z7" i="5" s="1"/>
  <c r="Q7" i="5"/>
  <c r="P7" i="5"/>
  <c r="X7" i="5" s="1"/>
  <c r="AE7" i="5" s="1"/>
  <c r="O7" i="5"/>
  <c r="W7" i="5" s="1"/>
  <c r="AD7" i="5" s="1"/>
  <c r="R6" i="5"/>
  <c r="Z6" i="5" s="1"/>
  <c r="Q6" i="5"/>
  <c r="P6" i="5"/>
  <c r="O6" i="5"/>
  <c r="V33" i="3"/>
  <c r="V32" i="3"/>
  <c r="W32" i="3"/>
  <c r="T31" i="3"/>
  <c r="V31" i="3"/>
  <c r="AA31" i="3" s="1"/>
  <c r="U30" i="3"/>
  <c r="V30" i="3"/>
  <c r="N33" i="3"/>
  <c r="S33" i="3" s="1"/>
  <c r="R31" i="3"/>
  <c r="W31" i="3" s="1"/>
  <c r="AB31" i="3" s="1"/>
  <c r="R32" i="3"/>
  <c r="AB32" i="3" s="1"/>
  <c r="R33" i="3"/>
  <c r="R30" i="3"/>
  <c r="R34" i="3" s="1"/>
  <c r="Q33" i="3"/>
  <c r="AA33" i="3" s="1"/>
  <c r="Q32" i="3"/>
  <c r="AA32" i="3" s="1"/>
  <c r="Q31" i="3"/>
  <c r="Q30" i="3"/>
  <c r="AA30" i="3" s="1"/>
  <c r="AA34" i="3" s="1"/>
  <c r="P33" i="3"/>
  <c r="P32" i="3"/>
  <c r="U32" i="3" s="1"/>
  <c r="P31" i="3"/>
  <c r="N31" i="3" s="1"/>
  <c r="P30" i="3"/>
  <c r="Z30" i="3" s="1"/>
  <c r="O33" i="3"/>
  <c r="T33" i="3" s="1"/>
  <c r="Y33" i="3" s="1"/>
  <c r="O32" i="3"/>
  <c r="T32" i="3" s="1"/>
  <c r="Y32" i="3" s="1"/>
  <c r="O31" i="3"/>
  <c r="Y31" i="3" s="1"/>
  <c r="O30" i="3"/>
  <c r="N30" i="3" s="1"/>
  <c r="Y28" i="3"/>
  <c r="Z28" i="3"/>
  <c r="T28" i="3"/>
  <c r="U28" i="3"/>
  <c r="V28" i="3"/>
  <c r="U27" i="3"/>
  <c r="Z27" i="3" s="1"/>
  <c r="V27" i="3"/>
  <c r="AA27" i="3" s="1"/>
  <c r="U25" i="3"/>
  <c r="V25" i="3"/>
  <c r="AA25" i="3" s="1"/>
  <c r="W25" i="3"/>
  <c r="AB25" i="3" s="1"/>
  <c r="W23" i="3"/>
  <c r="W22" i="3"/>
  <c r="T21" i="3"/>
  <c r="U21" i="3"/>
  <c r="Z21" i="3" s="1"/>
  <c r="Y19" i="3"/>
  <c r="T19" i="3"/>
  <c r="U19" i="3"/>
  <c r="W19" i="3"/>
  <c r="R28" i="3"/>
  <c r="W28" i="3" s="1"/>
  <c r="R27" i="3"/>
  <c r="R25" i="3"/>
  <c r="R23" i="3"/>
  <c r="AB23" i="3" s="1"/>
  <c r="R22" i="3"/>
  <c r="AB22" i="3" s="1"/>
  <c r="R21" i="3"/>
  <c r="W21" i="3" s="1"/>
  <c r="AB21" i="3" s="1"/>
  <c r="R19" i="3"/>
  <c r="AB19" i="3" s="1"/>
  <c r="Q28" i="3"/>
  <c r="AA28" i="3" s="1"/>
  <c r="Q27" i="3"/>
  <c r="Q25" i="3"/>
  <c r="Q23" i="3"/>
  <c r="Q22" i="3"/>
  <c r="V22" i="3" s="1"/>
  <c r="Q21" i="3"/>
  <c r="Q19" i="3"/>
  <c r="P28" i="3"/>
  <c r="P27" i="3"/>
  <c r="P25" i="3"/>
  <c r="Z25" i="3" s="1"/>
  <c r="P23" i="3"/>
  <c r="U23" i="3" s="1"/>
  <c r="Z23" i="3" s="1"/>
  <c r="P22" i="3"/>
  <c r="U22" i="3" s="1"/>
  <c r="Z22" i="3" s="1"/>
  <c r="P21" i="3"/>
  <c r="P19" i="3"/>
  <c r="O28" i="3"/>
  <c r="O27" i="3"/>
  <c r="O25" i="3"/>
  <c r="N25" i="3" s="1"/>
  <c r="O23" i="3"/>
  <c r="N23" i="3" s="1"/>
  <c r="O22" i="3"/>
  <c r="T22" i="3" s="1"/>
  <c r="O21" i="3"/>
  <c r="Y21" i="3" s="1"/>
  <c r="O19" i="3"/>
  <c r="AA14" i="3"/>
  <c r="T17" i="3"/>
  <c r="Y17" i="3" s="1"/>
  <c r="T16" i="3"/>
  <c r="U16" i="3"/>
  <c r="V16" i="3"/>
  <c r="W16" i="3"/>
  <c r="AB16" i="3" s="1"/>
  <c r="T15" i="3"/>
  <c r="Y15" i="3" s="1"/>
  <c r="T14" i="3"/>
  <c r="Y14" i="3" s="1"/>
  <c r="V14" i="3"/>
  <c r="W13" i="3"/>
  <c r="AB13" i="3" s="1"/>
  <c r="AC18" i="3"/>
  <c r="N15" i="3"/>
  <c r="S15" i="3" s="1"/>
  <c r="N16" i="3"/>
  <c r="R14" i="3"/>
  <c r="R15" i="3"/>
  <c r="W15" i="3" s="1"/>
  <c r="R16" i="3"/>
  <c r="R17" i="3"/>
  <c r="R13" i="3"/>
  <c r="Q14" i="3"/>
  <c r="Q15" i="3"/>
  <c r="Q16" i="3"/>
  <c r="AA16" i="3" s="1"/>
  <c r="Q17" i="3"/>
  <c r="V17" i="3" s="1"/>
  <c r="Q13" i="3"/>
  <c r="P14" i="3"/>
  <c r="N14" i="3" s="1"/>
  <c r="P15" i="3"/>
  <c r="U15" i="3" s="1"/>
  <c r="Z15" i="3" s="1"/>
  <c r="P16" i="3"/>
  <c r="Z16" i="3" s="1"/>
  <c r="P17" i="3"/>
  <c r="U17" i="3" s="1"/>
  <c r="Z17" i="3" s="1"/>
  <c r="P13" i="3"/>
  <c r="O14" i="3"/>
  <c r="O15" i="3"/>
  <c r="O16" i="3"/>
  <c r="Y16" i="3" s="1"/>
  <c r="O17" i="3"/>
  <c r="N17" i="3" s="1"/>
  <c r="O13" i="3"/>
  <c r="W8" i="3"/>
  <c r="AB8" i="3" s="1"/>
  <c r="V7" i="3"/>
  <c r="W7" i="3"/>
  <c r="AB7" i="3" s="1"/>
  <c r="R10" i="3"/>
  <c r="W10" i="3" s="1"/>
  <c r="AB10" i="3" s="1"/>
  <c r="R11" i="3"/>
  <c r="W11" i="3" s="1"/>
  <c r="AB11" i="3" s="1"/>
  <c r="R9" i="3"/>
  <c r="R12" i="3" s="1"/>
  <c r="Q9" i="3"/>
  <c r="V9" i="3" s="1"/>
  <c r="AA9" i="3" s="1"/>
  <c r="Q10" i="3"/>
  <c r="V10" i="3" s="1"/>
  <c r="Q11" i="3"/>
  <c r="P9" i="3"/>
  <c r="U9" i="3" s="1"/>
  <c r="P10" i="3"/>
  <c r="U10" i="3" s="1"/>
  <c r="P11" i="3"/>
  <c r="U11" i="3" s="1"/>
  <c r="O9" i="3"/>
  <c r="O10" i="3"/>
  <c r="T10" i="3" s="1"/>
  <c r="O11" i="3"/>
  <c r="T11" i="3" s="1"/>
  <c r="Q8" i="3"/>
  <c r="P8" i="3"/>
  <c r="O8" i="3"/>
  <c r="T8" i="3" s="1"/>
  <c r="Q7" i="3"/>
  <c r="P7" i="3"/>
  <c r="U7" i="3" s="1"/>
  <c r="O7" i="3"/>
  <c r="T7" i="3" s="1"/>
  <c r="R6" i="3"/>
  <c r="Q5" i="3"/>
  <c r="O5" i="3"/>
  <c r="O6" i="3" s="1"/>
  <c r="P5" i="3"/>
  <c r="G31" i="4"/>
  <c r="F31" i="4"/>
  <c r="E31" i="4"/>
  <c r="D31" i="4"/>
  <c r="Q30" i="4"/>
  <c r="P30" i="4"/>
  <c r="O30" i="4"/>
  <c r="N30" i="4"/>
  <c r="Q29" i="4"/>
  <c r="P29" i="4"/>
  <c r="O29" i="4"/>
  <c r="Q28" i="4"/>
  <c r="P28" i="4"/>
  <c r="O28" i="4"/>
  <c r="Q27" i="4"/>
  <c r="P27" i="4"/>
  <c r="O27" i="4"/>
  <c r="G26" i="4"/>
  <c r="F26" i="4"/>
  <c r="E26" i="4"/>
  <c r="D26" i="4"/>
  <c r="D32" i="4" s="1"/>
  <c r="Q25" i="4"/>
  <c r="P25" i="4"/>
  <c r="O25" i="4"/>
  <c r="N25" i="4" s="1"/>
  <c r="Q24" i="4"/>
  <c r="P24" i="4"/>
  <c r="O24" i="4"/>
  <c r="Q22" i="4"/>
  <c r="P22" i="4"/>
  <c r="O22" i="4"/>
  <c r="N22" i="4" s="1"/>
  <c r="Q20" i="4"/>
  <c r="P20" i="4"/>
  <c r="O20" i="4"/>
  <c r="Q19" i="4"/>
  <c r="P19" i="4"/>
  <c r="O19" i="4"/>
  <c r="N19" i="4" s="1"/>
  <c r="Q18" i="4"/>
  <c r="P18" i="4"/>
  <c r="O18" i="4"/>
  <c r="Q16" i="4"/>
  <c r="P16" i="4"/>
  <c r="O16" i="4"/>
  <c r="N16" i="4" s="1"/>
  <c r="G15" i="4"/>
  <c r="F15" i="4"/>
  <c r="E15" i="4"/>
  <c r="D15" i="4"/>
  <c r="Q14" i="4"/>
  <c r="P14" i="4"/>
  <c r="O14" i="4"/>
  <c r="N14" i="4" s="1"/>
  <c r="Q12" i="4"/>
  <c r="P12" i="4"/>
  <c r="O12" i="4"/>
  <c r="N12" i="4"/>
  <c r="Q11" i="4"/>
  <c r="P11" i="4"/>
  <c r="O11" i="4"/>
  <c r="N11" i="4" s="1"/>
  <c r="Q10" i="4"/>
  <c r="P10" i="4"/>
  <c r="O10" i="4"/>
  <c r="N10" i="4" s="1"/>
  <c r="Q9" i="4"/>
  <c r="P9" i="4"/>
  <c r="O9" i="4"/>
  <c r="N9" i="4"/>
  <c r="G8" i="4"/>
  <c r="G32" i="4" s="1"/>
  <c r="F8" i="4"/>
  <c r="F32" i="4" s="1"/>
  <c r="E8" i="4"/>
  <c r="E32" i="4" s="1"/>
  <c r="D8" i="4"/>
  <c r="Q7" i="4"/>
  <c r="P7" i="4"/>
  <c r="O7" i="4"/>
  <c r="Q6" i="4"/>
  <c r="P6" i="4"/>
  <c r="O6" i="4"/>
  <c r="Q5" i="4"/>
  <c r="P5" i="4"/>
  <c r="O5" i="4"/>
  <c r="P8" i="4"/>
  <c r="P6" i="3"/>
  <c r="G18" i="3"/>
  <c r="G6" i="3"/>
  <c r="F6" i="3"/>
  <c r="E6" i="3"/>
  <c r="D6" i="3"/>
  <c r="D29" i="3"/>
  <c r="G29" i="3"/>
  <c r="F29" i="3"/>
  <c r="E29" i="3"/>
  <c r="U29" i="3" l="1"/>
  <c r="AB17" i="3"/>
  <c r="Z13" i="3"/>
  <c r="Z18" i="3" s="1"/>
  <c r="S30" i="3"/>
  <c r="X30" i="3"/>
  <c r="X15" i="3"/>
  <c r="S14" i="3"/>
  <c r="X14" i="3" s="1"/>
  <c r="S31" i="3"/>
  <c r="X31" i="3" s="1"/>
  <c r="AA19" i="3"/>
  <c r="Y13" i="3"/>
  <c r="Y18" i="3" s="1"/>
  <c r="X23" i="3"/>
  <c r="S23" i="3"/>
  <c r="S17" i="3"/>
  <c r="X17" i="3" s="1"/>
  <c r="S25" i="3"/>
  <c r="X25" i="3" s="1"/>
  <c r="N25" i="5"/>
  <c r="N26" i="5" s="1"/>
  <c r="Y23" i="3"/>
  <c r="V13" i="3"/>
  <c r="N28" i="5"/>
  <c r="U13" i="3"/>
  <c r="N28" i="4"/>
  <c r="R18" i="3"/>
  <c r="R35" i="3" s="1"/>
  <c r="U14" i="3"/>
  <c r="AA17" i="3"/>
  <c r="N27" i="3"/>
  <c r="Z19" i="3"/>
  <c r="Z29" i="3" s="1"/>
  <c r="AA22" i="3"/>
  <c r="W30" i="3"/>
  <c r="W33" i="3"/>
  <c r="AB33" i="3" s="1"/>
  <c r="Z32" i="3"/>
  <c r="S6" i="5"/>
  <c r="E32" i="5"/>
  <c r="N13" i="5"/>
  <c r="N22" i="5"/>
  <c r="Z14" i="3"/>
  <c r="N28" i="3"/>
  <c r="N14" i="5"/>
  <c r="N15" i="5" s="1"/>
  <c r="U31" i="3"/>
  <c r="N13" i="3"/>
  <c r="S16" i="3"/>
  <c r="X16" i="3" s="1"/>
  <c r="V15" i="3"/>
  <c r="AA15" i="3" s="1"/>
  <c r="AB15" i="3"/>
  <c r="R29" i="3"/>
  <c r="AB28" i="3"/>
  <c r="T30" i="3"/>
  <c r="N31" i="5"/>
  <c r="X33" i="3"/>
  <c r="V23" i="3"/>
  <c r="AA23" i="3" s="1"/>
  <c r="T27" i="3"/>
  <c r="Y27" i="3" s="1"/>
  <c r="Y22" i="3"/>
  <c r="U33" i="3"/>
  <c r="Z33" i="3" s="1"/>
  <c r="G32" i="5"/>
  <c r="W12" i="3"/>
  <c r="V21" i="3"/>
  <c r="AA21" i="3" s="1"/>
  <c r="T23" i="3"/>
  <c r="S10" i="5"/>
  <c r="S14" i="5"/>
  <c r="S8" i="5"/>
  <c r="V34" i="3"/>
  <c r="S16" i="5"/>
  <c r="N21" i="3"/>
  <c r="Z31" i="3"/>
  <c r="Z34" i="3" s="1"/>
  <c r="O15" i="4"/>
  <c r="T13" i="3"/>
  <c r="T18" i="3" s="1"/>
  <c r="N22" i="3"/>
  <c r="T25" i="3"/>
  <c r="Y25" i="3" s="1"/>
  <c r="V19" i="3"/>
  <c r="N32" i="3"/>
  <c r="N19" i="3"/>
  <c r="N7" i="5"/>
  <c r="V7" i="5" s="1"/>
  <c r="N15" i="4"/>
  <c r="N6" i="4"/>
  <c r="P15" i="4"/>
  <c r="Q26" i="4"/>
  <c r="P31" i="4"/>
  <c r="W14" i="3"/>
  <c r="AB14" i="3" s="1"/>
  <c r="AB18" i="3" s="1"/>
  <c r="W17" i="3"/>
  <c r="O9" i="5"/>
  <c r="S28" i="5"/>
  <c r="Q15" i="4"/>
  <c r="W27" i="3"/>
  <c r="AB27" i="3" s="1"/>
  <c r="AB29" i="3" s="1"/>
  <c r="N9" i="5"/>
  <c r="V6" i="5"/>
  <c r="AC6" i="5" s="1"/>
  <c r="S31" i="5"/>
  <c r="S25" i="5"/>
  <c r="S22" i="5"/>
  <c r="S7" i="5"/>
  <c r="S9" i="5" s="1"/>
  <c r="AA25" i="5"/>
  <c r="S24" i="5"/>
  <c r="S11" i="5"/>
  <c r="S15" i="5" s="1"/>
  <c r="D31" i="6"/>
  <c r="E31" i="6"/>
  <c r="Z9" i="5"/>
  <c r="F32" i="5"/>
  <c r="X18" i="5"/>
  <c r="V22" i="5"/>
  <c r="AC22" i="5" s="1"/>
  <c r="V30" i="5"/>
  <c r="AC30" i="5" s="1"/>
  <c r="D32" i="5"/>
  <c r="O15" i="5"/>
  <c r="AF11" i="5"/>
  <c r="Y29" i="5"/>
  <c r="AF29" i="5" s="1"/>
  <c r="AG19" i="5"/>
  <c r="AF25" i="5"/>
  <c r="X6" i="5"/>
  <c r="W16" i="5"/>
  <c r="AD16" i="5" s="1"/>
  <c r="X20" i="5"/>
  <c r="W30" i="5"/>
  <c r="AD30" i="5" s="1"/>
  <c r="W6" i="5"/>
  <c r="AD6" i="5" s="1"/>
  <c r="AG6" i="5"/>
  <c r="Y7" i="5"/>
  <c r="AF7" i="5" s="1"/>
  <c r="AH7" i="5" s="1"/>
  <c r="Y8" i="5"/>
  <c r="P9" i="5"/>
  <c r="X13" i="5"/>
  <c r="V11" i="5"/>
  <c r="AC11" i="5" s="1"/>
  <c r="X11" i="5"/>
  <c r="Z12" i="5"/>
  <c r="AG12" i="5" s="1"/>
  <c r="V16" i="5"/>
  <c r="R26" i="5"/>
  <c r="Z18" i="5"/>
  <c r="AG18" i="5" s="1"/>
  <c r="Y19" i="5"/>
  <c r="AF19" i="5" s="1"/>
  <c r="V20" i="5"/>
  <c r="AC20" i="5" s="1"/>
  <c r="W20" i="5"/>
  <c r="AD20" i="5" s="1"/>
  <c r="Y22" i="5"/>
  <c r="AF22" i="5" s="1"/>
  <c r="Y24" i="5"/>
  <c r="AF24" i="5" s="1"/>
  <c r="AH24" i="5" s="1"/>
  <c r="W25" i="5"/>
  <c r="AD25" i="5" s="1"/>
  <c r="Y27" i="5"/>
  <c r="AF27" i="5" s="1"/>
  <c r="Y28" i="5"/>
  <c r="AF28" i="5" s="1"/>
  <c r="AH28" i="5" s="1"/>
  <c r="V29" i="5"/>
  <c r="AC29" i="5" s="1"/>
  <c r="W29" i="5"/>
  <c r="AD29" i="5" s="1"/>
  <c r="AG11" i="5"/>
  <c r="AG15" i="5" s="1"/>
  <c r="X12" i="5"/>
  <c r="Q26" i="5"/>
  <c r="Y16" i="5"/>
  <c r="W19" i="5"/>
  <c r="AD19" i="5" s="1"/>
  <c r="P31" i="5"/>
  <c r="X27" i="5"/>
  <c r="W10" i="5"/>
  <c r="AD10" i="5" s="1"/>
  <c r="AF13" i="5"/>
  <c r="W14" i="5"/>
  <c r="AD14" i="5" s="1"/>
  <c r="AG8" i="5"/>
  <c r="P15" i="5"/>
  <c r="X10" i="5"/>
  <c r="V13" i="5"/>
  <c r="R15" i="5"/>
  <c r="V12" i="5"/>
  <c r="AC12" i="5" s="1"/>
  <c r="W12" i="5"/>
  <c r="AD12" i="5" s="1"/>
  <c r="O26" i="5"/>
  <c r="AG24" i="5"/>
  <c r="O31" i="5"/>
  <c r="W27" i="5"/>
  <c r="AD27" i="5" s="1"/>
  <c r="AG28" i="5"/>
  <c r="X30" i="5"/>
  <c r="Q15" i="5"/>
  <c r="P26" i="5"/>
  <c r="Q31" i="5"/>
  <c r="AG7" i="5"/>
  <c r="R9" i="5"/>
  <c r="AG22" i="5"/>
  <c r="AH22" i="5" s="1"/>
  <c r="AE25" i="5"/>
  <c r="Y6" i="5"/>
  <c r="AF6" i="5" s="1"/>
  <c r="W8" i="5"/>
  <c r="AD8" i="5" s="1"/>
  <c r="Q9" i="5"/>
  <c r="Y10" i="5"/>
  <c r="AF10" i="5" s="1"/>
  <c r="Z13" i="5"/>
  <c r="AG13" i="5" s="1"/>
  <c r="W11" i="5"/>
  <c r="AD11" i="5" s="1"/>
  <c r="X14" i="5"/>
  <c r="Y12" i="5"/>
  <c r="AF12" i="5" s="1"/>
  <c r="Z16" i="5"/>
  <c r="W18" i="5"/>
  <c r="X19" i="5"/>
  <c r="Y20" i="5"/>
  <c r="AF20" i="5" s="1"/>
  <c r="W24" i="5"/>
  <c r="AD24" i="5" s="1"/>
  <c r="V27" i="5"/>
  <c r="Z27" i="5"/>
  <c r="Z31" i="5" s="1"/>
  <c r="W28" i="5"/>
  <c r="AD28" i="5" s="1"/>
  <c r="X29" i="5"/>
  <c r="Y30" i="5"/>
  <c r="AF30" i="5" s="1"/>
  <c r="R31" i="5"/>
  <c r="U18" i="3"/>
  <c r="Z8" i="3"/>
  <c r="N9" i="3"/>
  <c r="S9" i="3" s="1"/>
  <c r="X9" i="3" s="1"/>
  <c r="N5" i="3"/>
  <c r="N6" i="3" s="1"/>
  <c r="AA7" i="3"/>
  <c r="Z11" i="3"/>
  <c r="AA10" i="3"/>
  <c r="U8" i="3"/>
  <c r="U12" i="3" s="1"/>
  <c r="V11" i="3"/>
  <c r="AA11" i="3" s="1"/>
  <c r="P12" i="3"/>
  <c r="N11" i="3"/>
  <c r="W9" i="3"/>
  <c r="AB9" i="3" s="1"/>
  <c r="AB12" i="3" s="1"/>
  <c r="Y7" i="3"/>
  <c r="Y8" i="3"/>
  <c r="Y10" i="3"/>
  <c r="Y11" i="3"/>
  <c r="N10" i="3"/>
  <c r="V8" i="3"/>
  <c r="N8" i="3"/>
  <c r="T9" i="3"/>
  <c r="Z7" i="3"/>
  <c r="Z9" i="3"/>
  <c r="Z10" i="3"/>
  <c r="Q6" i="3"/>
  <c r="N7" i="3"/>
  <c r="P18" i="3"/>
  <c r="O34" i="3"/>
  <c r="Q34" i="3"/>
  <c r="P34" i="3"/>
  <c r="Q8" i="4"/>
  <c r="N5" i="4"/>
  <c r="N8" i="4" s="1"/>
  <c r="N7" i="4"/>
  <c r="P26" i="4"/>
  <c r="P32" i="4" s="1"/>
  <c r="N18" i="4"/>
  <c r="N20" i="4"/>
  <c r="N24" i="4"/>
  <c r="N27" i="4"/>
  <c r="N31" i="4" s="1"/>
  <c r="Q31" i="4"/>
  <c r="N29" i="4"/>
  <c r="O8" i="4"/>
  <c r="O26" i="4"/>
  <c r="O31" i="4"/>
  <c r="P29" i="3"/>
  <c r="Q29" i="3"/>
  <c r="O29" i="3"/>
  <c r="O18" i="3"/>
  <c r="Q18" i="3"/>
  <c r="Q12" i="3"/>
  <c r="O12" i="3"/>
  <c r="N32" i="5" l="1"/>
  <c r="Y29" i="3"/>
  <c r="V18" i="3"/>
  <c r="S26" i="5"/>
  <c r="S32" i="5" s="1"/>
  <c r="W18" i="3"/>
  <c r="W35" i="3" s="1"/>
  <c r="W34" i="3"/>
  <c r="AB30" i="3"/>
  <c r="AB34" i="3" s="1"/>
  <c r="AB35" i="3" s="1"/>
  <c r="AA29" i="3"/>
  <c r="T29" i="3"/>
  <c r="S13" i="3"/>
  <c r="S18" i="3" s="1"/>
  <c r="U34" i="3"/>
  <c r="U35" i="3" s="1"/>
  <c r="W29" i="3"/>
  <c r="S22" i="3"/>
  <c r="X22" i="3" s="1"/>
  <c r="Z12" i="3"/>
  <c r="Z35" i="3" s="1"/>
  <c r="S21" i="3"/>
  <c r="X21" i="3" s="1"/>
  <c r="S27" i="3"/>
  <c r="X27" i="3" s="1"/>
  <c r="X28" i="3"/>
  <c r="S28" i="3"/>
  <c r="AA8" i="3"/>
  <c r="V12" i="3"/>
  <c r="Y9" i="3"/>
  <c r="Y12" i="3" s="1"/>
  <c r="Y35" i="3" s="1"/>
  <c r="T12" i="3"/>
  <c r="T35" i="3" s="1"/>
  <c r="S19" i="3"/>
  <c r="X19" i="3" s="1"/>
  <c r="X29" i="3" s="1"/>
  <c r="N29" i="3"/>
  <c r="T34" i="3"/>
  <c r="Y30" i="3"/>
  <c r="Y34" i="3" s="1"/>
  <c r="X32" i="3"/>
  <c r="X34" i="3" s="1"/>
  <c r="S32" i="3"/>
  <c r="S34" i="3" s="1"/>
  <c r="AA12" i="3"/>
  <c r="AH25" i="5"/>
  <c r="AA7" i="5"/>
  <c r="V29" i="3"/>
  <c r="AA13" i="3"/>
  <c r="AA18" i="3" s="1"/>
  <c r="AE11" i="5"/>
  <c r="AH11" i="5" s="1"/>
  <c r="AA11" i="5"/>
  <c r="AF8" i="5"/>
  <c r="AA8" i="5"/>
  <c r="AE6" i="5"/>
  <c r="AA6" i="5"/>
  <c r="AE13" i="5"/>
  <c r="AH13" i="5" s="1"/>
  <c r="AA13" i="5"/>
  <c r="AA24" i="5"/>
  <c r="AA28" i="5"/>
  <c r="AE12" i="5"/>
  <c r="AH12" i="5" s="1"/>
  <c r="AA12" i="5"/>
  <c r="AE29" i="5"/>
  <c r="AH29" i="5" s="1"/>
  <c r="AA29" i="5"/>
  <c r="AE30" i="5"/>
  <c r="AH30" i="5" s="1"/>
  <c r="AA30" i="5"/>
  <c r="AE27" i="5"/>
  <c r="AA27" i="5"/>
  <c r="AE14" i="5"/>
  <c r="AH14" i="5" s="1"/>
  <c r="AA14" i="5"/>
  <c r="AE10" i="5"/>
  <c r="AA10" i="5"/>
  <c r="AF16" i="5"/>
  <c r="AF26" i="5" s="1"/>
  <c r="AA16" i="5"/>
  <c r="AE20" i="5"/>
  <c r="AH20" i="5" s="1"/>
  <c r="AA20" i="5"/>
  <c r="AE19" i="5"/>
  <c r="AH19" i="5" s="1"/>
  <c r="AA19" i="5"/>
  <c r="AE18" i="5"/>
  <c r="AH18" i="5" s="1"/>
  <c r="AA18" i="5"/>
  <c r="AA22" i="5"/>
  <c r="X26" i="5"/>
  <c r="O32" i="5"/>
  <c r="R32" i="5"/>
  <c r="P32" i="5"/>
  <c r="Q32" i="5"/>
  <c r="AC7" i="5"/>
  <c r="AG9" i="5"/>
  <c r="AD15" i="5"/>
  <c r="X15" i="5"/>
  <c r="X31" i="5"/>
  <c r="Y9" i="5"/>
  <c r="W26" i="5"/>
  <c r="AD31" i="5"/>
  <c r="Y31" i="5"/>
  <c r="AF31" i="5"/>
  <c r="AD18" i="5"/>
  <c r="AD26" i="5" s="1"/>
  <c r="W31" i="5"/>
  <c r="Y26" i="5"/>
  <c r="Z26" i="5"/>
  <c r="W15" i="5"/>
  <c r="AC13" i="5"/>
  <c r="X9" i="5"/>
  <c r="V19" i="5"/>
  <c r="AC19" i="5" s="1"/>
  <c r="V28" i="5"/>
  <c r="AC28" i="5" s="1"/>
  <c r="AC8" i="5"/>
  <c r="V14" i="5"/>
  <c r="AC14" i="5" s="1"/>
  <c r="V18" i="5"/>
  <c r="AC18" i="5" s="1"/>
  <c r="V10" i="5"/>
  <c r="AD9" i="5"/>
  <c r="W9" i="5"/>
  <c r="V24" i="5"/>
  <c r="AC24" i="5" s="1"/>
  <c r="V25" i="5"/>
  <c r="AC25" i="5" s="1"/>
  <c r="AF15" i="5"/>
  <c r="AC27" i="5"/>
  <c r="Z15" i="5"/>
  <c r="AC16" i="5"/>
  <c r="AG27" i="5"/>
  <c r="AG31" i="5" s="1"/>
  <c r="Y15" i="5"/>
  <c r="AG16" i="5"/>
  <c r="O35" i="3"/>
  <c r="S11" i="3"/>
  <c r="X11" i="3" s="1"/>
  <c r="S7" i="3"/>
  <c r="S10" i="3"/>
  <c r="X10" i="3" s="1"/>
  <c r="S8" i="3"/>
  <c r="X8" i="3" s="1"/>
  <c r="N18" i="3"/>
  <c r="P35" i="3"/>
  <c r="N26" i="4"/>
  <c r="N32" i="4" s="1"/>
  <c r="Q32" i="4"/>
  <c r="O32" i="4"/>
  <c r="N34" i="3"/>
  <c r="N12" i="3"/>
  <c r="Q35" i="3"/>
  <c r="G34" i="3"/>
  <c r="F34" i="3"/>
  <c r="E34" i="3"/>
  <c r="D34" i="3"/>
  <c r="F18" i="3"/>
  <c r="E18" i="3"/>
  <c r="D18" i="3"/>
  <c r="G12" i="3"/>
  <c r="F12" i="3"/>
  <c r="E12" i="3"/>
  <c r="D12" i="3"/>
  <c r="AE15" i="5" l="1"/>
  <c r="AH10" i="5"/>
  <c r="AH15" i="5" s="1"/>
  <c r="AA35" i="3"/>
  <c r="V35" i="3"/>
  <c r="AE31" i="5"/>
  <c r="AH27" i="5"/>
  <c r="AH31" i="5" s="1"/>
  <c r="AE9" i="5"/>
  <c r="AH6" i="5"/>
  <c r="AH9" i="5" s="1"/>
  <c r="AA9" i="5"/>
  <c r="X13" i="3"/>
  <c r="X18" i="3" s="1"/>
  <c r="AG26" i="5"/>
  <c r="AG32" i="5" s="1"/>
  <c r="AH16" i="5"/>
  <c r="AH26" i="5" s="1"/>
  <c r="AA31" i="5"/>
  <c r="AF9" i="5"/>
  <c r="AH8" i="5"/>
  <c r="S29" i="3"/>
  <c r="X7" i="3"/>
  <c r="X12" i="3" s="1"/>
  <c r="S12" i="3"/>
  <c r="S35" i="3" s="1"/>
  <c r="AA15" i="5"/>
  <c r="AE26" i="5"/>
  <c r="AE32" i="5" s="1"/>
  <c r="AA26" i="5"/>
  <c r="AD32" i="5"/>
  <c r="Z32" i="5"/>
  <c r="W32" i="5"/>
  <c r="Y32" i="5"/>
  <c r="AF32" i="5"/>
  <c r="V15" i="5"/>
  <c r="X32" i="5"/>
  <c r="V9" i="5"/>
  <c r="V31" i="5"/>
  <c r="V26" i="5"/>
  <c r="AC26" i="5"/>
  <c r="AC31" i="5"/>
  <c r="AC10" i="5"/>
  <c r="AC15" i="5" s="1"/>
  <c r="AC9" i="5"/>
  <c r="N35" i="3"/>
  <c r="E35" i="3"/>
  <c r="G35" i="3"/>
  <c r="D35" i="3"/>
  <c r="F35" i="3"/>
  <c r="X35" i="3" l="1"/>
  <c r="AH32" i="5"/>
  <c r="AA32" i="5"/>
  <c r="V32" i="5"/>
  <c r="AC32" i="5"/>
</calcChain>
</file>

<file path=xl/sharedStrings.xml><?xml version="1.0" encoding="utf-8"?>
<sst xmlns="http://schemas.openxmlformats.org/spreadsheetml/2006/main" count="477" uniqueCount="151">
  <si>
    <t>Муниципальное образование</t>
  </si>
  <si>
    <t>Кол-во помещений, шт.</t>
  </si>
  <si>
    <t>Расселяемая площадь, кв.м</t>
  </si>
  <si>
    <t>Кол-во граждан, чел.</t>
  </si>
  <si>
    <t>Предоставляемая площадь, кв.м</t>
  </si>
  <si>
    <t>Этап</t>
  </si>
  <si>
    <t>Год</t>
  </si>
  <si>
    <t>Кол-во МКД</t>
  </si>
  <si>
    <t>Бельский муниципальный район</t>
  </si>
  <si>
    <t>Вышневолоцкий городской округ</t>
  </si>
  <si>
    <t>г. Торжок</t>
  </si>
  <si>
    <t>Осташковский городской округ</t>
  </si>
  <si>
    <t>Ржевский район</t>
  </si>
  <si>
    <t>Нелидовский городской округ</t>
  </si>
  <si>
    <t>Калининский район</t>
  </si>
  <si>
    <t>Андреапольский муниципальный округ</t>
  </si>
  <si>
    <t>Кашинский городской округ</t>
  </si>
  <si>
    <t>Бологовский район</t>
  </si>
  <si>
    <t>Селижаровский муниципальный округ</t>
  </si>
  <si>
    <t>Пеновский муниципальный округ</t>
  </si>
  <si>
    <t>Максатихинский муниципальный район</t>
  </si>
  <si>
    <t>Адрес земельного участка</t>
  </si>
  <si>
    <t>КН</t>
  </si>
  <si>
    <t>Площадь</t>
  </si>
  <si>
    <t>Этажность</t>
  </si>
  <si>
    <t>-</t>
  </si>
  <si>
    <t>69:10:0161931:64</t>
  </si>
  <si>
    <t>г. Торжок,
 ул. Старицкая</t>
  </si>
  <si>
    <t>69:47:0160117:9</t>
  </si>
  <si>
    <t>69:01:0070102:64</t>
  </si>
  <si>
    <t>г. Бологое, мкр. Западный</t>
  </si>
  <si>
    <t>69:39:0070332:23</t>
  </si>
  <si>
    <t>г. В. Волочек, ул. Шмидта д.198 А</t>
  </si>
  <si>
    <t>п. Селижарово, 
ул. Урицкого 12в</t>
  </si>
  <si>
    <t>69:29:0070103:198</t>
  </si>
  <si>
    <t>г. Кашин ул. Краснознаменская д.15</t>
  </si>
  <si>
    <t>69:41:0010417:22</t>
  </si>
  <si>
    <t>69:29:0152335:124</t>
  </si>
  <si>
    <t>Селижаровский р-н, 
п. Селище ул. Лесная</t>
  </si>
  <si>
    <t>г. Белый ул. Трофимова 56</t>
  </si>
  <si>
    <t>69:03:0090140:197</t>
  </si>
  <si>
    <t>г. Белый ул. Трофимова 58</t>
  </si>
  <si>
    <t>69:03:0090140:198</t>
  </si>
  <si>
    <t>пгт Орша, ул. Школьная</t>
  </si>
  <si>
    <t>г. Нелидово, 
ул. Куйбышева</t>
  </si>
  <si>
    <t>69:44:0080544</t>
  </si>
  <si>
    <t>г. Нелидово,
пер. Мира</t>
  </si>
  <si>
    <t>69:39:0120222:164</t>
  </si>
  <si>
    <t>г. Нелидово,
ул. Больничная</t>
  </si>
  <si>
    <t>69:20:0070160:83</t>
  </si>
  <si>
    <t>69:20:0070123:399</t>
  </si>
  <si>
    <t>пгт. Максатиха, 
ул. Парковая 29</t>
  </si>
  <si>
    <t>пгт. Максатиха, 
ул. Спортивная 24</t>
  </si>
  <si>
    <t>д. Полубратово</t>
  </si>
  <si>
    <t>69:10:0390801:460</t>
  </si>
  <si>
    <t>69:44:0080533:663</t>
  </si>
  <si>
    <t>69:44:0080533:8</t>
  </si>
  <si>
    <t xml:space="preserve">Ржевский р-н, д. Хорошеево </t>
  </si>
  <si>
    <t>Средства Фонда, руб.</t>
  </si>
  <si>
    <t>Средства ОБ на софинансирование, руб.</t>
  </si>
  <si>
    <t>Средства ОБ на доп. метры, руб.</t>
  </si>
  <si>
    <t>г. Андреаполь, 
8 Марта</t>
  </si>
  <si>
    <t>69:27:0323007:352</t>
  </si>
  <si>
    <t>3 или 4</t>
  </si>
  <si>
    <t>3</t>
  </si>
  <si>
    <t>ПЛАН ПО СТРОИТЕЛЬСТВУ МНОГОКВАРТИРНЫХ ДОМОВ В РАМКАХ ПРОГРАММЫ ПЕРЕСЕЛЕНИЯ</t>
  </si>
  <si>
    <t>до 01.09.2022</t>
  </si>
  <si>
    <t>Спировский район</t>
  </si>
  <si>
    <t>Город Ржев</t>
  </si>
  <si>
    <t>г. Ржев,
 ул. Революции</t>
  </si>
  <si>
    <t>69:46:00700226:7</t>
  </si>
  <si>
    <t>69:44:0080533:661</t>
  </si>
  <si>
    <t xml:space="preserve">п. Спирово, 
ул. Речная </t>
  </si>
  <si>
    <t>69:31:0070205:17</t>
  </si>
  <si>
    <t>3 этап 
(2021-2022)</t>
  </si>
  <si>
    <t>4 этап
 (2022-2023)</t>
  </si>
  <si>
    <t>5 этап
 (2023-2024)</t>
  </si>
  <si>
    <t>6 этап 
(2024-2025)</t>
  </si>
  <si>
    <t>г. Нелидово, 
пос. Южный, 
ул. Космонавтов
г. Нелидово, 
пос. Южный, 
ул. Моторная</t>
  </si>
  <si>
    <t>2450,00
780,00</t>
  </si>
  <si>
    <t>69:22:0130602
69:22:0130603:31</t>
  </si>
  <si>
    <t>Итого по 2 этапу:</t>
  </si>
  <si>
    <t>Итого по 3 этапу:</t>
  </si>
  <si>
    <t>Итого по 4 этапу:</t>
  </si>
  <si>
    <t>ВСЕГО:</t>
  </si>
  <si>
    <t>Итого по 5 этапу:</t>
  </si>
  <si>
    <t>Итого по 6 этапу:</t>
  </si>
  <si>
    <t>Итого, руб.</t>
  </si>
  <si>
    <t>Калязинский район</t>
  </si>
  <si>
    <t>Примечание</t>
  </si>
  <si>
    <t>Утвержден ГТО</t>
  </si>
  <si>
    <t>Подготовлен, передан ГКУ</t>
  </si>
  <si>
    <t>Утвержден ГТО
Не поставлен на КУ, не подготовлен</t>
  </si>
  <si>
    <t>Передан ГКУ, нет мощности во водоснабжению</t>
  </si>
  <si>
    <t>ЗУ имеется, документы представят до 01.11.21</t>
  </si>
  <si>
    <t>Не поставлен на КУ, не подготовлен</t>
  </si>
  <si>
    <t>ЗУ имеется</t>
  </si>
  <si>
    <t>Имеются 4 ЗУ, документы представят до 01.11.2021</t>
  </si>
  <si>
    <t>Передан ГКУ, нет мощности во теплоснабжению</t>
  </si>
  <si>
    <t>Прокладка газопровода, обременение до 2022 г.
(Имеютс я другие ЗУ)</t>
  </si>
  <si>
    <t>Подрядная организация</t>
  </si>
  <si>
    <t>АО "Авиапромстрой"</t>
  </si>
  <si>
    <t>ООО "Контакт+"</t>
  </si>
  <si>
    <t>ООО "Промстроймонтаж"</t>
  </si>
  <si>
    <t xml:space="preserve">ООО «КСУМ» </t>
  </si>
  <si>
    <t>Не рассматривался ГТО</t>
  </si>
  <si>
    <t>2 этап
 (2020-2021)</t>
  </si>
  <si>
    <t>Потенциальная подрядная организация</t>
  </si>
  <si>
    <t>ЗУ имеется, документы представят до 01.12.21</t>
  </si>
  <si>
    <t>Имеются 4 ЗУ, документы представят до 01.12.2021</t>
  </si>
  <si>
    <t>Средства ОБ на оплату разнирцы в стоимости 1 кв.м, руб.</t>
  </si>
  <si>
    <t>Аванс 30%</t>
  </si>
  <si>
    <t xml:space="preserve">Ржевский р-н, 
д. Хорошеево </t>
  </si>
  <si>
    <t>пгт Орша, 
ул. Школьная</t>
  </si>
  <si>
    <t>69:44:0080533:663,
69:44:0080533:8</t>
  </si>
  <si>
    <t>г. Бологое, 
мкр. Западный</t>
  </si>
  <si>
    <t>Селижаровский р-н, п. Селище ул. Лесная</t>
  </si>
  <si>
    <t>Год аванса</t>
  </si>
  <si>
    <t>Год заключения контракта</t>
  </si>
  <si>
    <t>Год сдачи объекта</t>
  </si>
  <si>
    <t>Завершение оплаты</t>
  </si>
  <si>
    <t>Андреапольский м. о.</t>
  </si>
  <si>
    <t>Селижаровский м. о. округ</t>
  </si>
  <si>
    <t>Кашинский г. о.</t>
  </si>
  <si>
    <t>Нелидовский  г. о.</t>
  </si>
  <si>
    <t>Осташковский г. О.</t>
  </si>
  <si>
    <t>Пеновский м. о.</t>
  </si>
  <si>
    <t>ДОСРОЧНОЕ ЗАВЕРШЕНИЕ
Итого по 5 этапу:</t>
  </si>
  <si>
    <t>ДОСРОЧНОЕ ЗАВЕРШЕНИЕ
Итого по 6 этапу:</t>
  </si>
  <si>
    <t>Бельский м. р.</t>
  </si>
  <si>
    <t>Вышневолоцкий г. о.</t>
  </si>
  <si>
    <t xml:space="preserve">Максатихинский м.р. </t>
  </si>
  <si>
    <t xml:space="preserve">Селижаровский м. о. </t>
  </si>
  <si>
    <t>Средства ОБ Тверской оласти</t>
  </si>
  <si>
    <t>п. Селище ул. Лесная</t>
  </si>
  <si>
    <t>пос. Южный, 
ул. Космонавтов
пос. Южный, 
ул. Моторная</t>
  </si>
  <si>
    <t>Вышневолоцкий
 г. о.</t>
  </si>
  <si>
    <t xml:space="preserve">Селижаровский
 м. о. </t>
  </si>
  <si>
    <t>Пеновский 
 м. о.</t>
  </si>
  <si>
    <t xml:space="preserve">Селижаровский 
м. о. </t>
  </si>
  <si>
    <t>Осташковский
 г. о.</t>
  </si>
  <si>
    <t>ООО "Контакт +"</t>
  </si>
  <si>
    <t>ООО "Строительная Компания Олимп"</t>
  </si>
  <si>
    <t>п. Селижарово, 
ул. Урицкого</t>
  </si>
  <si>
    <t xml:space="preserve">г. В. Волочек, 
ул. Шмидта </t>
  </si>
  <si>
    <t xml:space="preserve">пгт. Максатиха, 
ул. Парковая </t>
  </si>
  <si>
    <t>пгт. Максатиха, 
ул. Спортивная</t>
  </si>
  <si>
    <t>Кол-во помещений</t>
  </si>
  <si>
    <t xml:space="preserve">г. Кашин 
ул. Краснознаменская </t>
  </si>
  <si>
    <t>Средства 
ОБ Тверской оласти</t>
  </si>
  <si>
    <t>4 земельных участка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</si>
</sst>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₽_-;\-* #,##0\ _₽_-;_-* &quot;-&quot;\ _₽_-;_-@_-"/>
    <numFmt numFmtId="165" formatCode="_-* #,##0.00\ _₽_-;\-* #,##0.00\ _₽_-;_-* &quot;-&quot;??\ _₽_-;_-@_-"/>
    <numFmt numFmtId="166" formatCode="_-* #,##0\ _₽_-;\-* #,##0\ _₽_-;_-* &quot;-&quot;??\ _₽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5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5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A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5" fontId="6" fillId="3" borderId="1" xfId="1" applyFont="1" applyFill="1" applyBorder="1" applyAlignment="1">
      <alignment horizontal="center" vertical="center" wrapText="1"/>
    </xf>
    <xf numFmtId="165" fontId="6" fillId="0" borderId="1" xfId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165" fontId="6" fillId="0" borderId="1" xfId="1" applyFont="1" applyFill="1" applyBorder="1" applyAlignment="1">
      <alignment horizontal="center" vertical="center" wrapText="1"/>
    </xf>
    <xf numFmtId="165" fontId="8" fillId="0" borderId="1" xfId="1" applyFont="1" applyFill="1" applyBorder="1" applyAlignment="1">
      <alignment horizontal="center" vertical="center" wrapText="1"/>
    </xf>
    <xf numFmtId="165" fontId="8" fillId="0" borderId="6" xfId="1" applyFont="1" applyFill="1" applyBorder="1" applyAlignment="1">
      <alignment horizontal="center" vertical="center" wrapText="1"/>
    </xf>
    <xf numFmtId="166" fontId="8" fillId="5" borderId="1" xfId="1" applyNumberFormat="1" applyFont="1" applyFill="1" applyBorder="1" applyAlignment="1">
      <alignment horizontal="center" vertical="center" wrapText="1"/>
    </xf>
    <xf numFmtId="165" fontId="8" fillId="5" borderId="1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165" fontId="8" fillId="5" borderId="6" xfId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7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5" fontId="6" fillId="3" borderId="1" xfId="1" applyFont="1" applyFill="1" applyBorder="1" applyAlignment="1">
      <alignment horizontal="center" vertical="center" wrapText="1"/>
    </xf>
    <xf numFmtId="165" fontId="6" fillId="3" borderId="1" xfId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 wrapText="1"/>
    </xf>
    <xf numFmtId="165" fontId="6" fillId="0" borderId="1" xfId="1" applyFont="1" applyFill="1" applyBorder="1" applyAlignment="1">
      <alignment horizontal="center" vertical="center" wrapText="1"/>
    </xf>
    <xf numFmtId="0" fontId="9" fillId="3" borderId="1" xfId="4" applyFont="1" applyFill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65" fontId="10" fillId="3" borderId="1" xfId="1" applyFont="1" applyFill="1" applyBorder="1" applyAlignment="1">
      <alignment horizontal="center" vertical="center" wrapText="1"/>
    </xf>
    <xf numFmtId="165" fontId="8" fillId="3" borderId="1" xfId="1" applyFont="1" applyFill="1" applyBorder="1" applyAlignment="1">
      <alignment horizontal="center" vertical="center" wrapText="1"/>
    </xf>
    <xf numFmtId="165" fontId="8" fillId="3" borderId="6" xfId="1" applyFont="1" applyFill="1" applyBorder="1" applyAlignment="1">
      <alignment horizontal="center" vertical="center" wrapText="1"/>
    </xf>
    <xf numFmtId="166" fontId="6" fillId="0" borderId="1" xfId="1" applyNumberFormat="1" applyFont="1" applyBorder="1" applyAlignment="1">
      <alignment vertical="center" wrapText="1"/>
    </xf>
    <xf numFmtId="165" fontId="6" fillId="0" borderId="1" xfId="1" applyFont="1" applyBorder="1" applyAlignment="1">
      <alignment vertical="center" wrapText="1"/>
    </xf>
    <xf numFmtId="165" fontId="8" fillId="5" borderId="1" xfId="1" applyFont="1" applyFill="1" applyBorder="1" applyAlignment="1">
      <alignment horizontal="center" vertical="center" wrapText="1"/>
    </xf>
    <xf numFmtId="164" fontId="8" fillId="2" borderId="8" xfId="1" applyNumberFormat="1" applyFont="1" applyFill="1" applyBorder="1" applyAlignment="1">
      <alignment vertical="center" wrapText="1"/>
    </xf>
    <xf numFmtId="165" fontId="8" fillId="2" borderId="8" xfId="1" applyFont="1" applyFill="1" applyBorder="1" applyAlignment="1">
      <alignment vertical="center" wrapText="1"/>
    </xf>
    <xf numFmtId="165" fontId="8" fillId="2" borderId="9" xfId="1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5" fontId="6" fillId="0" borderId="13" xfId="1" applyFont="1" applyFill="1" applyBorder="1" applyAlignment="1">
      <alignment horizontal="center" vertical="center" wrapText="1"/>
    </xf>
    <xf numFmtId="165" fontId="8" fillId="5" borderId="13" xfId="1" applyFont="1" applyFill="1" applyBorder="1" applyAlignment="1">
      <alignment horizontal="center" vertical="center" wrapText="1"/>
    </xf>
    <xf numFmtId="165" fontId="6" fillId="3" borderId="13" xfId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5" fontId="8" fillId="0" borderId="13" xfId="1" applyFont="1" applyFill="1" applyBorder="1" applyAlignment="1">
      <alignment horizontal="center" vertical="center" wrapText="1"/>
    </xf>
    <xf numFmtId="166" fontId="6" fillId="3" borderId="15" xfId="1" applyNumberFormat="1" applyFont="1" applyFill="1" applyBorder="1" applyAlignment="1">
      <alignment horizontal="center" vertical="center" wrapText="1"/>
    </xf>
    <xf numFmtId="165" fontId="6" fillId="3" borderId="15" xfId="1" applyFont="1" applyFill="1" applyBorder="1" applyAlignment="1">
      <alignment horizontal="center" vertical="center" wrapText="1"/>
    </xf>
    <xf numFmtId="0" fontId="6" fillId="3" borderId="15" xfId="1" applyNumberFormat="1" applyFont="1" applyFill="1" applyBorder="1" applyAlignment="1">
      <alignment horizontal="center" vertical="center" wrapText="1"/>
    </xf>
    <xf numFmtId="165" fontId="8" fillId="0" borderId="16" xfId="1" applyFont="1" applyFill="1" applyBorder="1" applyAlignment="1">
      <alignment horizontal="center" vertical="center" wrapText="1"/>
    </xf>
    <xf numFmtId="165" fontId="8" fillId="3" borderId="13" xfId="1" applyFont="1" applyFill="1" applyBorder="1" applyAlignment="1">
      <alignment horizontal="center" vertical="center" wrapText="1"/>
    </xf>
    <xf numFmtId="165" fontId="6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5" fontId="8" fillId="5" borderId="1" xfId="1" applyFont="1" applyFill="1" applyBorder="1" applyAlignment="1">
      <alignment horizontal="center" vertical="center" wrapText="1"/>
    </xf>
    <xf numFmtId="165" fontId="6" fillId="3" borderId="1" xfId="1" applyFont="1" applyFill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65" fontId="6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5" fontId="8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vertical="center" wrapText="1"/>
    </xf>
    <xf numFmtId="165" fontId="8" fillId="2" borderId="1" xfId="1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6" fontId="11" fillId="3" borderId="1" xfId="1" applyNumberFormat="1" applyFont="1" applyFill="1" applyBorder="1" applyAlignment="1">
      <alignment horizontal="center" vertical="center" wrapText="1"/>
    </xf>
    <xf numFmtId="165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165" fontId="11" fillId="3" borderId="1" xfId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5" fontId="11" fillId="0" borderId="1" xfId="1" applyFont="1" applyFill="1" applyBorder="1" applyAlignment="1">
      <alignment horizontal="center" vertical="center" wrapText="1"/>
    </xf>
    <xf numFmtId="165" fontId="12" fillId="0" borderId="1" xfId="1" applyFont="1" applyFill="1" applyBorder="1" applyAlignment="1">
      <alignment horizontal="center" vertical="center" wrapText="1"/>
    </xf>
    <xf numFmtId="166" fontId="11" fillId="6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6" fontId="12" fillId="5" borderId="1" xfId="1" applyNumberFormat="1" applyFont="1" applyFill="1" applyBorder="1" applyAlignment="1">
      <alignment horizontal="center" vertical="center" wrapText="1"/>
    </xf>
    <xf numFmtId="165" fontId="12" fillId="5" borderId="1" xfId="1" applyFont="1" applyFill="1" applyBorder="1" applyAlignment="1">
      <alignment horizontal="center" vertical="center" wrapText="1"/>
    </xf>
    <xf numFmtId="0" fontId="12" fillId="5" borderId="1" xfId="1" applyNumberFormat="1" applyFont="1" applyFill="1" applyBorder="1" applyAlignment="1">
      <alignment horizontal="center" vertical="center" wrapText="1"/>
    </xf>
    <xf numFmtId="165" fontId="12" fillId="6" borderId="1" xfId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5" fontId="13" fillId="3" borderId="1" xfId="1" applyFont="1" applyFill="1" applyBorder="1" applyAlignment="1">
      <alignment horizontal="center" vertical="center" wrapText="1"/>
    </xf>
    <xf numFmtId="165" fontId="11" fillId="3" borderId="1" xfId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4" fillId="3" borderId="1" xfId="4" applyFont="1" applyFill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15" fillId="3" borderId="1" xfId="1" applyFont="1" applyFill="1" applyBorder="1" applyAlignment="1">
      <alignment horizontal="center" vertical="center" wrapText="1"/>
    </xf>
    <xf numFmtId="165" fontId="12" fillId="3" borderId="1" xfId="1" applyFont="1" applyFill="1" applyBorder="1" applyAlignment="1">
      <alignment horizontal="center" vertical="center" wrapText="1"/>
    </xf>
    <xf numFmtId="166" fontId="11" fillId="0" borderId="1" xfId="1" applyNumberFormat="1" applyFont="1" applyBorder="1" applyAlignment="1">
      <alignment vertical="center" wrapText="1"/>
    </xf>
    <xf numFmtId="165" fontId="11" fillId="0" borderId="1" xfId="1" applyFont="1" applyBorder="1" applyAlignment="1">
      <alignment vertical="center" wrapText="1"/>
    </xf>
    <xf numFmtId="164" fontId="12" fillId="2" borderId="1" xfId="1" applyNumberFormat="1" applyFont="1" applyFill="1" applyBorder="1" applyAlignment="1">
      <alignment vertical="center" wrapText="1"/>
    </xf>
    <xf numFmtId="165" fontId="12" fillId="2" borderId="1" xfId="1" applyFont="1" applyFill="1" applyBorder="1" applyAlignment="1">
      <alignment vertical="center" wrapText="1"/>
    </xf>
    <xf numFmtId="165" fontId="12" fillId="6" borderId="1" xfId="1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165" fontId="8" fillId="0" borderId="15" xfId="1" applyFont="1" applyFill="1" applyBorder="1" applyAlignment="1">
      <alignment horizontal="center" vertical="center" wrapText="1"/>
    </xf>
    <xf numFmtId="165" fontId="8" fillId="0" borderId="14" xfId="1" applyFont="1" applyFill="1" applyBorder="1" applyAlignment="1">
      <alignment horizontal="center" vertical="center" wrapText="1"/>
    </xf>
    <xf numFmtId="165" fontId="6" fillId="0" borderId="15" xfId="1" applyFont="1" applyFill="1" applyBorder="1" applyAlignment="1">
      <alignment horizontal="center" vertical="center" wrapText="1"/>
    </xf>
    <xf numFmtId="165" fontId="6" fillId="0" borderId="14" xfId="1" applyFont="1" applyFill="1" applyBorder="1" applyAlignment="1">
      <alignment horizontal="center" vertical="center" wrapText="1"/>
    </xf>
    <xf numFmtId="165" fontId="6" fillId="0" borderId="1" xfId="1" applyFont="1" applyFill="1" applyBorder="1" applyAlignment="1">
      <alignment horizontal="center" vertical="center" wrapText="1"/>
    </xf>
    <xf numFmtId="165" fontId="8" fillId="2" borderId="7" xfId="1" applyFont="1" applyFill="1" applyBorder="1" applyAlignment="1">
      <alignment horizontal="center" vertical="center" wrapText="1"/>
    </xf>
    <xf numFmtId="165" fontId="8" fillId="2" borderId="8" xfId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5" fontId="8" fillId="5" borderId="5" xfId="1" applyFont="1" applyFill="1" applyBorder="1" applyAlignment="1">
      <alignment horizontal="center" vertical="center" wrapText="1"/>
    </xf>
    <xf numFmtId="165" fontId="8" fillId="5" borderId="1" xfId="1" applyFont="1" applyFill="1" applyBorder="1" applyAlignment="1">
      <alignment horizontal="center" vertical="center" wrapText="1"/>
    </xf>
    <xf numFmtId="165" fontId="8" fillId="0" borderId="6" xfId="1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5" fontId="8" fillId="0" borderId="1" xfId="1" applyFont="1" applyBorder="1" applyAlignment="1">
      <alignment horizontal="center" vertical="center" wrapText="1"/>
    </xf>
    <xf numFmtId="165" fontId="6" fillId="3" borderId="1" xfId="1" applyFont="1" applyFill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65" fontId="6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5" fontId="8" fillId="0" borderId="6" xfId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165" fontId="8" fillId="0" borderId="1" xfId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5" fontId="12" fillId="0" borderId="1" xfId="1" applyFont="1" applyFill="1" applyBorder="1" applyAlignment="1">
      <alignment horizontal="center" vertical="center" wrapText="1"/>
    </xf>
    <xf numFmtId="165" fontId="11" fillId="0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 wrapText="1"/>
    </xf>
    <xf numFmtId="165" fontId="11" fillId="0" borderId="1" xfId="1" applyFont="1" applyBorder="1" applyAlignment="1">
      <alignment horizontal="center" vertical="center" wrapText="1"/>
    </xf>
    <xf numFmtId="165" fontId="12" fillId="0" borderId="1" xfId="1" applyFont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11" fillId="6" borderId="1" xfId="1" applyNumberFormat="1" applyFont="1" applyFill="1" applyBorder="1" applyAlignment="1">
      <alignment horizontal="center" vertical="center" wrapText="1"/>
    </xf>
    <xf numFmtId="165" fontId="11" fillId="3" borderId="1" xfId="1" applyFont="1" applyFill="1" applyBorder="1" applyAlignment="1">
      <alignment horizontal="center" vertical="center" wrapText="1"/>
    </xf>
    <xf numFmtId="166" fontId="11" fillId="3" borderId="1" xfId="1" applyNumberFormat="1" applyFont="1" applyFill="1" applyBorder="1" applyAlignment="1">
      <alignment horizontal="center" vertical="center" wrapText="1"/>
    </xf>
    <xf numFmtId="165" fontId="12" fillId="2" borderId="1" xfId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165" fontId="8" fillId="2" borderId="1" xfId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5">
    <cellStyle name="Обычный" xfId="0" builtinId="0"/>
    <cellStyle name="Обычный 2 2" xfId="2" xr:uid="{00000000-0005-0000-0000-000001000000}"/>
    <cellStyle name="Обычный 6 4 2" xfId="4" xr:uid="{00000000-0005-0000-0000-000002000000}"/>
    <cellStyle name="Финансовый" xfId="1" builtinId="3"/>
    <cellStyle name="Финансовый 2" xfId="3" xr:uid="{00000000-0005-0000-0000-000004000000}"/>
  </cellStyles>
  <dxfs count="0"/>
  <tableStyles count="0" defaultTableStyle="TableStyleMedium9" defaultPivotStyle="PivotStyleLight16"/>
  <colors>
    <mruColors>
      <color rgb="FFAF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view="pageBreakPreview" zoomScale="55" zoomScaleSheetLayoutView="55" workbookViewId="0">
      <pane ySplit="4" topLeftCell="A5" activePane="bottomLeft" state="frozen"/>
      <selection pane="bottomLeft" activeCell="M21" sqref="M21"/>
    </sheetView>
  </sheetViews>
  <sheetFormatPr defaultColWidth="9.140625" defaultRowHeight="15.75" x14ac:dyDescent="0.25"/>
  <cols>
    <col min="1" max="1" width="18.28515625" style="1" customWidth="1"/>
    <col min="2" max="2" width="19.85546875" style="1" customWidth="1"/>
    <col min="3" max="3" width="29.85546875" style="1" customWidth="1"/>
    <col min="4" max="4" width="14.42578125" style="1" customWidth="1"/>
    <col min="5" max="5" width="16.28515625" style="1" hidden="1" customWidth="1"/>
    <col min="6" max="6" width="17.140625" style="1" customWidth="1"/>
    <col min="7" max="7" width="19.7109375" style="1" customWidth="1"/>
    <col min="8" max="8" width="9.42578125" style="1" customWidth="1"/>
    <col min="9" max="9" width="12.85546875" style="1" customWidth="1"/>
    <col min="10" max="10" width="24" style="1" customWidth="1"/>
    <col min="11" max="11" width="26.5703125" style="1" customWidth="1"/>
    <col min="12" max="12" width="17.42578125" style="1" customWidth="1"/>
    <col min="13" max="13" width="31.140625" style="1" customWidth="1"/>
    <col min="14" max="14" width="26.28515625" style="2" customWidth="1"/>
    <col min="15" max="15" width="25" style="1" customWidth="1"/>
    <col min="16" max="16" width="23.7109375" style="1" customWidth="1"/>
    <col min="17" max="17" width="23.42578125" style="1" customWidth="1"/>
    <col min="18" max="28" width="24.42578125" style="1" customWidth="1"/>
    <col min="29" max="29" width="28.140625" style="2" customWidth="1"/>
    <col min="30" max="16384" width="9.140625" style="1"/>
  </cols>
  <sheetData>
    <row r="1" spans="1:34" ht="12.6" customHeight="1" x14ac:dyDescent="0.25"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</row>
    <row r="2" spans="1:34" ht="20.25" x14ac:dyDescent="0.25">
      <c r="A2" s="2"/>
      <c r="B2" s="2"/>
      <c r="C2" s="2"/>
      <c r="D2" s="2"/>
      <c r="E2" s="2"/>
      <c r="F2" s="2"/>
      <c r="G2" s="2"/>
      <c r="H2" s="135" t="s">
        <v>65</v>
      </c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24" customHeight="1" thickBot="1" x14ac:dyDescent="0.3">
      <c r="S3" s="136" t="s">
        <v>111</v>
      </c>
      <c r="T3" s="136"/>
      <c r="U3" s="136"/>
      <c r="V3" s="136"/>
      <c r="W3" s="136"/>
      <c r="X3" s="137">
        <v>0.7</v>
      </c>
      <c r="Y3" s="137"/>
      <c r="Z3" s="137"/>
      <c r="AA3" s="137"/>
      <c r="AB3" s="137"/>
      <c r="AC3" s="55"/>
    </row>
    <row r="4" spans="1:34" ht="47.25" x14ac:dyDescent="0.25">
      <c r="A4" s="5" t="s">
        <v>5</v>
      </c>
      <c r="B4" s="6" t="s">
        <v>6</v>
      </c>
      <c r="C4" s="6" t="s">
        <v>0</v>
      </c>
      <c r="D4" s="6" t="s">
        <v>1</v>
      </c>
      <c r="E4" s="6" t="s">
        <v>3</v>
      </c>
      <c r="F4" s="6" t="s">
        <v>2</v>
      </c>
      <c r="G4" s="6" t="s">
        <v>4</v>
      </c>
      <c r="H4" s="7" t="s">
        <v>7</v>
      </c>
      <c r="I4" s="7" t="s">
        <v>24</v>
      </c>
      <c r="J4" s="8" t="s">
        <v>21</v>
      </c>
      <c r="K4" s="8" t="s">
        <v>22</v>
      </c>
      <c r="L4" s="8" t="s">
        <v>23</v>
      </c>
      <c r="M4" s="8" t="s">
        <v>89</v>
      </c>
      <c r="N4" s="9" t="s">
        <v>87</v>
      </c>
      <c r="O4" s="6" t="s">
        <v>58</v>
      </c>
      <c r="P4" s="6" t="s">
        <v>59</v>
      </c>
      <c r="Q4" s="6" t="s">
        <v>60</v>
      </c>
      <c r="R4" s="6" t="s">
        <v>110</v>
      </c>
      <c r="S4" s="53" t="s">
        <v>87</v>
      </c>
      <c r="T4" s="54" t="s">
        <v>58</v>
      </c>
      <c r="U4" s="54" t="s">
        <v>59</v>
      </c>
      <c r="V4" s="54" t="s">
        <v>60</v>
      </c>
      <c r="W4" s="54" t="s">
        <v>110</v>
      </c>
      <c r="X4" s="53" t="s">
        <v>87</v>
      </c>
      <c r="Y4" s="54" t="s">
        <v>58</v>
      </c>
      <c r="Z4" s="54" t="s">
        <v>59</v>
      </c>
      <c r="AA4" s="54" t="s">
        <v>60</v>
      </c>
      <c r="AB4" s="54" t="s">
        <v>110</v>
      </c>
      <c r="AC4" s="56" t="s">
        <v>100</v>
      </c>
    </row>
    <row r="5" spans="1:34" ht="52.5" customHeight="1" x14ac:dyDescent="0.25">
      <c r="A5" s="11" t="s">
        <v>106</v>
      </c>
      <c r="B5" s="12">
        <v>44550</v>
      </c>
      <c r="C5" s="13" t="s">
        <v>13</v>
      </c>
      <c r="D5" s="14">
        <v>39</v>
      </c>
      <c r="E5" s="14">
        <v>86</v>
      </c>
      <c r="F5" s="15">
        <v>2028.2</v>
      </c>
      <c r="G5" s="16">
        <v>2042.9</v>
      </c>
      <c r="H5" s="17">
        <v>1</v>
      </c>
      <c r="I5" s="17">
        <v>4</v>
      </c>
      <c r="J5" s="15" t="s">
        <v>44</v>
      </c>
      <c r="K5" s="18" t="s">
        <v>71</v>
      </c>
      <c r="L5" s="15">
        <v>3050</v>
      </c>
      <c r="M5" s="19" t="s">
        <v>90</v>
      </c>
      <c r="N5" s="20">
        <f>SUM(O5:R5)</f>
        <v>105659809.45</v>
      </c>
      <c r="O5" s="19">
        <f>F5*39785*97%</f>
        <v>78271178.890000001</v>
      </c>
      <c r="P5" s="19">
        <f>F5*39785*3%</f>
        <v>2420758.11</v>
      </c>
      <c r="Q5" s="19">
        <f>(G5-F5)*39785</f>
        <v>584839.50000000186</v>
      </c>
      <c r="R5" s="50">
        <v>24383032.949999999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21" t="s">
        <v>102</v>
      </c>
    </row>
    <row r="6" spans="1:34" s="2" customFormat="1" ht="19.5" x14ac:dyDescent="0.25">
      <c r="A6" s="129" t="s">
        <v>81</v>
      </c>
      <c r="B6" s="130"/>
      <c r="C6" s="130"/>
      <c r="D6" s="22">
        <f>SUM(D5:D5)</f>
        <v>39</v>
      </c>
      <c r="E6" s="22">
        <f>SUM(E5:E5)</f>
        <v>86</v>
      </c>
      <c r="F6" s="23">
        <f>SUM(F5:F5)</f>
        <v>2028.2</v>
      </c>
      <c r="G6" s="23">
        <f>SUM(G5:G5)</f>
        <v>2042.9</v>
      </c>
      <c r="H6" s="24"/>
      <c r="I6" s="24"/>
      <c r="J6" s="23"/>
      <c r="K6" s="25"/>
      <c r="L6" s="23"/>
      <c r="M6" s="23"/>
      <c r="N6" s="23">
        <f>SUM(N5:N5)</f>
        <v>105659809.45</v>
      </c>
      <c r="O6" s="23">
        <f>SUM(O5:O5)</f>
        <v>78271178.890000001</v>
      </c>
      <c r="P6" s="23">
        <f>SUM(P5:P5)</f>
        <v>2420758.11</v>
      </c>
      <c r="Q6" s="23">
        <f>SUM(Q5:Q5)</f>
        <v>584839.50000000186</v>
      </c>
      <c r="R6" s="45">
        <f>SUM(R5:R5)</f>
        <v>24383032.949999999</v>
      </c>
      <c r="S6" s="51"/>
      <c r="T6" s="51"/>
      <c r="U6" s="51"/>
      <c r="V6" s="51"/>
      <c r="W6" s="51"/>
      <c r="X6" s="51"/>
      <c r="Y6" s="51"/>
      <c r="Z6" s="51"/>
      <c r="AA6" s="51"/>
      <c r="AB6" s="51"/>
      <c r="AC6" s="26"/>
    </row>
    <row r="7" spans="1:34" ht="43.9" customHeight="1" x14ac:dyDescent="0.25">
      <c r="A7" s="124" t="s">
        <v>74</v>
      </c>
      <c r="B7" s="12">
        <v>44805</v>
      </c>
      <c r="C7" s="17" t="s">
        <v>68</v>
      </c>
      <c r="D7" s="14">
        <v>78</v>
      </c>
      <c r="E7" s="27">
        <v>201</v>
      </c>
      <c r="F7" s="15">
        <v>2532.4899999999998</v>
      </c>
      <c r="G7" s="15">
        <v>2957.2</v>
      </c>
      <c r="H7" s="28">
        <v>2</v>
      </c>
      <c r="I7" s="28">
        <v>3</v>
      </c>
      <c r="J7" s="15" t="s">
        <v>69</v>
      </c>
      <c r="K7" s="18" t="s">
        <v>70</v>
      </c>
      <c r="L7" s="15">
        <v>10791</v>
      </c>
      <c r="M7" s="19" t="s">
        <v>90</v>
      </c>
      <c r="N7" s="20">
        <f>SUM(O7:R7)</f>
        <v>152947862.59999999</v>
      </c>
      <c r="O7" s="19">
        <f>F7*39785*97%</f>
        <v>97732461.210499987</v>
      </c>
      <c r="P7" s="19">
        <f>F7*39785*3%</f>
        <v>3022653.4394999994</v>
      </c>
      <c r="Q7" s="19">
        <f>(G7-F7)*39785</f>
        <v>16897087.350000001</v>
      </c>
      <c r="R7" s="50">
        <v>35295660.600000001</v>
      </c>
      <c r="S7" s="59">
        <f>N7*0.3</f>
        <v>45884358.779999994</v>
      </c>
      <c r="T7" s="50">
        <f t="shared" ref="T7:W11" si="0">O7*0.3</f>
        <v>29319738.363149997</v>
      </c>
      <c r="U7" s="50">
        <f t="shared" si="0"/>
        <v>906796.0318499998</v>
      </c>
      <c r="V7" s="50">
        <f t="shared" si="0"/>
        <v>5069126.2050000001</v>
      </c>
      <c r="W7" s="50">
        <f t="shared" si="0"/>
        <v>10588698.18</v>
      </c>
      <c r="X7" s="59">
        <f>N7-S7</f>
        <v>107063503.81999999</v>
      </c>
      <c r="Y7" s="50">
        <f t="shared" ref="Y7:AB11" si="1">O7-T7</f>
        <v>68412722.847349986</v>
      </c>
      <c r="Z7" s="50">
        <f t="shared" si="1"/>
        <v>2115857.4076499995</v>
      </c>
      <c r="AA7" s="50">
        <f t="shared" si="1"/>
        <v>11827961.145000001</v>
      </c>
      <c r="AB7" s="50">
        <f t="shared" si="1"/>
        <v>24706962.420000002</v>
      </c>
      <c r="AC7" s="21" t="s">
        <v>103</v>
      </c>
    </row>
    <row r="8" spans="1:34" ht="44.25" customHeight="1" x14ac:dyDescent="0.25">
      <c r="A8" s="124"/>
      <c r="B8" s="12">
        <v>44805</v>
      </c>
      <c r="C8" s="29" t="s">
        <v>67</v>
      </c>
      <c r="D8" s="14">
        <v>68</v>
      </c>
      <c r="E8" s="14">
        <v>84</v>
      </c>
      <c r="F8" s="15">
        <v>2250.1999999999998</v>
      </c>
      <c r="G8" s="16">
        <v>2607.9</v>
      </c>
      <c r="H8" s="28">
        <v>1</v>
      </c>
      <c r="I8" s="28">
        <v>4</v>
      </c>
      <c r="J8" s="15" t="s">
        <v>72</v>
      </c>
      <c r="K8" s="18" t="s">
        <v>73</v>
      </c>
      <c r="L8" s="15">
        <v>3573</v>
      </c>
      <c r="M8" s="19" t="s">
        <v>90</v>
      </c>
      <c r="N8" s="36">
        <f>SUM(O8:R8)</f>
        <v>134881891.94999999</v>
      </c>
      <c r="O8" s="37">
        <f>F8*39785*97%</f>
        <v>86838480.789999992</v>
      </c>
      <c r="P8" s="37">
        <f>F8*39785*3%</f>
        <v>2685726.21</v>
      </c>
      <c r="Q8" s="37">
        <f>(G8-F8)*39785</f>
        <v>14231094.500000011</v>
      </c>
      <c r="R8" s="50">
        <v>31126590.449999999</v>
      </c>
      <c r="S8" s="59">
        <f t="shared" ref="S8:S11" si="2">N8*0.3</f>
        <v>40464567.584999993</v>
      </c>
      <c r="T8" s="50">
        <f t="shared" si="0"/>
        <v>26051544.236999996</v>
      </c>
      <c r="U8" s="50">
        <f t="shared" si="0"/>
        <v>805717.86300000001</v>
      </c>
      <c r="V8" s="50">
        <f t="shared" si="0"/>
        <v>4269328.3500000034</v>
      </c>
      <c r="W8" s="50">
        <f t="shared" si="0"/>
        <v>9337977.1349999998</v>
      </c>
      <c r="X8" s="59">
        <f t="shared" ref="X8:X11" si="3">N8-S8</f>
        <v>94417324.364999995</v>
      </c>
      <c r="Y8" s="50">
        <f t="shared" si="1"/>
        <v>60786936.552999996</v>
      </c>
      <c r="Z8" s="50">
        <f t="shared" si="1"/>
        <v>1880008.3470000001</v>
      </c>
      <c r="AA8" s="50">
        <f t="shared" si="1"/>
        <v>9961766.1500000078</v>
      </c>
      <c r="AB8" s="50">
        <f t="shared" si="1"/>
        <v>21788613.314999998</v>
      </c>
      <c r="AC8" s="21" t="s">
        <v>101</v>
      </c>
    </row>
    <row r="9" spans="1:34" ht="44.25" customHeight="1" x14ac:dyDescent="0.25">
      <c r="A9" s="124"/>
      <c r="B9" s="58">
        <v>44875</v>
      </c>
      <c r="C9" s="29" t="s">
        <v>12</v>
      </c>
      <c r="D9" s="14">
        <v>43</v>
      </c>
      <c r="E9" s="14">
        <v>110</v>
      </c>
      <c r="F9" s="16">
        <v>1585.4</v>
      </c>
      <c r="G9" s="16">
        <v>1783</v>
      </c>
      <c r="H9" s="28">
        <v>1</v>
      </c>
      <c r="I9" s="30" t="s">
        <v>63</v>
      </c>
      <c r="J9" s="34" t="s">
        <v>112</v>
      </c>
      <c r="K9" s="18" t="s">
        <v>62</v>
      </c>
      <c r="L9" s="15">
        <v>3854</v>
      </c>
      <c r="M9" s="19" t="s">
        <v>90</v>
      </c>
      <c r="N9" s="36">
        <f t="shared" ref="N9:N11" si="4">SUM(O9:R9)</f>
        <v>100898187</v>
      </c>
      <c r="O9" s="37">
        <f t="shared" ref="O9:O11" si="5">F9*39785*97%</f>
        <v>61182884.829999998</v>
      </c>
      <c r="P9" s="37">
        <f t="shared" ref="P9:P11" si="6">F9*39785*3%</f>
        <v>1892254.17</v>
      </c>
      <c r="Q9" s="37">
        <f t="shared" ref="Q9:Q11" si="7">(G9-F9)*39785</f>
        <v>7861515.9999999963</v>
      </c>
      <c r="R9" s="50">
        <f>(56589-39785)*G9</f>
        <v>29961532</v>
      </c>
      <c r="S9" s="59">
        <f t="shared" si="2"/>
        <v>30269456.099999998</v>
      </c>
      <c r="T9" s="50">
        <f t="shared" si="0"/>
        <v>18354865.448999997</v>
      </c>
      <c r="U9" s="50">
        <f t="shared" si="0"/>
        <v>567676.25099999993</v>
      </c>
      <c r="V9" s="50">
        <f t="shared" si="0"/>
        <v>2358454.7999999989</v>
      </c>
      <c r="W9" s="50">
        <f t="shared" si="0"/>
        <v>8988459.5999999996</v>
      </c>
      <c r="X9" s="59">
        <f t="shared" si="3"/>
        <v>70628730.900000006</v>
      </c>
      <c r="Y9" s="50">
        <f t="shared" si="1"/>
        <v>42828019.380999997</v>
      </c>
      <c r="Z9" s="50">
        <f t="shared" si="1"/>
        <v>1324577.919</v>
      </c>
      <c r="AA9" s="50">
        <f t="shared" si="1"/>
        <v>5503061.1999999974</v>
      </c>
      <c r="AB9" s="50">
        <f t="shared" si="1"/>
        <v>20973072.399999999</v>
      </c>
      <c r="AC9" s="21" t="s">
        <v>104</v>
      </c>
    </row>
    <row r="10" spans="1:34" ht="44.25" customHeight="1" x14ac:dyDescent="0.25">
      <c r="A10" s="124"/>
      <c r="B10" s="58">
        <v>44875</v>
      </c>
      <c r="C10" s="29" t="s">
        <v>14</v>
      </c>
      <c r="D10" s="14">
        <v>49</v>
      </c>
      <c r="E10" s="14">
        <v>144</v>
      </c>
      <c r="F10" s="16">
        <v>2221.1</v>
      </c>
      <c r="G10" s="16">
        <v>2306.1</v>
      </c>
      <c r="H10" s="28">
        <v>1</v>
      </c>
      <c r="I10" s="28" t="s">
        <v>64</v>
      </c>
      <c r="J10" s="34" t="s">
        <v>113</v>
      </c>
      <c r="K10" s="15" t="s">
        <v>26</v>
      </c>
      <c r="L10" s="15">
        <v>9077</v>
      </c>
      <c r="M10" s="19" t="s">
        <v>90</v>
      </c>
      <c r="N10" s="36">
        <f t="shared" si="4"/>
        <v>130499892.90000001</v>
      </c>
      <c r="O10" s="37">
        <f t="shared" si="5"/>
        <v>85715469.594999999</v>
      </c>
      <c r="P10" s="37">
        <f t="shared" si="6"/>
        <v>2650993.9049999998</v>
      </c>
      <c r="Q10" s="37">
        <f t="shared" si="7"/>
        <v>3381725</v>
      </c>
      <c r="R10" s="50">
        <f t="shared" ref="R10:R11" si="8">(56589-39785)*G10</f>
        <v>38751704.399999999</v>
      </c>
      <c r="S10" s="59">
        <f t="shared" si="2"/>
        <v>39149967.869999997</v>
      </c>
      <c r="T10" s="50">
        <f t="shared" si="0"/>
        <v>25714640.8785</v>
      </c>
      <c r="U10" s="50">
        <f t="shared" si="0"/>
        <v>795298.17149999994</v>
      </c>
      <c r="V10" s="50">
        <f t="shared" si="0"/>
        <v>1014517.5</v>
      </c>
      <c r="W10" s="50">
        <f t="shared" si="0"/>
        <v>11625511.319999998</v>
      </c>
      <c r="X10" s="59">
        <f t="shared" si="3"/>
        <v>91349925.030000001</v>
      </c>
      <c r="Y10" s="50">
        <f t="shared" si="1"/>
        <v>60000828.716499999</v>
      </c>
      <c r="Z10" s="50">
        <f t="shared" si="1"/>
        <v>1855695.7334999999</v>
      </c>
      <c r="AA10" s="50">
        <f t="shared" si="1"/>
        <v>2367207.5</v>
      </c>
      <c r="AB10" s="50">
        <f t="shared" si="1"/>
        <v>27126193.079999998</v>
      </c>
      <c r="AC10" s="21" t="s">
        <v>104</v>
      </c>
    </row>
    <row r="11" spans="1:34" ht="44.25" customHeight="1" x14ac:dyDescent="0.25">
      <c r="A11" s="124"/>
      <c r="B11" s="58">
        <v>44880</v>
      </c>
      <c r="C11" s="31" t="s">
        <v>10</v>
      </c>
      <c r="D11" s="14">
        <v>75</v>
      </c>
      <c r="E11" s="14">
        <v>201</v>
      </c>
      <c r="F11" s="16">
        <v>2813.48</v>
      </c>
      <c r="G11" s="15">
        <v>3198.64</v>
      </c>
      <c r="H11" s="28">
        <v>1</v>
      </c>
      <c r="I11" s="28">
        <v>9</v>
      </c>
      <c r="J11" s="15" t="s">
        <v>27</v>
      </c>
      <c r="K11" s="15" t="s">
        <v>28</v>
      </c>
      <c r="L11" s="15">
        <v>11212</v>
      </c>
      <c r="M11" s="19" t="s">
        <v>90</v>
      </c>
      <c r="N11" s="36">
        <f t="shared" si="4"/>
        <v>181007838.95999998</v>
      </c>
      <c r="O11" s="37">
        <f t="shared" si="5"/>
        <v>108576272.74599999</v>
      </c>
      <c r="P11" s="37">
        <f t="shared" si="6"/>
        <v>3358029.054</v>
      </c>
      <c r="Q11" s="37">
        <f t="shared" si="7"/>
        <v>15323590.599999994</v>
      </c>
      <c r="R11" s="50">
        <f t="shared" si="8"/>
        <v>53749946.559999995</v>
      </c>
      <c r="S11" s="59">
        <f t="shared" si="2"/>
        <v>54302351.687999994</v>
      </c>
      <c r="T11" s="50">
        <f t="shared" si="0"/>
        <v>32572881.823799998</v>
      </c>
      <c r="U11" s="50">
        <f t="shared" si="0"/>
        <v>1007408.7161999999</v>
      </c>
      <c r="V11" s="50">
        <f t="shared" si="0"/>
        <v>4597077.1799999978</v>
      </c>
      <c r="W11" s="50">
        <f t="shared" si="0"/>
        <v>16124983.967999998</v>
      </c>
      <c r="X11" s="59">
        <f t="shared" si="3"/>
        <v>126705487.27199998</v>
      </c>
      <c r="Y11" s="50">
        <f t="shared" si="1"/>
        <v>76003390.922199994</v>
      </c>
      <c r="Z11" s="50">
        <f t="shared" si="1"/>
        <v>2350620.3377999999</v>
      </c>
      <c r="AA11" s="50">
        <f t="shared" si="1"/>
        <v>10726513.419999996</v>
      </c>
      <c r="AB11" s="50">
        <f t="shared" si="1"/>
        <v>37624962.591999993</v>
      </c>
      <c r="AC11" s="21" t="s">
        <v>104</v>
      </c>
    </row>
    <row r="12" spans="1:34" s="2" customFormat="1" ht="19.5" x14ac:dyDescent="0.25">
      <c r="A12" s="130" t="s">
        <v>82</v>
      </c>
      <c r="B12" s="130"/>
      <c r="C12" s="130"/>
      <c r="D12" s="22">
        <f>SUM(D7:D11)</f>
        <v>313</v>
      </c>
      <c r="E12" s="22">
        <f t="shared" ref="E12:G12" si="9">SUM(E7:E11)</f>
        <v>740</v>
      </c>
      <c r="F12" s="23">
        <f t="shared" si="9"/>
        <v>11402.67</v>
      </c>
      <c r="G12" s="23">
        <f t="shared" si="9"/>
        <v>12852.84</v>
      </c>
      <c r="H12" s="25"/>
      <c r="I12" s="25"/>
      <c r="J12" s="23"/>
      <c r="K12" s="23"/>
      <c r="L12" s="23"/>
      <c r="M12" s="23"/>
      <c r="N12" s="23">
        <f t="shared" ref="N12:AB12" si="10">SUM(N7:N11)</f>
        <v>700235673.40999985</v>
      </c>
      <c r="O12" s="23">
        <f t="shared" si="10"/>
        <v>440045569.17149991</v>
      </c>
      <c r="P12" s="23">
        <f t="shared" si="10"/>
        <v>13609656.778499998</v>
      </c>
      <c r="Q12" s="23">
        <f t="shared" si="10"/>
        <v>57695013.450000003</v>
      </c>
      <c r="R12" s="45">
        <f t="shared" si="10"/>
        <v>188885434.00999999</v>
      </c>
      <c r="S12" s="45">
        <f t="shared" si="10"/>
        <v>210070702.02299997</v>
      </c>
      <c r="T12" s="45">
        <f t="shared" si="10"/>
        <v>132013670.75144999</v>
      </c>
      <c r="U12" s="45">
        <f t="shared" si="10"/>
        <v>4082897.0335499998</v>
      </c>
      <c r="V12" s="45">
        <f t="shared" si="10"/>
        <v>17308504.035</v>
      </c>
      <c r="W12" s="45">
        <f t="shared" si="10"/>
        <v>56665630.202999994</v>
      </c>
      <c r="X12" s="45">
        <f t="shared" si="10"/>
        <v>490164971.38699996</v>
      </c>
      <c r="Y12" s="45">
        <f t="shared" si="10"/>
        <v>308031898.42004991</v>
      </c>
      <c r="Z12" s="45">
        <f t="shared" si="10"/>
        <v>9526759.7449500002</v>
      </c>
      <c r="AA12" s="45">
        <f t="shared" si="10"/>
        <v>40386509.414999999</v>
      </c>
      <c r="AB12" s="45">
        <f t="shared" si="10"/>
        <v>132219803.80699998</v>
      </c>
      <c r="AC12" s="26"/>
    </row>
    <row r="13" spans="1:34" ht="43.5" customHeight="1" x14ac:dyDescent="0.25">
      <c r="A13" s="123" t="s">
        <v>75</v>
      </c>
      <c r="B13" s="13">
        <v>2022</v>
      </c>
      <c r="C13" s="13" t="s">
        <v>15</v>
      </c>
      <c r="D13" s="14">
        <v>27</v>
      </c>
      <c r="E13" s="14">
        <v>60</v>
      </c>
      <c r="F13" s="16">
        <v>1218.5999999999999</v>
      </c>
      <c r="G13" s="16">
        <v>1238.5</v>
      </c>
      <c r="H13" s="28">
        <v>1</v>
      </c>
      <c r="I13" s="28">
        <v>3</v>
      </c>
      <c r="J13" s="15" t="s">
        <v>61</v>
      </c>
      <c r="K13" s="15" t="s">
        <v>29</v>
      </c>
      <c r="L13" s="15">
        <v>4344</v>
      </c>
      <c r="M13" s="19" t="s">
        <v>90</v>
      </c>
      <c r="N13" s="20">
        <f>SUM(O13:R13)</f>
        <v>70085476.5</v>
      </c>
      <c r="O13" s="19">
        <f>F13*39785*97%</f>
        <v>47027540.969999999</v>
      </c>
      <c r="P13" s="19">
        <f>F13*39785*3%</f>
        <v>1454460.03</v>
      </c>
      <c r="Q13" s="19">
        <f>(G13-F13)*39785</f>
        <v>791721.50000000361</v>
      </c>
      <c r="R13" s="50">
        <f>(56589-39785)*G13</f>
        <v>20811754</v>
      </c>
      <c r="S13" s="59">
        <f>N13*0.3</f>
        <v>21025642.949999999</v>
      </c>
      <c r="T13" s="50">
        <f t="shared" ref="T13:W17" si="11">O13*0.3</f>
        <v>14108262.290999999</v>
      </c>
      <c r="U13" s="50">
        <f t="shared" si="11"/>
        <v>436338.00900000002</v>
      </c>
      <c r="V13" s="50">
        <f t="shared" si="11"/>
        <v>237516.45000000106</v>
      </c>
      <c r="W13" s="50">
        <f t="shared" si="11"/>
        <v>6243526.2000000002</v>
      </c>
      <c r="X13" s="59">
        <f>N13-S13</f>
        <v>49059833.549999997</v>
      </c>
      <c r="Y13" s="50">
        <f t="shared" ref="Y13:AB17" si="12">O13-T13</f>
        <v>32919278.678999998</v>
      </c>
      <c r="Z13" s="50">
        <f t="shared" si="12"/>
        <v>1018122.0209999999</v>
      </c>
      <c r="AA13" s="50">
        <f t="shared" si="12"/>
        <v>554205.05000000261</v>
      </c>
      <c r="AB13" s="50">
        <f t="shared" si="12"/>
        <v>14568227.800000001</v>
      </c>
      <c r="AC13" s="21"/>
    </row>
    <row r="14" spans="1:34" ht="43.5" customHeight="1" x14ac:dyDescent="0.25">
      <c r="A14" s="123"/>
      <c r="B14" s="13">
        <v>2023</v>
      </c>
      <c r="C14" s="13" t="s">
        <v>17</v>
      </c>
      <c r="D14" s="14">
        <v>47</v>
      </c>
      <c r="E14" s="14">
        <v>85</v>
      </c>
      <c r="F14" s="15">
        <v>1510.4</v>
      </c>
      <c r="G14" s="15">
        <v>1719.3</v>
      </c>
      <c r="H14" s="18">
        <v>2</v>
      </c>
      <c r="I14" s="18">
        <v>3</v>
      </c>
      <c r="J14" s="32" t="s">
        <v>115</v>
      </c>
      <c r="K14" s="15" t="s">
        <v>25</v>
      </c>
      <c r="L14" s="15" t="s">
        <v>25</v>
      </c>
      <c r="M14" s="15" t="s">
        <v>105</v>
      </c>
      <c r="N14" s="36">
        <f t="shared" ref="N14:N17" si="13">SUM(O14:R14)</f>
        <v>97293467.700000003</v>
      </c>
      <c r="O14" s="37">
        <f t="shared" ref="O14:O17" si="14">F14*39785*97%</f>
        <v>58288526.079999998</v>
      </c>
      <c r="P14" s="37">
        <f t="shared" ref="P14:P17" si="15">F14*39785*3%</f>
        <v>1802737.92</v>
      </c>
      <c r="Q14" s="37">
        <f t="shared" ref="Q14:Q17" si="16">(G14-F14)*39785</f>
        <v>8311086.4999999944</v>
      </c>
      <c r="R14" s="50">
        <f t="shared" ref="R14:R17" si="17">(56589-39785)*G14</f>
        <v>28891117.199999999</v>
      </c>
      <c r="S14" s="59">
        <f t="shared" ref="S14:S17" si="18">N14*0.3</f>
        <v>29188040.309999999</v>
      </c>
      <c r="T14" s="50">
        <f t="shared" si="11"/>
        <v>17486557.823999997</v>
      </c>
      <c r="U14" s="50">
        <f t="shared" si="11"/>
        <v>540821.37599999993</v>
      </c>
      <c r="V14" s="50">
        <f t="shared" si="11"/>
        <v>2493325.9499999983</v>
      </c>
      <c r="W14" s="50">
        <f t="shared" si="11"/>
        <v>8667335.1600000001</v>
      </c>
      <c r="X14" s="59">
        <f t="shared" ref="X14:X17" si="19">N14-S14</f>
        <v>68105427.390000001</v>
      </c>
      <c r="Y14" s="50">
        <f t="shared" si="12"/>
        <v>40801968.255999997</v>
      </c>
      <c r="Z14" s="50">
        <f t="shared" si="12"/>
        <v>1261916.544</v>
      </c>
      <c r="AA14" s="50">
        <f t="shared" si="12"/>
        <v>5817760.5499999961</v>
      </c>
      <c r="AB14" s="50">
        <f t="shared" si="12"/>
        <v>20223782.039999999</v>
      </c>
      <c r="AC14" s="21"/>
    </row>
    <row r="15" spans="1:34" ht="43.5" customHeight="1" x14ac:dyDescent="0.25">
      <c r="A15" s="123"/>
      <c r="B15" s="13">
        <v>2022</v>
      </c>
      <c r="C15" s="13" t="s">
        <v>16</v>
      </c>
      <c r="D15" s="14">
        <v>36</v>
      </c>
      <c r="E15" s="14">
        <v>81</v>
      </c>
      <c r="F15" s="15">
        <v>1371.6</v>
      </c>
      <c r="G15" s="15">
        <v>1569.8</v>
      </c>
      <c r="H15" s="18">
        <v>1</v>
      </c>
      <c r="I15" s="18">
        <v>4</v>
      </c>
      <c r="J15" s="33" t="s">
        <v>35</v>
      </c>
      <c r="K15" s="33" t="s">
        <v>36</v>
      </c>
      <c r="L15" s="32">
        <v>2385</v>
      </c>
      <c r="M15" s="15" t="s">
        <v>90</v>
      </c>
      <c r="N15" s="36">
        <f t="shared" si="13"/>
        <v>88833412.200000003</v>
      </c>
      <c r="O15" s="37">
        <f t="shared" si="14"/>
        <v>52932032.82</v>
      </c>
      <c r="P15" s="37">
        <f t="shared" si="15"/>
        <v>1637073.18</v>
      </c>
      <c r="Q15" s="37">
        <f t="shared" si="16"/>
        <v>7885387.0000000019</v>
      </c>
      <c r="R15" s="50">
        <f t="shared" si="17"/>
        <v>26378919.199999999</v>
      </c>
      <c r="S15" s="59">
        <f t="shared" si="18"/>
        <v>26650023.66</v>
      </c>
      <c r="T15" s="50">
        <f t="shared" si="11"/>
        <v>15879609.845999999</v>
      </c>
      <c r="U15" s="50">
        <f t="shared" si="11"/>
        <v>491121.95399999997</v>
      </c>
      <c r="V15" s="50">
        <f t="shared" si="11"/>
        <v>2365616.1000000006</v>
      </c>
      <c r="W15" s="50">
        <f t="shared" si="11"/>
        <v>7913675.7599999998</v>
      </c>
      <c r="X15" s="59">
        <f t="shared" si="19"/>
        <v>62183388.540000007</v>
      </c>
      <c r="Y15" s="50">
        <f t="shared" si="12"/>
        <v>37052422.973999999</v>
      </c>
      <c r="Z15" s="50">
        <f t="shared" si="12"/>
        <v>1145951.226</v>
      </c>
      <c r="AA15" s="50">
        <f t="shared" si="12"/>
        <v>5519770.9000000013</v>
      </c>
      <c r="AB15" s="50">
        <f t="shared" si="12"/>
        <v>18465243.439999998</v>
      </c>
      <c r="AC15" s="21"/>
    </row>
    <row r="16" spans="1:34" ht="43.5" customHeight="1" x14ac:dyDescent="0.25">
      <c r="A16" s="123"/>
      <c r="B16" s="57">
        <v>2023</v>
      </c>
      <c r="C16" s="57" t="s">
        <v>13</v>
      </c>
      <c r="D16" s="60">
        <v>75</v>
      </c>
      <c r="E16" s="60">
        <v>172</v>
      </c>
      <c r="F16" s="61">
        <v>3653.7</v>
      </c>
      <c r="G16" s="61">
        <v>3734.2</v>
      </c>
      <c r="H16" s="62">
        <v>1</v>
      </c>
      <c r="I16" s="62">
        <v>4</v>
      </c>
      <c r="J16" s="18" t="s">
        <v>44</v>
      </c>
      <c r="K16" s="34" t="s">
        <v>114</v>
      </c>
      <c r="L16" s="35">
        <v>3827</v>
      </c>
      <c r="M16" s="15" t="s">
        <v>90</v>
      </c>
      <c r="N16" s="36">
        <f t="shared" si="13"/>
        <v>211314643.80000001</v>
      </c>
      <c r="O16" s="37">
        <f t="shared" si="14"/>
        <v>141001580.86500001</v>
      </c>
      <c r="P16" s="37">
        <f t="shared" si="15"/>
        <v>4360873.6349999998</v>
      </c>
      <c r="Q16" s="37">
        <f t="shared" si="16"/>
        <v>3202692.5</v>
      </c>
      <c r="R16" s="50">
        <f t="shared" si="17"/>
        <v>62749496.799999997</v>
      </c>
      <c r="S16" s="59">
        <f t="shared" si="18"/>
        <v>63394393.140000001</v>
      </c>
      <c r="T16" s="50">
        <f t="shared" si="11"/>
        <v>42300474.259500004</v>
      </c>
      <c r="U16" s="50">
        <f t="shared" si="11"/>
        <v>1308262.0904999999</v>
      </c>
      <c r="V16" s="50">
        <f t="shared" si="11"/>
        <v>960807.75</v>
      </c>
      <c r="W16" s="50">
        <f t="shared" si="11"/>
        <v>18824849.039999999</v>
      </c>
      <c r="X16" s="59">
        <f t="shared" si="19"/>
        <v>147920250.66000003</v>
      </c>
      <c r="Y16" s="50">
        <f t="shared" si="12"/>
        <v>98701106.605500013</v>
      </c>
      <c r="Z16" s="50">
        <f t="shared" si="12"/>
        <v>3052611.5444999998</v>
      </c>
      <c r="AA16" s="50">
        <f t="shared" si="12"/>
        <v>2241884.75</v>
      </c>
      <c r="AB16" s="50">
        <f t="shared" si="12"/>
        <v>43924647.759999998</v>
      </c>
      <c r="AC16" s="63"/>
    </row>
    <row r="17" spans="1:29" ht="43.5" customHeight="1" x14ac:dyDescent="0.25">
      <c r="A17" s="123"/>
      <c r="B17" s="13">
        <v>2023</v>
      </c>
      <c r="C17" s="13" t="s">
        <v>18</v>
      </c>
      <c r="D17" s="14">
        <v>46</v>
      </c>
      <c r="E17" s="14">
        <v>80</v>
      </c>
      <c r="F17" s="16">
        <v>1285.7</v>
      </c>
      <c r="G17" s="16">
        <v>1668.2</v>
      </c>
      <c r="H17" s="28"/>
      <c r="I17" s="28"/>
      <c r="J17" s="31" t="s">
        <v>33</v>
      </c>
      <c r="K17" s="31" t="s">
        <v>34</v>
      </c>
      <c r="L17" s="19">
        <v>2375</v>
      </c>
      <c r="M17" s="19" t="s">
        <v>90</v>
      </c>
      <c r="N17" s="36">
        <f t="shared" si="13"/>
        <v>94401769.799999997</v>
      </c>
      <c r="O17" s="37">
        <f t="shared" si="14"/>
        <v>49617027.265000001</v>
      </c>
      <c r="P17" s="37">
        <f t="shared" si="15"/>
        <v>1534547.2349999999</v>
      </c>
      <c r="Q17" s="37">
        <f t="shared" si="16"/>
        <v>15217762.5</v>
      </c>
      <c r="R17" s="50">
        <f t="shared" si="17"/>
        <v>28032432.800000001</v>
      </c>
      <c r="S17" s="59">
        <f t="shared" si="18"/>
        <v>28320530.939999998</v>
      </c>
      <c r="T17" s="50">
        <f t="shared" si="11"/>
        <v>14885108.179500001</v>
      </c>
      <c r="U17" s="50">
        <f t="shared" si="11"/>
        <v>460364.17049999995</v>
      </c>
      <c r="V17" s="50">
        <f t="shared" si="11"/>
        <v>4565328.75</v>
      </c>
      <c r="W17" s="50">
        <f t="shared" si="11"/>
        <v>8409729.8399999999</v>
      </c>
      <c r="X17" s="59">
        <f t="shared" si="19"/>
        <v>66081238.859999999</v>
      </c>
      <c r="Y17" s="50">
        <f t="shared" si="12"/>
        <v>34731919.085500002</v>
      </c>
      <c r="Z17" s="50">
        <f t="shared" si="12"/>
        <v>1074183.0644999999</v>
      </c>
      <c r="AA17" s="50">
        <f t="shared" si="12"/>
        <v>10652433.75</v>
      </c>
      <c r="AB17" s="50">
        <f t="shared" si="12"/>
        <v>19622702.960000001</v>
      </c>
      <c r="AC17" s="21"/>
    </row>
    <row r="18" spans="1:29" s="2" customFormat="1" ht="19.5" x14ac:dyDescent="0.25">
      <c r="A18" s="129" t="s">
        <v>83</v>
      </c>
      <c r="B18" s="130"/>
      <c r="C18" s="130"/>
      <c r="D18" s="22">
        <f>SUM(D13:D17)</f>
        <v>231</v>
      </c>
      <c r="E18" s="22">
        <f>SUM(E13:E17)</f>
        <v>478</v>
      </c>
      <c r="F18" s="23">
        <f>SUM(F13:F17)</f>
        <v>9040</v>
      </c>
      <c r="G18" s="23">
        <f>SUM(G13:G17)</f>
        <v>9930</v>
      </c>
      <c r="H18" s="25"/>
      <c r="I18" s="25"/>
      <c r="J18" s="24"/>
      <c r="K18" s="24"/>
      <c r="L18" s="23"/>
      <c r="M18" s="23"/>
      <c r="N18" s="23">
        <f>SUM(N13:N17)</f>
        <v>561928770</v>
      </c>
      <c r="O18" s="23">
        <f>SUM(O13:O17)</f>
        <v>348866708</v>
      </c>
      <c r="P18" s="23">
        <f>SUM(P13:P17)</f>
        <v>10789692</v>
      </c>
      <c r="Q18" s="23">
        <f>SUM(Q13:Q17)</f>
        <v>35408650</v>
      </c>
      <c r="R18" s="45">
        <f t="shared" ref="R18:AC18" si="20">SUM(R13:R17)</f>
        <v>166863720</v>
      </c>
      <c r="S18" s="45">
        <f t="shared" si="20"/>
        <v>168578631</v>
      </c>
      <c r="T18" s="45">
        <f t="shared" si="20"/>
        <v>104660012.39999999</v>
      </c>
      <c r="U18" s="45">
        <f t="shared" si="20"/>
        <v>3236907.5999999996</v>
      </c>
      <c r="V18" s="45">
        <f t="shared" si="20"/>
        <v>10622595</v>
      </c>
      <c r="W18" s="45">
        <f t="shared" si="20"/>
        <v>50059116</v>
      </c>
      <c r="X18" s="45">
        <f t="shared" si="20"/>
        <v>393350139.00000006</v>
      </c>
      <c r="Y18" s="45">
        <f t="shared" si="20"/>
        <v>244206695.60000002</v>
      </c>
      <c r="Z18" s="45">
        <f t="shared" si="20"/>
        <v>7552784.4000000004</v>
      </c>
      <c r="AA18" s="45">
        <f t="shared" si="20"/>
        <v>24786055</v>
      </c>
      <c r="AB18" s="45">
        <f t="shared" si="20"/>
        <v>116804604</v>
      </c>
      <c r="AC18" s="45">
        <f t="shared" si="20"/>
        <v>0</v>
      </c>
    </row>
    <row r="19" spans="1:29" ht="43.5" customHeight="1" x14ac:dyDescent="0.25">
      <c r="A19" s="123" t="s">
        <v>76</v>
      </c>
      <c r="B19" s="124">
        <v>2023</v>
      </c>
      <c r="C19" s="124" t="s">
        <v>8</v>
      </c>
      <c r="D19" s="133">
        <v>35</v>
      </c>
      <c r="E19" s="133">
        <v>66</v>
      </c>
      <c r="F19" s="134">
        <v>1016.4</v>
      </c>
      <c r="G19" s="134">
        <v>1280.9000000000001</v>
      </c>
      <c r="H19" s="28">
        <v>1</v>
      </c>
      <c r="I19" s="28">
        <v>3</v>
      </c>
      <c r="J19" s="13" t="s">
        <v>39</v>
      </c>
      <c r="K19" s="13" t="s">
        <v>40</v>
      </c>
      <c r="L19" s="16">
        <v>4666</v>
      </c>
      <c r="M19" s="16" t="s">
        <v>93</v>
      </c>
      <c r="N19" s="131">
        <f>SUM(O19:R20)</f>
        <v>72484850.099999994</v>
      </c>
      <c r="O19" s="120">
        <f>F19*39785*97%</f>
        <v>39224349.780000001</v>
      </c>
      <c r="P19" s="120">
        <f>F19*39785*3%</f>
        <v>1213124.22</v>
      </c>
      <c r="Q19" s="120">
        <f>(G19-F19)*39785</f>
        <v>10523132.500000004</v>
      </c>
      <c r="R19" s="118">
        <f>(56589-39785)*G19</f>
        <v>21524243.600000001</v>
      </c>
      <c r="S19" s="116">
        <f>N19*0.3</f>
        <v>21745455.029999997</v>
      </c>
      <c r="T19" s="118">
        <f t="shared" ref="T19:W19" si="21">O19*0.3</f>
        <v>11767304.934</v>
      </c>
      <c r="U19" s="118">
        <f t="shared" si="21"/>
        <v>363937.266</v>
      </c>
      <c r="V19" s="118">
        <f t="shared" si="21"/>
        <v>3156939.7500000009</v>
      </c>
      <c r="W19" s="118">
        <f t="shared" si="21"/>
        <v>6457273.0800000001</v>
      </c>
      <c r="X19" s="116">
        <f>N19-S19</f>
        <v>50739395.069999993</v>
      </c>
      <c r="Y19" s="118">
        <f t="shared" ref="Y19:AB19" si="22">O19-T19</f>
        <v>27457044.846000001</v>
      </c>
      <c r="Z19" s="118">
        <f t="shared" si="22"/>
        <v>849186.95399999991</v>
      </c>
      <c r="AA19" s="118">
        <f t="shared" si="22"/>
        <v>7366192.7500000028</v>
      </c>
      <c r="AB19" s="118">
        <f t="shared" si="22"/>
        <v>15066970.520000001</v>
      </c>
      <c r="AC19" s="128"/>
    </row>
    <row r="20" spans="1:29" ht="43.5" customHeight="1" x14ac:dyDescent="0.25">
      <c r="A20" s="123"/>
      <c r="B20" s="124"/>
      <c r="C20" s="124"/>
      <c r="D20" s="133"/>
      <c r="E20" s="133"/>
      <c r="F20" s="134"/>
      <c r="G20" s="134"/>
      <c r="H20" s="28">
        <v>1</v>
      </c>
      <c r="I20" s="28">
        <v>3</v>
      </c>
      <c r="J20" s="13" t="s">
        <v>41</v>
      </c>
      <c r="K20" s="13" t="s">
        <v>42</v>
      </c>
      <c r="L20" s="16">
        <v>4896</v>
      </c>
      <c r="M20" s="16" t="s">
        <v>93</v>
      </c>
      <c r="N20" s="131"/>
      <c r="O20" s="120"/>
      <c r="P20" s="120"/>
      <c r="Q20" s="120"/>
      <c r="R20" s="119"/>
      <c r="S20" s="117"/>
      <c r="T20" s="119"/>
      <c r="U20" s="119"/>
      <c r="V20" s="119"/>
      <c r="W20" s="119"/>
      <c r="X20" s="117"/>
      <c r="Y20" s="119"/>
      <c r="Z20" s="119"/>
      <c r="AA20" s="119"/>
      <c r="AB20" s="119"/>
      <c r="AC20" s="128"/>
    </row>
    <row r="21" spans="1:29" ht="91.5" customHeight="1" x14ac:dyDescent="0.25">
      <c r="A21" s="123"/>
      <c r="B21" s="124">
        <v>2023</v>
      </c>
      <c r="C21" s="38" t="s">
        <v>9</v>
      </c>
      <c r="D21" s="39">
        <v>70</v>
      </c>
      <c r="E21" s="39">
        <v>132</v>
      </c>
      <c r="F21" s="16">
        <v>2309.36</v>
      </c>
      <c r="G21" s="16">
        <v>2795.1</v>
      </c>
      <c r="H21" s="28"/>
      <c r="I21" s="28"/>
      <c r="J21" s="17" t="s">
        <v>32</v>
      </c>
      <c r="K21" s="17" t="s">
        <v>31</v>
      </c>
      <c r="L21" s="19">
        <v>6950</v>
      </c>
      <c r="M21" s="40" t="s">
        <v>99</v>
      </c>
      <c r="N21" s="20">
        <f>SUM(O21:R21)</f>
        <v>158171913.90000001</v>
      </c>
      <c r="O21" s="19">
        <f>F21*39785*97%</f>
        <v>89121550.972000003</v>
      </c>
      <c r="P21" s="19">
        <f>F21*39785*3%</f>
        <v>2756336.628</v>
      </c>
      <c r="Q21" s="19">
        <f>(G21-F21)*39785</f>
        <v>19325165.899999991</v>
      </c>
      <c r="R21" s="50">
        <f>(56589-39785)*G21</f>
        <v>46968860.399999999</v>
      </c>
      <c r="S21" s="59">
        <f>N21*0.3</f>
        <v>47451574.170000002</v>
      </c>
      <c r="T21" s="50">
        <f t="shared" ref="T21:W23" si="23">O21*0.3</f>
        <v>26736465.2916</v>
      </c>
      <c r="U21" s="50">
        <f t="shared" si="23"/>
        <v>826900.98840000003</v>
      </c>
      <c r="V21" s="50">
        <f t="shared" si="23"/>
        <v>5797549.7699999968</v>
      </c>
      <c r="W21" s="50">
        <f t="shared" si="23"/>
        <v>14090658.119999999</v>
      </c>
      <c r="X21" s="59">
        <f>N21-S21</f>
        <v>110720339.73</v>
      </c>
      <c r="Y21" s="50">
        <f t="shared" ref="Y21:AB23" si="24">O21-T21</f>
        <v>62385085.680399999</v>
      </c>
      <c r="Z21" s="50">
        <f t="shared" si="24"/>
        <v>1929435.6395999999</v>
      </c>
      <c r="AA21" s="50">
        <f t="shared" si="24"/>
        <v>13527616.129999995</v>
      </c>
      <c r="AB21" s="50">
        <f t="shared" si="24"/>
        <v>32878202.280000001</v>
      </c>
      <c r="AC21" s="21"/>
    </row>
    <row r="22" spans="1:29" s="3" customFormat="1" ht="35.25" customHeight="1" x14ac:dyDescent="0.25">
      <c r="A22" s="123"/>
      <c r="B22" s="124"/>
      <c r="C22" s="38" t="s">
        <v>88</v>
      </c>
      <c r="D22" s="14">
        <v>6</v>
      </c>
      <c r="E22" s="14">
        <v>11</v>
      </c>
      <c r="F22" s="15">
        <v>204.2</v>
      </c>
      <c r="G22" s="15">
        <v>250.4</v>
      </c>
      <c r="H22" s="18"/>
      <c r="I22" s="18"/>
      <c r="J22" s="31" t="s">
        <v>25</v>
      </c>
      <c r="K22" s="31" t="s">
        <v>25</v>
      </c>
      <c r="L22" s="15" t="s">
        <v>25</v>
      </c>
      <c r="M22" s="15"/>
      <c r="N22" s="41">
        <f>SUM(O22:R22)</f>
        <v>14169885.600000001</v>
      </c>
      <c r="O22" s="15">
        <f>F22*39785*97%</f>
        <v>7880374.0899999999</v>
      </c>
      <c r="P22" s="15">
        <f>F22*39785*3%</f>
        <v>243722.91</v>
      </c>
      <c r="Q22" s="15">
        <f>(G22-F22)*39785</f>
        <v>1838067.0000000007</v>
      </c>
      <c r="R22" s="52">
        <f>(56589-39785)*G22</f>
        <v>4207721.6000000006</v>
      </c>
      <c r="S22" s="64">
        <f>N22*0.3</f>
        <v>4250965.6800000006</v>
      </c>
      <c r="T22" s="52">
        <f t="shared" si="23"/>
        <v>2364112.227</v>
      </c>
      <c r="U22" s="52">
        <f t="shared" si="23"/>
        <v>73116.872999999992</v>
      </c>
      <c r="V22" s="52">
        <f t="shared" si="23"/>
        <v>551420.10000000021</v>
      </c>
      <c r="W22" s="52">
        <f t="shared" si="23"/>
        <v>1262316.4800000002</v>
      </c>
      <c r="X22" s="64">
        <f>N22-S22</f>
        <v>9918919.9200000018</v>
      </c>
      <c r="Y22" s="52">
        <f t="shared" si="24"/>
        <v>5516261.8629999999</v>
      </c>
      <c r="Z22" s="52">
        <f t="shared" si="24"/>
        <v>170606.03700000001</v>
      </c>
      <c r="AA22" s="52">
        <f t="shared" si="24"/>
        <v>1286646.9000000004</v>
      </c>
      <c r="AB22" s="52">
        <f t="shared" si="24"/>
        <v>2945405.12</v>
      </c>
      <c r="AC22" s="42"/>
    </row>
    <row r="23" spans="1:29" ht="43.5" customHeight="1" x14ac:dyDescent="0.25">
      <c r="A23" s="123"/>
      <c r="B23" s="124">
        <v>2023</v>
      </c>
      <c r="C23" s="124" t="s">
        <v>20</v>
      </c>
      <c r="D23" s="125">
        <v>85</v>
      </c>
      <c r="E23" s="125">
        <v>170</v>
      </c>
      <c r="F23" s="132">
        <v>2826.1</v>
      </c>
      <c r="G23" s="132">
        <v>3394.6</v>
      </c>
      <c r="H23" s="18">
        <v>1</v>
      </c>
      <c r="I23" s="18">
        <v>3</v>
      </c>
      <c r="J23" s="31" t="s">
        <v>51</v>
      </c>
      <c r="K23" s="31" t="s">
        <v>49</v>
      </c>
      <c r="L23" s="15">
        <v>2656</v>
      </c>
      <c r="M23" s="15" t="s">
        <v>98</v>
      </c>
      <c r="N23" s="131">
        <f>SUM(O23:R24)</f>
        <v>192097019.40000001</v>
      </c>
      <c r="O23" s="120">
        <f>F23*39785*97%</f>
        <v>109063296.845</v>
      </c>
      <c r="P23" s="120">
        <f>F23*39785*3%</f>
        <v>3373091.6549999998</v>
      </c>
      <c r="Q23" s="120">
        <f>(G23-F23)*39785</f>
        <v>22617772.5</v>
      </c>
      <c r="R23" s="118">
        <f>(56589-39785)*G23</f>
        <v>57042858.399999999</v>
      </c>
      <c r="S23" s="116">
        <f>N23*0.3</f>
        <v>57629105.82</v>
      </c>
      <c r="T23" s="118">
        <f t="shared" si="23"/>
        <v>32718989.053499997</v>
      </c>
      <c r="U23" s="118">
        <f t="shared" si="23"/>
        <v>1011927.4964999999</v>
      </c>
      <c r="V23" s="118">
        <f t="shared" si="23"/>
        <v>6785331.75</v>
      </c>
      <c r="W23" s="118">
        <f t="shared" si="23"/>
        <v>17112857.52</v>
      </c>
      <c r="X23" s="116">
        <f>N23-S23</f>
        <v>134467913.58000001</v>
      </c>
      <c r="Y23" s="118">
        <f t="shared" si="24"/>
        <v>76344307.791500002</v>
      </c>
      <c r="Z23" s="118">
        <f t="shared" si="24"/>
        <v>2361164.1584999999</v>
      </c>
      <c r="AA23" s="118">
        <f t="shared" si="24"/>
        <v>15832440.75</v>
      </c>
      <c r="AB23" s="118">
        <f t="shared" si="24"/>
        <v>39930000.879999995</v>
      </c>
      <c r="AC23" s="128"/>
    </row>
    <row r="24" spans="1:29" ht="43.5" customHeight="1" x14ac:dyDescent="0.25">
      <c r="A24" s="123"/>
      <c r="B24" s="124"/>
      <c r="C24" s="124"/>
      <c r="D24" s="125"/>
      <c r="E24" s="125"/>
      <c r="F24" s="132"/>
      <c r="G24" s="132"/>
      <c r="H24" s="18">
        <v>1</v>
      </c>
      <c r="I24" s="18">
        <v>3</v>
      </c>
      <c r="J24" s="31" t="s">
        <v>52</v>
      </c>
      <c r="K24" s="31" t="s">
        <v>50</v>
      </c>
      <c r="L24" s="15">
        <v>2152</v>
      </c>
      <c r="M24" s="15" t="s">
        <v>98</v>
      </c>
      <c r="N24" s="131"/>
      <c r="O24" s="120"/>
      <c r="P24" s="120"/>
      <c r="Q24" s="120"/>
      <c r="R24" s="119"/>
      <c r="S24" s="117"/>
      <c r="T24" s="119"/>
      <c r="U24" s="119"/>
      <c r="V24" s="119"/>
      <c r="W24" s="119"/>
      <c r="X24" s="117"/>
      <c r="Y24" s="119"/>
      <c r="Z24" s="119"/>
      <c r="AA24" s="119"/>
      <c r="AB24" s="119"/>
      <c r="AC24" s="128"/>
    </row>
    <row r="25" spans="1:29" ht="43.5" customHeight="1" x14ac:dyDescent="0.25">
      <c r="A25" s="123"/>
      <c r="B25" s="124">
        <v>2023</v>
      </c>
      <c r="C25" s="124" t="s">
        <v>13</v>
      </c>
      <c r="D25" s="125">
        <v>150</v>
      </c>
      <c r="E25" s="125">
        <v>368</v>
      </c>
      <c r="F25" s="132">
        <v>7279</v>
      </c>
      <c r="G25" s="132">
        <v>7369.3</v>
      </c>
      <c r="H25" s="18"/>
      <c r="I25" s="18"/>
      <c r="J25" s="31" t="s">
        <v>46</v>
      </c>
      <c r="K25" s="31" t="s">
        <v>45</v>
      </c>
      <c r="L25" s="15" t="s">
        <v>25</v>
      </c>
      <c r="M25" s="15" t="s">
        <v>92</v>
      </c>
      <c r="N25" s="131">
        <f>SUM(O25:R26)</f>
        <v>417021317.69999999</v>
      </c>
      <c r="O25" s="120">
        <f>F25*39785*97%</f>
        <v>280907164.55000001</v>
      </c>
      <c r="P25" s="120">
        <f>F25*39785*3%</f>
        <v>8687850.4499999993</v>
      </c>
      <c r="Q25" s="120">
        <f>(G25-F25)*39785</f>
        <v>3592585.5000000075</v>
      </c>
      <c r="R25" s="118">
        <f>(56589-39785)*G25</f>
        <v>123833717.2</v>
      </c>
      <c r="S25" s="116">
        <f>N25*0.3</f>
        <v>125106395.30999999</v>
      </c>
      <c r="T25" s="118">
        <f t="shared" ref="T25:W25" si="25">O25*0.3</f>
        <v>84272149.364999995</v>
      </c>
      <c r="U25" s="118">
        <f t="shared" si="25"/>
        <v>2606355.1349999998</v>
      </c>
      <c r="V25" s="118">
        <f t="shared" si="25"/>
        <v>1077775.6500000022</v>
      </c>
      <c r="W25" s="118">
        <f t="shared" si="25"/>
        <v>37150115.159999996</v>
      </c>
      <c r="X25" s="116">
        <f>N25-S25</f>
        <v>291914922.38999999</v>
      </c>
      <c r="Y25" s="118">
        <f t="shared" ref="Y25:AB25" si="26">O25-T25</f>
        <v>196635015.185</v>
      </c>
      <c r="Z25" s="118">
        <f t="shared" si="26"/>
        <v>6081495.3149999995</v>
      </c>
      <c r="AA25" s="118">
        <f t="shared" si="26"/>
        <v>2514809.8500000052</v>
      </c>
      <c r="AB25" s="118">
        <f t="shared" si="26"/>
        <v>86683602.040000007</v>
      </c>
      <c r="AC25" s="128"/>
    </row>
    <row r="26" spans="1:29" ht="43.5" customHeight="1" x14ac:dyDescent="0.25">
      <c r="A26" s="123"/>
      <c r="B26" s="124"/>
      <c r="C26" s="124"/>
      <c r="D26" s="125"/>
      <c r="E26" s="125"/>
      <c r="F26" s="132"/>
      <c r="G26" s="132"/>
      <c r="H26" s="18"/>
      <c r="I26" s="18"/>
      <c r="J26" s="31" t="s">
        <v>48</v>
      </c>
      <c r="K26" s="31" t="s">
        <v>47</v>
      </c>
      <c r="L26" s="15" t="s">
        <v>25</v>
      </c>
      <c r="M26" s="15" t="s">
        <v>92</v>
      </c>
      <c r="N26" s="131"/>
      <c r="O26" s="120"/>
      <c r="P26" s="120"/>
      <c r="Q26" s="120"/>
      <c r="R26" s="119"/>
      <c r="S26" s="117"/>
      <c r="T26" s="119"/>
      <c r="U26" s="119"/>
      <c r="V26" s="119"/>
      <c r="W26" s="119"/>
      <c r="X26" s="117"/>
      <c r="Y26" s="119"/>
      <c r="Z26" s="119"/>
      <c r="AA26" s="119"/>
      <c r="AB26" s="119"/>
      <c r="AC26" s="128"/>
    </row>
    <row r="27" spans="1:29" ht="43.5" customHeight="1" x14ac:dyDescent="0.25">
      <c r="A27" s="123"/>
      <c r="B27" s="124">
        <v>2023</v>
      </c>
      <c r="C27" s="13" t="s">
        <v>19</v>
      </c>
      <c r="D27" s="14">
        <v>14</v>
      </c>
      <c r="E27" s="14">
        <v>20</v>
      </c>
      <c r="F27" s="15">
        <v>368.7</v>
      </c>
      <c r="G27" s="15">
        <v>447.8</v>
      </c>
      <c r="H27" s="18"/>
      <c r="I27" s="18"/>
      <c r="J27" s="31" t="s">
        <v>25</v>
      </c>
      <c r="K27" s="31" t="s">
        <v>25</v>
      </c>
      <c r="L27" s="15" t="s">
        <v>25</v>
      </c>
      <c r="M27" s="15" t="s">
        <v>94</v>
      </c>
      <c r="N27" s="20">
        <f>SUM(O27:R27)</f>
        <v>25340554.199999999</v>
      </c>
      <c r="O27" s="19">
        <f>F27*39785*97%</f>
        <v>14228667.615</v>
      </c>
      <c r="P27" s="19">
        <f>F27*39785*3%</f>
        <v>440061.88500000001</v>
      </c>
      <c r="Q27" s="19">
        <f>(G27-F27)*39785</f>
        <v>3146993.5000000009</v>
      </c>
      <c r="R27" s="50">
        <f>(56589-39785)*G27</f>
        <v>7524831.2000000002</v>
      </c>
      <c r="S27" s="59">
        <f>N27*0.3</f>
        <v>7602166.2599999998</v>
      </c>
      <c r="T27" s="50">
        <f t="shared" ref="T27:W28" si="27">O27*0.3</f>
        <v>4268600.2845000001</v>
      </c>
      <c r="U27" s="50">
        <f t="shared" si="27"/>
        <v>132018.5655</v>
      </c>
      <c r="V27" s="50">
        <f t="shared" si="27"/>
        <v>944098.05000000028</v>
      </c>
      <c r="W27" s="50">
        <f t="shared" si="27"/>
        <v>2257449.36</v>
      </c>
      <c r="X27" s="59">
        <f>N27-S27</f>
        <v>17738387.939999998</v>
      </c>
      <c r="Y27" s="50">
        <f t="shared" ref="Y27:AB28" si="28">O27-T27</f>
        <v>9960067.3304999992</v>
      </c>
      <c r="Z27" s="50">
        <f t="shared" si="28"/>
        <v>308043.31949999998</v>
      </c>
      <c r="AA27" s="50">
        <f t="shared" si="28"/>
        <v>2202895.4500000007</v>
      </c>
      <c r="AB27" s="50">
        <f t="shared" si="28"/>
        <v>5267381.84</v>
      </c>
      <c r="AC27" s="21"/>
    </row>
    <row r="28" spans="1:29" ht="58.9" customHeight="1" x14ac:dyDescent="0.25">
      <c r="A28" s="123"/>
      <c r="B28" s="124"/>
      <c r="C28" s="13" t="s">
        <v>18</v>
      </c>
      <c r="D28" s="14">
        <v>140</v>
      </c>
      <c r="E28" s="14">
        <v>254</v>
      </c>
      <c r="F28" s="15">
        <v>6659.1</v>
      </c>
      <c r="G28" s="15">
        <v>6823.4</v>
      </c>
      <c r="H28" s="18"/>
      <c r="I28" s="18"/>
      <c r="J28" s="31" t="s">
        <v>116</v>
      </c>
      <c r="K28" s="31" t="s">
        <v>37</v>
      </c>
      <c r="L28" s="15">
        <v>52405</v>
      </c>
      <c r="M28" s="15" t="s">
        <v>91</v>
      </c>
      <c r="N28" s="20">
        <f>SUM(O28:R28)</f>
        <v>386129382.60000002</v>
      </c>
      <c r="O28" s="19">
        <f>F28*39785*97%</f>
        <v>256984324.69499999</v>
      </c>
      <c r="P28" s="19">
        <f>F28*39785*3%</f>
        <v>7947968.8049999997</v>
      </c>
      <c r="Q28" s="19">
        <f>(G28-F28)*39785</f>
        <v>6536675.4999999711</v>
      </c>
      <c r="R28" s="50">
        <f>(56589-39785)*G28</f>
        <v>114660413.59999999</v>
      </c>
      <c r="S28" s="59">
        <f>N28*0.3</f>
        <v>115838814.78</v>
      </c>
      <c r="T28" s="50">
        <f t="shared" si="27"/>
        <v>77095297.408500001</v>
      </c>
      <c r="U28" s="50">
        <f t="shared" si="27"/>
        <v>2384390.6414999999</v>
      </c>
      <c r="V28" s="50">
        <f t="shared" si="27"/>
        <v>1961002.6499999913</v>
      </c>
      <c r="W28" s="50">
        <f t="shared" si="27"/>
        <v>34398124.079999998</v>
      </c>
      <c r="X28" s="59">
        <f>N28-S28</f>
        <v>270290567.82000005</v>
      </c>
      <c r="Y28" s="50">
        <f t="shared" si="28"/>
        <v>179889027.28649998</v>
      </c>
      <c r="Z28" s="50">
        <f t="shared" si="28"/>
        <v>5563578.1634999998</v>
      </c>
      <c r="AA28" s="50">
        <f t="shared" si="28"/>
        <v>4575672.8499999801</v>
      </c>
      <c r="AB28" s="50">
        <f t="shared" si="28"/>
        <v>80262289.519999996</v>
      </c>
      <c r="AC28" s="21"/>
    </row>
    <row r="29" spans="1:29" s="2" customFormat="1" ht="19.5" x14ac:dyDescent="0.25">
      <c r="A29" s="129" t="s">
        <v>85</v>
      </c>
      <c r="B29" s="130"/>
      <c r="C29" s="130"/>
      <c r="D29" s="22">
        <f>SUM(D19:D28)</f>
        <v>500</v>
      </c>
      <c r="E29" s="22">
        <f>SUM(E19:E28)</f>
        <v>1021</v>
      </c>
      <c r="F29" s="23">
        <f>SUM(F19:F28)</f>
        <v>20662.86</v>
      </c>
      <c r="G29" s="23">
        <f>SUM(G19:G28)</f>
        <v>22361.5</v>
      </c>
      <c r="H29" s="22"/>
      <c r="I29" s="25"/>
      <c r="J29" s="24"/>
      <c r="K29" s="24"/>
      <c r="L29" s="23"/>
      <c r="M29" s="23"/>
      <c r="N29" s="23">
        <f>SUM(N19:N28)</f>
        <v>1265414923.5</v>
      </c>
      <c r="O29" s="23">
        <f>SUM(O19:O28)</f>
        <v>797409728.54699993</v>
      </c>
      <c r="P29" s="23">
        <f>SUM(P19:P28)</f>
        <v>24662156.552999999</v>
      </c>
      <c r="Q29" s="23">
        <f>SUM(Q19:Q28)</f>
        <v>67580392.399999976</v>
      </c>
      <c r="R29" s="45">
        <f>SUM(R19:R28)</f>
        <v>375762646</v>
      </c>
      <c r="S29" s="45">
        <f t="shared" ref="S29:W29" si="29">SUM(S19:S28)</f>
        <v>379624477.04999995</v>
      </c>
      <c r="T29" s="45">
        <f t="shared" si="29"/>
        <v>239222918.56410003</v>
      </c>
      <c r="U29" s="45">
        <f t="shared" si="29"/>
        <v>7398646.9658999993</v>
      </c>
      <c r="V29" s="45">
        <f t="shared" si="29"/>
        <v>20274117.719999991</v>
      </c>
      <c r="W29" s="45">
        <f t="shared" si="29"/>
        <v>112728793.8</v>
      </c>
      <c r="X29" s="45">
        <f t="shared" ref="X29" si="30">SUM(X19:X28)</f>
        <v>885790446.45000017</v>
      </c>
      <c r="Y29" s="45">
        <f t="shared" ref="Y29" si="31">SUM(Y19:Y28)</f>
        <v>558186809.98290002</v>
      </c>
      <c r="Z29" s="45">
        <f t="shared" ref="Z29" si="32">SUM(Z19:Z28)</f>
        <v>17263509.587099999</v>
      </c>
      <c r="AA29" s="45">
        <f t="shared" ref="AA29" si="33">SUM(AA19:AA28)</f>
        <v>47306274.679999992</v>
      </c>
      <c r="AB29" s="45">
        <f t="shared" ref="AB29" si="34">SUM(AB19:AB28)</f>
        <v>263033852.19999999</v>
      </c>
      <c r="AC29" s="26"/>
    </row>
    <row r="30" spans="1:29" ht="43.5" customHeight="1" x14ac:dyDescent="0.25">
      <c r="A30" s="123" t="s">
        <v>77</v>
      </c>
      <c r="B30" s="124">
        <v>2023</v>
      </c>
      <c r="C30" s="124" t="s">
        <v>13</v>
      </c>
      <c r="D30" s="43">
        <v>86</v>
      </c>
      <c r="E30" s="43">
        <v>149</v>
      </c>
      <c r="F30" s="44">
        <v>4134.3999999999996</v>
      </c>
      <c r="G30" s="44">
        <v>4192.8</v>
      </c>
      <c r="H30" s="28"/>
      <c r="I30" s="28"/>
      <c r="J30" s="13" t="s">
        <v>46</v>
      </c>
      <c r="K30" s="17" t="s">
        <v>45</v>
      </c>
      <c r="L30" s="16" t="s">
        <v>25</v>
      </c>
      <c r="M30" s="19" t="s">
        <v>90</v>
      </c>
      <c r="N30" s="20">
        <f>SUM(O30:R30)</f>
        <v>237266359.20000005</v>
      </c>
      <c r="O30" s="19">
        <f>F30*39785*97%</f>
        <v>159552490.88</v>
      </c>
      <c r="P30" s="19">
        <f>F30*39785*3%</f>
        <v>4934613.12</v>
      </c>
      <c r="Q30" s="19">
        <f>(G30-F30)*39785</f>
        <v>2323444.0000000219</v>
      </c>
      <c r="R30" s="50">
        <f>(56589-39785)*G30</f>
        <v>70455811.200000003</v>
      </c>
      <c r="S30" s="59">
        <f>N30*0.3</f>
        <v>71179907.760000005</v>
      </c>
      <c r="T30" s="50">
        <f t="shared" ref="T30:W33" si="35">O30*0.3</f>
        <v>47865747.263999999</v>
      </c>
      <c r="U30" s="50">
        <f t="shared" si="35"/>
        <v>1480383.936</v>
      </c>
      <c r="V30" s="50">
        <f t="shared" si="35"/>
        <v>697033.20000000659</v>
      </c>
      <c r="W30" s="50">
        <f t="shared" si="35"/>
        <v>21136743.359999999</v>
      </c>
      <c r="X30" s="59">
        <f>N30-S30</f>
        <v>166086451.44000006</v>
      </c>
      <c r="Y30" s="50">
        <f t="shared" ref="Y30:AB33" si="36">O30-T30</f>
        <v>111686743.616</v>
      </c>
      <c r="Z30" s="50">
        <f t="shared" si="36"/>
        <v>3454229.1840000004</v>
      </c>
      <c r="AA30" s="50">
        <f t="shared" si="36"/>
        <v>1626410.8000000152</v>
      </c>
      <c r="AB30" s="50">
        <f t="shared" si="36"/>
        <v>49319067.840000004</v>
      </c>
      <c r="AC30" s="21"/>
    </row>
    <row r="31" spans="1:29" ht="124.5" customHeight="1" x14ac:dyDescent="0.25">
      <c r="A31" s="123"/>
      <c r="B31" s="124"/>
      <c r="C31" s="124"/>
      <c r="D31" s="43">
        <v>84</v>
      </c>
      <c r="E31" s="43">
        <v>216</v>
      </c>
      <c r="F31" s="44">
        <v>4120.71</v>
      </c>
      <c r="G31" s="44">
        <v>4351.58</v>
      </c>
      <c r="H31" s="28"/>
      <c r="I31" s="28"/>
      <c r="J31" s="13" t="s">
        <v>78</v>
      </c>
      <c r="K31" s="17" t="s">
        <v>80</v>
      </c>
      <c r="L31" s="16" t="s">
        <v>79</v>
      </c>
      <c r="M31" s="15" t="s">
        <v>95</v>
      </c>
      <c r="N31" s="36">
        <f t="shared" ref="N31:N33" si="37">SUM(O31:R31)</f>
        <v>246251560.61999997</v>
      </c>
      <c r="O31" s="19">
        <f>F31*39785*97%</f>
        <v>159024173.92949998</v>
      </c>
      <c r="P31" s="19">
        <f>F31*39785*3%</f>
        <v>4918273.4205</v>
      </c>
      <c r="Q31" s="19">
        <f>(G31-F31)*39785</f>
        <v>9185162.9499999955</v>
      </c>
      <c r="R31" s="50">
        <f t="shared" ref="R31:R33" si="38">(56589-39785)*G31</f>
        <v>73123950.319999993</v>
      </c>
      <c r="S31" s="59">
        <f t="shared" ref="S31:S33" si="39">N31*0.3</f>
        <v>73875468.18599999</v>
      </c>
      <c r="T31" s="50">
        <f t="shared" si="35"/>
        <v>47707252.178849995</v>
      </c>
      <c r="U31" s="50">
        <f t="shared" si="35"/>
        <v>1475482.02615</v>
      </c>
      <c r="V31" s="50">
        <f t="shared" si="35"/>
        <v>2755548.8849999984</v>
      </c>
      <c r="W31" s="50">
        <f t="shared" si="35"/>
        <v>21937185.095999997</v>
      </c>
      <c r="X31" s="59">
        <f t="shared" ref="X31:X33" si="40">N31-S31</f>
        <v>172376092.43399999</v>
      </c>
      <c r="Y31" s="50">
        <f t="shared" si="36"/>
        <v>111316921.75064999</v>
      </c>
      <c r="Z31" s="50">
        <f t="shared" si="36"/>
        <v>3442791.3943499997</v>
      </c>
      <c r="AA31" s="50">
        <f t="shared" si="36"/>
        <v>6429614.0649999976</v>
      </c>
      <c r="AB31" s="50">
        <f t="shared" si="36"/>
        <v>51186765.223999992</v>
      </c>
      <c r="AC31" s="21"/>
    </row>
    <row r="32" spans="1:29" ht="31.5" customHeight="1" x14ac:dyDescent="0.25">
      <c r="A32" s="123"/>
      <c r="B32" s="124">
        <v>2023</v>
      </c>
      <c r="C32" s="13" t="s">
        <v>14</v>
      </c>
      <c r="D32" s="39">
        <v>10</v>
      </c>
      <c r="E32" s="39">
        <v>36</v>
      </c>
      <c r="F32" s="16">
        <v>437.3</v>
      </c>
      <c r="G32" s="16">
        <v>444.1</v>
      </c>
      <c r="H32" s="28">
        <v>1</v>
      </c>
      <c r="I32" s="28">
        <v>2</v>
      </c>
      <c r="J32" s="31" t="s">
        <v>53</v>
      </c>
      <c r="K32" s="31" t="s">
        <v>54</v>
      </c>
      <c r="L32" s="15">
        <v>1000</v>
      </c>
      <c r="M32" s="15" t="s">
        <v>96</v>
      </c>
      <c r="N32" s="36">
        <f t="shared" si="37"/>
        <v>25131174.899999999</v>
      </c>
      <c r="O32" s="19">
        <f>F32*39785*97%</f>
        <v>16876041.085000001</v>
      </c>
      <c r="P32" s="19">
        <f>F32*39785*3%</f>
        <v>521939.41499999998</v>
      </c>
      <c r="Q32" s="19">
        <f>(G32-F32)*39785</f>
        <v>270538.00000000047</v>
      </c>
      <c r="R32" s="50">
        <f t="shared" si="38"/>
        <v>7462656.4000000004</v>
      </c>
      <c r="S32" s="59">
        <f t="shared" si="39"/>
        <v>7539352.4699999997</v>
      </c>
      <c r="T32" s="50">
        <f t="shared" si="35"/>
        <v>5062812.3255000003</v>
      </c>
      <c r="U32" s="50">
        <f t="shared" si="35"/>
        <v>156581.82449999999</v>
      </c>
      <c r="V32" s="50">
        <f t="shared" si="35"/>
        <v>81161.40000000014</v>
      </c>
      <c r="W32" s="50">
        <f t="shared" si="35"/>
        <v>2238796.92</v>
      </c>
      <c r="X32" s="59">
        <f t="shared" si="40"/>
        <v>17591822.43</v>
      </c>
      <c r="Y32" s="50">
        <f t="shared" si="36"/>
        <v>11813228.759500001</v>
      </c>
      <c r="Z32" s="50">
        <f t="shared" si="36"/>
        <v>365357.59049999999</v>
      </c>
      <c r="AA32" s="50">
        <f t="shared" si="36"/>
        <v>189376.60000000033</v>
      </c>
      <c r="AB32" s="50">
        <f t="shared" si="36"/>
        <v>5223859.4800000004</v>
      </c>
      <c r="AC32" s="21"/>
    </row>
    <row r="33" spans="1:29" ht="42.75" customHeight="1" x14ac:dyDescent="0.25">
      <c r="A33" s="123"/>
      <c r="B33" s="124"/>
      <c r="C33" s="13" t="s">
        <v>11</v>
      </c>
      <c r="D33" s="39">
        <v>411</v>
      </c>
      <c r="E33" s="39">
        <v>847</v>
      </c>
      <c r="F33" s="16">
        <v>12724.85</v>
      </c>
      <c r="G33" s="16">
        <v>16112.2</v>
      </c>
      <c r="H33" s="28"/>
      <c r="I33" s="28"/>
      <c r="J33" s="15"/>
      <c r="K33" s="15"/>
      <c r="L33" s="15"/>
      <c r="M33" s="15" t="s">
        <v>97</v>
      </c>
      <c r="N33" s="36">
        <f t="shared" si="37"/>
        <v>911773285.79999995</v>
      </c>
      <c r="O33" s="19">
        <f>F33*39785*97%</f>
        <v>491070412.53249997</v>
      </c>
      <c r="P33" s="19">
        <f>F33*39785*3%</f>
        <v>15187744.717499999</v>
      </c>
      <c r="Q33" s="19">
        <f>(G33-F33)*39785</f>
        <v>134765719.75</v>
      </c>
      <c r="R33" s="50">
        <f t="shared" si="38"/>
        <v>270749408.80000001</v>
      </c>
      <c r="S33" s="59">
        <f t="shared" si="39"/>
        <v>273531985.73999995</v>
      </c>
      <c r="T33" s="50">
        <f t="shared" si="35"/>
        <v>147321123.75974998</v>
      </c>
      <c r="U33" s="50">
        <f t="shared" si="35"/>
        <v>4556323.4152499996</v>
      </c>
      <c r="V33" s="50">
        <f t="shared" si="35"/>
        <v>40429715.924999997</v>
      </c>
      <c r="W33" s="50">
        <f t="shared" si="35"/>
        <v>81224822.640000001</v>
      </c>
      <c r="X33" s="59">
        <f t="shared" si="40"/>
        <v>638241300.05999994</v>
      </c>
      <c r="Y33" s="50">
        <f t="shared" si="36"/>
        <v>343749288.77275002</v>
      </c>
      <c r="Z33" s="50">
        <f t="shared" si="36"/>
        <v>10631421.30225</v>
      </c>
      <c r="AA33" s="50">
        <f t="shared" si="36"/>
        <v>94336003.825000003</v>
      </c>
      <c r="AB33" s="50">
        <f t="shared" si="36"/>
        <v>189524586.16000003</v>
      </c>
      <c r="AC33" s="21"/>
    </row>
    <row r="34" spans="1:29" s="2" customFormat="1" ht="19.5" x14ac:dyDescent="0.25">
      <c r="A34" s="126" t="s">
        <v>86</v>
      </c>
      <c r="B34" s="127"/>
      <c r="C34" s="127"/>
      <c r="D34" s="23">
        <f>SUM(D30:D33)</f>
        <v>591</v>
      </c>
      <c r="E34" s="23">
        <f t="shared" ref="E34:G34" si="41">SUM(E30:E33)</f>
        <v>1248</v>
      </c>
      <c r="F34" s="23">
        <f t="shared" si="41"/>
        <v>21417.260000000002</v>
      </c>
      <c r="G34" s="23">
        <f t="shared" si="41"/>
        <v>25100.68</v>
      </c>
      <c r="H34" s="23"/>
      <c r="I34" s="23"/>
      <c r="J34" s="23"/>
      <c r="K34" s="23"/>
      <c r="L34" s="23"/>
      <c r="M34" s="23"/>
      <c r="N34" s="23">
        <f t="shared" ref="N34:AB34" si="42">SUM(N30:N33)</f>
        <v>1420422380.52</v>
      </c>
      <c r="O34" s="23">
        <f t="shared" si="42"/>
        <v>826523118.42699993</v>
      </c>
      <c r="P34" s="23">
        <f t="shared" si="42"/>
        <v>25562570.673</v>
      </c>
      <c r="Q34" s="23">
        <f t="shared" si="42"/>
        <v>146544864.70000002</v>
      </c>
      <c r="R34" s="45">
        <f t="shared" si="42"/>
        <v>421791826.72000003</v>
      </c>
      <c r="S34" s="45">
        <f t="shared" si="42"/>
        <v>426126714.1559999</v>
      </c>
      <c r="T34" s="45">
        <f t="shared" si="42"/>
        <v>247956935.52809995</v>
      </c>
      <c r="U34" s="45">
        <f t="shared" si="42"/>
        <v>7668771.2018999998</v>
      </c>
      <c r="V34" s="45">
        <f t="shared" si="42"/>
        <v>43963459.410000004</v>
      </c>
      <c r="W34" s="45">
        <f t="shared" si="42"/>
        <v>126537548.016</v>
      </c>
      <c r="X34" s="45">
        <f t="shared" si="42"/>
        <v>994295666.36400008</v>
      </c>
      <c r="Y34" s="45">
        <f t="shared" si="42"/>
        <v>578566182.89890003</v>
      </c>
      <c r="Z34" s="45">
        <f t="shared" si="42"/>
        <v>17893799.471099999</v>
      </c>
      <c r="AA34" s="45">
        <f t="shared" si="42"/>
        <v>102581405.29000002</v>
      </c>
      <c r="AB34" s="45">
        <f t="shared" si="42"/>
        <v>295254278.704</v>
      </c>
      <c r="AC34" s="26"/>
    </row>
    <row r="35" spans="1:29" ht="25.5" customHeight="1" thickBot="1" x14ac:dyDescent="0.3">
      <c r="A35" s="121" t="s">
        <v>84</v>
      </c>
      <c r="B35" s="122"/>
      <c r="C35" s="122"/>
      <c r="D35" s="46">
        <f>D6+D12+D18+D29+D34</f>
        <v>1674</v>
      </c>
      <c r="E35" s="46">
        <f>E6+E12+E18+E29+E34</f>
        <v>3573</v>
      </c>
      <c r="F35" s="47">
        <f>F6+F12+F18+F29+F34</f>
        <v>64550.990000000005</v>
      </c>
      <c r="G35" s="47">
        <f>G6+G12+G18+G29+G34</f>
        <v>72287.92</v>
      </c>
      <c r="H35" s="46"/>
      <c r="I35" s="46"/>
      <c r="J35" s="46"/>
      <c r="K35" s="46"/>
      <c r="L35" s="46"/>
      <c r="M35" s="46"/>
      <c r="N35" s="47">
        <f>N6+N12+N18+N29+N34</f>
        <v>4053661556.8799996</v>
      </c>
      <c r="O35" s="47">
        <f>O6+O12+O18+O29+O34</f>
        <v>2491116303.0354996</v>
      </c>
      <c r="P35" s="47">
        <f>P6+P12+P18+P29+P34</f>
        <v>77044834.114499986</v>
      </c>
      <c r="Q35" s="47">
        <f>Q6+Q12+Q18+Q29+Q34</f>
        <v>307813760.04999995</v>
      </c>
      <c r="R35" s="47">
        <f t="shared" ref="R35:AB35" si="43">R6+R12+R18+R29+R34</f>
        <v>1177686659.6800001</v>
      </c>
      <c r="S35" s="47">
        <f t="shared" si="43"/>
        <v>1184400524.2289999</v>
      </c>
      <c r="T35" s="47">
        <f t="shared" si="43"/>
        <v>723853537.24364996</v>
      </c>
      <c r="U35" s="47">
        <f t="shared" si="43"/>
        <v>22387222.801349998</v>
      </c>
      <c r="V35" s="47">
        <f t="shared" si="43"/>
        <v>92168676.164999992</v>
      </c>
      <c r="W35" s="47">
        <f t="shared" si="43"/>
        <v>345991088.01899999</v>
      </c>
      <c r="X35" s="47">
        <f t="shared" si="43"/>
        <v>2763601223.2010002</v>
      </c>
      <c r="Y35" s="47">
        <f t="shared" si="43"/>
        <v>1688991586.90185</v>
      </c>
      <c r="Z35" s="47">
        <f t="shared" si="43"/>
        <v>52236853.203150004</v>
      </c>
      <c r="AA35" s="47">
        <f t="shared" si="43"/>
        <v>215060244.38500002</v>
      </c>
      <c r="AB35" s="47">
        <f t="shared" si="43"/>
        <v>807312538.71099997</v>
      </c>
      <c r="AC35" s="48"/>
    </row>
  </sheetData>
  <mergeCells count="84">
    <mergeCell ref="N19:N20"/>
    <mergeCell ref="O19:O20"/>
    <mergeCell ref="H2:AH2"/>
    <mergeCell ref="A6:C6"/>
    <mergeCell ref="A7:A11"/>
    <mergeCell ref="A12:C12"/>
    <mergeCell ref="A13:A17"/>
    <mergeCell ref="S3:W3"/>
    <mergeCell ref="X3:AB3"/>
    <mergeCell ref="R19:R20"/>
    <mergeCell ref="S19:S20"/>
    <mergeCell ref="T19:T20"/>
    <mergeCell ref="U19:U20"/>
    <mergeCell ref="V19:V20"/>
    <mergeCell ref="W19:W20"/>
    <mergeCell ref="X19:X20"/>
    <mergeCell ref="E23:E24"/>
    <mergeCell ref="F23:F24"/>
    <mergeCell ref="G23:G24"/>
    <mergeCell ref="AC23:AC24"/>
    <mergeCell ref="A18:C18"/>
    <mergeCell ref="B19:B20"/>
    <mergeCell ref="C19:C20"/>
    <mergeCell ref="D19:D20"/>
    <mergeCell ref="E19:E20"/>
    <mergeCell ref="G19:G20"/>
    <mergeCell ref="F19:F20"/>
    <mergeCell ref="AC19:AC20"/>
    <mergeCell ref="P19:P20"/>
    <mergeCell ref="Q19:Q20"/>
    <mergeCell ref="N23:N24"/>
    <mergeCell ref="O23:O24"/>
    <mergeCell ref="AC25:AC26"/>
    <mergeCell ref="A29:C29"/>
    <mergeCell ref="A30:A33"/>
    <mergeCell ref="B30:B31"/>
    <mergeCell ref="C30:C31"/>
    <mergeCell ref="N25:N26"/>
    <mergeCell ref="O25:O26"/>
    <mergeCell ref="P25:P26"/>
    <mergeCell ref="Q25:Q26"/>
    <mergeCell ref="E25:E26"/>
    <mergeCell ref="F25:F26"/>
    <mergeCell ref="G25:G26"/>
    <mergeCell ref="B27:B28"/>
    <mergeCell ref="B32:B33"/>
    <mergeCell ref="V25:V26"/>
    <mergeCell ref="W25:W26"/>
    <mergeCell ref="A35:C35"/>
    <mergeCell ref="A19:A28"/>
    <mergeCell ref="B25:B26"/>
    <mergeCell ref="C25:C26"/>
    <mergeCell ref="D25:D26"/>
    <mergeCell ref="B23:B24"/>
    <mergeCell ref="C23:C24"/>
    <mergeCell ref="D23:D24"/>
    <mergeCell ref="A34:C34"/>
    <mergeCell ref="B21:B22"/>
    <mergeCell ref="T23:T24"/>
    <mergeCell ref="S25:S26"/>
    <mergeCell ref="T25:T26"/>
    <mergeCell ref="U23:U24"/>
    <mergeCell ref="U25:U26"/>
    <mergeCell ref="P23:P24"/>
    <mergeCell ref="Q23:Q24"/>
    <mergeCell ref="R23:R24"/>
    <mergeCell ref="R25:R26"/>
    <mergeCell ref="S23:S24"/>
    <mergeCell ref="Y19:Y20"/>
    <mergeCell ref="Z19:Z20"/>
    <mergeCell ref="AA19:AA20"/>
    <mergeCell ref="AB19:AB20"/>
    <mergeCell ref="V23:V24"/>
    <mergeCell ref="W23:W24"/>
    <mergeCell ref="X23:X24"/>
    <mergeCell ref="X25:X26"/>
    <mergeCell ref="AB23:AB24"/>
    <mergeCell ref="AB25:AB26"/>
    <mergeCell ref="Y23:Y24"/>
    <mergeCell ref="Y25:Y26"/>
    <mergeCell ref="Z23:Z24"/>
    <mergeCell ref="Z25:Z26"/>
    <mergeCell ref="AA23:AA24"/>
    <mergeCell ref="AA25:AA26"/>
  </mergeCells>
  <pageMargins left="0.51181102362204722" right="0.31496062992125984" top="0.35433070866141736" bottom="0.35433070866141736" header="0.31496062992125984" footer="0.31496062992125984"/>
  <pageSetup paperSize="8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view="pageBreakPreview" zoomScale="55" zoomScaleSheetLayoutView="55" workbookViewId="0">
      <pane ySplit="4" topLeftCell="A5" activePane="bottomLeft" state="frozen"/>
      <selection pane="bottomLeft" activeCell="N33" sqref="N33"/>
    </sheetView>
  </sheetViews>
  <sheetFormatPr defaultColWidth="9.140625" defaultRowHeight="15.75" x14ac:dyDescent="0.25"/>
  <cols>
    <col min="1" max="1" width="18.28515625" style="1" customWidth="1"/>
    <col min="2" max="2" width="19.85546875" style="1" customWidth="1"/>
    <col min="3" max="3" width="29.85546875" style="1" customWidth="1"/>
    <col min="4" max="4" width="14.42578125" style="1" customWidth="1"/>
    <col min="5" max="5" width="16.28515625" style="1" hidden="1" customWidth="1"/>
    <col min="6" max="6" width="17.140625" style="1" customWidth="1"/>
    <col min="7" max="7" width="19.7109375" style="1" customWidth="1"/>
    <col min="8" max="8" width="9.42578125" style="1" customWidth="1"/>
    <col min="9" max="9" width="12.85546875" style="1" customWidth="1"/>
    <col min="10" max="10" width="49.7109375" style="1" customWidth="1"/>
    <col min="11" max="11" width="30.28515625" style="1" customWidth="1"/>
    <col min="12" max="12" width="19.85546875" style="1" customWidth="1"/>
    <col min="13" max="13" width="40" style="1" customWidth="1"/>
    <col min="14" max="14" width="28" style="2" customWidth="1"/>
    <col min="15" max="15" width="29.85546875" style="1" hidden="1" customWidth="1"/>
    <col min="16" max="17" width="25.7109375" style="1" hidden="1" customWidth="1"/>
    <col min="18" max="18" width="25.7109375" style="2" customWidth="1"/>
    <col min="19" max="16384" width="9.140625" style="1"/>
  </cols>
  <sheetData>
    <row r="1" spans="1:18" ht="20.25" x14ac:dyDescent="0.25">
      <c r="A1" s="135" t="s">
        <v>65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2"/>
      <c r="P2" s="2"/>
      <c r="Q2" s="2"/>
    </row>
    <row r="3" spans="1:18" ht="42" customHeight="1" thickBot="1" x14ac:dyDescent="0.3"/>
    <row r="4" spans="1:18" ht="47.25" x14ac:dyDescent="0.25">
      <c r="A4" s="5" t="s">
        <v>5</v>
      </c>
      <c r="B4" s="6" t="s">
        <v>6</v>
      </c>
      <c r="C4" s="6" t="s">
        <v>0</v>
      </c>
      <c r="D4" s="6" t="s">
        <v>1</v>
      </c>
      <c r="E4" s="6" t="s">
        <v>3</v>
      </c>
      <c r="F4" s="6" t="s">
        <v>2</v>
      </c>
      <c r="G4" s="6" t="s">
        <v>4</v>
      </c>
      <c r="H4" s="7" t="s">
        <v>7</v>
      </c>
      <c r="I4" s="7" t="s">
        <v>24</v>
      </c>
      <c r="J4" s="8" t="s">
        <v>21</v>
      </c>
      <c r="K4" s="8" t="s">
        <v>22</v>
      </c>
      <c r="L4" s="8" t="s">
        <v>23</v>
      </c>
      <c r="M4" s="8" t="s">
        <v>89</v>
      </c>
      <c r="N4" s="9" t="s">
        <v>87</v>
      </c>
      <c r="O4" s="6" t="s">
        <v>58</v>
      </c>
      <c r="P4" s="6" t="s">
        <v>59</v>
      </c>
      <c r="Q4" s="6" t="s">
        <v>60</v>
      </c>
      <c r="R4" s="10" t="s">
        <v>107</v>
      </c>
    </row>
    <row r="5" spans="1:18" ht="44.25" customHeight="1" x14ac:dyDescent="0.25">
      <c r="A5" s="141" t="s">
        <v>74</v>
      </c>
      <c r="B5" s="124" t="s">
        <v>66</v>
      </c>
      <c r="C5" s="13" t="s">
        <v>12</v>
      </c>
      <c r="D5" s="14">
        <v>43</v>
      </c>
      <c r="E5" s="14">
        <v>110</v>
      </c>
      <c r="F5" s="16">
        <v>1585.4</v>
      </c>
      <c r="G5" s="16">
        <v>1783</v>
      </c>
      <c r="H5" s="28">
        <v>1</v>
      </c>
      <c r="I5" s="30" t="s">
        <v>63</v>
      </c>
      <c r="J5" s="15" t="s">
        <v>57</v>
      </c>
      <c r="K5" s="18" t="s">
        <v>62</v>
      </c>
      <c r="L5" s="15">
        <v>3854</v>
      </c>
      <c r="M5" s="19" t="s">
        <v>90</v>
      </c>
      <c r="N5" s="20">
        <f t="shared" ref="N5:N14" si="0">SUM(O5:Q5)</f>
        <v>100898187</v>
      </c>
      <c r="O5" s="19">
        <f>F5*56589*97%</f>
        <v>87024714.582000002</v>
      </c>
      <c r="P5" s="19">
        <f>F5*56589*3%</f>
        <v>2691486.0180000002</v>
      </c>
      <c r="Q5" s="19">
        <f>(G5-F5)*56589</f>
        <v>11181986.399999995</v>
      </c>
      <c r="R5" s="21" t="s">
        <v>104</v>
      </c>
    </row>
    <row r="6" spans="1:18" ht="44.25" customHeight="1" x14ac:dyDescent="0.25">
      <c r="A6" s="142"/>
      <c r="B6" s="124"/>
      <c r="C6" s="13" t="s">
        <v>14</v>
      </c>
      <c r="D6" s="14">
        <v>49</v>
      </c>
      <c r="E6" s="14">
        <v>144</v>
      </c>
      <c r="F6" s="16">
        <v>2221.1</v>
      </c>
      <c r="G6" s="16">
        <v>2306.1</v>
      </c>
      <c r="H6" s="28">
        <v>1</v>
      </c>
      <c r="I6" s="28" t="s">
        <v>64</v>
      </c>
      <c r="J6" s="15" t="s">
        <v>43</v>
      </c>
      <c r="K6" s="15" t="s">
        <v>26</v>
      </c>
      <c r="L6" s="15">
        <v>9077</v>
      </c>
      <c r="M6" s="19" t="s">
        <v>90</v>
      </c>
      <c r="N6" s="20">
        <f t="shared" si="0"/>
        <v>130499892.89999999</v>
      </c>
      <c r="O6" s="19">
        <f t="shared" ref="O6:O7" si="1">F6*56589*97%</f>
        <v>121919133.06299999</v>
      </c>
      <c r="P6" s="19">
        <f t="shared" ref="P6:P7" si="2">F6*56589*3%</f>
        <v>3770694.8369999998</v>
      </c>
      <c r="Q6" s="19">
        <f t="shared" ref="Q6:Q7" si="3">(G6-F6)*56589</f>
        <v>4810065</v>
      </c>
      <c r="R6" s="21" t="s">
        <v>104</v>
      </c>
    </row>
    <row r="7" spans="1:18" ht="44.25" customHeight="1" x14ac:dyDescent="0.25">
      <c r="A7" s="143"/>
      <c r="B7" s="124"/>
      <c r="C7" s="31" t="s">
        <v>10</v>
      </c>
      <c r="D7" s="14">
        <v>75</v>
      </c>
      <c r="E7" s="14">
        <v>201</v>
      </c>
      <c r="F7" s="16">
        <v>2804.18</v>
      </c>
      <c r="G7" s="15">
        <v>3201.34</v>
      </c>
      <c r="H7" s="28">
        <v>1</v>
      </c>
      <c r="I7" s="28">
        <v>9</v>
      </c>
      <c r="J7" s="15" t="s">
        <v>27</v>
      </c>
      <c r="K7" s="15" t="s">
        <v>28</v>
      </c>
      <c r="L7" s="15">
        <v>11212</v>
      </c>
      <c r="M7" s="19" t="s">
        <v>90</v>
      </c>
      <c r="N7" s="20">
        <f t="shared" si="0"/>
        <v>181160629.25999999</v>
      </c>
      <c r="O7" s="19">
        <f t="shared" si="1"/>
        <v>153925169.75939998</v>
      </c>
      <c r="P7" s="19">
        <f t="shared" si="2"/>
        <v>4760572.2605999997</v>
      </c>
      <c r="Q7" s="19">
        <f t="shared" si="3"/>
        <v>22474887.240000017</v>
      </c>
      <c r="R7" s="21" t="s">
        <v>104</v>
      </c>
    </row>
    <row r="8" spans="1:18" s="2" customFormat="1" ht="19.5" x14ac:dyDescent="0.25">
      <c r="A8" s="129" t="s">
        <v>82</v>
      </c>
      <c r="B8" s="130"/>
      <c r="C8" s="130"/>
      <c r="D8" s="22">
        <f>SUM(D5:D7)</f>
        <v>167</v>
      </c>
      <c r="E8" s="22">
        <f>SUM(E5:E7)</f>
        <v>455</v>
      </c>
      <c r="F8" s="23">
        <f>SUM(F5:F7)</f>
        <v>6610.68</v>
      </c>
      <c r="G8" s="23">
        <f>SUM(G5:G7)</f>
        <v>7290.4400000000005</v>
      </c>
      <c r="H8" s="25"/>
      <c r="I8" s="25"/>
      <c r="J8" s="23"/>
      <c r="K8" s="23"/>
      <c r="L8" s="23"/>
      <c r="M8" s="23"/>
      <c r="N8" s="23">
        <f>SUM(N5:N7)</f>
        <v>412558709.15999997</v>
      </c>
      <c r="O8" s="23">
        <f>SUM(O5:O7)</f>
        <v>362869017.40439999</v>
      </c>
      <c r="P8" s="23">
        <f>SUM(P5:P7)</f>
        <v>11222753.115600001</v>
      </c>
      <c r="Q8" s="23">
        <f>SUM(Q5:Q7)</f>
        <v>38466938.640000015</v>
      </c>
      <c r="R8" s="26"/>
    </row>
    <row r="9" spans="1:18" ht="43.5" customHeight="1" x14ac:dyDescent="0.25">
      <c r="A9" s="123" t="s">
        <v>75</v>
      </c>
      <c r="B9" s="13">
        <v>2022</v>
      </c>
      <c r="C9" s="13" t="s">
        <v>15</v>
      </c>
      <c r="D9" s="14">
        <v>27</v>
      </c>
      <c r="E9" s="14">
        <v>60</v>
      </c>
      <c r="F9" s="16">
        <v>1218.5999999999999</v>
      </c>
      <c r="G9" s="16">
        <v>1238.5</v>
      </c>
      <c r="H9" s="28">
        <v>1</v>
      </c>
      <c r="I9" s="28">
        <v>3</v>
      </c>
      <c r="J9" s="15" t="s">
        <v>61</v>
      </c>
      <c r="K9" s="15" t="s">
        <v>29</v>
      </c>
      <c r="L9" s="15">
        <v>4344</v>
      </c>
      <c r="M9" s="19" t="s">
        <v>90</v>
      </c>
      <c r="N9" s="20">
        <f t="shared" si="0"/>
        <v>70085476.5</v>
      </c>
      <c r="O9" s="19">
        <f t="shared" ref="O9:O11" si="4">F9*56589*97%</f>
        <v>66890574.737999991</v>
      </c>
      <c r="P9" s="19">
        <f t="shared" ref="P9:P11" si="5">F9*56589*3%</f>
        <v>2068780.6619999995</v>
      </c>
      <c r="Q9" s="19">
        <f t="shared" ref="Q9:Q11" si="6">(G9-F9)*56589</f>
        <v>1126121.1000000052</v>
      </c>
      <c r="R9" s="21"/>
    </row>
    <row r="10" spans="1:18" ht="43.5" customHeight="1" x14ac:dyDescent="0.25">
      <c r="A10" s="123"/>
      <c r="B10" s="13">
        <v>2023</v>
      </c>
      <c r="C10" s="13" t="s">
        <v>17</v>
      </c>
      <c r="D10" s="14">
        <v>47</v>
      </c>
      <c r="E10" s="14">
        <v>85</v>
      </c>
      <c r="F10" s="15">
        <v>1510.4</v>
      </c>
      <c r="G10" s="15">
        <v>1719.3</v>
      </c>
      <c r="H10" s="18">
        <v>2</v>
      </c>
      <c r="I10" s="18">
        <v>3</v>
      </c>
      <c r="J10" s="32" t="s">
        <v>30</v>
      </c>
      <c r="K10" s="15" t="s">
        <v>25</v>
      </c>
      <c r="L10" s="15" t="s">
        <v>25</v>
      </c>
      <c r="M10" s="15" t="s">
        <v>105</v>
      </c>
      <c r="N10" s="20">
        <f t="shared" si="0"/>
        <v>97293467.700000003</v>
      </c>
      <c r="O10" s="19">
        <f t="shared" si="4"/>
        <v>82907864.832000002</v>
      </c>
      <c r="P10" s="19">
        <f t="shared" si="5"/>
        <v>2564160.7680000002</v>
      </c>
      <c r="Q10" s="19">
        <f t="shared" si="6"/>
        <v>11821442.099999992</v>
      </c>
      <c r="R10" s="21"/>
    </row>
    <row r="11" spans="1:18" ht="43.5" customHeight="1" x14ac:dyDescent="0.25">
      <c r="A11" s="123"/>
      <c r="B11" s="13">
        <v>2022</v>
      </c>
      <c r="C11" s="13" t="s">
        <v>16</v>
      </c>
      <c r="D11" s="14">
        <v>36</v>
      </c>
      <c r="E11" s="14">
        <v>81</v>
      </c>
      <c r="F11" s="15">
        <v>1371.6</v>
      </c>
      <c r="G11" s="15">
        <v>1569.8</v>
      </c>
      <c r="H11" s="18">
        <v>1</v>
      </c>
      <c r="I11" s="18">
        <v>4</v>
      </c>
      <c r="J11" s="33" t="s">
        <v>35</v>
      </c>
      <c r="K11" s="33" t="s">
        <v>36</v>
      </c>
      <c r="L11" s="32">
        <v>2385</v>
      </c>
      <c r="M11" s="15" t="s">
        <v>90</v>
      </c>
      <c r="N11" s="20">
        <f t="shared" si="0"/>
        <v>88833412.199999988</v>
      </c>
      <c r="O11" s="19">
        <f t="shared" si="4"/>
        <v>75288948.227999985</v>
      </c>
      <c r="P11" s="19">
        <f t="shared" si="5"/>
        <v>2328524.1719999998</v>
      </c>
      <c r="Q11" s="19">
        <f t="shared" si="6"/>
        <v>11215939.800000003</v>
      </c>
      <c r="R11" s="21"/>
    </row>
    <row r="12" spans="1:18" ht="43.5" customHeight="1" x14ac:dyDescent="0.25">
      <c r="A12" s="123"/>
      <c r="B12" s="124">
        <v>2023</v>
      </c>
      <c r="C12" s="124" t="s">
        <v>13</v>
      </c>
      <c r="D12" s="125">
        <v>75</v>
      </c>
      <c r="E12" s="125">
        <v>172</v>
      </c>
      <c r="F12" s="132">
        <v>3653.7</v>
      </c>
      <c r="G12" s="132">
        <v>3734.2</v>
      </c>
      <c r="H12" s="139">
        <v>1</v>
      </c>
      <c r="I12" s="139">
        <v>4</v>
      </c>
      <c r="J12" s="18" t="s">
        <v>44</v>
      </c>
      <c r="K12" s="15" t="s">
        <v>55</v>
      </c>
      <c r="L12" s="35">
        <v>2757</v>
      </c>
      <c r="M12" s="15" t="s">
        <v>90</v>
      </c>
      <c r="N12" s="140">
        <f t="shared" si="0"/>
        <v>211314643.79999998</v>
      </c>
      <c r="O12" s="120">
        <f>F12*56589*97%</f>
        <v>200556452.42099997</v>
      </c>
      <c r="P12" s="120">
        <f>F12*56589*3%</f>
        <v>6202776.8789999988</v>
      </c>
      <c r="Q12" s="120">
        <f>(G12-F12)*56589</f>
        <v>4555414.5</v>
      </c>
      <c r="R12" s="138"/>
    </row>
    <row r="13" spans="1:18" ht="43.5" customHeight="1" x14ac:dyDescent="0.25">
      <c r="A13" s="123"/>
      <c r="B13" s="124"/>
      <c r="C13" s="124"/>
      <c r="D13" s="125"/>
      <c r="E13" s="125"/>
      <c r="F13" s="132"/>
      <c r="G13" s="132"/>
      <c r="H13" s="139"/>
      <c r="I13" s="139"/>
      <c r="J13" s="18" t="s">
        <v>44</v>
      </c>
      <c r="K13" s="15" t="s">
        <v>56</v>
      </c>
      <c r="L13" s="35">
        <v>1070</v>
      </c>
      <c r="M13" s="15" t="s">
        <v>90</v>
      </c>
      <c r="N13" s="140"/>
      <c r="O13" s="120"/>
      <c r="P13" s="120"/>
      <c r="Q13" s="120"/>
      <c r="R13" s="138"/>
    </row>
    <row r="14" spans="1:18" ht="43.5" customHeight="1" x14ac:dyDescent="0.25">
      <c r="A14" s="123"/>
      <c r="B14" s="13">
        <v>2023</v>
      </c>
      <c r="C14" s="13" t="s">
        <v>18</v>
      </c>
      <c r="D14" s="14">
        <v>46</v>
      </c>
      <c r="E14" s="14">
        <v>80</v>
      </c>
      <c r="F14" s="16">
        <v>1285.7</v>
      </c>
      <c r="G14" s="16">
        <v>1668.2</v>
      </c>
      <c r="H14" s="28"/>
      <c r="I14" s="28"/>
      <c r="J14" s="31" t="s">
        <v>33</v>
      </c>
      <c r="K14" s="31" t="s">
        <v>34</v>
      </c>
      <c r="L14" s="19">
        <v>2375</v>
      </c>
      <c r="M14" s="19" t="s">
        <v>90</v>
      </c>
      <c r="N14" s="20">
        <f t="shared" si="0"/>
        <v>94401769.799999997</v>
      </c>
      <c r="O14" s="19">
        <f t="shared" ref="O14" si="7">F14*56589*97%</f>
        <v>70573782.980999991</v>
      </c>
      <c r="P14" s="19">
        <f t="shared" ref="P14" si="8">F14*56589*3%</f>
        <v>2182694.3189999997</v>
      </c>
      <c r="Q14" s="19">
        <f t="shared" ref="Q14" si="9">(G14-F14)*56589</f>
        <v>21645292.5</v>
      </c>
      <c r="R14" s="21"/>
    </row>
    <row r="15" spans="1:18" s="2" customFormat="1" ht="19.5" x14ac:dyDescent="0.25">
      <c r="A15" s="129" t="s">
        <v>83</v>
      </c>
      <c r="B15" s="130"/>
      <c r="C15" s="130"/>
      <c r="D15" s="22">
        <f>SUM(D9:D14)</f>
        <v>231</v>
      </c>
      <c r="E15" s="22">
        <f t="shared" ref="E15:F15" si="10">SUM(E9:E14)</f>
        <v>478</v>
      </c>
      <c r="F15" s="23">
        <f t="shared" si="10"/>
        <v>9040</v>
      </c>
      <c r="G15" s="23">
        <f>SUM(G9:G14)</f>
        <v>9930</v>
      </c>
      <c r="H15" s="25"/>
      <c r="I15" s="25"/>
      <c r="J15" s="24"/>
      <c r="K15" s="24"/>
      <c r="L15" s="23"/>
      <c r="M15" s="23"/>
      <c r="N15" s="23">
        <f t="shared" ref="N15:Q15" si="11">SUM(N9:N14)</f>
        <v>561928769.99999988</v>
      </c>
      <c r="O15" s="23">
        <f t="shared" si="11"/>
        <v>496217623.19999999</v>
      </c>
      <c r="P15" s="23">
        <f t="shared" si="11"/>
        <v>15346936.799999999</v>
      </c>
      <c r="Q15" s="23">
        <f t="shared" si="11"/>
        <v>50364210</v>
      </c>
      <c r="R15" s="26"/>
    </row>
    <row r="16" spans="1:18" ht="43.5" customHeight="1" x14ac:dyDescent="0.25">
      <c r="A16" s="123" t="s">
        <v>76</v>
      </c>
      <c r="B16" s="124">
        <v>2023</v>
      </c>
      <c r="C16" s="124" t="s">
        <v>8</v>
      </c>
      <c r="D16" s="133">
        <v>35</v>
      </c>
      <c r="E16" s="133">
        <v>66</v>
      </c>
      <c r="F16" s="134">
        <v>1016.4</v>
      </c>
      <c r="G16" s="134">
        <v>1280.9000000000001</v>
      </c>
      <c r="H16" s="28">
        <v>1</v>
      </c>
      <c r="I16" s="28">
        <v>3</v>
      </c>
      <c r="J16" s="13" t="s">
        <v>39</v>
      </c>
      <c r="K16" s="13" t="s">
        <v>40</v>
      </c>
      <c r="L16" s="16">
        <v>4666</v>
      </c>
      <c r="M16" s="16" t="s">
        <v>93</v>
      </c>
      <c r="N16" s="131">
        <f>SUM(O16:Q17)</f>
        <v>72484850.100000009</v>
      </c>
      <c r="O16" s="120">
        <f>F16*56589*97%</f>
        <v>55791547.811999999</v>
      </c>
      <c r="P16" s="120">
        <f>F16*56589*3%</f>
        <v>1725511.7879999999</v>
      </c>
      <c r="Q16" s="120">
        <f>(G16-F16)*56589</f>
        <v>14967790.500000006</v>
      </c>
      <c r="R16" s="128"/>
    </row>
    <row r="17" spans="1:18" ht="43.5" customHeight="1" x14ac:dyDescent="0.25">
      <c r="A17" s="123"/>
      <c r="B17" s="124"/>
      <c r="C17" s="124"/>
      <c r="D17" s="133"/>
      <c r="E17" s="133"/>
      <c r="F17" s="134"/>
      <c r="G17" s="134"/>
      <c r="H17" s="28">
        <v>1</v>
      </c>
      <c r="I17" s="28">
        <v>3</v>
      </c>
      <c r="J17" s="13" t="s">
        <v>41</v>
      </c>
      <c r="K17" s="13" t="s">
        <v>42</v>
      </c>
      <c r="L17" s="16">
        <v>4896</v>
      </c>
      <c r="M17" s="16" t="s">
        <v>93</v>
      </c>
      <c r="N17" s="131"/>
      <c r="O17" s="120"/>
      <c r="P17" s="120"/>
      <c r="Q17" s="120"/>
      <c r="R17" s="128"/>
    </row>
    <row r="18" spans="1:18" ht="68.25" customHeight="1" x14ac:dyDescent="0.25">
      <c r="A18" s="123"/>
      <c r="B18" s="124">
        <v>2023</v>
      </c>
      <c r="C18" s="38" t="s">
        <v>9</v>
      </c>
      <c r="D18" s="39">
        <v>70</v>
      </c>
      <c r="E18" s="39">
        <v>132</v>
      </c>
      <c r="F18" s="16">
        <v>2309.36</v>
      </c>
      <c r="G18" s="16">
        <v>2795.1</v>
      </c>
      <c r="H18" s="28"/>
      <c r="I18" s="28"/>
      <c r="J18" s="17" t="s">
        <v>32</v>
      </c>
      <c r="K18" s="17" t="s">
        <v>31</v>
      </c>
      <c r="L18" s="19">
        <v>6950</v>
      </c>
      <c r="M18" s="40" t="s">
        <v>99</v>
      </c>
      <c r="N18" s="20">
        <f t="shared" ref="N18:N19" si="12">SUM(O18:Q18)</f>
        <v>158171913.90000001</v>
      </c>
      <c r="O18" s="19">
        <f t="shared" ref="O18:O19" si="13">F18*56589*97%</f>
        <v>126763841.8488</v>
      </c>
      <c r="P18" s="19">
        <f t="shared" ref="P18:P19" si="14">F18*56589*3%</f>
        <v>3920531.1912000002</v>
      </c>
      <c r="Q18" s="19">
        <f t="shared" ref="Q18:Q19" si="15">(G18-F18)*56589</f>
        <v>27487540.859999988</v>
      </c>
      <c r="R18" s="21"/>
    </row>
    <row r="19" spans="1:18" s="3" customFormat="1" ht="35.25" customHeight="1" x14ac:dyDescent="0.25">
      <c r="A19" s="123"/>
      <c r="B19" s="124"/>
      <c r="C19" s="38" t="s">
        <v>88</v>
      </c>
      <c r="D19" s="14">
        <v>6</v>
      </c>
      <c r="E19" s="14">
        <v>11</v>
      </c>
      <c r="F19" s="15">
        <v>204.2</v>
      </c>
      <c r="G19" s="15">
        <v>250.4</v>
      </c>
      <c r="H19" s="18"/>
      <c r="I19" s="18"/>
      <c r="J19" s="31" t="s">
        <v>25</v>
      </c>
      <c r="K19" s="31" t="s">
        <v>25</v>
      </c>
      <c r="L19" s="15" t="s">
        <v>25</v>
      </c>
      <c r="M19" s="15"/>
      <c r="N19" s="41">
        <f t="shared" si="12"/>
        <v>14169885.6</v>
      </c>
      <c r="O19" s="15">
        <f t="shared" si="13"/>
        <v>11208809.585999999</v>
      </c>
      <c r="P19" s="15">
        <f t="shared" si="14"/>
        <v>346664.21399999998</v>
      </c>
      <c r="Q19" s="15">
        <f t="shared" si="15"/>
        <v>2614411.8000000007</v>
      </c>
      <c r="R19" s="42"/>
    </row>
    <row r="20" spans="1:18" ht="43.5" customHeight="1" x14ac:dyDescent="0.25">
      <c r="A20" s="123"/>
      <c r="B20" s="124">
        <v>2023</v>
      </c>
      <c r="C20" s="124" t="s">
        <v>20</v>
      </c>
      <c r="D20" s="125">
        <v>85</v>
      </c>
      <c r="E20" s="125">
        <v>170</v>
      </c>
      <c r="F20" s="132">
        <v>2826.1</v>
      </c>
      <c r="G20" s="132">
        <v>3394.6</v>
      </c>
      <c r="H20" s="18">
        <v>1</v>
      </c>
      <c r="I20" s="18">
        <v>3</v>
      </c>
      <c r="J20" s="31" t="s">
        <v>51</v>
      </c>
      <c r="K20" s="31" t="s">
        <v>49</v>
      </c>
      <c r="L20" s="15">
        <v>2656</v>
      </c>
      <c r="M20" s="15" t="s">
        <v>98</v>
      </c>
      <c r="N20" s="131">
        <f>SUM(O20:Q21)</f>
        <v>192097019.40000001</v>
      </c>
      <c r="O20" s="120">
        <f>F20*56589*97%</f>
        <v>155128387.713</v>
      </c>
      <c r="P20" s="120">
        <f>F20*56589*3%</f>
        <v>4797785.1869999999</v>
      </c>
      <c r="Q20" s="120">
        <f>(G20-F20)*56589</f>
        <v>32170846.5</v>
      </c>
      <c r="R20" s="128"/>
    </row>
    <row r="21" spans="1:18" ht="43.5" customHeight="1" x14ac:dyDescent="0.25">
      <c r="A21" s="123"/>
      <c r="B21" s="124"/>
      <c r="C21" s="124"/>
      <c r="D21" s="125"/>
      <c r="E21" s="125"/>
      <c r="F21" s="132"/>
      <c r="G21" s="132"/>
      <c r="H21" s="18">
        <v>1</v>
      </c>
      <c r="I21" s="18">
        <v>3</v>
      </c>
      <c r="J21" s="31" t="s">
        <v>52</v>
      </c>
      <c r="K21" s="31" t="s">
        <v>50</v>
      </c>
      <c r="L21" s="15">
        <v>2152</v>
      </c>
      <c r="M21" s="15" t="s">
        <v>98</v>
      </c>
      <c r="N21" s="131"/>
      <c r="O21" s="120"/>
      <c r="P21" s="120"/>
      <c r="Q21" s="120"/>
      <c r="R21" s="128"/>
    </row>
    <row r="22" spans="1:18" ht="43.5" customHeight="1" x14ac:dyDescent="0.25">
      <c r="A22" s="123"/>
      <c r="B22" s="124">
        <v>2023</v>
      </c>
      <c r="C22" s="124" t="s">
        <v>13</v>
      </c>
      <c r="D22" s="125">
        <v>150</v>
      </c>
      <c r="E22" s="125">
        <v>368</v>
      </c>
      <c r="F22" s="132">
        <v>7279</v>
      </c>
      <c r="G22" s="132">
        <v>7369.3</v>
      </c>
      <c r="H22" s="18"/>
      <c r="I22" s="18"/>
      <c r="J22" s="31" t="s">
        <v>46</v>
      </c>
      <c r="K22" s="31" t="s">
        <v>45</v>
      </c>
      <c r="L22" s="15" t="s">
        <v>25</v>
      </c>
      <c r="M22" s="15" t="s">
        <v>92</v>
      </c>
      <c r="N22" s="131">
        <f>SUM(O22:Q23)</f>
        <v>417021317.69999999</v>
      </c>
      <c r="O22" s="120">
        <f>F22*56589*97%</f>
        <v>399553991.06999999</v>
      </c>
      <c r="P22" s="120">
        <f>F22*56589*3%</f>
        <v>12357339.93</v>
      </c>
      <c r="Q22" s="120">
        <f>(G22-F22)*56589</f>
        <v>5109986.7000000104</v>
      </c>
      <c r="R22" s="128"/>
    </row>
    <row r="23" spans="1:18" ht="43.5" customHeight="1" x14ac:dyDescent="0.25">
      <c r="A23" s="123"/>
      <c r="B23" s="124"/>
      <c r="C23" s="124"/>
      <c r="D23" s="125"/>
      <c r="E23" s="125"/>
      <c r="F23" s="132"/>
      <c r="G23" s="132"/>
      <c r="H23" s="18"/>
      <c r="I23" s="18"/>
      <c r="J23" s="31" t="s">
        <v>48</v>
      </c>
      <c r="K23" s="31" t="s">
        <v>47</v>
      </c>
      <c r="L23" s="15" t="s">
        <v>25</v>
      </c>
      <c r="M23" s="15" t="s">
        <v>92</v>
      </c>
      <c r="N23" s="131"/>
      <c r="O23" s="120"/>
      <c r="P23" s="120"/>
      <c r="Q23" s="120"/>
      <c r="R23" s="128"/>
    </row>
    <row r="24" spans="1:18" ht="43.5" customHeight="1" x14ac:dyDescent="0.25">
      <c r="A24" s="123"/>
      <c r="B24" s="124">
        <v>2023</v>
      </c>
      <c r="C24" s="13" t="s">
        <v>19</v>
      </c>
      <c r="D24" s="14">
        <v>14</v>
      </c>
      <c r="E24" s="14">
        <v>20</v>
      </c>
      <c r="F24" s="15">
        <v>368.7</v>
      </c>
      <c r="G24" s="15">
        <v>447.8</v>
      </c>
      <c r="H24" s="18"/>
      <c r="I24" s="18"/>
      <c r="J24" s="31" t="s">
        <v>25</v>
      </c>
      <c r="K24" s="31" t="s">
        <v>25</v>
      </c>
      <c r="L24" s="15" t="s">
        <v>25</v>
      </c>
      <c r="M24" s="15" t="s">
        <v>108</v>
      </c>
      <c r="N24" s="20">
        <f t="shared" ref="N24:N25" si="16">SUM(O24:Q24)</f>
        <v>25340554.200000003</v>
      </c>
      <c r="O24" s="19">
        <f t="shared" ref="O24:O25" si="17">F24*56589*97%</f>
        <v>20238433.370999999</v>
      </c>
      <c r="P24" s="19">
        <f t="shared" ref="P24:P25" si="18">F24*56589*3%</f>
        <v>625930.929</v>
      </c>
      <c r="Q24" s="19">
        <f t="shared" ref="Q24:Q25" si="19">(G24-F24)*56589</f>
        <v>4476189.9000000013</v>
      </c>
      <c r="R24" s="21"/>
    </row>
    <row r="25" spans="1:18" ht="43.5" customHeight="1" x14ac:dyDescent="0.25">
      <c r="A25" s="123"/>
      <c r="B25" s="124"/>
      <c r="C25" s="13" t="s">
        <v>18</v>
      </c>
      <c r="D25" s="14">
        <v>140</v>
      </c>
      <c r="E25" s="14">
        <v>254</v>
      </c>
      <c r="F25" s="15">
        <v>6659.1</v>
      </c>
      <c r="G25" s="15">
        <v>6823.4</v>
      </c>
      <c r="H25" s="18"/>
      <c r="I25" s="18"/>
      <c r="J25" s="31" t="s">
        <v>38</v>
      </c>
      <c r="K25" s="31" t="s">
        <v>37</v>
      </c>
      <c r="L25" s="15">
        <v>52405</v>
      </c>
      <c r="M25" s="15" t="s">
        <v>91</v>
      </c>
      <c r="N25" s="20">
        <f t="shared" si="16"/>
        <v>386129382.60000002</v>
      </c>
      <c r="O25" s="19">
        <f t="shared" si="17"/>
        <v>365526855.60300004</v>
      </c>
      <c r="P25" s="19">
        <f t="shared" si="18"/>
        <v>11304954.297</v>
      </c>
      <c r="Q25" s="19">
        <f t="shared" si="19"/>
        <v>9297572.6999999583</v>
      </c>
      <c r="R25" s="21"/>
    </row>
    <row r="26" spans="1:18" s="2" customFormat="1" ht="19.5" x14ac:dyDescent="0.25">
      <c r="A26" s="129" t="s">
        <v>85</v>
      </c>
      <c r="B26" s="130"/>
      <c r="C26" s="130"/>
      <c r="D26" s="22">
        <f>SUM(D16:D25)</f>
        <v>500</v>
      </c>
      <c r="E26" s="22">
        <f>SUM(E16:E25)</f>
        <v>1021</v>
      </c>
      <c r="F26" s="23">
        <f>SUM(F16:F25)</f>
        <v>20662.86</v>
      </c>
      <c r="G26" s="23">
        <f>SUM(G16:G25)</f>
        <v>22361.5</v>
      </c>
      <c r="H26" s="22"/>
      <c r="I26" s="25"/>
      <c r="J26" s="24"/>
      <c r="K26" s="24"/>
      <c r="L26" s="23"/>
      <c r="M26" s="23"/>
      <c r="N26" s="23">
        <f>SUM(N16:N25)</f>
        <v>1265414923.5</v>
      </c>
      <c r="O26" s="23">
        <f>SUM(O16:O25)</f>
        <v>1134211867.0037999</v>
      </c>
      <c r="P26" s="23">
        <f>SUM(P16:P25)</f>
        <v>35078717.536200002</v>
      </c>
      <c r="Q26" s="23">
        <f>SUM(Q16:Q25)</f>
        <v>96124338.959999979</v>
      </c>
      <c r="R26" s="26"/>
    </row>
    <row r="27" spans="1:18" ht="43.5" customHeight="1" x14ac:dyDescent="0.25">
      <c r="A27" s="123" t="s">
        <v>77</v>
      </c>
      <c r="B27" s="124">
        <v>2023</v>
      </c>
      <c r="C27" s="124" t="s">
        <v>13</v>
      </c>
      <c r="D27" s="43">
        <v>86</v>
      </c>
      <c r="E27" s="43">
        <v>149</v>
      </c>
      <c r="F27" s="44">
        <v>4134.3999999999996</v>
      </c>
      <c r="G27" s="44">
        <v>4192.8</v>
      </c>
      <c r="H27" s="28"/>
      <c r="I27" s="28"/>
      <c r="J27" s="13" t="s">
        <v>46</v>
      </c>
      <c r="K27" s="17" t="s">
        <v>45</v>
      </c>
      <c r="L27" s="16" t="s">
        <v>25</v>
      </c>
      <c r="M27" s="19" t="s">
        <v>90</v>
      </c>
      <c r="N27" s="20">
        <f t="shared" ref="N27:N30" si="20">SUM(O27:Q27)</f>
        <v>237266359.19999999</v>
      </c>
      <c r="O27" s="19">
        <f t="shared" ref="O27:O30" si="21">F27*56589*97%</f>
        <v>226942714.75199997</v>
      </c>
      <c r="P27" s="19">
        <f t="shared" ref="P27:P30" si="22">F27*56589*3%</f>
        <v>7018846.8479999993</v>
      </c>
      <c r="Q27" s="19">
        <f t="shared" ref="Q27:Q30" si="23">(G27-F27)*56589</f>
        <v>3304797.6000000308</v>
      </c>
      <c r="R27" s="21"/>
    </row>
    <row r="28" spans="1:18" ht="124.5" customHeight="1" x14ac:dyDescent="0.25">
      <c r="A28" s="123"/>
      <c r="B28" s="124"/>
      <c r="C28" s="124"/>
      <c r="D28" s="43">
        <v>84</v>
      </c>
      <c r="E28" s="43">
        <v>216</v>
      </c>
      <c r="F28" s="44">
        <v>4120.71</v>
      </c>
      <c r="G28" s="44">
        <v>4351.58</v>
      </c>
      <c r="H28" s="28"/>
      <c r="I28" s="28"/>
      <c r="J28" s="13" t="s">
        <v>78</v>
      </c>
      <c r="K28" s="17" t="s">
        <v>80</v>
      </c>
      <c r="L28" s="16" t="s">
        <v>79</v>
      </c>
      <c r="M28" s="15" t="s">
        <v>95</v>
      </c>
      <c r="N28" s="20">
        <f t="shared" si="20"/>
        <v>246251560.62</v>
      </c>
      <c r="O28" s="19">
        <f t="shared" si="21"/>
        <v>226191252.4443</v>
      </c>
      <c r="P28" s="19">
        <f t="shared" si="22"/>
        <v>6995605.7456999999</v>
      </c>
      <c r="Q28" s="19">
        <f t="shared" si="23"/>
        <v>13064702.429999994</v>
      </c>
      <c r="R28" s="21"/>
    </row>
    <row r="29" spans="1:18" ht="31.5" customHeight="1" x14ac:dyDescent="0.25">
      <c r="A29" s="123"/>
      <c r="B29" s="124">
        <v>2023</v>
      </c>
      <c r="C29" s="13" t="s">
        <v>14</v>
      </c>
      <c r="D29" s="39">
        <v>10</v>
      </c>
      <c r="E29" s="39">
        <v>36</v>
      </c>
      <c r="F29" s="16">
        <v>437.3</v>
      </c>
      <c r="G29" s="16">
        <v>444.1</v>
      </c>
      <c r="H29" s="28">
        <v>1</v>
      </c>
      <c r="I29" s="28">
        <v>2</v>
      </c>
      <c r="J29" s="31" t="s">
        <v>53</v>
      </c>
      <c r="K29" s="31" t="s">
        <v>54</v>
      </c>
      <c r="L29" s="15">
        <v>1000</v>
      </c>
      <c r="M29" s="15" t="s">
        <v>96</v>
      </c>
      <c r="N29" s="20">
        <f t="shared" si="20"/>
        <v>25131174.899999995</v>
      </c>
      <c r="O29" s="19">
        <f t="shared" si="21"/>
        <v>24003978.608999997</v>
      </c>
      <c r="P29" s="19">
        <f t="shared" si="22"/>
        <v>742391.0909999999</v>
      </c>
      <c r="Q29" s="19">
        <f t="shared" si="23"/>
        <v>384805.20000000065</v>
      </c>
      <c r="R29" s="21"/>
    </row>
    <row r="30" spans="1:18" ht="42.75" customHeight="1" x14ac:dyDescent="0.25">
      <c r="A30" s="123"/>
      <c r="B30" s="124"/>
      <c r="C30" s="13" t="s">
        <v>11</v>
      </c>
      <c r="D30" s="39">
        <v>411</v>
      </c>
      <c r="E30" s="39">
        <v>847</v>
      </c>
      <c r="F30" s="16">
        <v>12724.85</v>
      </c>
      <c r="G30" s="16">
        <v>16112.2</v>
      </c>
      <c r="H30" s="28"/>
      <c r="I30" s="28"/>
      <c r="J30" s="15"/>
      <c r="K30" s="15"/>
      <c r="L30" s="15"/>
      <c r="M30" s="15" t="s">
        <v>109</v>
      </c>
      <c r="N30" s="20">
        <f t="shared" si="20"/>
        <v>911773285.79999983</v>
      </c>
      <c r="O30" s="19">
        <f t="shared" si="21"/>
        <v>698483940.55049992</v>
      </c>
      <c r="P30" s="19">
        <f t="shared" si="22"/>
        <v>21602596.099499997</v>
      </c>
      <c r="Q30" s="19">
        <f t="shared" si="23"/>
        <v>191686749.15000001</v>
      </c>
      <c r="R30" s="21"/>
    </row>
    <row r="31" spans="1:18" s="2" customFormat="1" ht="19.5" x14ac:dyDescent="0.25">
      <c r="A31" s="126" t="s">
        <v>86</v>
      </c>
      <c r="B31" s="127"/>
      <c r="C31" s="127"/>
      <c r="D31" s="23">
        <f>SUM(D27:D30)</f>
        <v>591</v>
      </c>
      <c r="E31" s="23">
        <f t="shared" ref="E31:G31" si="24">SUM(E27:E30)</f>
        <v>1248</v>
      </c>
      <c r="F31" s="23">
        <f t="shared" si="24"/>
        <v>21417.260000000002</v>
      </c>
      <c r="G31" s="23">
        <f t="shared" si="24"/>
        <v>25100.68</v>
      </c>
      <c r="H31" s="23"/>
      <c r="I31" s="23"/>
      <c r="J31" s="23"/>
      <c r="K31" s="23"/>
      <c r="L31" s="23"/>
      <c r="M31" s="23"/>
      <c r="N31" s="23">
        <f t="shared" ref="N31:Q31" si="25">SUM(N27:N30)</f>
        <v>1420422380.5199997</v>
      </c>
      <c r="O31" s="23">
        <f t="shared" si="25"/>
        <v>1175621886.3557999</v>
      </c>
      <c r="P31" s="23">
        <f t="shared" si="25"/>
        <v>36359439.784199998</v>
      </c>
      <c r="Q31" s="23">
        <f t="shared" si="25"/>
        <v>208441054.38000003</v>
      </c>
      <c r="R31" s="26"/>
    </row>
    <row r="32" spans="1:18" ht="25.5" customHeight="1" thickBot="1" x14ac:dyDescent="0.3">
      <c r="A32" s="121" t="s">
        <v>84</v>
      </c>
      <c r="B32" s="122"/>
      <c r="C32" s="122"/>
      <c r="D32" s="46">
        <f>D8+D15+D26+D31</f>
        <v>1489</v>
      </c>
      <c r="E32" s="46">
        <f>E8+E15+E26+E31</f>
        <v>3202</v>
      </c>
      <c r="F32" s="47">
        <f t="shared" ref="F32:G32" si="26">F8+F15+F26+F31</f>
        <v>57730.8</v>
      </c>
      <c r="G32" s="47">
        <f t="shared" si="26"/>
        <v>64682.62</v>
      </c>
      <c r="H32" s="46"/>
      <c r="I32" s="46"/>
      <c r="J32" s="46"/>
      <c r="K32" s="46"/>
      <c r="L32" s="46"/>
      <c r="M32" s="46"/>
      <c r="N32" s="47">
        <f>N8+N15+N26+N31</f>
        <v>3660324783.1799994</v>
      </c>
      <c r="O32" s="47" t="e">
        <f>#REF!+O8+O15+O26+O31</f>
        <v>#REF!</v>
      </c>
      <c r="P32" s="47" t="e">
        <f>#REF!+P8+P15+P26+P31</f>
        <v>#REF!</v>
      </c>
      <c r="Q32" s="47" t="e">
        <f>#REF!+Q8+Q15+Q26+Q31</f>
        <v>#REF!</v>
      </c>
      <c r="R32" s="48"/>
    </row>
  </sheetData>
  <mergeCells count="62">
    <mergeCell ref="A32:C32"/>
    <mergeCell ref="A5:A7"/>
    <mergeCell ref="A26:C26"/>
    <mergeCell ref="A27:A30"/>
    <mergeCell ref="B27:B28"/>
    <mergeCell ref="C27:C28"/>
    <mergeCell ref="B29:B30"/>
    <mergeCell ref="A31:C31"/>
    <mergeCell ref="B24:B25"/>
    <mergeCell ref="B22:B23"/>
    <mergeCell ref="C22:C23"/>
    <mergeCell ref="B18:B19"/>
    <mergeCell ref="B20:B21"/>
    <mergeCell ref="C20:C21"/>
    <mergeCell ref="N22:N23"/>
    <mergeCell ref="O22:O23"/>
    <mergeCell ref="P22:P23"/>
    <mergeCell ref="Q22:Q23"/>
    <mergeCell ref="R22:R23"/>
    <mergeCell ref="D22:D23"/>
    <mergeCell ref="E22:E23"/>
    <mergeCell ref="F22:F23"/>
    <mergeCell ref="G22:G23"/>
    <mergeCell ref="G20:G21"/>
    <mergeCell ref="D20:D21"/>
    <mergeCell ref="E20:E21"/>
    <mergeCell ref="F20:F21"/>
    <mergeCell ref="N20:N21"/>
    <mergeCell ref="O20:O21"/>
    <mergeCell ref="P20:P21"/>
    <mergeCell ref="Q20:Q21"/>
    <mergeCell ref="R20:R21"/>
    <mergeCell ref="G16:G17"/>
    <mergeCell ref="N16:N17"/>
    <mergeCell ref="O16:O17"/>
    <mergeCell ref="P16:P17"/>
    <mergeCell ref="Q16:Q17"/>
    <mergeCell ref="R16:R17"/>
    <mergeCell ref="P12:P13"/>
    <mergeCell ref="Q12:Q13"/>
    <mergeCell ref="R12:R13"/>
    <mergeCell ref="A15:C15"/>
    <mergeCell ref="A16:A25"/>
    <mergeCell ref="B16:B17"/>
    <mergeCell ref="C16:C17"/>
    <mergeCell ref="D16:D17"/>
    <mergeCell ref="E16:E17"/>
    <mergeCell ref="F16:F17"/>
    <mergeCell ref="F12:F13"/>
    <mergeCell ref="G12:G13"/>
    <mergeCell ref="H12:H13"/>
    <mergeCell ref="I12:I13"/>
    <mergeCell ref="N12:N13"/>
    <mergeCell ref="O12:O13"/>
    <mergeCell ref="A1:Q1"/>
    <mergeCell ref="B5:B7"/>
    <mergeCell ref="A8:C8"/>
    <mergeCell ref="A9:A14"/>
    <mergeCell ref="B12:B13"/>
    <mergeCell ref="C12:C13"/>
    <mergeCell ref="D12:D13"/>
    <mergeCell ref="E12:E13"/>
  </mergeCells>
  <pageMargins left="0.51181102362204722" right="0.31496062992125984" top="0.35433070866141736" bottom="0.35433070866141736" header="0.31496062992125984" footer="0.31496062992125984"/>
  <pageSetup paperSize="8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2"/>
  <sheetViews>
    <sheetView tabSelected="1" view="pageBreakPreview" zoomScale="55" zoomScaleSheetLayoutView="55" workbookViewId="0">
      <pane ySplit="5" topLeftCell="A18" activePane="bottomLeft" state="frozen"/>
      <selection pane="bottomLeft" activeCell="AI22" sqref="AI22:AI23"/>
    </sheetView>
  </sheetViews>
  <sheetFormatPr defaultColWidth="9.140625" defaultRowHeight="15.75" x14ac:dyDescent="0.25"/>
  <cols>
    <col min="1" max="1" width="18.28515625" style="1" customWidth="1"/>
    <col min="2" max="2" width="17.28515625" style="1" customWidth="1"/>
    <col min="3" max="3" width="28.5703125" style="1" customWidth="1"/>
    <col min="4" max="4" width="15.140625" style="1" customWidth="1"/>
    <col min="5" max="5" width="15.7109375" style="1" hidden="1" customWidth="1"/>
    <col min="6" max="6" width="18.7109375" style="1" hidden="1" customWidth="1"/>
    <col min="7" max="7" width="19.7109375" style="1" customWidth="1"/>
    <col min="8" max="8" width="9.42578125" style="1" hidden="1" customWidth="1"/>
    <col min="9" max="9" width="12.85546875" style="1" hidden="1" customWidth="1"/>
    <col min="10" max="10" width="31" style="1" customWidth="1"/>
    <col min="11" max="11" width="26.5703125" style="1" hidden="1" customWidth="1"/>
    <col min="12" max="12" width="17.42578125" style="1" hidden="1" customWidth="1"/>
    <col min="13" max="13" width="31.140625" style="1" hidden="1" customWidth="1"/>
    <col min="14" max="14" width="29.5703125" style="2" customWidth="1"/>
    <col min="15" max="15" width="29.5703125" style="1" customWidth="1"/>
    <col min="16" max="18" width="29.5703125" style="1" hidden="1" customWidth="1"/>
    <col min="19" max="19" width="29.5703125" style="1" customWidth="1"/>
    <col min="20" max="20" width="16.28515625" style="1" customWidth="1"/>
    <col min="21" max="21" width="11.7109375" style="1" customWidth="1"/>
    <col min="22" max="23" width="29.42578125" style="1" customWidth="1"/>
    <col min="24" max="26" width="29.42578125" style="1" hidden="1" customWidth="1"/>
    <col min="27" max="27" width="29.42578125" style="1" customWidth="1"/>
    <col min="28" max="28" width="16" style="1" bestFit="1" customWidth="1"/>
    <col min="29" max="29" width="29.85546875" style="1" customWidth="1"/>
    <col min="30" max="30" width="30.28515625" style="1" customWidth="1"/>
    <col min="31" max="33" width="27.28515625" style="1" hidden="1" customWidth="1"/>
    <col min="34" max="34" width="29.42578125" style="1" customWidth="1"/>
    <col min="35" max="35" width="34.7109375" style="2" customWidth="1"/>
    <col min="36" max="16384" width="9.140625" style="1"/>
  </cols>
  <sheetData>
    <row r="1" spans="1:40" ht="12.6" customHeight="1" x14ac:dyDescent="0.25">
      <c r="R1" s="49"/>
      <c r="S1" s="76"/>
      <c r="T1" s="49"/>
      <c r="U1" s="49"/>
      <c r="V1" s="49"/>
      <c r="W1" s="49"/>
      <c r="X1" s="49"/>
      <c r="Y1" s="49"/>
      <c r="Z1" s="49"/>
      <c r="AA1" s="76"/>
      <c r="AB1" s="49"/>
      <c r="AC1" s="49"/>
      <c r="AD1" s="49"/>
      <c r="AE1" s="49"/>
      <c r="AF1" s="49"/>
      <c r="AG1" s="49"/>
      <c r="AH1" s="76"/>
      <c r="AI1" s="1"/>
    </row>
    <row r="2" spans="1:40" ht="20.25" x14ac:dyDescent="0.25">
      <c r="A2" s="2"/>
      <c r="B2" s="2"/>
      <c r="C2" s="2"/>
      <c r="D2" s="2"/>
      <c r="E2" s="2"/>
      <c r="F2" s="2"/>
      <c r="G2" s="2"/>
      <c r="H2" s="135" t="s">
        <v>65</v>
      </c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0" ht="20.25" x14ac:dyDescent="0.25">
      <c r="A3" s="2"/>
      <c r="B3" s="2"/>
      <c r="C3" s="2"/>
      <c r="D3" s="2"/>
      <c r="E3" s="2"/>
      <c r="F3" s="2"/>
      <c r="G3" s="2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4" spans="1:40" ht="24" customHeight="1" x14ac:dyDescent="0.25">
      <c r="U4" s="156" t="s">
        <v>111</v>
      </c>
      <c r="V4" s="157"/>
      <c r="W4" s="157"/>
      <c r="X4" s="157"/>
      <c r="Y4" s="157"/>
      <c r="Z4" s="157"/>
      <c r="AA4" s="158"/>
      <c r="AB4" s="159">
        <v>0.7</v>
      </c>
      <c r="AC4" s="159"/>
      <c r="AD4" s="159"/>
      <c r="AE4" s="159"/>
      <c r="AF4" s="159"/>
      <c r="AG4" s="159"/>
      <c r="AH4" s="159"/>
      <c r="AI4" s="55"/>
    </row>
    <row r="5" spans="1:40" ht="60.75" customHeight="1" x14ac:dyDescent="0.25">
      <c r="A5" s="112" t="s">
        <v>5</v>
      </c>
      <c r="B5" s="112" t="s">
        <v>119</v>
      </c>
      <c r="C5" s="112" t="s">
        <v>0</v>
      </c>
      <c r="D5" s="112" t="s">
        <v>147</v>
      </c>
      <c r="E5" s="112" t="s">
        <v>3</v>
      </c>
      <c r="F5" s="112" t="s">
        <v>2</v>
      </c>
      <c r="G5" s="112" t="s">
        <v>4</v>
      </c>
      <c r="H5" s="113" t="s">
        <v>7</v>
      </c>
      <c r="I5" s="113" t="s">
        <v>24</v>
      </c>
      <c r="J5" s="114" t="s">
        <v>21</v>
      </c>
      <c r="K5" s="114" t="s">
        <v>22</v>
      </c>
      <c r="L5" s="114" t="s">
        <v>23</v>
      </c>
      <c r="M5" s="114" t="s">
        <v>89</v>
      </c>
      <c r="N5" s="114" t="s">
        <v>87</v>
      </c>
      <c r="O5" s="112" t="s">
        <v>58</v>
      </c>
      <c r="P5" s="112" t="s">
        <v>59</v>
      </c>
      <c r="Q5" s="112" t="s">
        <v>60</v>
      </c>
      <c r="R5" s="112" t="s">
        <v>110</v>
      </c>
      <c r="S5" s="112" t="s">
        <v>149</v>
      </c>
      <c r="T5" s="115" t="s">
        <v>118</v>
      </c>
      <c r="U5" s="112" t="s">
        <v>117</v>
      </c>
      <c r="V5" s="114" t="s">
        <v>87</v>
      </c>
      <c r="W5" s="112" t="s">
        <v>58</v>
      </c>
      <c r="X5" s="112" t="s">
        <v>59</v>
      </c>
      <c r="Y5" s="112" t="s">
        <v>60</v>
      </c>
      <c r="Z5" s="112" t="s">
        <v>110</v>
      </c>
      <c r="AA5" s="112" t="s">
        <v>133</v>
      </c>
      <c r="AB5" s="112" t="s">
        <v>117</v>
      </c>
      <c r="AC5" s="114" t="s">
        <v>87</v>
      </c>
      <c r="AD5" s="112" t="s">
        <v>58</v>
      </c>
      <c r="AE5" s="112" t="s">
        <v>59</v>
      </c>
      <c r="AF5" s="112" t="s">
        <v>60</v>
      </c>
      <c r="AG5" s="112" t="s">
        <v>110</v>
      </c>
      <c r="AH5" s="112" t="s">
        <v>133</v>
      </c>
      <c r="AI5" s="114" t="s">
        <v>100</v>
      </c>
    </row>
    <row r="6" spans="1:40" ht="70.5" customHeight="1" x14ac:dyDescent="0.25">
      <c r="A6" s="146" t="s">
        <v>74</v>
      </c>
      <c r="B6" s="81">
        <v>44896</v>
      </c>
      <c r="C6" s="82" t="s">
        <v>12</v>
      </c>
      <c r="D6" s="83">
        <v>43</v>
      </c>
      <c r="E6" s="83">
        <v>110</v>
      </c>
      <c r="F6" s="84">
        <v>1585.4</v>
      </c>
      <c r="G6" s="84">
        <v>1783</v>
      </c>
      <c r="H6" s="85">
        <v>1</v>
      </c>
      <c r="I6" s="86" t="s">
        <v>63</v>
      </c>
      <c r="J6" s="87" t="s">
        <v>112</v>
      </c>
      <c r="K6" s="88" t="s">
        <v>62</v>
      </c>
      <c r="L6" s="87">
        <v>3854</v>
      </c>
      <c r="M6" s="89" t="s">
        <v>90</v>
      </c>
      <c r="N6" s="90">
        <f>SUM(O6:R6)</f>
        <v>100898187</v>
      </c>
      <c r="O6" s="89">
        <f t="shared" ref="O6:O8" si="0">F6*39785*97%</f>
        <v>61182884.829999998</v>
      </c>
      <c r="P6" s="89">
        <f t="shared" ref="P6:P8" si="1">F6*39785*3%</f>
        <v>1892254.17</v>
      </c>
      <c r="Q6" s="89">
        <f t="shared" ref="Q6:Q8" si="2">(G6-F6)*39785</f>
        <v>7861515.9999999963</v>
      </c>
      <c r="R6" s="89">
        <f>(56589-39785)*G6</f>
        <v>29961532</v>
      </c>
      <c r="S6" s="89">
        <f>P6+Q6+R6</f>
        <v>39715302.169999994</v>
      </c>
      <c r="T6" s="91">
        <v>2021</v>
      </c>
      <c r="U6" s="92">
        <v>2022</v>
      </c>
      <c r="V6" s="90">
        <f t="shared" ref="V6:W8" si="3">N6*0.3</f>
        <v>30269456.099999998</v>
      </c>
      <c r="W6" s="89">
        <f t="shared" si="3"/>
        <v>18354865.448999997</v>
      </c>
      <c r="X6" s="89">
        <f t="shared" ref="X6:Z8" si="4">P6*0.3</f>
        <v>567676.25099999993</v>
      </c>
      <c r="Y6" s="89">
        <f t="shared" si="4"/>
        <v>2358454.7999999989</v>
      </c>
      <c r="Z6" s="89">
        <f t="shared" si="4"/>
        <v>8988459.5999999996</v>
      </c>
      <c r="AA6" s="89">
        <f>X6+Y6+Z6</f>
        <v>11914590.650999999</v>
      </c>
      <c r="AB6" s="92">
        <v>2022</v>
      </c>
      <c r="AC6" s="90">
        <f t="shared" ref="AC6:AG8" si="5">N6-V6</f>
        <v>70628730.900000006</v>
      </c>
      <c r="AD6" s="89">
        <f t="shared" si="5"/>
        <v>42828019.380999997</v>
      </c>
      <c r="AE6" s="89">
        <f t="shared" si="5"/>
        <v>1324577.919</v>
      </c>
      <c r="AF6" s="89">
        <f t="shared" si="5"/>
        <v>5503061.1999999974</v>
      </c>
      <c r="AG6" s="89">
        <f t="shared" si="5"/>
        <v>20973072.399999999</v>
      </c>
      <c r="AH6" s="89">
        <f>AE6+AF6+AG6</f>
        <v>27800711.518999994</v>
      </c>
      <c r="AI6" s="90" t="s">
        <v>142</v>
      </c>
    </row>
    <row r="7" spans="1:40" ht="70.5" customHeight="1" x14ac:dyDescent="0.25">
      <c r="A7" s="146"/>
      <c r="B7" s="81">
        <v>44896</v>
      </c>
      <c r="C7" s="82" t="s">
        <v>14</v>
      </c>
      <c r="D7" s="83">
        <v>49</v>
      </c>
      <c r="E7" s="83">
        <v>144</v>
      </c>
      <c r="F7" s="84">
        <v>2221.1</v>
      </c>
      <c r="G7" s="84">
        <v>2306.1</v>
      </c>
      <c r="H7" s="85">
        <v>1</v>
      </c>
      <c r="I7" s="85" t="s">
        <v>64</v>
      </c>
      <c r="J7" s="87" t="s">
        <v>113</v>
      </c>
      <c r="K7" s="87" t="s">
        <v>26</v>
      </c>
      <c r="L7" s="87">
        <v>9077</v>
      </c>
      <c r="M7" s="89" t="s">
        <v>90</v>
      </c>
      <c r="N7" s="90">
        <f t="shared" ref="N7:N8" si="6">SUM(O7:R7)</f>
        <v>130499892.90000001</v>
      </c>
      <c r="O7" s="89">
        <f t="shared" si="0"/>
        <v>85715469.594999999</v>
      </c>
      <c r="P7" s="89">
        <f t="shared" si="1"/>
        <v>2650993.9049999998</v>
      </c>
      <c r="Q7" s="89">
        <f t="shared" si="2"/>
        <v>3381725</v>
      </c>
      <c r="R7" s="89">
        <f t="shared" ref="R7:R8" si="7">(56589-39785)*G7</f>
        <v>38751704.399999999</v>
      </c>
      <c r="S7" s="89">
        <f>P7+Q7+R7</f>
        <v>44784423.305</v>
      </c>
      <c r="T7" s="91">
        <v>2021</v>
      </c>
      <c r="U7" s="92">
        <v>2022</v>
      </c>
      <c r="V7" s="90">
        <f t="shared" si="3"/>
        <v>39149967.869999997</v>
      </c>
      <c r="W7" s="89">
        <f t="shared" si="3"/>
        <v>25714640.8785</v>
      </c>
      <c r="X7" s="89">
        <f t="shared" si="4"/>
        <v>795298.17149999994</v>
      </c>
      <c r="Y7" s="89">
        <f t="shared" si="4"/>
        <v>1014517.5</v>
      </c>
      <c r="Z7" s="89">
        <f t="shared" si="4"/>
        <v>11625511.319999998</v>
      </c>
      <c r="AA7" s="89">
        <f t="shared" ref="AA7:AA8" si="8">X7+Y7+Z7</f>
        <v>13435326.991499998</v>
      </c>
      <c r="AB7" s="92">
        <v>2022</v>
      </c>
      <c r="AC7" s="90">
        <f t="shared" si="5"/>
        <v>91349925.030000001</v>
      </c>
      <c r="AD7" s="89">
        <f t="shared" si="5"/>
        <v>60000828.716499999</v>
      </c>
      <c r="AE7" s="89">
        <f t="shared" si="5"/>
        <v>1855695.7334999999</v>
      </c>
      <c r="AF7" s="89">
        <f t="shared" si="5"/>
        <v>2367207.5</v>
      </c>
      <c r="AG7" s="89">
        <f t="shared" si="5"/>
        <v>27126193.079999998</v>
      </c>
      <c r="AH7" s="89">
        <f t="shared" ref="AH7:AH8" si="9">AE7+AF7+AG7</f>
        <v>31349096.313499998</v>
      </c>
      <c r="AI7" s="90" t="s">
        <v>142</v>
      </c>
    </row>
    <row r="8" spans="1:40" ht="70.5" customHeight="1" x14ac:dyDescent="0.25">
      <c r="A8" s="146"/>
      <c r="B8" s="81">
        <v>44896</v>
      </c>
      <c r="C8" s="93" t="s">
        <v>10</v>
      </c>
      <c r="D8" s="83">
        <v>75</v>
      </c>
      <c r="E8" s="83">
        <v>201</v>
      </c>
      <c r="F8" s="84">
        <v>2813.48</v>
      </c>
      <c r="G8" s="87">
        <v>3198.64</v>
      </c>
      <c r="H8" s="85">
        <v>1</v>
      </c>
      <c r="I8" s="85">
        <v>9</v>
      </c>
      <c r="J8" s="87" t="s">
        <v>27</v>
      </c>
      <c r="K8" s="87" t="s">
        <v>28</v>
      </c>
      <c r="L8" s="87">
        <v>11212</v>
      </c>
      <c r="M8" s="89" t="s">
        <v>90</v>
      </c>
      <c r="N8" s="90">
        <f t="shared" si="6"/>
        <v>181007838.95999998</v>
      </c>
      <c r="O8" s="89">
        <f t="shared" si="0"/>
        <v>108576272.74599999</v>
      </c>
      <c r="P8" s="89">
        <f t="shared" si="1"/>
        <v>3358029.054</v>
      </c>
      <c r="Q8" s="89">
        <f t="shared" si="2"/>
        <v>15323590.599999994</v>
      </c>
      <c r="R8" s="89">
        <f t="shared" si="7"/>
        <v>53749946.559999995</v>
      </c>
      <c r="S8" s="89">
        <f>P8+Q8+R8</f>
        <v>72431566.213999987</v>
      </c>
      <c r="T8" s="91">
        <v>2021</v>
      </c>
      <c r="U8" s="92">
        <v>2022</v>
      </c>
      <c r="V8" s="90">
        <f t="shared" si="3"/>
        <v>54302351.687999994</v>
      </c>
      <c r="W8" s="89">
        <f t="shared" si="3"/>
        <v>32572881.823799998</v>
      </c>
      <c r="X8" s="89">
        <f t="shared" si="4"/>
        <v>1007408.7161999999</v>
      </c>
      <c r="Y8" s="89">
        <f t="shared" si="4"/>
        <v>4597077.1799999978</v>
      </c>
      <c r="Z8" s="89">
        <f t="shared" si="4"/>
        <v>16124983.967999998</v>
      </c>
      <c r="AA8" s="89">
        <f t="shared" si="8"/>
        <v>21729469.864199996</v>
      </c>
      <c r="AB8" s="92">
        <v>2022</v>
      </c>
      <c r="AC8" s="90">
        <f t="shared" si="5"/>
        <v>126705487.27199998</v>
      </c>
      <c r="AD8" s="89">
        <f t="shared" si="5"/>
        <v>76003390.922199994</v>
      </c>
      <c r="AE8" s="89">
        <f t="shared" si="5"/>
        <v>2350620.3377999999</v>
      </c>
      <c r="AF8" s="89">
        <f t="shared" si="5"/>
        <v>10726513.419999996</v>
      </c>
      <c r="AG8" s="89">
        <f t="shared" si="5"/>
        <v>37624962.591999993</v>
      </c>
      <c r="AH8" s="89">
        <f t="shared" si="9"/>
        <v>50702096.349799991</v>
      </c>
      <c r="AI8" s="90" t="s">
        <v>142</v>
      </c>
    </row>
    <row r="9" spans="1:40" s="2" customFormat="1" ht="22.5" x14ac:dyDescent="0.25">
      <c r="A9" s="147" t="s">
        <v>82</v>
      </c>
      <c r="B9" s="147"/>
      <c r="C9" s="147"/>
      <c r="D9" s="94">
        <f>SUM(D6:D8)</f>
        <v>167</v>
      </c>
      <c r="E9" s="94">
        <f>SUM(E6:E8)</f>
        <v>455</v>
      </c>
      <c r="F9" s="95">
        <f>SUM(F6:F8)</f>
        <v>6619.98</v>
      </c>
      <c r="G9" s="95">
        <f>SUM(G6:G8)</f>
        <v>7287.74</v>
      </c>
      <c r="H9" s="96"/>
      <c r="I9" s="96"/>
      <c r="J9" s="95"/>
      <c r="K9" s="95"/>
      <c r="L9" s="95"/>
      <c r="M9" s="95"/>
      <c r="N9" s="95">
        <f t="shared" ref="N9:S9" si="10">SUM(N6:N8)</f>
        <v>412405918.86000001</v>
      </c>
      <c r="O9" s="95">
        <f t="shared" si="10"/>
        <v>255474627.171</v>
      </c>
      <c r="P9" s="95">
        <f t="shared" si="10"/>
        <v>7901277.1289999988</v>
      </c>
      <c r="Q9" s="95">
        <f t="shared" si="10"/>
        <v>26566831.59999999</v>
      </c>
      <c r="R9" s="95">
        <f t="shared" si="10"/>
        <v>122463182.96000001</v>
      </c>
      <c r="S9" s="95">
        <f t="shared" si="10"/>
        <v>156931291.68899998</v>
      </c>
      <c r="T9" s="97"/>
      <c r="U9" s="95"/>
      <c r="V9" s="95">
        <f t="shared" ref="V9:AA9" si="11">SUM(V6:V8)</f>
        <v>123721775.65799999</v>
      </c>
      <c r="W9" s="95">
        <f t="shared" si="11"/>
        <v>76642388.151299998</v>
      </c>
      <c r="X9" s="95">
        <f t="shared" si="11"/>
        <v>2370383.1387</v>
      </c>
      <c r="Y9" s="95">
        <f t="shared" si="11"/>
        <v>7970049.4799999967</v>
      </c>
      <c r="Z9" s="95">
        <f t="shared" si="11"/>
        <v>36738954.887999997</v>
      </c>
      <c r="AA9" s="95">
        <f t="shared" si="11"/>
        <v>47079387.506699994</v>
      </c>
      <c r="AB9" s="95"/>
      <c r="AC9" s="95">
        <f t="shared" ref="AC9:AH9" si="12">SUM(AC6:AC8)</f>
        <v>288684143.20200002</v>
      </c>
      <c r="AD9" s="95">
        <f t="shared" si="12"/>
        <v>178832239.01969999</v>
      </c>
      <c r="AE9" s="95">
        <f t="shared" si="12"/>
        <v>5530893.9902999997</v>
      </c>
      <c r="AF9" s="95">
        <f t="shared" si="12"/>
        <v>18596782.119999994</v>
      </c>
      <c r="AG9" s="95">
        <f t="shared" si="12"/>
        <v>85724228.071999997</v>
      </c>
      <c r="AH9" s="95">
        <f t="shared" si="12"/>
        <v>109851904.18229999</v>
      </c>
      <c r="AI9" s="95"/>
    </row>
    <row r="10" spans="1:40" ht="67.5" customHeight="1" x14ac:dyDescent="0.25">
      <c r="A10" s="146" t="s">
        <v>75</v>
      </c>
      <c r="B10" s="81">
        <v>44896</v>
      </c>
      <c r="C10" s="82" t="s">
        <v>121</v>
      </c>
      <c r="D10" s="83">
        <v>27</v>
      </c>
      <c r="E10" s="83">
        <v>60</v>
      </c>
      <c r="F10" s="84">
        <v>1218.5999999999999</v>
      </c>
      <c r="G10" s="84">
        <v>1238.5</v>
      </c>
      <c r="H10" s="85">
        <v>1</v>
      </c>
      <c r="I10" s="85">
        <v>3</v>
      </c>
      <c r="J10" s="87" t="s">
        <v>61</v>
      </c>
      <c r="K10" s="87" t="s">
        <v>29</v>
      </c>
      <c r="L10" s="87">
        <v>4344</v>
      </c>
      <c r="M10" s="89" t="s">
        <v>90</v>
      </c>
      <c r="N10" s="90">
        <f t="shared" ref="N10:N14" si="13">SUM(O10:R10)</f>
        <v>70085476.5</v>
      </c>
      <c r="O10" s="89">
        <f>F10*39785*97%</f>
        <v>47027540.969999999</v>
      </c>
      <c r="P10" s="89">
        <f>F10*39785*3%</f>
        <v>1454460.03</v>
      </c>
      <c r="Q10" s="89">
        <f>(G10-F10)*39785</f>
        <v>791721.50000000361</v>
      </c>
      <c r="R10" s="89">
        <f>(56589-39785)*G10</f>
        <v>20811754</v>
      </c>
      <c r="S10" s="89">
        <f>P10+Q10+R10</f>
        <v>23057935.530000005</v>
      </c>
      <c r="T10" s="91">
        <v>2021</v>
      </c>
      <c r="U10" s="92">
        <v>2022</v>
      </c>
      <c r="V10" s="90">
        <f t="shared" ref="V10:W12" si="14">N10*0.3</f>
        <v>21025642.949999999</v>
      </c>
      <c r="W10" s="89">
        <f t="shared" si="14"/>
        <v>14108262.290999999</v>
      </c>
      <c r="X10" s="89">
        <f t="shared" ref="X10:Z14" si="15">P10*0.3</f>
        <v>436338.00900000002</v>
      </c>
      <c r="Y10" s="89">
        <f t="shared" si="15"/>
        <v>237516.45000000106</v>
      </c>
      <c r="Z10" s="89">
        <f t="shared" si="15"/>
        <v>6243526.2000000002</v>
      </c>
      <c r="AA10" s="89">
        <f>X10+Y10+Z10</f>
        <v>6917380.6590000009</v>
      </c>
      <c r="AB10" s="92">
        <v>2022</v>
      </c>
      <c r="AC10" s="90">
        <f t="shared" ref="AC10:AG14" si="16">N10-V10</f>
        <v>49059833.549999997</v>
      </c>
      <c r="AD10" s="89">
        <f t="shared" si="16"/>
        <v>32919278.678999998</v>
      </c>
      <c r="AE10" s="89">
        <f t="shared" si="16"/>
        <v>1018122.0209999999</v>
      </c>
      <c r="AF10" s="89">
        <f t="shared" si="16"/>
        <v>554205.05000000261</v>
      </c>
      <c r="AG10" s="89">
        <f t="shared" si="16"/>
        <v>14568227.800000001</v>
      </c>
      <c r="AH10" s="89">
        <f t="shared" ref="AH10:AH13" si="17">AE10+AF10+AG10</f>
        <v>16140554.871000003</v>
      </c>
      <c r="AI10" s="90"/>
    </row>
    <row r="11" spans="1:40" ht="67.5" customHeight="1" x14ac:dyDescent="0.25">
      <c r="A11" s="146"/>
      <c r="B11" s="81">
        <v>44896</v>
      </c>
      <c r="C11" s="82" t="s">
        <v>123</v>
      </c>
      <c r="D11" s="83">
        <v>36</v>
      </c>
      <c r="E11" s="83">
        <v>81</v>
      </c>
      <c r="F11" s="87">
        <v>1371.6</v>
      </c>
      <c r="G11" s="87">
        <v>1569.8</v>
      </c>
      <c r="H11" s="88">
        <v>1</v>
      </c>
      <c r="I11" s="88">
        <v>4</v>
      </c>
      <c r="J11" s="98" t="s">
        <v>148</v>
      </c>
      <c r="K11" s="98" t="s">
        <v>36</v>
      </c>
      <c r="L11" s="99">
        <v>2385</v>
      </c>
      <c r="M11" s="87" t="s">
        <v>90</v>
      </c>
      <c r="N11" s="90">
        <f t="shared" si="13"/>
        <v>88833412.200000003</v>
      </c>
      <c r="O11" s="89">
        <f>F11*39785*97%</f>
        <v>52932032.82</v>
      </c>
      <c r="P11" s="89">
        <f>F11*39785*3%</f>
        <v>1637073.18</v>
      </c>
      <c r="Q11" s="89">
        <f>(G11-F11)*39785</f>
        <v>7885387.0000000019</v>
      </c>
      <c r="R11" s="89">
        <f>(56589-39785)*G11</f>
        <v>26378919.199999999</v>
      </c>
      <c r="S11" s="89">
        <f>P11+Q11+R11</f>
        <v>35901379.380000003</v>
      </c>
      <c r="T11" s="91">
        <v>2021</v>
      </c>
      <c r="U11" s="92">
        <v>2022</v>
      </c>
      <c r="V11" s="90">
        <f t="shared" si="14"/>
        <v>26650023.66</v>
      </c>
      <c r="W11" s="89">
        <f t="shared" si="14"/>
        <v>15879609.845999999</v>
      </c>
      <c r="X11" s="89">
        <f t="shared" ref="X11:Z12" si="18">P11*0.3</f>
        <v>491121.95399999997</v>
      </c>
      <c r="Y11" s="89">
        <f t="shared" si="18"/>
        <v>2365616.1000000006</v>
      </c>
      <c r="Z11" s="89">
        <f t="shared" si="18"/>
        <v>7913675.7599999998</v>
      </c>
      <c r="AA11" s="89">
        <f t="shared" ref="AA11:AA12" si="19">X11+Y11+Z11</f>
        <v>10770413.813999999</v>
      </c>
      <c r="AB11" s="92">
        <v>2022</v>
      </c>
      <c r="AC11" s="90">
        <f t="shared" si="16"/>
        <v>62183388.540000007</v>
      </c>
      <c r="AD11" s="89">
        <f t="shared" si="16"/>
        <v>37052422.973999999</v>
      </c>
      <c r="AE11" s="89">
        <f t="shared" si="16"/>
        <v>1145951.226</v>
      </c>
      <c r="AF11" s="89">
        <f t="shared" si="16"/>
        <v>5519770.9000000013</v>
      </c>
      <c r="AG11" s="89">
        <f t="shared" si="16"/>
        <v>18465243.439999998</v>
      </c>
      <c r="AH11" s="89">
        <f t="shared" si="17"/>
        <v>25130965.566</v>
      </c>
      <c r="AI11" s="90"/>
    </row>
    <row r="12" spans="1:40" ht="67.5" customHeight="1" x14ac:dyDescent="0.25">
      <c r="A12" s="146"/>
      <c r="B12" s="81">
        <v>44896</v>
      </c>
      <c r="C12" s="82" t="s">
        <v>137</v>
      </c>
      <c r="D12" s="83">
        <v>46</v>
      </c>
      <c r="E12" s="83">
        <v>80</v>
      </c>
      <c r="F12" s="84">
        <v>1285.7</v>
      </c>
      <c r="G12" s="84">
        <v>1668.2</v>
      </c>
      <c r="H12" s="85"/>
      <c r="I12" s="85"/>
      <c r="J12" s="93" t="s">
        <v>143</v>
      </c>
      <c r="K12" s="93" t="s">
        <v>34</v>
      </c>
      <c r="L12" s="89">
        <v>2375</v>
      </c>
      <c r="M12" s="89" t="s">
        <v>90</v>
      </c>
      <c r="N12" s="90">
        <f t="shared" si="13"/>
        <v>94401769.799999997</v>
      </c>
      <c r="O12" s="89">
        <f>F12*39785*97%</f>
        <v>49617027.265000001</v>
      </c>
      <c r="P12" s="89">
        <f>F12*39785*3%</f>
        <v>1534547.2349999999</v>
      </c>
      <c r="Q12" s="89">
        <f>(G12-F12)*39785</f>
        <v>15217762.5</v>
      </c>
      <c r="R12" s="89">
        <f>(56589-39785)*G12</f>
        <v>28032432.800000001</v>
      </c>
      <c r="S12" s="89">
        <f>P12+Q12+R12</f>
        <v>44784742.534999996</v>
      </c>
      <c r="T12" s="91">
        <v>2021</v>
      </c>
      <c r="U12" s="92">
        <v>2022</v>
      </c>
      <c r="V12" s="90">
        <f t="shared" si="14"/>
        <v>28320530.939999998</v>
      </c>
      <c r="W12" s="89">
        <f t="shared" si="14"/>
        <v>14885108.179500001</v>
      </c>
      <c r="X12" s="89">
        <f t="shared" si="18"/>
        <v>460364.17049999995</v>
      </c>
      <c r="Y12" s="89">
        <f t="shared" si="18"/>
        <v>4565328.75</v>
      </c>
      <c r="Z12" s="89">
        <f t="shared" si="18"/>
        <v>8409729.8399999999</v>
      </c>
      <c r="AA12" s="89">
        <f t="shared" si="19"/>
        <v>13435422.760499999</v>
      </c>
      <c r="AB12" s="92">
        <v>2023</v>
      </c>
      <c r="AC12" s="90">
        <f t="shared" si="16"/>
        <v>66081238.859999999</v>
      </c>
      <c r="AD12" s="89">
        <f t="shared" si="16"/>
        <v>34731919.085500002</v>
      </c>
      <c r="AE12" s="89">
        <f t="shared" si="16"/>
        <v>1074183.0644999999</v>
      </c>
      <c r="AF12" s="89">
        <f t="shared" si="16"/>
        <v>10652433.75</v>
      </c>
      <c r="AG12" s="89">
        <f t="shared" si="16"/>
        <v>19622702.960000001</v>
      </c>
      <c r="AH12" s="89">
        <f t="shared" si="17"/>
        <v>31349319.774500001</v>
      </c>
      <c r="AI12" s="90"/>
    </row>
    <row r="13" spans="1:40" ht="67.5" customHeight="1" x14ac:dyDescent="0.25">
      <c r="A13" s="146"/>
      <c r="B13" s="82">
        <v>2023</v>
      </c>
      <c r="C13" s="82" t="s">
        <v>17</v>
      </c>
      <c r="D13" s="83">
        <v>47</v>
      </c>
      <c r="E13" s="83">
        <v>85</v>
      </c>
      <c r="F13" s="87">
        <v>1510.4</v>
      </c>
      <c r="G13" s="87">
        <v>1719.3</v>
      </c>
      <c r="H13" s="88">
        <v>2</v>
      </c>
      <c r="I13" s="88">
        <v>3</v>
      </c>
      <c r="J13" s="99" t="s">
        <v>115</v>
      </c>
      <c r="K13" s="87" t="s">
        <v>25</v>
      </c>
      <c r="L13" s="87" t="s">
        <v>25</v>
      </c>
      <c r="M13" s="87" t="s">
        <v>105</v>
      </c>
      <c r="N13" s="90">
        <f t="shared" si="13"/>
        <v>97293467.700000003</v>
      </c>
      <c r="O13" s="89">
        <f t="shared" ref="O13:O14" si="20">F13*39785*97%</f>
        <v>58288526.079999998</v>
      </c>
      <c r="P13" s="89">
        <f t="shared" ref="P13:P14" si="21">F13*39785*3%</f>
        <v>1802737.92</v>
      </c>
      <c r="Q13" s="89">
        <f t="shared" ref="Q13:Q14" si="22">(G13-F13)*39785</f>
        <v>8311086.4999999944</v>
      </c>
      <c r="R13" s="89">
        <f t="shared" ref="R13:R14" si="23">(56589-39785)*G13</f>
        <v>28891117.199999999</v>
      </c>
      <c r="S13" s="89">
        <f>P13+Q13+R13</f>
        <v>39004941.61999999</v>
      </c>
      <c r="T13" s="91">
        <v>2022</v>
      </c>
      <c r="U13" s="92">
        <v>2022</v>
      </c>
      <c r="V13" s="90">
        <f t="shared" ref="V13:V14" si="24">N13*0.3</f>
        <v>29188040.309999999</v>
      </c>
      <c r="W13" s="89">
        <f>O13*0.3</f>
        <v>17486557.823999997</v>
      </c>
      <c r="X13" s="89">
        <f t="shared" si="15"/>
        <v>540821.37599999993</v>
      </c>
      <c r="Y13" s="89">
        <f t="shared" si="15"/>
        <v>2493325.9499999983</v>
      </c>
      <c r="Z13" s="89">
        <f t="shared" si="15"/>
        <v>8667335.1600000001</v>
      </c>
      <c r="AA13" s="89">
        <f>X13+Y13+Z13</f>
        <v>11701482.485999998</v>
      </c>
      <c r="AB13" s="92">
        <v>2023</v>
      </c>
      <c r="AC13" s="90">
        <f t="shared" si="16"/>
        <v>68105427.390000001</v>
      </c>
      <c r="AD13" s="89">
        <f t="shared" si="16"/>
        <v>40801968.255999997</v>
      </c>
      <c r="AE13" s="89">
        <f t="shared" si="16"/>
        <v>1261916.544</v>
      </c>
      <c r="AF13" s="89">
        <f t="shared" si="16"/>
        <v>5817760.5499999961</v>
      </c>
      <c r="AG13" s="89">
        <f t="shared" si="16"/>
        <v>20223782.039999999</v>
      </c>
      <c r="AH13" s="89">
        <f t="shared" si="17"/>
        <v>27303459.133999996</v>
      </c>
      <c r="AI13" s="90"/>
    </row>
    <row r="14" spans="1:40" ht="67.5" customHeight="1" x14ac:dyDescent="0.25">
      <c r="A14" s="146"/>
      <c r="B14" s="82">
        <v>2023</v>
      </c>
      <c r="C14" s="82" t="s">
        <v>124</v>
      </c>
      <c r="D14" s="83">
        <v>75</v>
      </c>
      <c r="E14" s="83">
        <v>172</v>
      </c>
      <c r="F14" s="87">
        <v>3653.7</v>
      </c>
      <c r="G14" s="87">
        <v>3734.2</v>
      </c>
      <c r="H14" s="88">
        <v>1</v>
      </c>
      <c r="I14" s="88">
        <v>4</v>
      </c>
      <c r="J14" s="88" t="s">
        <v>44</v>
      </c>
      <c r="K14" s="87" t="s">
        <v>114</v>
      </c>
      <c r="L14" s="100">
        <v>3827</v>
      </c>
      <c r="M14" s="87" t="s">
        <v>90</v>
      </c>
      <c r="N14" s="90">
        <f t="shared" si="13"/>
        <v>211314643.80000001</v>
      </c>
      <c r="O14" s="89">
        <f t="shared" si="20"/>
        <v>141001580.86500001</v>
      </c>
      <c r="P14" s="89">
        <f t="shared" si="21"/>
        <v>4360873.6349999998</v>
      </c>
      <c r="Q14" s="89">
        <f t="shared" si="22"/>
        <v>3202692.5</v>
      </c>
      <c r="R14" s="89">
        <f t="shared" si="23"/>
        <v>62749496.799999997</v>
      </c>
      <c r="S14" s="89">
        <f>P14+Q14+R14</f>
        <v>70313062.935000002</v>
      </c>
      <c r="T14" s="91">
        <v>2022</v>
      </c>
      <c r="U14" s="92">
        <v>2022</v>
      </c>
      <c r="V14" s="90">
        <f t="shared" si="24"/>
        <v>63394393.140000001</v>
      </c>
      <c r="W14" s="89">
        <f>O14*0.3</f>
        <v>42300474.259500004</v>
      </c>
      <c r="X14" s="89">
        <f t="shared" si="15"/>
        <v>1308262.0904999999</v>
      </c>
      <c r="Y14" s="89">
        <f t="shared" si="15"/>
        <v>960807.75</v>
      </c>
      <c r="Z14" s="89">
        <f t="shared" si="15"/>
        <v>18824849.039999999</v>
      </c>
      <c r="AA14" s="89">
        <f t="shared" ref="AA14" si="25">X14+Y14+Z14</f>
        <v>21093918.8805</v>
      </c>
      <c r="AB14" s="92">
        <v>2023</v>
      </c>
      <c r="AC14" s="90">
        <f t="shared" si="16"/>
        <v>147920250.66000003</v>
      </c>
      <c r="AD14" s="89">
        <f t="shared" si="16"/>
        <v>98701106.605500013</v>
      </c>
      <c r="AE14" s="89">
        <f t="shared" si="16"/>
        <v>3052611.5444999998</v>
      </c>
      <c r="AF14" s="89">
        <f t="shared" si="16"/>
        <v>2241884.75</v>
      </c>
      <c r="AG14" s="89">
        <f t="shared" si="16"/>
        <v>43924647.759999998</v>
      </c>
      <c r="AH14" s="89">
        <f t="shared" ref="AH14" si="26">AE14+AF14+AG14</f>
        <v>49219144.054499999</v>
      </c>
      <c r="AI14" s="90" t="s">
        <v>141</v>
      </c>
    </row>
    <row r="15" spans="1:40" s="2" customFormat="1" ht="22.5" x14ac:dyDescent="0.25">
      <c r="A15" s="147" t="s">
        <v>83</v>
      </c>
      <c r="B15" s="147"/>
      <c r="C15" s="147"/>
      <c r="D15" s="94">
        <f>SUM(D10:D14)</f>
        <v>231</v>
      </c>
      <c r="E15" s="94">
        <f>SUM(E10:E14)</f>
        <v>478</v>
      </c>
      <c r="F15" s="95">
        <f>SUM(F10:F14)</f>
        <v>9040</v>
      </c>
      <c r="G15" s="95">
        <f>SUM(G10:G14)</f>
        <v>9930</v>
      </c>
      <c r="H15" s="96"/>
      <c r="I15" s="96"/>
      <c r="J15" s="101"/>
      <c r="K15" s="101"/>
      <c r="L15" s="95"/>
      <c r="M15" s="95"/>
      <c r="N15" s="95">
        <f t="shared" ref="N15:S15" si="27">SUM(N10:N14)</f>
        <v>561928770</v>
      </c>
      <c r="O15" s="95">
        <f t="shared" si="27"/>
        <v>348866708</v>
      </c>
      <c r="P15" s="95">
        <f t="shared" si="27"/>
        <v>10789692</v>
      </c>
      <c r="Q15" s="95">
        <f t="shared" si="27"/>
        <v>35408650</v>
      </c>
      <c r="R15" s="95">
        <f t="shared" si="27"/>
        <v>166863720</v>
      </c>
      <c r="S15" s="95">
        <f t="shared" si="27"/>
        <v>213062062</v>
      </c>
      <c r="T15" s="97"/>
      <c r="U15" s="95"/>
      <c r="V15" s="95">
        <f t="shared" ref="V15:AA15" si="28">SUM(V10:V14)</f>
        <v>168578631</v>
      </c>
      <c r="W15" s="95">
        <f t="shared" si="28"/>
        <v>104660012.40000001</v>
      </c>
      <c r="X15" s="95">
        <f t="shared" si="28"/>
        <v>3236907.5999999996</v>
      </c>
      <c r="Y15" s="95">
        <f t="shared" si="28"/>
        <v>10622595</v>
      </c>
      <c r="Z15" s="95">
        <f t="shared" si="28"/>
        <v>50059116</v>
      </c>
      <c r="AA15" s="95">
        <f t="shared" si="28"/>
        <v>63918618.599999994</v>
      </c>
      <c r="AB15" s="95"/>
      <c r="AC15" s="95">
        <f t="shared" ref="AC15:AI15" si="29">SUM(AC10:AC14)</f>
        <v>393350139</v>
      </c>
      <c r="AD15" s="95">
        <f t="shared" si="29"/>
        <v>244206695.59999999</v>
      </c>
      <c r="AE15" s="95">
        <f t="shared" si="29"/>
        <v>7552784.3999999994</v>
      </c>
      <c r="AF15" s="95">
        <f t="shared" si="29"/>
        <v>24786055</v>
      </c>
      <c r="AG15" s="95">
        <f>SUM(AG10:AG14)</f>
        <v>116804604</v>
      </c>
      <c r="AH15" s="95">
        <f>SUM(AH10:AH14)</f>
        <v>149143443.39999998</v>
      </c>
      <c r="AI15" s="95">
        <f t="shared" si="29"/>
        <v>0</v>
      </c>
    </row>
    <row r="16" spans="1:40" ht="60.75" customHeight="1" x14ac:dyDescent="0.25">
      <c r="A16" s="146" t="s">
        <v>76</v>
      </c>
      <c r="B16" s="146">
        <v>2023</v>
      </c>
      <c r="C16" s="146" t="s">
        <v>129</v>
      </c>
      <c r="D16" s="148">
        <v>35</v>
      </c>
      <c r="E16" s="148">
        <v>66</v>
      </c>
      <c r="F16" s="149">
        <v>1016.4</v>
      </c>
      <c r="G16" s="149">
        <v>1280.9000000000001</v>
      </c>
      <c r="H16" s="85">
        <v>1</v>
      </c>
      <c r="I16" s="85">
        <v>3</v>
      </c>
      <c r="J16" s="82" t="s">
        <v>39</v>
      </c>
      <c r="K16" s="82" t="s">
        <v>40</v>
      </c>
      <c r="L16" s="84">
        <v>4666</v>
      </c>
      <c r="M16" s="84" t="s">
        <v>93</v>
      </c>
      <c r="N16" s="150">
        <f>SUM(O16:R17)</f>
        <v>72484850.099999994</v>
      </c>
      <c r="O16" s="145">
        <f>F16*39785*97%</f>
        <v>39224349.780000001</v>
      </c>
      <c r="P16" s="145">
        <f>F16*39785*3%</f>
        <v>1213124.22</v>
      </c>
      <c r="Q16" s="145">
        <f>(G16-F16)*39785</f>
        <v>10523132.500000004</v>
      </c>
      <c r="R16" s="145">
        <f>(56589-39785)*G16</f>
        <v>21524243.600000001</v>
      </c>
      <c r="S16" s="145">
        <f>P16+Q16+R16</f>
        <v>33260500.320000008</v>
      </c>
      <c r="T16" s="152">
        <v>2022</v>
      </c>
      <c r="U16" s="151">
        <v>2022</v>
      </c>
      <c r="V16" s="144">
        <f>N16*0.3</f>
        <v>21745455.029999997</v>
      </c>
      <c r="W16" s="145">
        <f>O16*0.3</f>
        <v>11767304.934</v>
      </c>
      <c r="X16" s="145">
        <f>P16*0.3</f>
        <v>363937.266</v>
      </c>
      <c r="Y16" s="145">
        <f>Q16*0.3</f>
        <v>3156939.7500000009</v>
      </c>
      <c r="Z16" s="145">
        <f>R16*0.3</f>
        <v>6457273.0800000001</v>
      </c>
      <c r="AA16" s="145">
        <f>X16+Y16+Z16</f>
        <v>9978150.0960000008</v>
      </c>
      <c r="AB16" s="151">
        <v>2023</v>
      </c>
      <c r="AC16" s="144">
        <f>N16-V16</f>
        <v>50739395.069999993</v>
      </c>
      <c r="AD16" s="145">
        <f>O16-W16</f>
        <v>27457044.846000001</v>
      </c>
      <c r="AE16" s="145">
        <f>P16-X16</f>
        <v>849186.95399999991</v>
      </c>
      <c r="AF16" s="145">
        <f>Q16-Y16</f>
        <v>7366192.7500000028</v>
      </c>
      <c r="AG16" s="145">
        <f>R16-Z16</f>
        <v>15066970.520000001</v>
      </c>
      <c r="AH16" s="145">
        <f>AG16+AF16+AE16</f>
        <v>23282350.224000003</v>
      </c>
      <c r="AI16" s="150"/>
    </row>
    <row r="17" spans="1:35" ht="60.75" customHeight="1" x14ac:dyDescent="0.25">
      <c r="A17" s="146"/>
      <c r="B17" s="146"/>
      <c r="C17" s="146"/>
      <c r="D17" s="148"/>
      <c r="E17" s="148"/>
      <c r="F17" s="149"/>
      <c r="G17" s="149"/>
      <c r="H17" s="85">
        <v>1</v>
      </c>
      <c r="I17" s="85">
        <v>3</v>
      </c>
      <c r="J17" s="82" t="s">
        <v>41</v>
      </c>
      <c r="K17" s="82" t="s">
        <v>42</v>
      </c>
      <c r="L17" s="84">
        <v>4896</v>
      </c>
      <c r="M17" s="84" t="s">
        <v>93</v>
      </c>
      <c r="N17" s="150"/>
      <c r="O17" s="145"/>
      <c r="P17" s="145"/>
      <c r="Q17" s="145"/>
      <c r="R17" s="145"/>
      <c r="S17" s="145"/>
      <c r="T17" s="152"/>
      <c r="U17" s="151"/>
      <c r="V17" s="144"/>
      <c r="W17" s="145"/>
      <c r="X17" s="145"/>
      <c r="Y17" s="145"/>
      <c r="Z17" s="145"/>
      <c r="AA17" s="145"/>
      <c r="AB17" s="151"/>
      <c r="AC17" s="144"/>
      <c r="AD17" s="145"/>
      <c r="AE17" s="145"/>
      <c r="AF17" s="145"/>
      <c r="AG17" s="145"/>
      <c r="AH17" s="145"/>
      <c r="AI17" s="150"/>
    </row>
    <row r="18" spans="1:35" ht="67.5" customHeight="1" x14ac:dyDescent="0.25">
      <c r="A18" s="146"/>
      <c r="B18" s="146">
        <v>2023</v>
      </c>
      <c r="C18" s="102" t="s">
        <v>136</v>
      </c>
      <c r="D18" s="103">
        <v>70</v>
      </c>
      <c r="E18" s="103">
        <v>132</v>
      </c>
      <c r="F18" s="84">
        <v>2309.36</v>
      </c>
      <c r="G18" s="84">
        <v>2795.1</v>
      </c>
      <c r="H18" s="85"/>
      <c r="I18" s="85"/>
      <c r="J18" s="104" t="s">
        <v>144</v>
      </c>
      <c r="K18" s="104" t="s">
        <v>31</v>
      </c>
      <c r="L18" s="89">
        <v>6950</v>
      </c>
      <c r="M18" s="105" t="s">
        <v>99</v>
      </c>
      <c r="N18" s="90">
        <f>SUM(O18:R18)</f>
        <v>158171913.90000001</v>
      </c>
      <c r="O18" s="89">
        <f>F18*39785*97%</f>
        <v>89121550.972000003</v>
      </c>
      <c r="P18" s="89">
        <f>F18*39785*3%</f>
        <v>2756336.628</v>
      </c>
      <c r="Q18" s="89">
        <f>(G18-F18)*39785</f>
        <v>19325165.899999991</v>
      </c>
      <c r="R18" s="89">
        <f>(56589-39785)*G18</f>
        <v>46968860.399999999</v>
      </c>
      <c r="S18" s="89">
        <f>P18+Q18+R18</f>
        <v>69050362.927999988</v>
      </c>
      <c r="T18" s="91">
        <v>2022</v>
      </c>
      <c r="U18" s="92">
        <v>2022</v>
      </c>
      <c r="V18" s="90">
        <f t="shared" ref="V18:Z20" si="30">N18*0.3</f>
        <v>47451574.170000002</v>
      </c>
      <c r="W18" s="89">
        <f t="shared" si="30"/>
        <v>26736465.2916</v>
      </c>
      <c r="X18" s="89">
        <f t="shared" si="30"/>
        <v>826900.98840000003</v>
      </c>
      <c r="Y18" s="89">
        <f t="shared" si="30"/>
        <v>5797549.7699999968</v>
      </c>
      <c r="Z18" s="89">
        <f t="shared" si="30"/>
        <v>14090658.119999999</v>
      </c>
      <c r="AA18" s="89">
        <f t="shared" ref="AA18:AA19" si="31">X18+Y18+Z18</f>
        <v>20715108.878399998</v>
      </c>
      <c r="AB18" s="92">
        <v>2023</v>
      </c>
      <c r="AC18" s="90">
        <f t="shared" ref="AC18:AG20" si="32">N18-V18</f>
        <v>110720339.73</v>
      </c>
      <c r="AD18" s="89">
        <f t="shared" si="32"/>
        <v>62385085.680399999</v>
      </c>
      <c r="AE18" s="89">
        <f t="shared" si="32"/>
        <v>1929435.6395999999</v>
      </c>
      <c r="AF18" s="89">
        <f t="shared" si="32"/>
        <v>13527616.129999995</v>
      </c>
      <c r="AG18" s="89">
        <f t="shared" si="32"/>
        <v>32878202.280000001</v>
      </c>
      <c r="AH18" s="89">
        <f t="shared" ref="AH18:AH19" si="33">AE18+AF18+AG18</f>
        <v>48335254.049599998</v>
      </c>
      <c r="AI18" s="90"/>
    </row>
    <row r="19" spans="1:35" s="3" customFormat="1" ht="56.25" customHeight="1" x14ac:dyDescent="0.25">
      <c r="A19" s="146"/>
      <c r="B19" s="146"/>
      <c r="C19" s="102" t="s">
        <v>88</v>
      </c>
      <c r="D19" s="83">
        <v>6</v>
      </c>
      <c r="E19" s="83">
        <v>11</v>
      </c>
      <c r="F19" s="87">
        <v>204.2</v>
      </c>
      <c r="G19" s="87">
        <v>250.4</v>
      </c>
      <c r="H19" s="88"/>
      <c r="I19" s="88"/>
      <c r="J19" s="93" t="s">
        <v>25</v>
      </c>
      <c r="K19" s="93" t="s">
        <v>25</v>
      </c>
      <c r="L19" s="87" t="s">
        <v>25</v>
      </c>
      <c r="M19" s="87"/>
      <c r="N19" s="90">
        <f>SUM(O19:R19)</f>
        <v>14169885.600000001</v>
      </c>
      <c r="O19" s="87">
        <f>F19*39785*97%</f>
        <v>7880374.0899999999</v>
      </c>
      <c r="P19" s="87">
        <f>F19*39785*3%</f>
        <v>243722.91</v>
      </c>
      <c r="Q19" s="87">
        <f>(G19-F19)*39785</f>
        <v>1838067.0000000007</v>
      </c>
      <c r="R19" s="87">
        <f>(56589-39785)*G19</f>
        <v>4207721.6000000006</v>
      </c>
      <c r="S19" s="89">
        <f>P19+Q19+R19</f>
        <v>6289511.5100000016</v>
      </c>
      <c r="T19" s="91">
        <v>2022</v>
      </c>
      <c r="U19" s="92">
        <v>2022</v>
      </c>
      <c r="V19" s="106">
        <f t="shared" si="30"/>
        <v>4250965.6800000006</v>
      </c>
      <c r="W19" s="87">
        <f t="shared" si="30"/>
        <v>2364112.227</v>
      </c>
      <c r="X19" s="87">
        <f t="shared" si="30"/>
        <v>73116.872999999992</v>
      </c>
      <c r="Y19" s="87">
        <f t="shared" si="30"/>
        <v>551420.10000000021</v>
      </c>
      <c r="Z19" s="87">
        <f t="shared" si="30"/>
        <v>1262316.4800000002</v>
      </c>
      <c r="AA19" s="89">
        <f t="shared" si="31"/>
        <v>1886853.4530000004</v>
      </c>
      <c r="AB19" s="92">
        <v>2023</v>
      </c>
      <c r="AC19" s="106">
        <f t="shared" si="32"/>
        <v>9918919.9200000018</v>
      </c>
      <c r="AD19" s="87">
        <f t="shared" si="32"/>
        <v>5516261.8629999999</v>
      </c>
      <c r="AE19" s="87">
        <f t="shared" si="32"/>
        <v>170606.03700000001</v>
      </c>
      <c r="AF19" s="87">
        <f t="shared" si="32"/>
        <v>1286646.9000000004</v>
      </c>
      <c r="AG19" s="87">
        <f t="shared" si="32"/>
        <v>2945405.12</v>
      </c>
      <c r="AH19" s="89">
        <f t="shared" si="33"/>
        <v>4402658.057</v>
      </c>
      <c r="AI19" s="106"/>
    </row>
    <row r="20" spans="1:35" ht="64.5" customHeight="1" x14ac:dyDescent="0.25">
      <c r="A20" s="146"/>
      <c r="B20" s="146">
        <v>2023</v>
      </c>
      <c r="C20" s="146" t="s">
        <v>131</v>
      </c>
      <c r="D20" s="154">
        <v>85</v>
      </c>
      <c r="E20" s="154">
        <v>170</v>
      </c>
      <c r="F20" s="153">
        <v>2826.1</v>
      </c>
      <c r="G20" s="153">
        <v>3394.6</v>
      </c>
      <c r="H20" s="88">
        <v>1</v>
      </c>
      <c r="I20" s="88">
        <v>3</v>
      </c>
      <c r="J20" s="93" t="s">
        <v>145</v>
      </c>
      <c r="K20" s="93" t="s">
        <v>49</v>
      </c>
      <c r="L20" s="87">
        <v>2656</v>
      </c>
      <c r="M20" s="87" t="s">
        <v>98</v>
      </c>
      <c r="N20" s="150">
        <f>SUM(O20:R21)</f>
        <v>192097019.40000001</v>
      </c>
      <c r="O20" s="145">
        <f>F20*39785*97%</f>
        <v>109063296.845</v>
      </c>
      <c r="P20" s="145">
        <f>F20*39785*3%</f>
        <v>3373091.6549999998</v>
      </c>
      <c r="Q20" s="145">
        <f>(G20-F20)*39785</f>
        <v>22617772.5</v>
      </c>
      <c r="R20" s="145">
        <f>(56589-39785)*G20</f>
        <v>57042858.399999999</v>
      </c>
      <c r="S20" s="145">
        <f>P20+Q20+R20</f>
        <v>83033722.555000007</v>
      </c>
      <c r="T20" s="152">
        <v>2022</v>
      </c>
      <c r="U20" s="151">
        <v>2022</v>
      </c>
      <c r="V20" s="144">
        <f t="shared" si="30"/>
        <v>57629105.82</v>
      </c>
      <c r="W20" s="145">
        <f t="shared" si="30"/>
        <v>32718989.053499997</v>
      </c>
      <c r="X20" s="145">
        <f t="shared" si="30"/>
        <v>1011927.4964999999</v>
      </c>
      <c r="Y20" s="145">
        <f t="shared" si="30"/>
        <v>6785331.75</v>
      </c>
      <c r="Z20" s="145">
        <f t="shared" si="30"/>
        <v>17112857.52</v>
      </c>
      <c r="AA20" s="145">
        <f>X20+Y20+Z20</f>
        <v>24910116.7665</v>
      </c>
      <c r="AB20" s="151">
        <v>2023</v>
      </c>
      <c r="AC20" s="144">
        <f t="shared" si="32"/>
        <v>134467913.58000001</v>
      </c>
      <c r="AD20" s="145">
        <f t="shared" si="32"/>
        <v>76344307.791500002</v>
      </c>
      <c r="AE20" s="145">
        <f t="shared" si="32"/>
        <v>2361164.1584999999</v>
      </c>
      <c r="AF20" s="145">
        <f t="shared" si="32"/>
        <v>15832440.75</v>
      </c>
      <c r="AG20" s="145">
        <f t="shared" si="32"/>
        <v>39930000.879999995</v>
      </c>
      <c r="AH20" s="145">
        <f>AG20+AF20+AE20</f>
        <v>58123605.788499996</v>
      </c>
      <c r="AI20" s="150"/>
    </row>
    <row r="21" spans="1:35" ht="64.5" customHeight="1" x14ac:dyDescent="0.25">
      <c r="A21" s="146"/>
      <c r="B21" s="146"/>
      <c r="C21" s="146"/>
      <c r="D21" s="154"/>
      <c r="E21" s="154"/>
      <c r="F21" s="153"/>
      <c r="G21" s="153"/>
      <c r="H21" s="88">
        <v>1</v>
      </c>
      <c r="I21" s="88">
        <v>3</v>
      </c>
      <c r="J21" s="93" t="s">
        <v>146</v>
      </c>
      <c r="K21" s="93" t="s">
        <v>50</v>
      </c>
      <c r="L21" s="87">
        <v>2152</v>
      </c>
      <c r="M21" s="87" t="s">
        <v>98</v>
      </c>
      <c r="N21" s="150"/>
      <c r="O21" s="145"/>
      <c r="P21" s="145"/>
      <c r="Q21" s="145"/>
      <c r="R21" s="145"/>
      <c r="S21" s="145"/>
      <c r="T21" s="152"/>
      <c r="U21" s="151"/>
      <c r="V21" s="144"/>
      <c r="W21" s="145"/>
      <c r="X21" s="145"/>
      <c r="Y21" s="145"/>
      <c r="Z21" s="145"/>
      <c r="AA21" s="145"/>
      <c r="AB21" s="151"/>
      <c r="AC21" s="144"/>
      <c r="AD21" s="145"/>
      <c r="AE21" s="145"/>
      <c r="AF21" s="145"/>
      <c r="AG21" s="145"/>
      <c r="AH21" s="145"/>
      <c r="AI21" s="150"/>
    </row>
    <row r="22" spans="1:35" ht="63.75" customHeight="1" x14ac:dyDescent="0.25">
      <c r="A22" s="146"/>
      <c r="B22" s="146">
        <v>2023</v>
      </c>
      <c r="C22" s="146" t="s">
        <v>124</v>
      </c>
      <c r="D22" s="154">
        <v>150</v>
      </c>
      <c r="E22" s="154">
        <v>368</v>
      </c>
      <c r="F22" s="153">
        <v>7279</v>
      </c>
      <c r="G22" s="153">
        <v>7369.3</v>
      </c>
      <c r="H22" s="88"/>
      <c r="I22" s="88"/>
      <c r="J22" s="93" t="s">
        <v>46</v>
      </c>
      <c r="K22" s="93" t="s">
        <v>45</v>
      </c>
      <c r="L22" s="87" t="s">
        <v>25</v>
      </c>
      <c r="M22" s="87" t="s">
        <v>92</v>
      </c>
      <c r="N22" s="150">
        <f>SUM(O22:R23)</f>
        <v>417021317.69999999</v>
      </c>
      <c r="O22" s="145">
        <f>F22*39785*97%</f>
        <v>280907164.55000001</v>
      </c>
      <c r="P22" s="145">
        <f>F22*39785*3%</f>
        <v>8687850.4499999993</v>
      </c>
      <c r="Q22" s="145">
        <f>(G22-F22)*39785</f>
        <v>3592585.5000000075</v>
      </c>
      <c r="R22" s="145">
        <f>(56589-39785)*G22</f>
        <v>123833717.2</v>
      </c>
      <c r="S22" s="145">
        <f>P22+Q22+R22</f>
        <v>136114153.15000001</v>
      </c>
      <c r="T22" s="152">
        <v>2022</v>
      </c>
      <c r="U22" s="151">
        <v>2022</v>
      </c>
      <c r="V22" s="144">
        <f>N22*0.3</f>
        <v>125106395.30999999</v>
      </c>
      <c r="W22" s="145">
        <f>O22*0.3</f>
        <v>84272149.364999995</v>
      </c>
      <c r="X22" s="145">
        <f>P22*0.3</f>
        <v>2606355.1349999998</v>
      </c>
      <c r="Y22" s="145">
        <f>Q22*0.3</f>
        <v>1077775.6500000022</v>
      </c>
      <c r="Z22" s="145">
        <f>R22*0.3</f>
        <v>37150115.159999996</v>
      </c>
      <c r="AA22" s="145">
        <f>X22+Y22+Z22</f>
        <v>40834245.945</v>
      </c>
      <c r="AB22" s="151">
        <v>2023</v>
      </c>
      <c r="AC22" s="144">
        <f>N22-V22</f>
        <v>291914922.38999999</v>
      </c>
      <c r="AD22" s="145">
        <f>O22-W22</f>
        <v>196635015.185</v>
      </c>
      <c r="AE22" s="145">
        <f>P22-X22</f>
        <v>6081495.3149999995</v>
      </c>
      <c r="AF22" s="145">
        <f>Q22-Y22</f>
        <v>2514809.8500000052</v>
      </c>
      <c r="AG22" s="145">
        <f>R22-Z22</f>
        <v>86683602.040000007</v>
      </c>
      <c r="AH22" s="145">
        <f>AG22+AF22+AE22</f>
        <v>95279907.205000013</v>
      </c>
      <c r="AI22" s="150"/>
    </row>
    <row r="23" spans="1:35" ht="63.75" customHeight="1" x14ac:dyDescent="0.25">
      <c r="A23" s="146"/>
      <c r="B23" s="146"/>
      <c r="C23" s="146"/>
      <c r="D23" s="154"/>
      <c r="E23" s="154"/>
      <c r="F23" s="153"/>
      <c r="G23" s="153"/>
      <c r="H23" s="88"/>
      <c r="I23" s="88"/>
      <c r="J23" s="93" t="s">
        <v>48</v>
      </c>
      <c r="K23" s="93" t="s">
        <v>47</v>
      </c>
      <c r="L23" s="87" t="s">
        <v>25</v>
      </c>
      <c r="M23" s="87" t="s">
        <v>92</v>
      </c>
      <c r="N23" s="150"/>
      <c r="O23" s="145"/>
      <c r="P23" s="145"/>
      <c r="Q23" s="145"/>
      <c r="R23" s="145"/>
      <c r="S23" s="145"/>
      <c r="T23" s="152"/>
      <c r="U23" s="151"/>
      <c r="V23" s="144"/>
      <c r="W23" s="145"/>
      <c r="X23" s="145"/>
      <c r="Y23" s="145"/>
      <c r="Z23" s="145"/>
      <c r="AA23" s="145"/>
      <c r="AB23" s="151"/>
      <c r="AC23" s="144"/>
      <c r="AD23" s="145"/>
      <c r="AE23" s="145"/>
      <c r="AF23" s="145"/>
      <c r="AG23" s="145"/>
      <c r="AH23" s="145"/>
      <c r="AI23" s="150"/>
    </row>
    <row r="24" spans="1:35" ht="51" customHeight="1" x14ac:dyDescent="0.25">
      <c r="A24" s="146"/>
      <c r="B24" s="146">
        <v>2023</v>
      </c>
      <c r="C24" s="82" t="s">
        <v>138</v>
      </c>
      <c r="D24" s="83">
        <v>14</v>
      </c>
      <c r="E24" s="83">
        <v>20</v>
      </c>
      <c r="F24" s="87">
        <v>368.7</v>
      </c>
      <c r="G24" s="87">
        <v>447.8</v>
      </c>
      <c r="H24" s="88"/>
      <c r="I24" s="88"/>
      <c r="J24" s="93" t="s">
        <v>25</v>
      </c>
      <c r="K24" s="93" t="s">
        <v>25</v>
      </c>
      <c r="L24" s="87" t="s">
        <v>25</v>
      </c>
      <c r="M24" s="87" t="s">
        <v>94</v>
      </c>
      <c r="N24" s="90">
        <f t="shared" ref="N24:N25" si="34">SUM(O24:R24)</f>
        <v>25340554.199999999</v>
      </c>
      <c r="O24" s="89">
        <f>F24*39785*97%</f>
        <v>14228667.615</v>
      </c>
      <c r="P24" s="89">
        <f>F24*39785*3%</f>
        <v>440061.88500000001</v>
      </c>
      <c r="Q24" s="89">
        <f>(G24-F24)*39785</f>
        <v>3146993.5000000009</v>
      </c>
      <c r="R24" s="89">
        <f>(56589-39785)*G24</f>
        <v>7524831.2000000002</v>
      </c>
      <c r="S24" s="89">
        <f>P24+Q24+R24</f>
        <v>11111886.585000001</v>
      </c>
      <c r="T24" s="91">
        <v>2022</v>
      </c>
      <c r="U24" s="92">
        <v>2022</v>
      </c>
      <c r="V24" s="90">
        <f t="shared" ref="V24:Z25" si="35">N24*0.3</f>
        <v>7602166.2599999998</v>
      </c>
      <c r="W24" s="89">
        <f t="shared" si="35"/>
        <v>4268600.2845000001</v>
      </c>
      <c r="X24" s="89">
        <f t="shared" si="35"/>
        <v>132018.5655</v>
      </c>
      <c r="Y24" s="89">
        <f t="shared" si="35"/>
        <v>944098.05000000028</v>
      </c>
      <c r="Z24" s="89">
        <f t="shared" si="35"/>
        <v>2257449.36</v>
      </c>
      <c r="AA24" s="89">
        <f t="shared" ref="AA24:AA30" si="36">X24+Y24+Z24</f>
        <v>3333565.9755000002</v>
      </c>
      <c r="AB24" s="92">
        <v>2023</v>
      </c>
      <c r="AC24" s="90">
        <f t="shared" ref="AC24:AG25" si="37">N24-V24</f>
        <v>17738387.939999998</v>
      </c>
      <c r="AD24" s="89">
        <f t="shared" si="37"/>
        <v>9960067.3304999992</v>
      </c>
      <c r="AE24" s="89">
        <f t="shared" si="37"/>
        <v>308043.31949999998</v>
      </c>
      <c r="AF24" s="89">
        <f t="shared" si="37"/>
        <v>2202895.4500000007</v>
      </c>
      <c r="AG24" s="89">
        <f t="shared" si="37"/>
        <v>5267381.84</v>
      </c>
      <c r="AH24" s="89">
        <f t="shared" ref="AH24:AH30" si="38">AE24+AF24+AG24</f>
        <v>7778320.6095000003</v>
      </c>
      <c r="AI24" s="90"/>
    </row>
    <row r="25" spans="1:35" ht="63.75" customHeight="1" x14ac:dyDescent="0.25">
      <c r="A25" s="146"/>
      <c r="B25" s="146"/>
      <c r="C25" s="82" t="s">
        <v>139</v>
      </c>
      <c r="D25" s="83">
        <v>140</v>
      </c>
      <c r="E25" s="83">
        <v>254</v>
      </c>
      <c r="F25" s="87">
        <v>6659.1</v>
      </c>
      <c r="G25" s="87">
        <v>6823.4</v>
      </c>
      <c r="H25" s="88"/>
      <c r="I25" s="88"/>
      <c r="J25" s="93" t="s">
        <v>134</v>
      </c>
      <c r="K25" s="93" t="s">
        <v>37</v>
      </c>
      <c r="L25" s="87">
        <v>52405</v>
      </c>
      <c r="M25" s="87" t="s">
        <v>91</v>
      </c>
      <c r="N25" s="90">
        <f t="shared" si="34"/>
        <v>386129382.60000002</v>
      </c>
      <c r="O25" s="89">
        <f>F25*39785*97%</f>
        <v>256984324.69499999</v>
      </c>
      <c r="P25" s="89">
        <f>F25*39785*3%</f>
        <v>7947968.8049999997</v>
      </c>
      <c r="Q25" s="89">
        <f>(G25-F25)*39785</f>
        <v>6536675.4999999711</v>
      </c>
      <c r="R25" s="89">
        <f>(56589-39785)*G25</f>
        <v>114660413.59999999</v>
      </c>
      <c r="S25" s="89">
        <f>P25+Q25+R25</f>
        <v>129145057.90499997</v>
      </c>
      <c r="T25" s="91">
        <v>2022</v>
      </c>
      <c r="U25" s="92">
        <v>2022</v>
      </c>
      <c r="V25" s="90">
        <f t="shared" si="35"/>
        <v>115838814.78</v>
      </c>
      <c r="W25" s="89">
        <f t="shared" si="35"/>
        <v>77095297.408500001</v>
      </c>
      <c r="X25" s="89">
        <f t="shared" si="35"/>
        <v>2384390.6414999999</v>
      </c>
      <c r="Y25" s="89">
        <f t="shared" si="35"/>
        <v>1961002.6499999913</v>
      </c>
      <c r="Z25" s="89">
        <f t="shared" si="35"/>
        <v>34398124.079999998</v>
      </c>
      <c r="AA25" s="89">
        <f t="shared" si="36"/>
        <v>38743517.371499985</v>
      </c>
      <c r="AB25" s="92">
        <v>2023</v>
      </c>
      <c r="AC25" s="90">
        <f t="shared" si="37"/>
        <v>270290567.82000005</v>
      </c>
      <c r="AD25" s="89">
        <f t="shared" si="37"/>
        <v>179889027.28649998</v>
      </c>
      <c r="AE25" s="89">
        <f t="shared" si="37"/>
        <v>5563578.1634999998</v>
      </c>
      <c r="AF25" s="89">
        <f t="shared" si="37"/>
        <v>4575672.8499999801</v>
      </c>
      <c r="AG25" s="89">
        <f t="shared" si="37"/>
        <v>80262289.519999996</v>
      </c>
      <c r="AH25" s="89">
        <f t="shared" si="38"/>
        <v>90401540.533499971</v>
      </c>
      <c r="AI25" s="90"/>
    </row>
    <row r="26" spans="1:35" s="2" customFormat="1" ht="52.5" customHeight="1" x14ac:dyDescent="0.25">
      <c r="A26" s="130" t="s">
        <v>127</v>
      </c>
      <c r="B26" s="130"/>
      <c r="C26" s="130"/>
      <c r="D26" s="94">
        <f>SUM(D16:D25)</f>
        <v>500</v>
      </c>
      <c r="E26" s="94">
        <f>SUM(E16:E25)</f>
        <v>1021</v>
      </c>
      <c r="F26" s="95">
        <f>SUM(F16:F25)</f>
        <v>20662.86</v>
      </c>
      <c r="G26" s="95">
        <f>SUM(G16:G25)</f>
        <v>22361.5</v>
      </c>
      <c r="H26" s="94"/>
      <c r="I26" s="96"/>
      <c r="J26" s="101"/>
      <c r="K26" s="101"/>
      <c r="L26" s="95"/>
      <c r="M26" s="95"/>
      <c r="N26" s="95">
        <f t="shared" ref="N26:S26" si="39">SUM(N16:N25)</f>
        <v>1265414923.5</v>
      </c>
      <c r="O26" s="95">
        <f t="shared" si="39"/>
        <v>797409728.54699993</v>
      </c>
      <c r="P26" s="95">
        <f t="shared" si="39"/>
        <v>24662156.552999999</v>
      </c>
      <c r="Q26" s="95">
        <f t="shared" si="39"/>
        <v>67580392.399999976</v>
      </c>
      <c r="R26" s="95">
        <f t="shared" si="39"/>
        <v>375762646</v>
      </c>
      <c r="S26" s="95">
        <f t="shared" si="39"/>
        <v>468005194.95300001</v>
      </c>
      <c r="T26" s="97"/>
      <c r="U26" s="95"/>
      <c r="V26" s="95">
        <f t="shared" ref="V26:AH26" si="40">SUM(V16:V25)</f>
        <v>379624477.04999995</v>
      </c>
      <c r="W26" s="95">
        <f t="shared" si="40"/>
        <v>239222918.56410003</v>
      </c>
      <c r="X26" s="95">
        <f t="shared" si="40"/>
        <v>7398646.9658999993</v>
      </c>
      <c r="Y26" s="95">
        <f t="shared" si="40"/>
        <v>20274117.719999991</v>
      </c>
      <c r="Z26" s="95">
        <f t="shared" si="40"/>
        <v>112728793.8</v>
      </c>
      <c r="AA26" s="95">
        <f t="shared" si="40"/>
        <v>140401558.48589998</v>
      </c>
      <c r="AB26" s="95"/>
      <c r="AC26" s="95">
        <f t="shared" si="40"/>
        <v>885790446.45000017</v>
      </c>
      <c r="AD26" s="95">
        <f t="shared" si="40"/>
        <v>558186809.98290002</v>
      </c>
      <c r="AE26" s="95">
        <f t="shared" si="40"/>
        <v>17263509.587099999</v>
      </c>
      <c r="AF26" s="95">
        <f t="shared" si="40"/>
        <v>47306274.679999992</v>
      </c>
      <c r="AG26" s="95">
        <f t="shared" si="40"/>
        <v>263033852.19999999</v>
      </c>
      <c r="AH26" s="95">
        <f t="shared" si="40"/>
        <v>327603636.46709996</v>
      </c>
      <c r="AI26" s="95"/>
    </row>
    <row r="27" spans="1:35" ht="59.25" customHeight="1" x14ac:dyDescent="0.25">
      <c r="A27" s="146" t="s">
        <v>77</v>
      </c>
      <c r="B27" s="146">
        <v>2023</v>
      </c>
      <c r="C27" s="146" t="s">
        <v>124</v>
      </c>
      <c r="D27" s="107">
        <v>86</v>
      </c>
      <c r="E27" s="107">
        <v>149</v>
      </c>
      <c r="F27" s="108">
        <v>4134.3999999999996</v>
      </c>
      <c r="G27" s="108">
        <v>4192.8</v>
      </c>
      <c r="H27" s="85"/>
      <c r="I27" s="85"/>
      <c r="J27" s="82" t="s">
        <v>46</v>
      </c>
      <c r="K27" s="104" t="s">
        <v>45</v>
      </c>
      <c r="L27" s="84" t="s">
        <v>25</v>
      </c>
      <c r="M27" s="89" t="s">
        <v>90</v>
      </c>
      <c r="N27" s="90">
        <f t="shared" ref="N27:N30" si="41">SUM(O27:R27)</f>
        <v>237266359.20000005</v>
      </c>
      <c r="O27" s="89">
        <f>F27*39785*97%</f>
        <v>159552490.88</v>
      </c>
      <c r="P27" s="89">
        <f>F27*39785*3%</f>
        <v>4934613.12</v>
      </c>
      <c r="Q27" s="89">
        <f>(G27-F27)*39785</f>
        <v>2323444.0000000219</v>
      </c>
      <c r="R27" s="89">
        <f>(56589-39785)*G27</f>
        <v>70455811.200000003</v>
      </c>
      <c r="S27" s="89">
        <f>P27+Q27+R27</f>
        <v>77713868.320000023</v>
      </c>
      <c r="T27" s="91">
        <v>2022</v>
      </c>
      <c r="U27" s="92">
        <v>2022</v>
      </c>
      <c r="V27" s="90">
        <f>N27*0.3</f>
        <v>71179907.760000005</v>
      </c>
      <c r="W27" s="89">
        <f>O27*0.3</f>
        <v>47865747.263999999</v>
      </c>
      <c r="X27" s="89">
        <f t="shared" ref="X27:Z30" si="42">P27*0.3</f>
        <v>1480383.936</v>
      </c>
      <c r="Y27" s="89">
        <f t="shared" si="42"/>
        <v>697033.20000000659</v>
      </c>
      <c r="Z27" s="89">
        <f t="shared" si="42"/>
        <v>21136743.359999999</v>
      </c>
      <c r="AA27" s="89">
        <f t="shared" si="36"/>
        <v>23314160.496000007</v>
      </c>
      <c r="AB27" s="92">
        <v>2023</v>
      </c>
      <c r="AC27" s="90">
        <f t="shared" ref="AC27:AG30" si="43">N27-V27</f>
        <v>166086451.44000006</v>
      </c>
      <c r="AD27" s="89">
        <f t="shared" si="43"/>
        <v>111686743.616</v>
      </c>
      <c r="AE27" s="89">
        <f t="shared" si="43"/>
        <v>3454229.1840000004</v>
      </c>
      <c r="AF27" s="89">
        <f t="shared" si="43"/>
        <v>1626410.8000000152</v>
      </c>
      <c r="AG27" s="89">
        <f t="shared" si="43"/>
        <v>49319067.840000004</v>
      </c>
      <c r="AH27" s="89">
        <f t="shared" si="38"/>
        <v>54399707.824000016</v>
      </c>
      <c r="AI27" s="90"/>
    </row>
    <row r="28" spans="1:35" ht="128.25" customHeight="1" x14ac:dyDescent="0.25">
      <c r="A28" s="146"/>
      <c r="B28" s="146"/>
      <c r="C28" s="146"/>
      <c r="D28" s="107">
        <v>84</v>
      </c>
      <c r="E28" s="107">
        <v>216</v>
      </c>
      <c r="F28" s="108">
        <v>4120.71</v>
      </c>
      <c r="G28" s="108">
        <v>4351.58</v>
      </c>
      <c r="H28" s="85"/>
      <c r="I28" s="85"/>
      <c r="J28" s="82" t="s">
        <v>135</v>
      </c>
      <c r="K28" s="104" t="s">
        <v>80</v>
      </c>
      <c r="L28" s="84" t="s">
        <v>79</v>
      </c>
      <c r="M28" s="87" t="s">
        <v>95</v>
      </c>
      <c r="N28" s="90">
        <f t="shared" si="41"/>
        <v>246251560.61999997</v>
      </c>
      <c r="O28" s="89">
        <f>F28*39785*97%</f>
        <v>159024173.92949998</v>
      </c>
      <c r="P28" s="89">
        <f>F28*39785*3%</f>
        <v>4918273.4205</v>
      </c>
      <c r="Q28" s="89">
        <f>(G28-F28)*39785</f>
        <v>9185162.9499999955</v>
      </c>
      <c r="R28" s="89">
        <f t="shared" ref="R28:R30" si="44">(56589-39785)*G28</f>
        <v>73123950.319999993</v>
      </c>
      <c r="S28" s="89">
        <f>P28+Q28+R28</f>
        <v>87227386.690499991</v>
      </c>
      <c r="T28" s="91">
        <v>2022</v>
      </c>
      <c r="U28" s="92">
        <v>2022</v>
      </c>
      <c r="V28" s="90">
        <f t="shared" ref="V28:V30" si="45">N28*0.3</f>
        <v>73875468.18599999</v>
      </c>
      <c r="W28" s="89">
        <f>O28*0.3</f>
        <v>47707252.178849995</v>
      </c>
      <c r="X28" s="89">
        <f t="shared" si="42"/>
        <v>1475482.02615</v>
      </c>
      <c r="Y28" s="89">
        <f t="shared" si="42"/>
        <v>2755548.8849999984</v>
      </c>
      <c r="Z28" s="89">
        <f t="shared" si="42"/>
        <v>21937185.095999997</v>
      </c>
      <c r="AA28" s="89">
        <f t="shared" si="36"/>
        <v>26168216.007149994</v>
      </c>
      <c r="AB28" s="92">
        <v>2023</v>
      </c>
      <c r="AC28" s="90">
        <f t="shared" si="43"/>
        <v>172376092.43399999</v>
      </c>
      <c r="AD28" s="89">
        <f t="shared" si="43"/>
        <v>111316921.75064999</v>
      </c>
      <c r="AE28" s="89">
        <f t="shared" si="43"/>
        <v>3442791.3943499997</v>
      </c>
      <c r="AF28" s="89">
        <f t="shared" si="43"/>
        <v>6429614.0649999976</v>
      </c>
      <c r="AG28" s="89">
        <f t="shared" si="43"/>
        <v>51186765.223999992</v>
      </c>
      <c r="AH28" s="89">
        <f t="shared" si="38"/>
        <v>61059170.683349989</v>
      </c>
      <c r="AI28" s="90" t="s">
        <v>141</v>
      </c>
    </row>
    <row r="29" spans="1:35" ht="55.5" customHeight="1" x14ac:dyDescent="0.25">
      <c r="A29" s="146"/>
      <c r="B29" s="146">
        <v>2023</v>
      </c>
      <c r="C29" s="82" t="s">
        <v>14</v>
      </c>
      <c r="D29" s="103">
        <v>10</v>
      </c>
      <c r="E29" s="103">
        <v>36</v>
      </c>
      <c r="F29" s="84">
        <v>437.3</v>
      </c>
      <c r="G29" s="84">
        <v>444.1</v>
      </c>
      <c r="H29" s="85">
        <v>1</v>
      </c>
      <c r="I29" s="85">
        <v>2</v>
      </c>
      <c r="J29" s="93" t="s">
        <v>53</v>
      </c>
      <c r="K29" s="93" t="s">
        <v>54</v>
      </c>
      <c r="L29" s="87">
        <v>1000</v>
      </c>
      <c r="M29" s="87" t="s">
        <v>96</v>
      </c>
      <c r="N29" s="90">
        <f t="shared" si="41"/>
        <v>25131174.899999999</v>
      </c>
      <c r="O29" s="89">
        <f>F29*39785*97%</f>
        <v>16876041.085000001</v>
      </c>
      <c r="P29" s="89">
        <f>F29*39785*3%</f>
        <v>521939.41499999998</v>
      </c>
      <c r="Q29" s="89">
        <f>(G29-F29)*39785</f>
        <v>270538.00000000047</v>
      </c>
      <c r="R29" s="89">
        <f t="shared" si="44"/>
        <v>7462656.4000000004</v>
      </c>
      <c r="S29" s="89">
        <f>P29+Q29+R29</f>
        <v>8255133.8150000013</v>
      </c>
      <c r="T29" s="91">
        <v>2022</v>
      </c>
      <c r="U29" s="92">
        <v>2022</v>
      </c>
      <c r="V29" s="90">
        <f t="shared" si="45"/>
        <v>7539352.4699999997</v>
      </c>
      <c r="W29" s="89">
        <f>O29*0.3</f>
        <v>5062812.3255000003</v>
      </c>
      <c r="X29" s="89">
        <f t="shared" si="42"/>
        <v>156581.82449999999</v>
      </c>
      <c r="Y29" s="89">
        <f t="shared" si="42"/>
        <v>81161.40000000014</v>
      </c>
      <c r="Z29" s="89">
        <f t="shared" si="42"/>
        <v>2238796.92</v>
      </c>
      <c r="AA29" s="89">
        <f t="shared" si="36"/>
        <v>2476540.1444999999</v>
      </c>
      <c r="AB29" s="92">
        <v>2023</v>
      </c>
      <c r="AC29" s="90">
        <f t="shared" si="43"/>
        <v>17591822.43</v>
      </c>
      <c r="AD29" s="89">
        <f t="shared" si="43"/>
        <v>11813228.759500001</v>
      </c>
      <c r="AE29" s="89">
        <f t="shared" si="43"/>
        <v>365357.59049999999</v>
      </c>
      <c r="AF29" s="89">
        <f t="shared" si="43"/>
        <v>189376.60000000033</v>
      </c>
      <c r="AG29" s="89">
        <f t="shared" si="43"/>
        <v>5223859.4800000004</v>
      </c>
      <c r="AH29" s="89">
        <f t="shared" si="38"/>
        <v>5778593.6705000009</v>
      </c>
      <c r="AI29" s="90"/>
    </row>
    <row r="30" spans="1:35" ht="55.5" customHeight="1" x14ac:dyDescent="0.25">
      <c r="A30" s="146"/>
      <c r="B30" s="146"/>
      <c r="C30" s="82" t="s">
        <v>140</v>
      </c>
      <c r="D30" s="103">
        <v>411</v>
      </c>
      <c r="E30" s="103">
        <v>847</v>
      </c>
      <c r="F30" s="84">
        <v>12724.85</v>
      </c>
      <c r="G30" s="84">
        <v>16112.2</v>
      </c>
      <c r="H30" s="85"/>
      <c r="I30" s="85"/>
      <c r="J30" s="87" t="s">
        <v>150</v>
      </c>
      <c r="K30" s="87"/>
      <c r="L30" s="87"/>
      <c r="M30" s="87" t="s">
        <v>97</v>
      </c>
      <c r="N30" s="90">
        <f t="shared" si="41"/>
        <v>911773285.79999995</v>
      </c>
      <c r="O30" s="89">
        <f>F30*39785*97%</f>
        <v>491070412.53249997</v>
      </c>
      <c r="P30" s="89">
        <f>F30*39785*3%</f>
        <v>15187744.717499999</v>
      </c>
      <c r="Q30" s="89">
        <f>(G30-F30)*39785</f>
        <v>134765719.75</v>
      </c>
      <c r="R30" s="89">
        <f t="shared" si="44"/>
        <v>270749408.80000001</v>
      </c>
      <c r="S30" s="89">
        <f>P30+Q30+R30</f>
        <v>420702873.26750004</v>
      </c>
      <c r="T30" s="91">
        <v>2022</v>
      </c>
      <c r="U30" s="92">
        <v>2022</v>
      </c>
      <c r="V30" s="90">
        <f t="shared" si="45"/>
        <v>273531985.73999995</v>
      </c>
      <c r="W30" s="89">
        <f>O30*0.3</f>
        <v>147321123.75974998</v>
      </c>
      <c r="X30" s="89">
        <f t="shared" si="42"/>
        <v>4556323.4152499996</v>
      </c>
      <c r="Y30" s="89">
        <f t="shared" si="42"/>
        <v>40429715.924999997</v>
      </c>
      <c r="Z30" s="89">
        <f t="shared" si="42"/>
        <v>81224822.640000001</v>
      </c>
      <c r="AA30" s="89">
        <f t="shared" si="36"/>
        <v>126210861.98025</v>
      </c>
      <c r="AB30" s="92">
        <v>2023</v>
      </c>
      <c r="AC30" s="90">
        <f t="shared" si="43"/>
        <v>638241300.05999994</v>
      </c>
      <c r="AD30" s="89">
        <f t="shared" si="43"/>
        <v>343749288.77275002</v>
      </c>
      <c r="AE30" s="89">
        <f t="shared" si="43"/>
        <v>10631421.30225</v>
      </c>
      <c r="AF30" s="89">
        <f t="shared" si="43"/>
        <v>94336003.825000003</v>
      </c>
      <c r="AG30" s="89">
        <f t="shared" si="43"/>
        <v>189524586.16000003</v>
      </c>
      <c r="AH30" s="89">
        <f t="shared" si="38"/>
        <v>294492011.28725004</v>
      </c>
      <c r="AI30" s="90"/>
    </row>
    <row r="31" spans="1:35" s="2" customFormat="1" ht="49.5" customHeight="1" x14ac:dyDescent="0.25">
      <c r="A31" s="130" t="s">
        <v>127</v>
      </c>
      <c r="B31" s="130"/>
      <c r="C31" s="130"/>
      <c r="D31" s="95">
        <f>SUM(D27:D30)</f>
        <v>591</v>
      </c>
      <c r="E31" s="94">
        <f t="shared" ref="E31:G31" si="46">SUM(E27:E30)</f>
        <v>1248</v>
      </c>
      <c r="F31" s="95">
        <f t="shared" si="46"/>
        <v>21417.260000000002</v>
      </c>
      <c r="G31" s="95">
        <f t="shared" si="46"/>
        <v>25100.68</v>
      </c>
      <c r="H31" s="95"/>
      <c r="I31" s="95"/>
      <c r="J31" s="95"/>
      <c r="K31" s="95"/>
      <c r="L31" s="95"/>
      <c r="M31" s="95"/>
      <c r="N31" s="95">
        <f t="shared" ref="N31:AG31" si="47">SUM(N27:N30)</f>
        <v>1420422380.52</v>
      </c>
      <c r="O31" s="95">
        <f t="shared" si="47"/>
        <v>826523118.42699993</v>
      </c>
      <c r="P31" s="95">
        <f t="shared" si="47"/>
        <v>25562570.673</v>
      </c>
      <c r="Q31" s="95">
        <f t="shared" si="47"/>
        <v>146544864.70000002</v>
      </c>
      <c r="R31" s="95">
        <f t="shared" si="47"/>
        <v>421791826.72000003</v>
      </c>
      <c r="S31" s="95">
        <f t="shared" ref="S31" si="48">SUM(S27:S30)</f>
        <v>593899262.09300005</v>
      </c>
      <c r="T31" s="97"/>
      <c r="U31" s="95"/>
      <c r="V31" s="95">
        <f t="shared" si="47"/>
        <v>426126714.1559999</v>
      </c>
      <c r="W31" s="95">
        <f t="shared" si="47"/>
        <v>247956935.52809995</v>
      </c>
      <c r="X31" s="95">
        <f t="shared" si="47"/>
        <v>7668771.2018999998</v>
      </c>
      <c r="Y31" s="95">
        <f t="shared" si="47"/>
        <v>43963459.410000004</v>
      </c>
      <c r="Z31" s="95">
        <f t="shared" si="47"/>
        <v>126537548.016</v>
      </c>
      <c r="AA31" s="95">
        <f t="shared" ref="AA31" si="49">SUM(AA27:AA30)</f>
        <v>178169778.6279</v>
      </c>
      <c r="AB31" s="95"/>
      <c r="AC31" s="95">
        <f t="shared" si="47"/>
        <v>994295666.36400008</v>
      </c>
      <c r="AD31" s="95">
        <f t="shared" si="47"/>
        <v>578566182.89890003</v>
      </c>
      <c r="AE31" s="95">
        <f t="shared" si="47"/>
        <v>17893799.471099999</v>
      </c>
      <c r="AF31" s="95">
        <f t="shared" si="47"/>
        <v>102581405.29000002</v>
      </c>
      <c r="AG31" s="95">
        <f t="shared" si="47"/>
        <v>295254278.704</v>
      </c>
      <c r="AH31" s="95">
        <f t="shared" ref="AH31" si="50">SUM(AH27:AH30)</f>
        <v>415729483.46510005</v>
      </c>
      <c r="AI31" s="95"/>
    </row>
    <row r="32" spans="1:35" ht="22.5" x14ac:dyDescent="0.25">
      <c r="A32" s="155" t="s">
        <v>84</v>
      </c>
      <c r="B32" s="155"/>
      <c r="C32" s="155"/>
      <c r="D32" s="109">
        <f>D9+D15+D26+D31</f>
        <v>1489</v>
      </c>
      <c r="E32" s="109">
        <f>E9+E15+E26+E31</f>
        <v>3202</v>
      </c>
      <c r="F32" s="110">
        <f>F9+F15+F26+F31</f>
        <v>57740.1</v>
      </c>
      <c r="G32" s="110">
        <f>G9+G15+G26+G31</f>
        <v>64679.92</v>
      </c>
      <c r="H32" s="109"/>
      <c r="I32" s="109"/>
      <c r="J32" s="109"/>
      <c r="K32" s="109"/>
      <c r="L32" s="109"/>
      <c r="M32" s="109"/>
      <c r="N32" s="110">
        <f t="shared" ref="N32:S32" si="51">N9+N15+N26+N31</f>
        <v>3660171992.8800001</v>
      </c>
      <c r="O32" s="110">
        <f t="shared" si="51"/>
        <v>2228274182.145</v>
      </c>
      <c r="P32" s="110">
        <f t="shared" si="51"/>
        <v>68915696.354999989</v>
      </c>
      <c r="Q32" s="110">
        <f t="shared" si="51"/>
        <v>276100738.69999999</v>
      </c>
      <c r="R32" s="110">
        <f t="shared" si="51"/>
        <v>1086881375.6800001</v>
      </c>
      <c r="S32" s="110">
        <f t="shared" si="51"/>
        <v>1431897810.7350001</v>
      </c>
      <c r="T32" s="111"/>
      <c r="U32" s="110"/>
      <c r="V32" s="110">
        <f t="shared" ref="V32:AA32" si="52">V9+V15+V26+V31</f>
        <v>1098051597.8639998</v>
      </c>
      <c r="W32" s="110">
        <f t="shared" si="52"/>
        <v>668482254.64349997</v>
      </c>
      <c r="X32" s="110">
        <f t="shared" si="52"/>
        <v>20674708.906499997</v>
      </c>
      <c r="Y32" s="110">
        <f t="shared" si="52"/>
        <v>82830221.609999985</v>
      </c>
      <c r="Z32" s="110">
        <f t="shared" si="52"/>
        <v>326064412.704</v>
      </c>
      <c r="AA32" s="110">
        <f t="shared" si="52"/>
        <v>429569343.22049999</v>
      </c>
      <c r="AB32" s="110"/>
      <c r="AC32" s="110">
        <f t="shared" ref="AC32:AH32" si="53">AC9+AC15+AC26+AC31</f>
        <v>2562120395.0160003</v>
      </c>
      <c r="AD32" s="110">
        <f t="shared" si="53"/>
        <v>1559791927.5015001</v>
      </c>
      <c r="AE32" s="110">
        <f t="shared" si="53"/>
        <v>48240987.448499992</v>
      </c>
      <c r="AF32" s="110">
        <f t="shared" si="53"/>
        <v>193270517.09</v>
      </c>
      <c r="AG32" s="110">
        <f t="shared" si="53"/>
        <v>760816962.97599995</v>
      </c>
      <c r="AH32" s="110">
        <f t="shared" si="53"/>
        <v>1002328467.5144999</v>
      </c>
      <c r="AI32" s="110"/>
    </row>
  </sheetData>
  <mergeCells count="101">
    <mergeCell ref="U4:AA4"/>
    <mergeCell ref="AA16:AA17"/>
    <mergeCell ref="AA20:AA21"/>
    <mergeCell ref="AA22:AA23"/>
    <mergeCell ref="AB4:AH4"/>
    <mergeCell ref="AH16:AH17"/>
    <mergeCell ref="AH20:AH21"/>
    <mergeCell ref="AH22:AH23"/>
    <mergeCell ref="A31:C31"/>
    <mergeCell ref="R20:R21"/>
    <mergeCell ref="V20:V21"/>
    <mergeCell ref="W20:W21"/>
    <mergeCell ref="S16:S17"/>
    <mergeCell ref="B18:B19"/>
    <mergeCell ref="B20:B21"/>
    <mergeCell ref="C20:C21"/>
    <mergeCell ref="D20:D21"/>
    <mergeCell ref="E20:E21"/>
    <mergeCell ref="Y16:Y17"/>
    <mergeCell ref="T16:T17"/>
    <mergeCell ref="X20:X21"/>
    <mergeCell ref="T20:T21"/>
    <mergeCell ref="Q16:Q17"/>
    <mergeCell ref="R16:R17"/>
    <mergeCell ref="AB16:AB17"/>
    <mergeCell ref="AB20:AB21"/>
    <mergeCell ref="AG22:AG23"/>
    <mergeCell ref="Q22:Q23"/>
    <mergeCell ref="R22:R23"/>
    <mergeCell ref="V22:V23"/>
    <mergeCell ref="W22:W23"/>
    <mergeCell ref="X22:X23"/>
    <mergeCell ref="Y20:Y21"/>
    <mergeCell ref="Z20:Z21"/>
    <mergeCell ref="S20:S21"/>
    <mergeCell ref="Z16:Z17"/>
    <mergeCell ref="Q20:Q21"/>
    <mergeCell ref="S22:S23"/>
    <mergeCell ref="B22:B23"/>
    <mergeCell ref="C22:C23"/>
    <mergeCell ref="D22:D23"/>
    <mergeCell ref="E22:E23"/>
    <mergeCell ref="A32:C32"/>
    <mergeCell ref="A6:A8"/>
    <mergeCell ref="U16:U17"/>
    <mergeCell ref="U20:U21"/>
    <mergeCell ref="U22:U23"/>
    <mergeCell ref="F22:F23"/>
    <mergeCell ref="F20:F21"/>
    <mergeCell ref="G20:G21"/>
    <mergeCell ref="N20:N21"/>
    <mergeCell ref="O20:O21"/>
    <mergeCell ref="P20:P21"/>
    <mergeCell ref="AI20:AI21"/>
    <mergeCell ref="AC20:AC21"/>
    <mergeCell ref="AD20:AD21"/>
    <mergeCell ref="AE20:AE21"/>
    <mergeCell ref="AF20:AF21"/>
    <mergeCell ref="AI22:AI23"/>
    <mergeCell ref="B24:B25"/>
    <mergeCell ref="A26:C26"/>
    <mergeCell ref="A27:A30"/>
    <mergeCell ref="B27:B28"/>
    <mergeCell ref="C27:C28"/>
    <mergeCell ref="B29:B30"/>
    <mergeCell ref="AB22:AB23"/>
    <mergeCell ref="T22:T23"/>
    <mergeCell ref="Y22:Y23"/>
    <mergeCell ref="Z22:Z23"/>
    <mergeCell ref="AC22:AC23"/>
    <mergeCell ref="AD22:AD23"/>
    <mergeCell ref="AE22:AE23"/>
    <mergeCell ref="AF22:AF23"/>
    <mergeCell ref="P22:P23"/>
    <mergeCell ref="G22:G23"/>
    <mergeCell ref="N22:N23"/>
    <mergeCell ref="O22:O23"/>
    <mergeCell ref="V16:V17"/>
    <mergeCell ref="W16:W17"/>
    <mergeCell ref="X16:X17"/>
    <mergeCell ref="A10:A14"/>
    <mergeCell ref="H2:AN2"/>
    <mergeCell ref="A9:C9"/>
    <mergeCell ref="P16:P17"/>
    <mergeCell ref="A15:C15"/>
    <mergeCell ref="A16:A25"/>
    <mergeCell ref="B16:B17"/>
    <mergeCell ref="C16:C17"/>
    <mergeCell ref="D16:D17"/>
    <mergeCell ref="E16:E17"/>
    <mergeCell ref="F16:F17"/>
    <mergeCell ref="G16:G17"/>
    <mergeCell ref="N16:N17"/>
    <mergeCell ref="O16:O17"/>
    <mergeCell ref="AF16:AF17"/>
    <mergeCell ref="AG16:AG17"/>
    <mergeCell ref="AI16:AI17"/>
    <mergeCell ref="AC16:AC17"/>
    <mergeCell ref="AD16:AD17"/>
    <mergeCell ref="AE16:AE17"/>
    <mergeCell ref="AG20:AG21"/>
  </mergeCells>
  <pageMargins left="0.51181102362204722" right="0.31496062992125984" top="0.35433070866141736" bottom="0.35433070866141736" header="0.31496062992125984" footer="0.31496062992125984"/>
  <pageSetup paperSize="8" scale="4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view="pageBreakPreview" zoomScale="55" zoomScaleSheetLayoutView="55" workbookViewId="0">
      <pane ySplit="4" topLeftCell="A5" activePane="bottomLeft" state="frozen"/>
      <selection pane="bottomLeft" activeCell="A25" sqref="A25:C25"/>
    </sheetView>
  </sheetViews>
  <sheetFormatPr defaultColWidth="9.140625" defaultRowHeight="15.75" x14ac:dyDescent="0.25"/>
  <cols>
    <col min="1" max="1" width="18.28515625" style="1" customWidth="1"/>
    <col min="2" max="2" width="19.85546875" style="3" customWidth="1"/>
    <col min="3" max="3" width="29.85546875" style="1" customWidth="1"/>
    <col min="4" max="4" width="14.42578125" style="1" customWidth="1"/>
    <col min="5" max="5" width="19.7109375" style="1" customWidth="1"/>
    <col min="6" max="6" width="31.140625" style="1" hidden="1" customWidth="1"/>
    <col min="7" max="7" width="26.28515625" style="2" customWidth="1"/>
    <col min="8" max="8" width="12.5703125" style="1" bestFit="1" customWidth="1"/>
    <col min="9" max="9" width="28.140625" style="1" customWidth="1"/>
    <col min="10" max="10" width="16" style="1" bestFit="1" customWidth="1"/>
    <col min="11" max="11" width="26.5703125" style="1" customWidth="1"/>
    <col min="12" max="16384" width="9.140625" style="1"/>
  </cols>
  <sheetData>
    <row r="1" spans="1:13" ht="12.6" customHeight="1" x14ac:dyDescent="0.25">
      <c r="H1" s="72"/>
      <c r="I1" s="72"/>
      <c r="J1" s="72"/>
      <c r="K1" s="72"/>
    </row>
    <row r="2" spans="1:13" ht="20.25" x14ac:dyDescent="0.25">
      <c r="A2" s="2"/>
      <c r="B2" s="80"/>
      <c r="C2" s="2"/>
      <c r="D2" s="2"/>
      <c r="E2" s="2"/>
      <c r="F2" s="135"/>
      <c r="G2" s="135"/>
      <c r="H2" s="135"/>
      <c r="I2" s="135"/>
      <c r="J2" s="135"/>
      <c r="K2" s="135"/>
      <c r="L2" s="135"/>
      <c r="M2" s="135"/>
    </row>
    <row r="3" spans="1:13" ht="24" customHeight="1" x14ac:dyDescent="0.25">
      <c r="H3" s="162" t="s">
        <v>111</v>
      </c>
      <c r="I3" s="162"/>
      <c r="J3" s="159">
        <v>0.7</v>
      </c>
      <c r="K3" s="159"/>
    </row>
    <row r="4" spans="1:13" ht="60.75" customHeight="1" x14ac:dyDescent="0.25">
      <c r="A4" s="74" t="s">
        <v>5</v>
      </c>
      <c r="B4" s="56" t="s">
        <v>118</v>
      </c>
      <c r="C4" s="74" t="s">
        <v>0</v>
      </c>
      <c r="D4" s="74" t="s">
        <v>1</v>
      </c>
      <c r="E4" s="74" t="s">
        <v>4</v>
      </c>
      <c r="F4" s="77" t="s">
        <v>89</v>
      </c>
      <c r="G4" s="56" t="s">
        <v>87</v>
      </c>
      <c r="H4" s="74" t="s">
        <v>117</v>
      </c>
      <c r="I4" s="56" t="s">
        <v>87</v>
      </c>
      <c r="J4" s="74" t="s">
        <v>120</v>
      </c>
      <c r="K4" s="56" t="s">
        <v>87</v>
      </c>
    </row>
    <row r="5" spans="1:13" ht="19.5" x14ac:dyDescent="0.25">
      <c r="A5" s="124" t="s">
        <v>74</v>
      </c>
      <c r="B5" s="67">
        <v>2021</v>
      </c>
      <c r="C5" s="66" t="s">
        <v>12</v>
      </c>
      <c r="D5" s="67">
        <v>43</v>
      </c>
      <c r="E5" s="71">
        <v>1783</v>
      </c>
      <c r="F5" s="65" t="s">
        <v>90</v>
      </c>
      <c r="G5" s="73">
        <v>100898187</v>
      </c>
      <c r="H5" s="75">
        <v>2022</v>
      </c>
      <c r="I5" s="73">
        <v>30269456.099999998</v>
      </c>
      <c r="J5" s="75">
        <v>2022</v>
      </c>
      <c r="K5" s="73">
        <v>70628730.900000006</v>
      </c>
    </row>
    <row r="6" spans="1:13" ht="19.5" x14ac:dyDescent="0.25">
      <c r="A6" s="124"/>
      <c r="B6" s="67">
        <v>2021</v>
      </c>
      <c r="C6" s="66" t="s">
        <v>14</v>
      </c>
      <c r="D6" s="67">
        <v>49</v>
      </c>
      <c r="E6" s="71">
        <v>2306.1</v>
      </c>
      <c r="F6" s="65" t="s">
        <v>90</v>
      </c>
      <c r="G6" s="73">
        <v>130499892.90000001</v>
      </c>
      <c r="H6" s="75">
        <v>2022</v>
      </c>
      <c r="I6" s="73">
        <v>39149967.869999997</v>
      </c>
      <c r="J6" s="75">
        <v>2022</v>
      </c>
      <c r="K6" s="73">
        <v>91349925.030000001</v>
      </c>
    </row>
    <row r="7" spans="1:13" ht="19.5" x14ac:dyDescent="0.25">
      <c r="A7" s="124"/>
      <c r="B7" s="67">
        <v>2021</v>
      </c>
      <c r="C7" s="31" t="s">
        <v>10</v>
      </c>
      <c r="D7" s="67">
        <v>75</v>
      </c>
      <c r="E7" s="69">
        <v>3198.64</v>
      </c>
      <c r="F7" s="65" t="s">
        <v>90</v>
      </c>
      <c r="G7" s="73">
        <v>181007838.95999998</v>
      </c>
      <c r="H7" s="75">
        <v>2022</v>
      </c>
      <c r="I7" s="73">
        <v>54302351.687999994</v>
      </c>
      <c r="J7" s="75">
        <v>2022</v>
      </c>
      <c r="K7" s="73">
        <v>126705487.27199998</v>
      </c>
    </row>
    <row r="8" spans="1:13" s="2" customFormat="1" ht="19.5" x14ac:dyDescent="0.25">
      <c r="A8" s="130" t="s">
        <v>82</v>
      </c>
      <c r="B8" s="130"/>
      <c r="C8" s="130"/>
      <c r="D8" s="22">
        <f>SUM(D5:D7)</f>
        <v>167</v>
      </c>
      <c r="E8" s="68">
        <f>SUM(E5:E7)</f>
        <v>7287.74</v>
      </c>
      <c r="F8" s="68"/>
      <c r="G8" s="68">
        <v>412405918.86000001</v>
      </c>
      <c r="H8" s="68"/>
      <c r="I8" s="68">
        <v>123721775.65799999</v>
      </c>
      <c r="J8" s="68"/>
      <c r="K8" s="68">
        <v>288684143.20200002</v>
      </c>
    </row>
    <row r="9" spans="1:13" ht="19.5" x14ac:dyDescent="0.25">
      <c r="A9" s="124" t="s">
        <v>75</v>
      </c>
      <c r="B9" s="67">
        <v>2021</v>
      </c>
      <c r="C9" s="66" t="s">
        <v>121</v>
      </c>
      <c r="D9" s="67">
        <v>27</v>
      </c>
      <c r="E9" s="71">
        <v>1238.5</v>
      </c>
      <c r="F9" s="65" t="s">
        <v>90</v>
      </c>
      <c r="G9" s="73">
        <v>70085476.5</v>
      </c>
      <c r="H9" s="75">
        <v>2022</v>
      </c>
      <c r="I9" s="73">
        <v>21025642.949999999</v>
      </c>
      <c r="J9" s="75">
        <v>2022</v>
      </c>
      <c r="K9" s="73">
        <v>49059833.549999997</v>
      </c>
    </row>
    <row r="10" spans="1:13" ht="19.5" x14ac:dyDescent="0.25">
      <c r="A10" s="124"/>
      <c r="B10" s="67">
        <v>2021</v>
      </c>
      <c r="C10" s="66" t="s">
        <v>123</v>
      </c>
      <c r="D10" s="67">
        <v>36</v>
      </c>
      <c r="E10" s="69">
        <v>1569.8</v>
      </c>
      <c r="F10" s="69" t="s">
        <v>90</v>
      </c>
      <c r="G10" s="73">
        <v>88833412.200000003</v>
      </c>
      <c r="H10" s="75">
        <v>2022</v>
      </c>
      <c r="I10" s="73">
        <v>26650023.66</v>
      </c>
      <c r="J10" s="75">
        <v>2022</v>
      </c>
      <c r="K10" s="73">
        <v>62183388.540000007</v>
      </c>
    </row>
    <row r="11" spans="1:13" ht="39" x14ac:dyDescent="0.25">
      <c r="A11" s="124"/>
      <c r="B11" s="67">
        <v>2021</v>
      </c>
      <c r="C11" s="66" t="s">
        <v>122</v>
      </c>
      <c r="D11" s="67">
        <v>46</v>
      </c>
      <c r="E11" s="71">
        <v>1668.2</v>
      </c>
      <c r="F11" s="65" t="s">
        <v>90</v>
      </c>
      <c r="G11" s="73">
        <v>94401769.799999997</v>
      </c>
      <c r="H11" s="75">
        <v>2022</v>
      </c>
      <c r="I11" s="73">
        <v>28320530.939999998</v>
      </c>
      <c r="J11" s="75">
        <v>2023</v>
      </c>
      <c r="K11" s="73">
        <v>66081238.859999999</v>
      </c>
    </row>
    <row r="12" spans="1:13" ht="39" x14ac:dyDescent="0.25">
      <c r="A12" s="124"/>
      <c r="B12" s="67">
        <v>2022</v>
      </c>
      <c r="C12" s="66" t="s">
        <v>17</v>
      </c>
      <c r="D12" s="67">
        <v>47</v>
      </c>
      <c r="E12" s="69">
        <v>1719.3</v>
      </c>
      <c r="F12" s="69" t="s">
        <v>105</v>
      </c>
      <c r="G12" s="73">
        <v>97293467.700000003</v>
      </c>
      <c r="H12" s="75">
        <v>2022</v>
      </c>
      <c r="I12" s="73">
        <v>29188040.309999999</v>
      </c>
      <c r="J12" s="75">
        <v>2023</v>
      </c>
      <c r="K12" s="73">
        <v>68105427.390000001</v>
      </c>
    </row>
    <row r="13" spans="1:13" ht="19.5" x14ac:dyDescent="0.25">
      <c r="A13" s="124"/>
      <c r="B13" s="67">
        <v>2022</v>
      </c>
      <c r="C13" s="66" t="s">
        <v>124</v>
      </c>
      <c r="D13" s="67">
        <v>75</v>
      </c>
      <c r="E13" s="69">
        <v>3734.2</v>
      </c>
      <c r="F13" s="69" t="s">
        <v>90</v>
      </c>
      <c r="G13" s="73">
        <v>211314643.80000001</v>
      </c>
      <c r="H13" s="75">
        <v>2022</v>
      </c>
      <c r="I13" s="73">
        <v>63394393.140000001</v>
      </c>
      <c r="J13" s="75">
        <v>2023</v>
      </c>
      <c r="K13" s="73">
        <v>147920250.66000003</v>
      </c>
    </row>
    <row r="14" spans="1:13" s="2" customFormat="1" ht="19.5" x14ac:dyDescent="0.25">
      <c r="A14" s="130" t="s">
        <v>83</v>
      </c>
      <c r="B14" s="130"/>
      <c r="C14" s="130"/>
      <c r="D14" s="22">
        <f>SUM(D9:D13)</f>
        <v>231</v>
      </c>
      <c r="E14" s="68">
        <f>SUM(E9:E13)</f>
        <v>9930</v>
      </c>
      <c r="F14" s="68"/>
      <c r="G14" s="68">
        <v>561928770</v>
      </c>
      <c r="H14" s="68"/>
      <c r="I14" s="68">
        <v>168578631</v>
      </c>
      <c r="J14" s="68"/>
      <c r="K14" s="68">
        <v>393350139</v>
      </c>
    </row>
    <row r="15" spans="1:13" ht="58.5" x14ac:dyDescent="0.25">
      <c r="A15" s="124" t="s">
        <v>76</v>
      </c>
      <c r="B15" s="125">
        <v>2022</v>
      </c>
      <c r="C15" s="124" t="s">
        <v>129</v>
      </c>
      <c r="D15" s="133">
        <v>35</v>
      </c>
      <c r="E15" s="134">
        <v>1280.9000000000001</v>
      </c>
      <c r="F15" s="71" t="s">
        <v>93</v>
      </c>
      <c r="G15" s="131">
        <v>72484850.099999994</v>
      </c>
      <c r="H15" s="161">
        <v>2022</v>
      </c>
      <c r="I15" s="140">
        <v>21745455.029999997</v>
      </c>
      <c r="J15" s="161">
        <v>2023</v>
      </c>
      <c r="K15" s="140">
        <v>50739395.069999993</v>
      </c>
    </row>
    <row r="16" spans="1:13" ht="58.5" x14ac:dyDescent="0.25">
      <c r="A16" s="124"/>
      <c r="B16" s="125"/>
      <c r="C16" s="124"/>
      <c r="D16" s="133"/>
      <c r="E16" s="134"/>
      <c r="F16" s="71" t="s">
        <v>93</v>
      </c>
      <c r="G16" s="131"/>
      <c r="H16" s="161"/>
      <c r="I16" s="140"/>
      <c r="J16" s="161"/>
      <c r="K16" s="140"/>
    </row>
    <row r="17" spans="1:11" ht="78" x14ac:dyDescent="0.25">
      <c r="A17" s="124"/>
      <c r="B17" s="67">
        <v>2022</v>
      </c>
      <c r="C17" s="38" t="s">
        <v>130</v>
      </c>
      <c r="D17" s="70">
        <v>70</v>
      </c>
      <c r="E17" s="71">
        <v>2795.1</v>
      </c>
      <c r="F17" s="40" t="s">
        <v>99</v>
      </c>
      <c r="G17" s="73">
        <v>158171913.90000001</v>
      </c>
      <c r="H17" s="75">
        <v>2022</v>
      </c>
      <c r="I17" s="73">
        <v>47451574.170000002</v>
      </c>
      <c r="J17" s="75">
        <v>2023</v>
      </c>
      <c r="K17" s="73">
        <v>110720339.73</v>
      </c>
    </row>
    <row r="18" spans="1:11" s="3" customFormat="1" ht="19.5" x14ac:dyDescent="0.25">
      <c r="A18" s="124"/>
      <c r="B18" s="67">
        <v>2022</v>
      </c>
      <c r="C18" s="38" t="s">
        <v>88</v>
      </c>
      <c r="D18" s="67">
        <v>6</v>
      </c>
      <c r="E18" s="69">
        <v>250.4</v>
      </c>
      <c r="F18" s="69"/>
      <c r="G18" s="41">
        <v>14169885.600000001</v>
      </c>
      <c r="H18" s="75">
        <v>2022</v>
      </c>
      <c r="I18" s="41">
        <v>4250965.6800000006</v>
      </c>
      <c r="J18" s="75">
        <v>2023</v>
      </c>
      <c r="K18" s="41">
        <v>9918919.9200000018</v>
      </c>
    </row>
    <row r="19" spans="1:11" ht="35.25" customHeight="1" x14ac:dyDescent="0.25">
      <c r="A19" s="124"/>
      <c r="B19" s="125">
        <v>2022</v>
      </c>
      <c r="C19" s="124" t="s">
        <v>131</v>
      </c>
      <c r="D19" s="125">
        <v>85</v>
      </c>
      <c r="E19" s="132">
        <v>3394.6</v>
      </c>
      <c r="F19" s="69" t="s">
        <v>98</v>
      </c>
      <c r="G19" s="131">
        <v>192097019.40000001</v>
      </c>
      <c r="H19" s="161">
        <v>2022</v>
      </c>
      <c r="I19" s="140">
        <v>57629105.82</v>
      </c>
      <c r="J19" s="161">
        <v>2023</v>
      </c>
      <c r="K19" s="140">
        <v>134467913.58000001</v>
      </c>
    </row>
    <row r="20" spans="1:11" ht="35.25" customHeight="1" x14ac:dyDescent="0.25">
      <c r="A20" s="124"/>
      <c r="B20" s="125"/>
      <c r="C20" s="124"/>
      <c r="D20" s="125"/>
      <c r="E20" s="132"/>
      <c r="F20" s="69" t="s">
        <v>98</v>
      </c>
      <c r="G20" s="131"/>
      <c r="H20" s="161"/>
      <c r="I20" s="140"/>
      <c r="J20" s="161"/>
      <c r="K20" s="140"/>
    </row>
    <row r="21" spans="1:11" ht="58.5" x14ac:dyDescent="0.25">
      <c r="A21" s="124"/>
      <c r="B21" s="125">
        <v>2022</v>
      </c>
      <c r="C21" s="124" t="s">
        <v>124</v>
      </c>
      <c r="D21" s="125">
        <v>150</v>
      </c>
      <c r="E21" s="132">
        <v>7369.3</v>
      </c>
      <c r="F21" s="69" t="s">
        <v>92</v>
      </c>
      <c r="G21" s="131">
        <v>417021317.69999999</v>
      </c>
      <c r="H21" s="161">
        <v>2022</v>
      </c>
      <c r="I21" s="140">
        <v>125106395.30999999</v>
      </c>
      <c r="J21" s="161">
        <v>2023</v>
      </c>
      <c r="K21" s="140">
        <v>291914922.38999999</v>
      </c>
    </row>
    <row r="22" spans="1:11" ht="58.5" x14ac:dyDescent="0.25">
      <c r="A22" s="124"/>
      <c r="B22" s="125"/>
      <c r="C22" s="124"/>
      <c r="D22" s="125"/>
      <c r="E22" s="132"/>
      <c r="F22" s="69" t="s">
        <v>92</v>
      </c>
      <c r="G22" s="131"/>
      <c r="H22" s="161"/>
      <c r="I22" s="140"/>
      <c r="J22" s="161"/>
      <c r="K22" s="140"/>
    </row>
    <row r="23" spans="1:11" ht="58.5" x14ac:dyDescent="0.25">
      <c r="A23" s="124"/>
      <c r="B23" s="67">
        <v>2022</v>
      </c>
      <c r="C23" s="66" t="s">
        <v>126</v>
      </c>
      <c r="D23" s="67">
        <v>14</v>
      </c>
      <c r="E23" s="69">
        <v>447.8</v>
      </c>
      <c r="F23" s="69" t="s">
        <v>94</v>
      </c>
      <c r="G23" s="73">
        <v>25340554.199999999</v>
      </c>
      <c r="H23" s="75">
        <v>2022</v>
      </c>
      <c r="I23" s="73">
        <v>7602166.2599999998</v>
      </c>
      <c r="J23" s="75">
        <v>2023</v>
      </c>
      <c r="K23" s="73">
        <v>17738387.939999998</v>
      </c>
    </row>
    <row r="24" spans="1:11" ht="39" x14ac:dyDescent="0.25">
      <c r="A24" s="124"/>
      <c r="B24" s="67">
        <v>2022</v>
      </c>
      <c r="C24" s="66" t="s">
        <v>132</v>
      </c>
      <c r="D24" s="67">
        <v>140</v>
      </c>
      <c r="E24" s="69">
        <v>6823.4</v>
      </c>
      <c r="F24" s="69" t="s">
        <v>91</v>
      </c>
      <c r="G24" s="73">
        <v>386129382.60000002</v>
      </c>
      <c r="H24" s="75">
        <v>2022</v>
      </c>
      <c r="I24" s="73">
        <v>115838814.78</v>
      </c>
      <c r="J24" s="75">
        <v>2023</v>
      </c>
      <c r="K24" s="73">
        <v>270290567.82000005</v>
      </c>
    </row>
    <row r="25" spans="1:11" s="2" customFormat="1" ht="19.5" x14ac:dyDescent="0.25">
      <c r="A25" s="130" t="s">
        <v>127</v>
      </c>
      <c r="B25" s="130"/>
      <c r="C25" s="130"/>
      <c r="D25" s="22">
        <f>SUM(D15:D24)</f>
        <v>500</v>
      </c>
      <c r="E25" s="68">
        <f>SUM(E15:E24)</f>
        <v>22361.5</v>
      </c>
      <c r="F25" s="68"/>
      <c r="G25" s="68">
        <v>1265414923.5</v>
      </c>
      <c r="H25" s="68"/>
      <c r="I25" s="68">
        <v>379624477.04999995</v>
      </c>
      <c r="J25" s="68"/>
      <c r="K25" s="68">
        <v>885790446.45000017</v>
      </c>
    </row>
    <row r="26" spans="1:11" ht="19.5" x14ac:dyDescent="0.25">
      <c r="A26" s="124" t="s">
        <v>77</v>
      </c>
      <c r="B26" s="125">
        <v>2022</v>
      </c>
      <c r="C26" s="124" t="s">
        <v>124</v>
      </c>
      <c r="D26" s="43">
        <v>86</v>
      </c>
      <c r="E26" s="44">
        <v>4192.8</v>
      </c>
      <c r="F26" s="65" t="s">
        <v>90</v>
      </c>
      <c r="G26" s="73">
        <v>237266359.20000005</v>
      </c>
      <c r="H26" s="75">
        <v>2022</v>
      </c>
      <c r="I26" s="73">
        <v>71179907.760000005</v>
      </c>
      <c r="J26" s="75">
        <v>2023</v>
      </c>
      <c r="K26" s="73">
        <v>166086451.44000006</v>
      </c>
    </row>
    <row r="27" spans="1:11" ht="39" x14ac:dyDescent="0.25">
      <c r="A27" s="124"/>
      <c r="B27" s="125"/>
      <c r="C27" s="124"/>
      <c r="D27" s="43">
        <v>84</v>
      </c>
      <c r="E27" s="44">
        <v>4351.58</v>
      </c>
      <c r="F27" s="69" t="s">
        <v>95</v>
      </c>
      <c r="G27" s="73">
        <v>246251560.61999997</v>
      </c>
      <c r="H27" s="75">
        <v>2022</v>
      </c>
      <c r="I27" s="73">
        <v>73875468.18599999</v>
      </c>
      <c r="J27" s="75">
        <v>2023</v>
      </c>
      <c r="K27" s="73">
        <v>172376092.43399999</v>
      </c>
    </row>
    <row r="28" spans="1:11" ht="19.5" x14ac:dyDescent="0.25">
      <c r="A28" s="124"/>
      <c r="B28" s="67">
        <v>2022</v>
      </c>
      <c r="C28" s="66" t="s">
        <v>14</v>
      </c>
      <c r="D28" s="70">
        <v>10</v>
      </c>
      <c r="E28" s="71">
        <v>444.1</v>
      </c>
      <c r="F28" s="69" t="s">
        <v>96</v>
      </c>
      <c r="G28" s="73">
        <v>25131174.899999999</v>
      </c>
      <c r="H28" s="75">
        <v>2022</v>
      </c>
      <c r="I28" s="73">
        <v>7539352.4699999997</v>
      </c>
      <c r="J28" s="75">
        <v>2023</v>
      </c>
      <c r="K28" s="73">
        <v>17591822.43</v>
      </c>
    </row>
    <row r="29" spans="1:11" ht="58.5" x14ac:dyDescent="0.25">
      <c r="A29" s="124"/>
      <c r="B29" s="67">
        <v>2022</v>
      </c>
      <c r="C29" s="66" t="s">
        <v>125</v>
      </c>
      <c r="D29" s="70">
        <v>411</v>
      </c>
      <c r="E29" s="71">
        <v>16112.2</v>
      </c>
      <c r="F29" s="69" t="s">
        <v>97</v>
      </c>
      <c r="G29" s="73">
        <v>911773285.79999995</v>
      </c>
      <c r="H29" s="75">
        <v>2022</v>
      </c>
      <c r="I29" s="73">
        <v>273531985.73999995</v>
      </c>
      <c r="J29" s="75">
        <v>2023</v>
      </c>
      <c r="K29" s="73">
        <v>638241300.05999994</v>
      </c>
    </row>
    <row r="30" spans="1:11" s="2" customFormat="1" ht="19.5" x14ac:dyDescent="0.25">
      <c r="A30" s="127" t="s">
        <v>128</v>
      </c>
      <c r="B30" s="127"/>
      <c r="C30" s="127"/>
      <c r="D30" s="68">
        <f>SUM(D26:D29)</f>
        <v>591</v>
      </c>
      <c r="E30" s="68">
        <f t="shared" ref="E30" si="0">SUM(E26:E29)</f>
        <v>25100.68</v>
      </c>
      <c r="F30" s="68"/>
      <c r="G30" s="68">
        <v>1420422380.52</v>
      </c>
      <c r="H30" s="68"/>
      <c r="I30" s="68">
        <v>426126714.1559999</v>
      </c>
      <c r="J30" s="68"/>
      <c r="K30" s="68">
        <v>994295666.36400008</v>
      </c>
    </row>
    <row r="31" spans="1:11" ht="19.5" x14ac:dyDescent="0.25">
      <c r="A31" s="160" t="s">
        <v>84</v>
      </c>
      <c r="B31" s="160"/>
      <c r="C31" s="160"/>
      <c r="D31" s="78">
        <f>D8+D14+D25+D30</f>
        <v>1489</v>
      </c>
      <c r="E31" s="79">
        <f>E8+E14+E25+E30</f>
        <v>64679.92</v>
      </c>
      <c r="F31" s="78"/>
      <c r="G31" s="79">
        <v>3660171992.8800001</v>
      </c>
      <c r="H31" s="79"/>
      <c r="I31" s="79">
        <v>1098051597.8639998</v>
      </c>
      <c r="J31" s="79"/>
      <c r="K31" s="79">
        <v>2562120395.0160003</v>
      </c>
    </row>
  </sheetData>
  <mergeCells count="41">
    <mergeCell ref="A9:A13"/>
    <mergeCell ref="K15:K16"/>
    <mergeCell ref="B15:B16"/>
    <mergeCell ref="H15:H16"/>
    <mergeCell ref="I15:I16"/>
    <mergeCell ref="E15:E16"/>
    <mergeCell ref="G15:G16"/>
    <mergeCell ref="F2:M2"/>
    <mergeCell ref="H3:I3"/>
    <mergeCell ref="J3:K3"/>
    <mergeCell ref="A5:A7"/>
    <mergeCell ref="A8:C8"/>
    <mergeCell ref="D19:D20"/>
    <mergeCell ref="E19:E20"/>
    <mergeCell ref="J15:J16"/>
    <mergeCell ref="J19:J20"/>
    <mergeCell ref="A14:C14"/>
    <mergeCell ref="A15:A24"/>
    <mergeCell ref="C15:C16"/>
    <mergeCell ref="D15:D16"/>
    <mergeCell ref="K19:K20"/>
    <mergeCell ref="H19:H20"/>
    <mergeCell ref="I19:I20"/>
    <mergeCell ref="G19:G20"/>
    <mergeCell ref="A25:C25"/>
    <mergeCell ref="J21:J22"/>
    <mergeCell ref="K21:K22"/>
    <mergeCell ref="B21:B22"/>
    <mergeCell ref="H21:H22"/>
    <mergeCell ref="I21:I22"/>
    <mergeCell ref="C21:C22"/>
    <mergeCell ref="D21:D22"/>
    <mergeCell ref="E21:E22"/>
    <mergeCell ref="G21:G22"/>
    <mergeCell ref="B19:B20"/>
    <mergeCell ref="C19:C20"/>
    <mergeCell ref="A26:A29"/>
    <mergeCell ref="B26:B27"/>
    <mergeCell ref="C26:C27"/>
    <mergeCell ref="A30:C30"/>
    <mergeCell ref="A31:C31"/>
  </mergeCells>
  <pageMargins left="0.51181102362204722" right="0.31496062992125984" top="0.35433070866141736" bottom="0.35433070866141736" header="0.31496062992125984" footer="0.31496062992125984"/>
  <pageSetup paperSize="8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стройка</vt:lpstr>
      <vt:lpstr>стройка (2)</vt:lpstr>
      <vt:lpstr>авансы</vt:lpstr>
      <vt:lpstr>авансы (2)</vt:lpstr>
      <vt:lpstr>авансы!Заголовки_для_печати</vt:lpstr>
      <vt:lpstr>'авансы (2)'!Заголовки_для_печати</vt:lpstr>
      <vt:lpstr>стройка!Заголовки_для_печати</vt:lpstr>
      <vt:lpstr>'стройка (2)'!Заголовки_для_печати</vt:lpstr>
      <vt:lpstr>авансы!Область_печати</vt:lpstr>
      <vt:lpstr>'авансы (2)'!Область_печати</vt:lpstr>
      <vt:lpstr>стройка!Область_печати</vt:lpstr>
      <vt:lpstr>'стройка (2)'!Область_печати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Арсеньтьева Людмила Евгеньевна</cp:lastModifiedBy>
  <cp:lastPrinted>2021-12-02T15:16:13Z</cp:lastPrinted>
  <dcterms:created xsi:type="dcterms:W3CDTF">2021-03-09T12:48:34Z</dcterms:created>
  <dcterms:modified xsi:type="dcterms:W3CDTF">2021-12-03T18:04:45Z</dcterms:modified>
</cp:coreProperties>
</file>