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200" windowHeight="109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R21" i="1"/>
  <c r="L21" i="1"/>
  <c r="K21" i="1"/>
  <c r="I21" i="1"/>
  <c r="F21" i="1"/>
  <c r="G21" i="1"/>
  <c r="H21" i="1"/>
  <c r="E21" i="1"/>
  <c r="D21" i="1"/>
  <c r="O17" i="1" l="1"/>
  <c r="O16" i="1"/>
  <c r="O10" i="1"/>
  <c r="O7" i="1"/>
  <c r="O14" i="1"/>
  <c r="T16" i="1" l="1"/>
  <c r="T15" i="1"/>
  <c r="T11" i="1"/>
  <c r="I16" i="1"/>
  <c r="I14" i="1"/>
  <c r="I12" i="1"/>
  <c r="I10" i="1"/>
  <c r="I15" i="1"/>
  <c r="I13" i="1"/>
  <c r="I11" i="1"/>
  <c r="I9" i="1"/>
  <c r="I7" i="1"/>
  <c r="G7" i="1"/>
  <c r="G20" i="1"/>
  <c r="G16" i="1"/>
  <c r="G17" i="1"/>
  <c r="F15" i="1"/>
  <c r="E15" i="1"/>
  <c r="D15" i="1"/>
  <c r="F19" i="1"/>
  <c r="E19" i="1"/>
  <c r="D19" i="1"/>
  <c r="F13" i="1"/>
  <c r="E13" i="1"/>
  <c r="D13" i="1"/>
  <c r="F12" i="1"/>
  <c r="E12" i="1"/>
  <c r="D12" i="1"/>
  <c r="F11" i="1"/>
  <c r="E11" i="1"/>
  <c r="D11" i="1"/>
  <c r="G11" i="1"/>
  <c r="G12" i="1"/>
  <c r="G13" i="1"/>
  <c r="F10" i="1"/>
  <c r="D10" i="1"/>
  <c r="E10" i="1"/>
  <c r="F7" i="1"/>
  <c r="E7" i="1"/>
  <c r="D7" i="1"/>
  <c r="F9" i="1"/>
  <c r="E9" i="1"/>
  <c r="D9" i="1"/>
  <c r="D14" i="1"/>
  <c r="E14" i="1"/>
  <c r="F14" i="1"/>
  <c r="G19" i="1"/>
  <c r="G14" i="1"/>
  <c r="G15" i="1"/>
  <c r="G9" i="1"/>
  <c r="G10" i="1"/>
</calcChain>
</file>

<file path=xl/comments1.xml><?xml version="1.0" encoding="utf-8"?>
<comments xmlns="http://schemas.openxmlformats.org/spreadsheetml/2006/main">
  <authors>
    <author>Громилин Владимир Алексеевич</author>
  </authors>
  <commentList>
    <comment ref="F15" authorId="0">
      <text>
        <r>
          <rPr>
            <b/>
            <sz val="8"/>
            <color indexed="81"/>
            <rFont val="Tahoma"/>
            <family val="2"/>
            <charset val="204"/>
          </rPr>
          <t>Громилин Владимир Алексеевич:</t>
        </r>
        <r>
          <rPr>
            <sz val="8"/>
            <color indexed="81"/>
            <rFont val="Tahoma"/>
            <family val="2"/>
            <charset val="204"/>
          </rPr>
          <t xml:space="preserve">
Возможно не достоверно</t>
        </r>
      </text>
    </comment>
    <comment ref="H15" authorId="0">
      <text>
        <r>
          <rPr>
            <b/>
            <sz val="8"/>
            <color indexed="81"/>
            <rFont val="Tahoma"/>
            <family val="2"/>
            <charset val="204"/>
          </rPr>
          <t>Громилин Владимир Алексеевич:</t>
        </r>
        <r>
          <rPr>
            <sz val="8"/>
            <color indexed="81"/>
            <rFont val="Tahoma"/>
            <family val="2"/>
            <charset val="204"/>
          </rPr>
          <t xml:space="preserve">
Возможно не достоверно</t>
        </r>
      </text>
    </comment>
  </commentList>
</comments>
</file>

<file path=xl/sharedStrings.xml><?xml version="1.0" encoding="utf-8"?>
<sst xmlns="http://schemas.openxmlformats.org/spreadsheetml/2006/main" count="90" uniqueCount="68">
  <si>
    <t>Собственник (если есть)</t>
  </si>
  <si>
    <t>Потери (год)</t>
  </si>
  <si>
    <t>% потерь факт</t>
  </si>
  <si>
    <t>% потерь норматив</t>
  </si>
  <si>
    <t>№ п/п</t>
  </si>
  <si>
    <t>количество абонентов</t>
  </si>
  <si>
    <t>юр. лица</t>
  </si>
  <si>
    <t>физ. лица</t>
  </si>
  <si>
    <t>Оценка технического состояния (удовлетворительно/неудовлетворительно)</t>
  </si>
  <si>
    <t>Текущее состояние по использованию ЭСИ</t>
  </si>
  <si>
    <t>Вышестоящая ТСО</t>
  </si>
  <si>
    <t>начислено</t>
  </si>
  <si>
    <t>оплачено</t>
  </si>
  <si>
    <t>Стоимость потерь в сетях с 01.01.2017</t>
  </si>
  <si>
    <t>ТСО - последний арендатор</t>
  </si>
  <si>
    <t xml:space="preserve">пгт. Красномайский Вышневолоцкий район Тверская область </t>
  </si>
  <si>
    <t xml:space="preserve">пос. Козлово Конаковский район Тверская область </t>
  </si>
  <si>
    <t xml:space="preserve">пгт. Красное знамя Спировский район </t>
  </si>
  <si>
    <t xml:space="preserve">пос. Восток Калининский район </t>
  </si>
  <si>
    <t xml:space="preserve">ПАО "МРСК Центра" </t>
  </si>
  <si>
    <t>не удовлетворительное</t>
  </si>
  <si>
    <t>ООО "Тверьоблэлектро"</t>
  </si>
  <si>
    <t>Предложения собственника по величине арендной платы (год)</t>
  </si>
  <si>
    <t>Уровень износа (%)</t>
  </si>
  <si>
    <t>удовлетворительное</t>
  </si>
  <si>
    <t xml:space="preserve">Администрация городского поселения - поселок Козлово </t>
  </si>
  <si>
    <t>ООО "Стройпласт" (ЗТП)</t>
  </si>
  <si>
    <t>ПАО "МРСК Центра" через ПС 35/110 (принадлежит банкроту)</t>
  </si>
  <si>
    <t>до 2016 (включительно) ООО "ОЭК", в течение 1 квартала 2017 ООО "РСО"</t>
  </si>
  <si>
    <t>МО ГП - поселок Калашниково</t>
  </si>
  <si>
    <t>пос. Калашниково  Лихославльский район</t>
  </si>
  <si>
    <t>МУ "Администрация Вескинского сельского поселения"</t>
  </si>
  <si>
    <t>МУ "Администрация Кавского сельского поселения"</t>
  </si>
  <si>
    <t xml:space="preserve">пос. Осиновая Гряда Вескинское с/пос Лихославльский район </t>
  </si>
  <si>
    <t xml:space="preserve">пос. Кава п. Приозерный Лихославльский район </t>
  </si>
  <si>
    <t xml:space="preserve"> МУ Администрация Краснознаменского с/пос Спировского района Тверской области</t>
  </si>
  <si>
    <t>пос. Васильевский Мох Калининский район (+Оршинский Мох)</t>
  </si>
  <si>
    <t xml:space="preserve">ООО "Стройпласт" </t>
  </si>
  <si>
    <t xml:space="preserve">ООО "ТрастСтройИнвест" (на период 2014 - 2015) далее не могу дать информации </t>
  </si>
  <si>
    <t xml:space="preserve">деревня Мокшино, деревня Елызино Калининский  район </t>
  </si>
  <si>
    <t xml:space="preserve">п. Зеленый Бор Конаковский район </t>
  </si>
  <si>
    <t>ПАО "МРСК Центра"</t>
  </si>
  <si>
    <t>до 2016 (включительно) ПАО "МРСК Центра"</t>
  </si>
  <si>
    <t>ЗАО "Конаковагропромэнерго" (информация на январь 2017) (ИНН 6911004716)</t>
  </si>
  <si>
    <t xml:space="preserve">пос Лочкино Лихославльский район </t>
  </si>
  <si>
    <t>До 2 кв 2016 ООО "Тверьоблэлектро"</t>
  </si>
  <si>
    <t>До 2 кв 2015 ООО "Тверьоблэлектро" (вернули ООО "КЭК")</t>
  </si>
  <si>
    <t>вообще не уверенна, что ТСО была. ОЭК взял в аренду, а потом в короткие сроки вернул</t>
  </si>
  <si>
    <t>Администрация Вышневолоцкого района (ЛЭП, КТП)</t>
  </si>
  <si>
    <t>пос. Новая Орша Калининский район</t>
  </si>
  <si>
    <t>не понятно, о каких сетех идет речь</t>
  </si>
  <si>
    <t>пос. 1-е Мая (Кон. Район)</t>
  </si>
  <si>
    <t>нет</t>
  </si>
  <si>
    <t>УЕ (расчет)</t>
  </si>
  <si>
    <t xml:space="preserve">МРСК </t>
  </si>
  <si>
    <t>Кому ГП выставляет потери</t>
  </si>
  <si>
    <t>Разногласия по ДКПП с ПАО "МРСК Центра"</t>
  </si>
  <si>
    <t>Администрация городского поселения - поселок Козлово</t>
  </si>
  <si>
    <t>ОАО "Конаковоэнерго"</t>
  </si>
  <si>
    <t>МО ГП - поселок Калашниково/Разногласия по ДКПП с ПАО "МРСК Центра"</t>
  </si>
  <si>
    <t>Полезный отпуск (год)
ожидаемый 2017</t>
  </si>
  <si>
    <t>ИТОГО</t>
  </si>
  <si>
    <t xml:space="preserve">ЭСИ пгт Калашников технологически присоединены к ПС Калашникова - (Тяговая). </t>
  </si>
  <si>
    <t xml:space="preserve">с 2015 г. ТСО  нет </t>
  </si>
  <si>
    <t>нет данных для расчета</t>
  </si>
  <si>
    <t>Местонахождение                            (везде сети 0,4 - 10 кВ)</t>
  </si>
  <si>
    <t>Администрации поселка</t>
  </si>
  <si>
    <t>Сетевое имущество, не переданное на праве владения или хозяйственного ведения ни одной сетевой организации региона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</si>
</sst>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9"/>
      <name val="Tahoma"/>
      <family val="2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9" fontId="6" fillId="0" borderId="0" applyBorder="0">
      <alignment vertical="top"/>
    </xf>
  </cellStyleXfs>
  <cellXfs count="7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10" fontId="2" fillId="0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center" vertical="center" wrapText="1"/>
    </xf>
    <xf numFmtId="10" fontId="2" fillId="0" borderId="4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4" fontId="2" fillId="0" borderId="15" xfId="0" applyNumberFormat="1" applyFont="1" applyFill="1" applyBorder="1" applyAlignment="1">
      <alignment horizontal="center" vertical="center" wrapText="1"/>
    </xf>
    <xf numFmtId="164" fontId="2" fillId="0" borderId="15" xfId="1" applyNumberFormat="1" applyFont="1" applyFill="1" applyBorder="1" applyAlignment="1">
      <alignment horizontal="center" vertical="center" wrapText="1"/>
    </xf>
    <xf numFmtId="10" fontId="2" fillId="0" borderId="15" xfId="0" applyNumberFormat="1" applyFont="1" applyFill="1" applyBorder="1" applyAlignment="1">
      <alignment horizontal="center" vertical="center" wrapText="1"/>
    </xf>
    <xf numFmtId="3" fontId="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4" fontId="9" fillId="0" borderId="22" xfId="0" applyNumberFormat="1" applyFont="1" applyBorder="1" applyAlignment="1">
      <alignment horizontal="center" vertical="center" wrapText="1"/>
    </xf>
    <xf numFmtId="10" fontId="9" fillId="0" borderId="22" xfId="0" applyNumberFormat="1" applyFont="1" applyBorder="1" applyAlignment="1">
      <alignment horizontal="center" vertical="center" wrapText="1"/>
    </xf>
    <xf numFmtId="3" fontId="9" fillId="0" borderId="2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center" vertical="center" wrapText="1"/>
    </xf>
    <xf numFmtId="10" fontId="2" fillId="0" borderId="4" xfId="0" applyNumberFormat="1" applyFont="1" applyFill="1" applyBorder="1" applyAlignment="1">
      <alignment horizontal="center" vertical="center" wrapText="1"/>
    </xf>
    <xf numFmtId="10" fontId="2" fillId="0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164" fontId="2" fillId="0" borderId="16" xfId="1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10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V21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I7" sqref="I7:I8"/>
    </sheetView>
  </sheetViews>
  <sheetFormatPr defaultRowHeight="15.75" x14ac:dyDescent="0.25"/>
  <cols>
    <col min="1" max="1" width="9.140625" style="1"/>
    <col min="2" max="2" width="38.140625" style="1" customWidth="1"/>
    <col min="3" max="3" width="37.42578125" style="1" customWidth="1"/>
    <col min="4" max="4" width="14.28515625" style="1" customWidth="1"/>
    <col min="5" max="5" width="14.42578125" style="1" customWidth="1"/>
    <col min="6" max="6" width="18.42578125" style="1" hidden="1" customWidth="1"/>
    <col min="7" max="7" width="16.42578125" style="1" hidden="1" customWidth="1"/>
    <col min="8" max="8" width="18.42578125" style="1" customWidth="1"/>
    <col min="9" max="9" width="16.42578125" style="1" customWidth="1"/>
    <col min="10" max="10" width="21" style="1" customWidth="1"/>
    <col min="11" max="11" width="11.42578125" style="1" customWidth="1"/>
    <col min="12" max="12" width="15.7109375" style="1" customWidth="1"/>
    <col min="13" max="13" width="31.5703125" style="1" customWidth="1"/>
    <col min="14" max="14" width="20.85546875" style="1" hidden="1" customWidth="1"/>
    <col min="15" max="15" width="21.7109375" style="1" customWidth="1"/>
    <col min="16" max="16" width="20.85546875" style="1" hidden="1" customWidth="1"/>
    <col min="17" max="19" width="20.85546875" style="1" customWidth="1"/>
    <col min="20" max="20" width="31.42578125" style="1" customWidth="1"/>
    <col min="21" max="21" width="20.85546875" style="1" hidden="1" customWidth="1"/>
    <col min="22" max="22" width="20.85546875" style="1" customWidth="1"/>
    <col min="23" max="23" width="9.140625" style="1"/>
    <col min="24" max="24" width="13.28515625" style="1" customWidth="1"/>
    <col min="25" max="25" width="13.7109375" style="1" bestFit="1" customWidth="1"/>
    <col min="26" max="26" width="12.140625" style="1" customWidth="1"/>
    <col min="27" max="27" width="13.7109375" style="1" bestFit="1" customWidth="1"/>
    <col min="28" max="28" width="35" style="1" customWidth="1"/>
    <col min="29" max="29" width="16" style="1" customWidth="1"/>
    <col min="30" max="30" width="14.7109375" style="1" customWidth="1"/>
    <col min="31" max="31" width="13.7109375" style="1" bestFit="1" customWidth="1"/>
    <col min="32" max="16384" width="9.140625" style="1"/>
  </cols>
  <sheetData>
    <row r="2" spans="1:22" ht="15.75" customHeight="1" x14ac:dyDescent="0.3">
      <c r="A2" s="59" t="s">
        <v>67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pans="1:22" ht="16.5" thickBot="1" x14ac:dyDescent="0.3">
      <c r="F3" s="41" t="s">
        <v>54</v>
      </c>
      <c r="G3" s="41"/>
      <c r="H3" s="41"/>
      <c r="I3" s="41"/>
    </row>
    <row r="4" spans="1:22" ht="45" customHeight="1" x14ac:dyDescent="0.25">
      <c r="A4" s="72" t="s">
        <v>4</v>
      </c>
      <c r="B4" s="42" t="s">
        <v>65</v>
      </c>
      <c r="C4" s="42" t="s">
        <v>0</v>
      </c>
      <c r="D4" s="42" t="s">
        <v>60</v>
      </c>
      <c r="E4" s="42"/>
      <c r="F4" s="42" t="s">
        <v>1</v>
      </c>
      <c r="G4" s="42" t="s">
        <v>2</v>
      </c>
      <c r="H4" s="42" t="s">
        <v>1</v>
      </c>
      <c r="I4" s="42" t="s">
        <v>2</v>
      </c>
      <c r="J4" s="42" t="s">
        <v>3</v>
      </c>
      <c r="K4" s="42" t="s">
        <v>5</v>
      </c>
      <c r="L4" s="42"/>
      <c r="M4" s="57" t="s">
        <v>10</v>
      </c>
      <c r="N4" s="57" t="s">
        <v>23</v>
      </c>
      <c r="O4" s="57" t="s">
        <v>8</v>
      </c>
      <c r="P4" s="57" t="s">
        <v>9</v>
      </c>
      <c r="Q4" s="57" t="s">
        <v>14</v>
      </c>
      <c r="R4" s="42" t="s">
        <v>13</v>
      </c>
      <c r="S4" s="42"/>
      <c r="T4" s="57" t="s">
        <v>55</v>
      </c>
      <c r="U4" s="57" t="s">
        <v>22</v>
      </c>
      <c r="V4" s="62" t="s">
        <v>53</v>
      </c>
    </row>
    <row r="5" spans="1:22" x14ac:dyDescent="0.25">
      <c r="A5" s="73"/>
      <c r="B5" s="43"/>
      <c r="C5" s="43"/>
      <c r="D5" s="11" t="s">
        <v>6</v>
      </c>
      <c r="E5" s="11" t="s">
        <v>7</v>
      </c>
      <c r="F5" s="43"/>
      <c r="G5" s="43"/>
      <c r="H5" s="43"/>
      <c r="I5" s="43"/>
      <c r="J5" s="43"/>
      <c r="K5" s="11" t="s">
        <v>6</v>
      </c>
      <c r="L5" s="11" t="s">
        <v>7</v>
      </c>
      <c r="M5" s="58"/>
      <c r="N5" s="58"/>
      <c r="O5" s="58"/>
      <c r="P5" s="58"/>
      <c r="Q5" s="58"/>
      <c r="R5" s="11" t="s">
        <v>11</v>
      </c>
      <c r="S5" s="11" t="s">
        <v>12</v>
      </c>
      <c r="T5" s="58"/>
      <c r="U5" s="58"/>
      <c r="V5" s="63"/>
    </row>
    <row r="6" spans="1:22" ht="16.5" thickBot="1" x14ac:dyDescent="0.3">
      <c r="A6" s="31">
        <v>1</v>
      </c>
      <c r="B6" s="32">
        <v>2</v>
      </c>
      <c r="C6" s="32">
        <v>4</v>
      </c>
      <c r="D6" s="32">
        <v>5</v>
      </c>
      <c r="E6" s="32">
        <v>6</v>
      </c>
      <c r="F6" s="32">
        <v>7</v>
      </c>
      <c r="G6" s="32">
        <v>8</v>
      </c>
      <c r="H6" s="32">
        <v>7</v>
      </c>
      <c r="I6" s="32">
        <v>8</v>
      </c>
      <c r="J6" s="32">
        <v>9</v>
      </c>
      <c r="K6" s="32">
        <v>10</v>
      </c>
      <c r="L6" s="32">
        <v>11</v>
      </c>
      <c r="M6" s="32">
        <v>12</v>
      </c>
      <c r="N6" s="32">
        <v>13</v>
      </c>
      <c r="O6" s="32">
        <v>13</v>
      </c>
      <c r="P6" s="32">
        <v>15</v>
      </c>
      <c r="Q6" s="32">
        <v>14</v>
      </c>
      <c r="R6" s="32">
        <v>15</v>
      </c>
      <c r="S6" s="32">
        <v>16</v>
      </c>
      <c r="T6" s="32">
        <v>17</v>
      </c>
      <c r="U6" s="32">
        <v>20</v>
      </c>
      <c r="V6" s="33">
        <v>18</v>
      </c>
    </row>
    <row r="7" spans="1:22" x14ac:dyDescent="0.25">
      <c r="A7" s="48">
        <v>1</v>
      </c>
      <c r="B7" s="50" t="s">
        <v>15</v>
      </c>
      <c r="C7" s="4" t="s">
        <v>26</v>
      </c>
      <c r="D7" s="44">
        <f>1428.232*1.55</f>
        <v>2213.7595999999999</v>
      </c>
      <c r="E7" s="44">
        <f>2497.963*1.54</f>
        <v>3846.8630200000002</v>
      </c>
      <c r="F7" s="44">
        <f>3903.355+2400</f>
        <v>6303.3549999999996</v>
      </c>
      <c r="G7" s="46">
        <f>+F7/(F7+E7+D7)</f>
        <v>0.50981611207413358</v>
      </c>
      <c r="H7" s="44">
        <v>4363.5600000000004</v>
      </c>
      <c r="I7" s="46">
        <f>H7/(E7+D7+H7)</f>
        <v>0.4185997271026321</v>
      </c>
      <c r="J7" s="53">
        <v>0.183</v>
      </c>
      <c r="K7" s="55">
        <v>202</v>
      </c>
      <c r="L7" s="55">
        <v>2779</v>
      </c>
      <c r="M7" s="50" t="s">
        <v>27</v>
      </c>
      <c r="N7" s="50"/>
      <c r="O7" s="50" t="str">
        <f>O14</f>
        <v>не удовлетворительное</v>
      </c>
      <c r="P7" s="50"/>
      <c r="Q7" s="50" t="s">
        <v>28</v>
      </c>
      <c r="R7" s="52">
        <v>11351.67</v>
      </c>
      <c r="S7" s="50">
        <v>0</v>
      </c>
      <c r="T7" s="50" t="s">
        <v>56</v>
      </c>
      <c r="U7" s="50"/>
      <c r="V7" s="64">
        <v>89.15</v>
      </c>
    </row>
    <row r="8" spans="1:22" ht="60.75" customHeight="1" x14ac:dyDescent="0.25">
      <c r="A8" s="49"/>
      <c r="B8" s="51"/>
      <c r="C8" s="2" t="s">
        <v>48</v>
      </c>
      <c r="D8" s="45"/>
      <c r="E8" s="45"/>
      <c r="F8" s="45"/>
      <c r="G8" s="47"/>
      <c r="H8" s="45"/>
      <c r="I8" s="47"/>
      <c r="J8" s="54"/>
      <c r="K8" s="56"/>
      <c r="L8" s="56"/>
      <c r="M8" s="51"/>
      <c r="N8" s="51"/>
      <c r="O8" s="51"/>
      <c r="P8" s="51"/>
      <c r="Q8" s="51"/>
      <c r="R8" s="44"/>
      <c r="S8" s="51"/>
      <c r="T8" s="51"/>
      <c r="U8" s="51"/>
      <c r="V8" s="65"/>
    </row>
    <row r="9" spans="1:22" ht="31.5" x14ac:dyDescent="0.25">
      <c r="A9" s="21">
        <v>2</v>
      </c>
      <c r="B9" s="2" t="s">
        <v>16</v>
      </c>
      <c r="C9" s="22" t="s">
        <v>25</v>
      </c>
      <c r="D9" s="6">
        <f>1593.682141*1.54</f>
        <v>2454.2704971399999</v>
      </c>
      <c r="E9" s="6">
        <f>1021.212*1.53</f>
        <v>1562.45436</v>
      </c>
      <c r="F9" s="6">
        <f>1731.205859+1000</f>
        <v>2731.2058589999997</v>
      </c>
      <c r="G9" s="7">
        <f>+F9/(F9+E9+D9)</f>
        <v>0.40474716974603497</v>
      </c>
      <c r="H9" s="6">
        <v>1955.78</v>
      </c>
      <c r="I9" s="7">
        <f t="shared" ref="I9:I10" si="0">H9/(E9+D9+H9)</f>
        <v>0.32746394465663892</v>
      </c>
      <c r="J9" s="8">
        <v>0.1754</v>
      </c>
      <c r="K9" s="9">
        <v>84</v>
      </c>
      <c r="L9" s="9">
        <v>1781</v>
      </c>
      <c r="M9" s="2" t="s">
        <v>19</v>
      </c>
      <c r="N9" s="2">
        <v>67.5</v>
      </c>
      <c r="O9" s="2" t="s">
        <v>24</v>
      </c>
      <c r="P9" s="2"/>
      <c r="Q9" s="2" t="s">
        <v>63</v>
      </c>
      <c r="R9" s="6">
        <v>5163.72</v>
      </c>
      <c r="S9" s="2">
        <v>0</v>
      </c>
      <c r="T9" s="2" t="s">
        <v>57</v>
      </c>
      <c r="U9" s="2"/>
      <c r="V9" s="23">
        <v>37.956400000000002</v>
      </c>
    </row>
    <row r="10" spans="1:22" ht="63" x14ac:dyDescent="0.25">
      <c r="A10" s="21">
        <v>3</v>
      </c>
      <c r="B10" s="2" t="s">
        <v>40</v>
      </c>
      <c r="C10" s="2" t="s">
        <v>43</v>
      </c>
      <c r="D10" s="6">
        <f>194.836*1.54</f>
        <v>300.04744000000005</v>
      </c>
      <c r="E10" s="6">
        <f>910.82082*1.52</f>
        <v>1384.4476464000002</v>
      </c>
      <c r="F10" s="6">
        <f>879.41918+450</f>
        <v>1329.4191799999999</v>
      </c>
      <c r="G10" s="7">
        <f>+F10/(F10+E10+D10)</f>
        <v>0.4410938940170776</v>
      </c>
      <c r="H10" s="6">
        <v>1033.5119999999999</v>
      </c>
      <c r="I10" s="7">
        <f t="shared" si="0"/>
        <v>0.38024624923582756</v>
      </c>
      <c r="J10" s="8">
        <v>0.15</v>
      </c>
      <c r="K10" s="9">
        <v>18</v>
      </c>
      <c r="L10" s="9">
        <v>376</v>
      </c>
      <c r="M10" s="2" t="s">
        <v>41</v>
      </c>
      <c r="N10" s="2"/>
      <c r="O10" s="2" t="str">
        <f>O7</f>
        <v>не удовлетворительное</v>
      </c>
      <c r="P10" s="2"/>
      <c r="Q10" s="2" t="s">
        <v>42</v>
      </c>
      <c r="R10" s="6">
        <v>2724.31</v>
      </c>
      <c r="S10" s="2">
        <v>0</v>
      </c>
      <c r="T10" s="2" t="s">
        <v>58</v>
      </c>
      <c r="U10" s="2"/>
      <c r="V10" s="23">
        <v>257.06299999999999</v>
      </c>
    </row>
    <row r="11" spans="1:22" ht="31.5" x14ac:dyDescent="0.25">
      <c r="A11" s="21">
        <v>4</v>
      </c>
      <c r="B11" s="2" t="s">
        <v>44</v>
      </c>
      <c r="C11" s="22" t="s">
        <v>66</v>
      </c>
      <c r="D11" s="10">
        <f>(141039)/1000*1.53</f>
        <v>215.78966999999997</v>
      </c>
      <c r="E11" s="10">
        <f>7.352*1.51</f>
        <v>11.101520000000001</v>
      </c>
      <c r="F11" s="10">
        <f>25.327*1.8</f>
        <v>45.588600000000007</v>
      </c>
      <c r="G11" s="7">
        <f t="shared" ref="G11:G13" si="1">+F11/(F11+E11+D11)</f>
        <v>0.16731002324979777</v>
      </c>
      <c r="H11" s="10">
        <v>35.734000000000002</v>
      </c>
      <c r="I11" s="7">
        <f t="shared" ref="I11:I12" si="2">H11/(E11+D11+H11)</f>
        <v>0.13606463264243618</v>
      </c>
      <c r="J11" s="8">
        <v>0.12759999999999999</v>
      </c>
      <c r="K11" s="2">
        <v>7</v>
      </c>
      <c r="L11" s="2">
        <v>8</v>
      </c>
      <c r="M11" s="2"/>
      <c r="N11" s="2"/>
      <c r="O11" s="2"/>
      <c r="P11" s="2"/>
      <c r="Q11" s="2"/>
      <c r="R11" s="6">
        <v>95.74</v>
      </c>
      <c r="S11" s="2">
        <v>0</v>
      </c>
      <c r="T11" s="2" t="str">
        <f>T7</f>
        <v>Разногласия по ДКПП с ПАО "МРСК Центра"</v>
      </c>
      <c r="U11" s="2"/>
      <c r="V11" s="23" t="s">
        <v>64</v>
      </c>
    </row>
    <row r="12" spans="1:22" ht="47.25" x14ac:dyDescent="0.25">
      <c r="A12" s="21">
        <v>5</v>
      </c>
      <c r="B12" s="2" t="s">
        <v>33</v>
      </c>
      <c r="C12" s="2" t="s">
        <v>31</v>
      </c>
      <c r="D12" s="10">
        <f>107.174*1.54</f>
        <v>165.04796000000002</v>
      </c>
      <c r="E12" s="10">
        <f>237.413*1.522</f>
        <v>361.34258600000004</v>
      </c>
      <c r="F12" s="10">
        <f>225.353+120</f>
        <v>345.35300000000001</v>
      </c>
      <c r="G12" s="7">
        <f t="shared" si="1"/>
        <v>0.39616352949746986</v>
      </c>
      <c r="H12" s="10">
        <v>257.79000000000002</v>
      </c>
      <c r="I12" s="7">
        <f t="shared" si="2"/>
        <v>0.32873807099009572</v>
      </c>
      <c r="J12" s="8">
        <v>0.15</v>
      </c>
      <c r="K12" s="2">
        <v>11</v>
      </c>
      <c r="L12" s="2">
        <v>102</v>
      </c>
      <c r="M12" s="2" t="s">
        <v>41</v>
      </c>
      <c r="N12" s="2"/>
      <c r="O12" s="2"/>
      <c r="P12" s="2"/>
      <c r="Q12" s="2" t="s">
        <v>45</v>
      </c>
      <c r="R12" s="6">
        <v>676.8</v>
      </c>
      <c r="S12" s="2">
        <v>0</v>
      </c>
      <c r="T12" s="2" t="s">
        <v>31</v>
      </c>
      <c r="U12" s="2"/>
      <c r="V12" s="23" t="s">
        <v>64</v>
      </c>
    </row>
    <row r="13" spans="1:22" ht="47.25" x14ac:dyDescent="0.25">
      <c r="A13" s="21">
        <v>6</v>
      </c>
      <c r="B13" s="2" t="s">
        <v>34</v>
      </c>
      <c r="C13" s="2" t="s">
        <v>32</v>
      </c>
      <c r="D13" s="10">
        <f>153.893*1.81</f>
        <v>278.54633000000001</v>
      </c>
      <c r="E13" s="10">
        <f>109.234*1.52</f>
        <v>166.03567999999999</v>
      </c>
      <c r="F13" s="10">
        <f>363.154+140</f>
        <v>503.154</v>
      </c>
      <c r="G13" s="7">
        <f t="shared" si="1"/>
        <v>0.53090100480618019</v>
      </c>
      <c r="H13" s="10">
        <v>417.33</v>
      </c>
      <c r="I13" s="7">
        <f t="shared" ref="I13:I14" si="3">H13/(E13+D13+H13)</f>
        <v>0.48419095587263017</v>
      </c>
      <c r="J13" s="8">
        <v>0.12759999999999999</v>
      </c>
      <c r="K13" s="2">
        <v>9</v>
      </c>
      <c r="L13" s="2">
        <v>74</v>
      </c>
      <c r="M13" s="2" t="s">
        <v>41</v>
      </c>
      <c r="N13" s="2"/>
      <c r="O13" s="2"/>
      <c r="P13" s="2"/>
      <c r="Q13" s="2" t="s">
        <v>45</v>
      </c>
      <c r="R13" s="6">
        <v>1095.01</v>
      </c>
      <c r="S13" s="2">
        <v>0</v>
      </c>
      <c r="T13" s="2" t="s">
        <v>32</v>
      </c>
      <c r="U13" s="2"/>
      <c r="V13" s="23" t="s">
        <v>64</v>
      </c>
    </row>
    <row r="14" spans="1:22" ht="66.75" customHeight="1" x14ac:dyDescent="0.25">
      <c r="A14" s="21">
        <v>7</v>
      </c>
      <c r="B14" s="2" t="s">
        <v>30</v>
      </c>
      <c r="C14" s="2" t="s">
        <v>29</v>
      </c>
      <c r="D14" s="6">
        <f>1914.624*1.88</f>
        <v>3599.4931199999996</v>
      </c>
      <c r="E14" s="6">
        <f>1385.307*1.84</f>
        <v>2548.96488</v>
      </c>
      <c r="F14" s="6">
        <f>3887.075+2358.05</f>
        <v>6245.125</v>
      </c>
      <c r="G14" s="7">
        <f>+F14/(F14+E14+D14)</f>
        <v>0.50389988109169082</v>
      </c>
      <c r="H14" s="6">
        <v>4573.2299999999996</v>
      </c>
      <c r="I14" s="7">
        <f t="shared" si="3"/>
        <v>0.42654011196744396</v>
      </c>
      <c r="J14" s="8">
        <v>0.1588</v>
      </c>
      <c r="K14" s="9">
        <v>91</v>
      </c>
      <c r="L14" s="9">
        <v>2539</v>
      </c>
      <c r="M14" s="2" t="s">
        <v>62</v>
      </c>
      <c r="N14" s="2"/>
      <c r="O14" s="2" t="str">
        <f>O15</f>
        <v>не удовлетворительное</v>
      </c>
      <c r="P14" s="2"/>
      <c r="Q14" s="2" t="s">
        <v>46</v>
      </c>
      <c r="R14" s="6">
        <v>11716.88</v>
      </c>
      <c r="S14" s="2">
        <v>0</v>
      </c>
      <c r="T14" s="2" t="s">
        <v>59</v>
      </c>
      <c r="U14" s="2"/>
      <c r="V14" s="23" t="s">
        <v>64</v>
      </c>
    </row>
    <row r="15" spans="1:22" ht="69.75" customHeight="1" x14ac:dyDescent="0.25">
      <c r="A15" s="21">
        <v>8</v>
      </c>
      <c r="B15" s="2" t="s">
        <v>17</v>
      </c>
      <c r="C15" s="2" t="s">
        <v>35</v>
      </c>
      <c r="D15" s="6">
        <f>(93.011+114.143)*1.5</f>
        <v>310.73099999999999</v>
      </c>
      <c r="E15" s="6">
        <f>365.568*1.52</f>
        <v>555.66336000000001</v>
      </c>
      <c r="F15" s="6">
        <f>70.717*2</f>
        <v>141.434</v>
      </c>
      <c r="G15" s="7">
        <f>+F15/(F15+E15+D15)</f>
        <v>0.14033540393723393</v>
      </c>
      <c r="H15" s="6">
        <v>68.13</v>
      </c>
      <c r="I15" s="7">
        <f t="shared" ref="I15" si="4">H15/(E15+D15+H15)</f>
        <v>7.2903396547094823E-2</v>
      </c>
      <c r="J15" s="8">
        <v>0.15</v>
      </c>
      <c r="K15" s="9">
        <v>15</v>
      </c>
      <c r="L15" s="9">
        <v>373</v>
      </c>
      <c r="M15" s="2" t="s">
        <v>19</v>
      </c>
      <c r="N15" s="2">
        <v>95</v>
      </c>
      <c r="O15" s="2" t="s">
        <v>20</v>
      </c>
      <c r="P15" s="2"/>
      <c r="Q15" s="2" t="s">
        <v>21</v>
      </c>
      <c r="R15" s="6">
        <v>172.09</v>
      </c>
      <c r="S15" s="2">
        <v>0</v>
      </c>
      <c r="T15" s="2" t="str">
        <f>T11</f>
        <v>Разногласия по ДКПП с ПАО "МРСК Центра"</v>
      </c>
      <c r="U15" s="2">
        <v>374702</v>
      </c>
      <c r="V15" s="23">
        <v>36.277000000000001</v>
      </c>
    </row>
    <row r="16" spans="1:22" ht="45" customHeight="1" x14ac:dyDescent="0.25">
      <c r="A16" s="21">
        <v>9</v>
      </c>
      <c r="B16" s="2" t="s">
        <v>18</v>
      </c>
      <c r="C16" s="2" t="s">
        <v>37</v>
      </c>
      <c r="D16" s="6">
        <v>58.049051963778503</v>
      </c>
      <c r="E16" s="6">
        <v>218.37500500659533</v>
      </c>
      <c r="F16" s="6">
        <v>201.33058270603578</v>
      </c>
      <c r="G16" s="7">
        <f t="shared" ref="G16:G17" si="5">+F16/(F16+E16+D16)</f>
        <v>0.42141000000000006</v>
      </c>
      <c r="H16" s="66">
        <v>1079.8599999999999</v>
      </c>
      <c r="I16" s="70">
        <f>H16/(H16+D16+E16+D17+E17)</f>
        <v>0.25337600127367504</v>
      </c>
      <c r="J16" s="8">
        <v>0.18190000000000001</v>
      </c>
      <c r="K16" s="9">
        <v>10</v>
      </c>
      <c r="L16" s="9">
        <v>241</v>
      </c>
      <c r="M16" s="2" t="s">
        <v>19</v>
      </c>
      <c r="N16" s="2"/>
      <c r="O16" s="2" t="str">
        <f>O14</f>
        <v>не удовлетворительное</v>
      </c>
      <c r="P16" s="2"/>
      <c r="Q16" s="12" t="s">
        <v>28</v>
      </c>
      <c r="R16" s="66">
        <v>3115.01</v>
      </c>
      <c r="S16" s="68">
        <v>0</v>
      </c>
      <c r="T16" s="68" t="str">
        <f>T15</f>
        <v>Разногласия по ДКПП с ПАО "МРСК Центра"</v>
      </c>
      <c r="U16" s="2"/>
      <c r="V16" s="60">
        <v>121.3715</v>
      </c>
    </row>
    <row r="17" spans="1:22" ht="93.75" customHeight="1" thickBot="1" x14ac:dyDescent="0.3">
      <c r="A17" s="24">
        <v>10</v>
      </c>
      <c r="B17" s="25" t="s">
        <v>36</v>
      </c>
      <c r="C17" s="25" t="s">
        <v>37</v>
      </c>
      <c r="D17" s="26">
        <v>610.17671256982146</v>
      </c>
      <c r="E17" s="26">
        <v>2295.4266806198048</v>
      </c>
      <c r="F17" s="26">
        <v>2416.2659671339602</v>
      </c>
      <c r="G17" s="27">
        <f t="shared" si="5"/>
        <v>0.45402579498626461</v>
      </c>
      <c r="H17" s="67"/>
      <c r="I17" s="71"/>
      <c r="J17" s="28">
        <v>0.18190000000000001</v>
      </c>
      <c r="K17" s="29">
        <v>68</v>
      </c>
      <c r="L17" s="29">
        <v>1405</v>
      </c>
      <c r="M17" s="25" t="s">
        <v>19</v>
      </c>
      <c r="N17" s="25"/>
      <c r="O17" s="25" t="str">
        <f>O15</f>
        <v>не удовлетворительное</v>
      </c>
      <c r="P17" s="25"/>
      <c r="Q17" s="30" t="s">
        <v>28</v>
      </c>
      <c r="R17" s="67"/>
      <c r="S17" s="69"/>
      <c r="T17" s="69"/>
      <c r="U17" s="25"/>
      <c r="V17" s="61"/>
    </row>
    <row r="18" spans="1:22" ht="78.75" hidden="1" customHeight="1" x14ac:dyDescent="0.25">
      <c r="A18" s="17">
        <v>11</v>
      </c>
      <c r="B18" s="17" t="s">
        <v>39</v>
      </c>
      <c r="C18" s="5" t="s">
        <v>38</v>
      </c>
      <c r="D18" s="18"/>
      <c r="E18" s="18"/>
      <c r="F18" s="18"/>
      <c r="G18" s="18"/>
      <c r="H18" s="18"/>
      <c r="I18" s="18"/>
      <c r="J18" s="19" t="s">
        <v>50</v>
      </c>
      <c r="K18" s="20"/>
      <c r="L18" s="20"/>
      <c r="M18" s="4" t="s">
        <v>19</v>
      </c>
      <c r="N18" s="17"/>
      <c r="O18" s="17"/>
      <c r="P18" s="17"/>
      <c r="Q18" s="17" t="s">
        <v>47</v>
      </c>
      <c r="R18" s="18"/>
      <c r="S18" s="17"/>
      <c r="T18" s="17"/>
      <c r="U18" s="17"/>
      <c r="V18" s="17">
        <v>25.6</v>
      </c>
    </row>
    <row r="19" spans="1:22" ht="55.5" hidden="1" customHeight="1" x14ac:dyDescent="0.25">
      <c r="A19" s="2">
        <v>12</v>
      </c>
      <c r="B19" s="2" t="s">
        <v>49</v>
      </c>
      <c r="C19" s="2"/>
      <c r="D19" s="6">
        <f>982.229*1.502</f>
        <v>1475.3079580000001</v>
      </c>
      <c r="E19" s="6">
        <f>1493.283*1.52</f>
        <v>2269.79016</v>
      </c>
      <c r="F19" s="6">
        <f>1539.686*1.53</f>
        <v>2355.71958</v>
      </c>
      <c r="G19" s="7">
        <f>+F19/(F19+E19+D19)</f>
        <v>0.38613177718328867</v>
      </c>
      <c r="H19" s="6"/>
      <c r="I19" s="7"/>
      <c r="J19" s="8">
        <v>0.15459999999999999</v>
      </c>
      <c r="K19" s="9">
        <v>109</v>
      </c>
      <c r="L19" s="9">
        <v>1135</v>
      </c>
      <c r="M19" s="2" t="s">
        <v>41</v>
      </c>
      <c r="N19" s="2"/>
      <c r="O19" s="2"/>
      <c r="P19" s="2"/>
      <c r="Q19" s="2" t="s">
        <v>52</v>
      </c>
      <c r="R19" s="6"/>
      <c r="S19" s="2"/>
      <c r="T19" s="2"/>
      <c r="U19" s="2"/>
      <c r="V19" s="2"/>
    </row>
    <row r="20" spans="1:22" ht="20.25" hidden="1" customHeight="1" thickBot="1" x14ac:dyDescent="0.3">
      <c r="A20" s="13">
        <v>13</v>
      </c>
      <c r="B20" s="13" t="s">
        <v>51</v>
      </c>
      <c r="C20" s="13"/>
      <c r="D20" s="14">
        <v>307.94099999999997</v>
      </c>
      <c r="E20" s="14">
        <v>649.98800000000006</v>
      </c>
      <c r="F20" s="14">
        <v>1110.1130000000001</v>
      </c>
      <c r="G20" s="3">
        <f>+F20/(F20+E20+D20)</f>
        <v>0.5367942237149923</v>
      </c>
      <c r="H20" s="14"/>
      <c r="I20" s="3"/>
      <c r="J20" s="15">
        <v>1.1546000000000001</v>
      </c>
      <c r="K20" s="16">
        <v>22</v>
      </c>
      <c r="L20" s="16">
        <v>455</v>
      </c>
      <c r="M20" s="13" t="s">
        <v>41</v>
      </c>
      <c r="N20" s="13"/>
      <c r="O20" s="13"/>
      <c r="P20" s="13"/>
      <c r="Q20" s="13" t="s">
        <v>52</v>
      </c>
      <c r="R20" s="14"/>
      <c r="S20" s="13"/>
      <c r="T20" s="13"/>
      <c r="U20" s="13"/>
      <c r="V20" s="13"/>
    </row>
    <row r="21" spans="1:22" s="34" customFormat="1" ht="16.5" thickBot="1" x14ac:dyDescent="0.3">
      <c r="A21" s="35"/>
      <c r="B21" s="36" t="s">
        <v>61</v>
      </c>
      <c r="C21" s="36"/>
      <c r="D21" s="38">
        <f>SUM(D7:D17)</f>
        <v>10205.911381673599</v>
      </c>
      <c r="E21" s="38">
        <f>SUM(E7:E17)</f>
        <v>12950.674738026401</v>
      </c>
      <c r="F21" s="38">
        <f t="shared" ref="F21:H21" si="6">SUM(F7:F17)</f>
        <v>20262.231188839993</v>
      </c>
      <c r="G21" s="38">
        <f t="shared" si="6"/>
        <v>3.9697028134058834</v>
      </c>
      <c r="H21" s="38">
        <f t="shared" si="6"/>
        <v>13784.925999999999</v>
      </c>
      <c r="I21" s="39">
        <f>H21/(H21+E21+D21)</f>
        <v>0.3731554343345041</v>
      </c>
      <c r="J21" s="36"/>
      <c r="K21" s="36">
        <f t="shared" ref="K21:L21" si="7">SUM(K7:K17)</f>
        <v>515</v>
      </c>
      <c r="L21" s="40">
        <f t="shared" si="7"/>
        <v>9678</v>
      </c>
      <c r="M21" s="36"/>
      <c r="N21" s="36"/>
      <c r="O21" s="36"/>
      <c r="P21" s="36"/>
      <c r="Q21" s="36"/>
      <c r="R21" s="38">
        <f>SUM(R7:R17)</f>
        <v>36111.229999999996</v>
      </c>
      <c r="S21" s="36">
        <f>SUM(S7:S17)</f>
        <v>0</v>
      </c>
      <c r="T21" s="36"/>
      <c r="U21" s="36"/>
      <c r="V21" s="37"/>
    </row>
  </sheetData>
  <mergeCells count="49">
    <mergeCell ref="A2:V2"/>
    <mergeCell ref="V16:V17"/>
    <mergeCell ref="V4:V5"/>
    <mergeCell ref="V7:V8"/>
    <mergeCell ref="F4:F5"/>
    <mergeCell ref="D4:E4"/>
    <mergeCell ref="T7:T8"/>
    <mergeCell ref="S7:S8"/>
    <mergeCell ref="U7:U8"/>
    <mergeCell ref="R16:R17"/>
    <mergeCell ref="S16:S17"/>
    <mergeCell ref="T16:T17"/>
    <mergeCell ref="H16:H17"/>
    <mergeCell ref="I16:I17"/>
    <mergeCell ref="A4:A5"/>
    <mergeCell ref="B4:B5"/>
    <mergeCell ref="C4:C5"/>
    <mergeCell ref="P4:P5"/>
    <mergeCell ref="U4:U5"/>
    <mergeCell ref="Q4:Q5"/>
    <mergeCell ref="R4:S4"/>
    <mergeCell ref="G4:G5"/>
    <mergeCell ref="J4:J5"/>
    <mergeCell ref="K4:L4"/>
    <mergeCell ref="M4:M5"/>
    <mergeCell ref="N4:N5"/>
    <mergeCell ref="T4:T5"/>
    <mergeCell ref="O4:O5"/>
    <mergeCell ref="A7:A8"/>
    <mergeCell ref="O7:O8"/>
    <mergeCell ref="P7:P8"/>
    <mergeCell ref="Q7:Q8"/>
    <mergeCell ref="R7:R8"/>
    <mergeCell ref="B7:B8"/>
    <mergeCell ref="D7:D8"/>
    <mergeCell ref="E7:E8"/>
    <mergeCell ref="F7:F8"/>
    <mergeCell ref="G7:G8"/>
    <mergeCell ref="J7:J8"/>
    <mergeCell ref="K7:K8"/>
    <mergeCell ref="L7:L8"/>
    <mergeCell ref="M7:M8"/>
    <mergeCell ref="N7:N8"/>
    <mergeCell ref="F3:G3"/>
    <mergeCell ref="H3:I3"/>
    <mergeCell ref="H4:H5"/>
    <mergeCell ref="I4:I5"/>
    <mergeCell ref="H7:H8"/>
    <mergeCell ref="I7:I8"/>
  </mergeCells>
  <pageMargins left="0.70866141732283472" right="0.70866141732283472" top="0.74803149606299213" bottom="0.74803149606299213" header="0.31496062992125984" footer="0.31496062992125984"/>
  <pageSetup paperSize="9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Журавлева Елена Сергеевна</dc:creator>
  <cp:lastModifiedBy>1</cp:lastModifiedBy>
  <cp:lastPrinted>2017-11-28T05:38:28Z</cp:lastPrinted>
  <dcterms:created xsi:type="dcterms:W3CDTF">2017-10-31T10:12:00Z</dcterms:created>
  <dcterms:modified xsi:type="dcterms:W3CDTF">2018-11-22T18:40:32Z</dcterms:modified>
</cp:coreProperties>
</file>