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2018\Поручения ГТО\передача имущества в МРГ\09 10 2018\"/>
    </mc:Choice>
  </mc:AlternateContent>
  <bookViews>
    <workbookView xWindow="0" yWindow="0" windowWidth="28800" windowHeight="12345"/>
  </bookViews>
  <sheets>
    <sheet name="вариант 1" sheetId="1" r:id="rId1"/>
    <sheet name="вариант 2" sheetId="2" r:id="rId2"/>
  </sheets>
  <definedNames>
    <definedName name="_xlnm.Print_Area" localSheetId="0">'вариант 1'!$A$1:$P$113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5" i="1" l="1"/>
  <c r="O76" i="1"/>
  <c r="O77" i="1"/>
  <c r="O74" i="1"/>
  <c r="M75" i="1"/>
  <c r="M76" i="1"/>
  <c r="M77" i="1"/>
  <c r="M74" i="1"/>
  <c r="K75" i="1"/>
  <c r="K76" i="1"/>
  <c r="K77" i="1"/>
  <c r="K74" i="1"/>
  <c r="G113" i="1"/>
  <c r="Q17" i="1" l="1"/>
  <c r="Q18" i="1"/>
  <c r="Q19" i="1"/>
  <c r="Q20" i="1"/>
  <c r="Q21" i="1"/>
  <c r="Q16" i="1"/>
  <c r="N113" i="1" l="1"/>
  <c r="O113" i="1"/>
  <c r="L113" i="1"/>
  <c r="M113" i="1"/>
  <c r="K113" i="1"/>
  <c r="J113" i="1"/>
  <c r="N54" i="1"/>
  <c r="M54" i="1"/>
  <c r="L54" i="1"/>
  <c r="J54" i="1"/>
  <c r="G54" i="1"/>
  <c r="I54" i="1" s="1"/>
  <c r="K51" i="1"/>
  <c r="O51" i="1" s="1"/>
  <c r="K50" i="1"/>
  <c r="K54" i="1" s="1"/>
  <c r="H50" i="1"/>
  <c r="H51" i="1" s="1"/>
  <c r="N48" i="1"/>
  <c r="M48" i="1"/>
  <c r="L48" i="1"/>
  <c r="J48" i="1"/>
  <c r="I48" i="1"/>
  <c r="G48" i="1"/>
  <c r="O45" i="1"/>
  <c r="K45" i="1"/>
  <c r="K44" i="1"/>
  <c r="O44" i="1" s="1"/>
  <c r="H44" i="1"/>
  <c r="H45" i="1" s="1"/>
  <c r="H55" i="1"/>
  <c r="N42" i="1"/>
  <c r="M42" i="1"/>
  <c r="L42" i="1"/>
  <c r="J42" i="1"/>
  <c r="G42" i="1"/>
  <c r="I42" i="1" s="1"/>
  <c r="K39" i="1"/>
  <c r="O39" i="1" s="1"/>
  <c r="K38" i="1"/>
  <c r="K42" i="1" s="1"/>
  <c r="H38" i="1"/>
  <c r="H39" i="1" s="1"/>
  <c r="N36" i="1"/>
  <c r="M36" i="1"/>
  <c r="L36" i="1"/>
  <c r="J36" i="1"/>
  <c r="I36" i="1"/>
  <c r="G36" i="1"/>
  <c r="O33" i="1"/>
  <c r="K33" i="1"/>
  <c r="K32" i="1"/>
  <c r="O32" i="1" s="1"/>
  <c r="H32" i="1"/>
  <c r="H33" i="1" s="1"/>
  <c r="K27" i="1"/>
  <c r="O27" i="1" s="1"/>
  <c r="K26" i="1"/>
  <c r="O26" i="1" s="1"/>
  <c r="J25" i="1"/>
  <c r="K19" i="1"/>
  <c r="O19" i="1" s="1"/>
  <c r="K20" i="1"/>
  <c r="O20" i="1" s="1"/>
  <c r="K21" i="1"/>
  <c r="O21" i="1" s="1"/>
  <c r="K18" i="1"/>
  <c r="O18" i="1" s="1"/>
  <c r="N88" i="2"/>
  <c r="N89" i="2" s="1"/>
  <c r="M88" i="2"/>
  <c r="M89" i="2" s="1"/>
  <c r="L88" i="2"/>
  <c r="L89" i="2" s="1"/>
  <c r="K88" i="2"/>
  <c r="K89" i="2" s="1"/>
  <c r="J88" i="2"/>
  <c r="J89" i="2" s="1"/>
  <c r="I88" i="2"/>
  <c r="I89" i="2" s="1"/>
  <c r="H88" i="2"/>
  <c r="F88" i="2"/>
  <c r="F89" i="2" s="1"/>
  <c r="N81" i="2"/>
  <c r="M81" i="2"/>
  <c r="L81" i="2"/>
  <c r="K81" i="2"/>
  <c r="J81" i="2"/>
  <c r="I81" i="2"/>
  <c r="H81" i="2"/>
  <c r="H89" i="2" s="1"/>
  <c r="F81" i="2"/>
  <c r="N62" i="2"/>
  <c r="M62" i="2"/>
  <c r="L62" i="2"/>
  <c r="K62" i="2"/>
  <c r="J62" i="2"/>
  <c r="I62" i="2"/>
  <c r="H62" i="2"/>
  <c r="F62" i="2"/>
  <c r="N55" i="2"/>
  <c r="M55" i="2"/>
  <c r="L55" i="2"/>
  <c r="K55" i="2"/>
  <c r="J55" i="2"/>
  <c r="I55" i="2"/>
  <c r="H55" i="2"/>
  <c r="F55" i="2"/>
  <c r="N50" i="2"/>
  <c r="M50" i="2"/>
  <c r="L50" i="2"/>
  <c r="K50" i="2"/>
  <c r="J50" i="2"/>
  <c r="I50" i="2"/>
  <c r="H50" i="2"/>
  <c r="F50" i="2"/>
  <c r="N46" i="2"/>
  <c r="M46" i="2"/>
  <c r="L46" i="2"/>
  <c r="K46" i="2"/>
  <c r="J46" i="2"/>
  <c r="I46" i="2"/>
  <c r="F46" i="2"/>
  <c r="H46" i="2" s="1"/>
  <c r="O41" i="2"/>
  <c r="N40" i="2"/>
  <c r="N41" i="2" s="1"/>
  <c r="M40" i="2"/>
  <c r="M41" i="2" s="1"/>
  <c r="L40" i="2"/>
  <c r="L41" i="2" s="1"/>
  <c r="K40" i="2"/>
  <c r="K41" i="2" s="1"/>
  <c r="J40" i="2"/>
  <c r="J41" i="2" s="1"/>
  <c r="I40" i="2"/>
  <c r="I41" i="2" s="1"/>
  <c r="H40" i="2"/>
  <c r="F40" i="2"/>
  <c r="F41" i="2" s="1"/>
  <c r="H41" i="2" s="1"/>
  <c r="N36" i="2"/>
  <c r="M36" i="2"/>
  <c r="L36" i="2"/>
  <c r="K36" i="2"/>
  <c r="J36" i="2"/>
  <c r="I36" i="2"/>
  <c r="H36" i="2"/>
  <c r="F36" i="2"/>
  <c r="M30" i="2"/>
  <c r="K30" i="2"/>
  <c r="H30" i="2"/>
  <c r="F30" i="2"/>
  <c r="M25" i="2"/>
  <c r="M65" i="2" s="1"/>
  <c r="K25" i="2"/>
  <c r="K65" i="2" s="1"/>
  <c r="H25" i="2"/>
  <c r="H90" i="2" s="1"/>
  <c r="F25" i="2"/>
  <c r="F65" i="2" s="1"/>
  <c r="H23" i="2"/>
  <c r="H19" i="2"/>
  <c r="H18" i="2"/>
  <c r="H17" i="2"/>
  <c r="H20" i="2" s="1"/>
  <c r="G17" i="2"/>
  <c r="G18" i="2" s="1"/>
  <c r="G19" i="2" s="1"/>
  <c r="G20" i="2" s="1"/>
  <c r="G21" i="2" s="1"/>
  <c r="G22" i="2" s="1"/>
  <c r="G23" i="2" s="1"/>
  <c r="G24" i="2" s="1"/>
  <c r="G26" i="2" s="1"/>
  <c r="L16" i="2"/>
  <c r="I16" i="2"/>
  <c r="H16" i="2"/>
  <c r="O36" i="1" l="1"/>
  <c r="O48" i="1"/>
  <c r="O50" i="1"/>
  <c r="O54" i="1" s="1"/>
  <c r="K48" i="1"/>
  <c r="O38" i="1"/>
  <c r="O42" i="1" s="1"/>
  <c r="K36" i="1"/>
  <c r="G28" i="2"/>
  <c r="G32" i="2" s="1"/>
  <c r="G33" i="2" s="1"/>
  <c r="G34" i="2" s="1"/>
  <c r="G35" i="2" s="1"/>
  <c r="G38" i="2" s="1"/>
  <c r="J26" i="2"/>
  <c r="G27" i="2"/>
  <c r="G29" i="2" s="1"/>
  <c r="I26" i="2"/>
  <c r="I20" i="2"/>
  <c r="F90" i="2"/>
  <c r="N11" i="2" s="1"/>
  <c r="K90" i="2"/>
  <c r="M90" i="2"/>
  <c r="J16" i="2"/>
  <c r="I17" i="2"/>
  <c r="H65" i="2"/>
  <c r="N16" i="2" l="1"/>
  <c r="J17" i="2"/>
  <c r="N17" i="2" s="1"/>
  <c r="L17" i="2"/>
  <c r="I25" i="2"/>
  <c r="I65" i="2" s="1"/>
  <c r="I30" i="2"/>
  <c r="L26" i="2"/>
  <c r="L30" i="2" s="1"/>
  <c r="J30" i="2"/>
  <c r="J20" i="2"/>
  <c r="L20" i="2"/>
  <c r="G42" i="2"/>
  <c r="G43" i="2" s="1"/>
  <c r="G44" i="2" s="1"/>
  <c r="G45" i="2" s="1"/>
  <c r="G47" i="2" s="1"/>
  <c r="G48" i="2" s="1"/>
  <c r="G49" i="2" s="1"/>
  <c r="G51" i="2" s="1"/>
  <c r="G52" i="2" s="1"/>
  <c r="G53" i="2" s="1"/>
  <c r="G54" i="2" s="1"/>
  <c r="G56" i="2" s="1"/>
  <c r="G39" i="2"/>
  <c r="I16" i="1"/>
  <c r="H26" i="1"/>
  <c r="H27" i="1" s="1"/>
  <c r="H29" i="1" s="1"/>
  <c r="N111" i="1"/>
  <c r="G111" i="1"/>
  <c r="G112" i="1" s="1"/>
  <c r="M111" i="1"/>
  <c r="J111" i="1"/>
  <c r="N104" i="1"/>
  <c r="I104" i="1"/>
  <c r="G104" i="1"/>
  <c r="M104" i="1"/>
  <c r="J104" i="1"/>
  <c r="N85" i="1"/>
  <c r="L85" i="1"/>
  <c r="G85" i="1"/>
  <c r="I85" i="1" s="1"/>
  <c r="N78" i="1"/>
  <c r="L78" i="1"/>
  <c r="G78" i="1"/>
  <c r="I78" i="1" s="1"/>
  <c r="N73" i="1"/>
  <c r="L73" i="1"/>
  <c r="I73" i="1"/>
  <c r="G73" i="1"/>
  <c r="N69" i="1"/>
  <c r="L69" i="1"/>
  <c r="G69" i="1"/>
  <c r="I69" i="1" s="1"/>
  <c r="P64" i="1"/>
  <c r="N63" i="1"/>
  <c r="L63" i="1"/>
  <c r="I63" i="1"/>
  <c r="G63" i="1"/>
  <c r="N59" i="1"/>
  <c r="L59" i="1"/>
  <c r="G59" i="1"/>
  <c r="I59" i="1" s="1"/>
  <c r="N30" i="1"/>
  <c r="L30" i="1"/>
  <c r="G30" i="1"/>
  <c r="I30" i="1" s="1"/>
  <c r="N25" i="1"/>
  <c r="L25" i="1"/>
  <c r="G25" i="1"/>
  <c r="O115" i="1" s="1"/>
  <c r="I23" i="1"/>
  <c r="I19" i="1"/>
  <c r="I18" i="1"/>
  <c r="K17" i="1"/>
  <c r="I17" i="1"/>
  <c r="I20" i="1" s="1"/>
  <c r="K16" i="1"/>
  <c r="I25" i="1"/>
  <c r="I113" i="1" s="1"/>
  <c r="H28" i="1" l="1"/>
  <c r="H56" i="1" s="1"/>
  <c r="H57" i="1" s="1"/>
  <c r="H58" i="1" s="1"/>
  <c r="H61" i="1" s="1"/>
  <c r="G64" i="1"/>
  <c r="H65" i="1"/>
  <c r="H66" i="1" s="1"/>
  <c r="H67" i="1" s="1"/>
  <c r="H68" i="1" s="1"/>
  <c r="H70" i="1" s="1"/>
  <c r="H71" i="1" s="1"/>
  <c r="H72" i="1" s="1"/>
  <c r="H74" i="1" s="1"/>
  <c r="H75" i="1" s="1"/>
  <c r="H76" i="1" s="1"/>
  <c r="H77" i="1" s="1"/>
  <c r="H79" i="1" s="1"/>
  <c r="H62" i="1"/>
  <c r="O16" i="1"/>
  <c r="G58" i="2"/>
  <c r="G60" i="2" s="1"/>
  <c r="G63" i="2" s="1"/>
  <c r="G64" i="2" s="1"/>
  <c r="G57" i="2"/>
  <c r="G59" i="2" s="1"/>
  <c r="G61" i="2" s="1"/>
  <c r="N20" i="2"/>
  <c r="N26" i="2"/>
  <c r="N30" i="2" s="1"/>
  <c r="I90" i="2"/>
  <c r="L25" i="2"/>
  <c r="L65" i="2" s="1"/>
  <c r="L90" i="2" s="1"/>
  <c r="J25" i="2"/>
  <c r="J65" i="2" s="1"/>
  <c r="J90" i="2"/>
  <c r="N25" i="2"/>
  <c r="N65" i="2" s="1"/>
  <c r="N90" i="2" s="1"/>
  <c r="I111" i="1"/>
  <c r="I112" i="1" s="1"/>
  <c r="N64" i="1"/>
  <c r="N88" i="1" s="1"/>
  <c r="L64" i="1"/>
  <c r="L88" i="1" s="1"/>
  <c r="N112" i="1"/>
  <c r="J85" i="1"/>
  <c r="J78" i="1"/>
  <c r="K30" i="1"/>
  <c r="K59" i="1"/>
  <c r="K73" i="1"/>
  <c r="O17" i="1"/>
  <c r="K63" i="1"/>
  <c r="K69" i="1"/>
  <c r="M112" i="1"/>
  <c r="J30" i="1"/>
  <c r="J59" i="1"/>
  <c r="J63" i="1"/>
  <c r="J73" i="1"/>
  <c r="K111" i="1"/>
  <c r="K85" i="1"/>
  <c r="K104" i="1"/>
  <c r="J112" i="1"/>
  <c r="I64" i="1" l="1"/>
  <c r="O11" i="1"/>
  <c r="G88" i="1"/>
  <c r="I88" i="1" s="1"/>
  <c r="J64" i="1"/>
  <c r="H80" i="1"/>
  <c r="H82" i="1" s="1"/>
  <c r="H84" i="1" s="1"/>
  <c r="H81" i="1"/>
  <c r="H83" i="1" s="1"/>
  <c r="H86" i="1" s="1"/>
  <c r="H87" i="1" s="1"/>
  <c r="K64" i="1"/>
  <c r="J69" i="1"/>
  <c r="O73" i="1"/>
  <c r="O59" i="1"/>
  <c r="O30" i="1"/>
  <c r="L104" i="1"/>
  <c r="K112" i="1"/>
  <c r="L111" i="1"/>
  <c r="L112" i="1" s="1"/>
  <c r="O111" i="1"/>
  <c r="O112" i="1" s="1"/>
  <c r="O104" i="1"/>
  <c r="M69" i="1"/>
  <c r="O69" i="1"/>
  <c r="M63" i="1"/>
  <c r="M85" i="1"/>
  <c r="K78" i="1"/>
  <c r="M78" i="1"/>
  <c r="O78" i="1"/>
  <c r="O85" i="1"/>
  <c r="O63" i="1"/>
  <c r="M73" i="1"/>
  <c r="M59" i="1"/>
  <c r="M30" i="1"/>
  <c r="O64" i="1" l="1"/>
  <c r="M64" i="1"/>
  <c r="J88" i="1" l="1"/>
  <c r="K25" i="1"/>
  <c r="K88" i="1" l="1"/>
  <c r="M25" i="1"/>
  <c r="M88" i="1" s="1"/>
  <c r="O25" i="1"/>
  <c r="O88" i="1" s="1"/>
</calcChain>
</file>

<file path=xl/comments1.xml><?xml version="1.0" encoding="utf-8"?>
<comments xmlns="http://schemas.openxmlformats.org/spreadsheetml/2006/main">
  <authors>
    <author>Автор</author>
  </authors>
  <commentList>
    <comment ref="G96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убираем 0,5 ст для экскаваторщика</t>
        </r>
      </text>
    </comment>
    <comment ref="G97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0,5 ст за счет сокращения 0,5 ст электромонтера и  + 0,5 ст еще добавляем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F73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убираем 0,5 ст для экскаваторщика</t>
        </r>
      </text>
    </comment>
    <comment ref="F74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0,5 ст за счет сокращения 0,5 ст электромонтера и  + 0,5 ст еще добавляем</t>
        </r>
      </text>
    </comment>
  </commentList>
</comments>
</file>

<file path=xl/sharedStrings.xml><?xml version="1.0" encoding="utf-8"?>
<sst xmlns="http://schemas.openxmlformats.org/spreadsheetml/2006/main" count="290" uniqueCount="131">
  <si>
    <t>Код</t>
  </si>
  <si>
    <t>Форма по ОКУД</t>
  </si>
  <si>
    <t>0301017</t>
  </si>
  <si>
    <t>по ОКПО</t>
  </si>
  <si>
    <t xml:space="preserve">                                               (наименование организации)</t>
  </si>
  <si>
    <t>Номер документа</t>
  </si>
  <si>
    <t>Дата составления</t>
  </si>
  <si>
    <t xml:space="preserve"> ШТАТНОЕ РАСПИСАНИЕ</t>
  </si>
  <si>
    <t>УТВЕРЖДЕНО</t>
  </si>
  <si>
    <t xml:space="preserve">Штат в количестве </t>
  </si>
  <si>
    <t>Структурное подразделение</t>
  </si>
  <si>
    <t>Должность (специальность, профессия), разряд, класс (категория) квалификации</t>
  </si>
  <si>
    <t>Разряд, класс квалификации</t>
  </si>
  <si>
    <t>Количество штатных единиц</t>
  </si>
  <si>
    <t>тарифная ставка рабочего 1 разряда</t>
  </si>
  <si>
    <t>межразрядный коэффициент</t>
  </si>
  <si>
    <t>оклад, руб.</t>
  </si>
  <si>
    <t>ФОТ по окладу в месяц, руб.</t>
  </si>
  <si>
    <t>Надбавки, руб.</t>
  </si>
  <si>
    <t>Всего в месяц, руб, ((гр.5 + гр.6 + гр.7 + гр.8) х гр.4)</t>
  </si>
  <si>
    <t>Примечание</t>
  </si>
  <si>
    <t>наименование</t>
  </si>
  <si>
    <t>код</t>
  </si>
  <si>
    <t>выплаты в соответствии с ТК РФ</t>
  </si>
  <si>
    <t>Премия</t>
  </si>
  <si>
    <t>Доплаты</t>
  </si>
  <si>
    <t>Руководство</t>
  </si>
  <si>
    <t>01</t>
  </si>
  <si>
    <t>Генеральный директор</t>
  </si>
  <si>
    <t>по Контракту</t>
  </si>
  <si>
    <t>Первый заместитель генерального директора</t>
  </si>
  <si>
    <t>Заместитель генерального директора по производственным вопросам</t>
  </si>
  <si>
    <t>Заместитель генерального директора по экономике и финансам</t>
  </si>
  <si>
    <t>Заместитель генерального директора по правовым вопросам</t>
  </si>
  <si>
    <t>Заместитель генерального директора по капитальному  строительству</t>
  </si>
  <si>
    <t>Специалист по закупкам</t>
  </si>
  <si>
    <t>Начальник управления по экономике и финансам</t>
  </si>
  <si>
    <t>Секретарь-референт</t>
  </si>
  <si>
    <t xml:space="preserve">  Итого по руководству</t>
  </si>
  <si>
    <t>Бухгалтерия</t>
  </si>
  <si>
    <t>02</t>
  </si>
  <si>
    <t>Главный бухгалтер</t>
  </si>
  <si>
    <t>Заместитель главного бухгалтера</t>
  </si>
  <si>
    <t>Ведущий бухгалтер</t>
  </si>
  <si>
    <t>Бухгалтер 1 категории</t>
  </si>
  <si>
    <t xml:space="preserve">  Итого по бухгалтерии</t>
  </si>
  <si>
    <t>Управление                                               по экономике и финансам</t>
  </si>
  <si>
    <t>Финансово-экономический отдел</t>
  </si>
  <si>
    <t>03</t>
  </si>
  <si>
    <t xml:space="preserve">Начальник  отдела </t>
  </si>
  <si>
    <t>Заместитель начальника отдела</t>
  </si>
  <si>
    <t>Ведущий экономист по расчетам</t>
  </si>
  <si>
    <t>Экономист 1 категории</t>
  </si>
  <si>
    <t>Итого по ФЭО</t>
  </si>
  <si>
    <t>Группа учета тепловой энергии</t>
  </si>
  <si>
    <t>Начальник группы учета тепловой энергии и ГВС</t>
  </si>
  <si>
    <t>Экономист 2 категории</t>
  </si>
  <si>
    <t xml:space="preserve">  Итого по группе учета тепловой энергии</t>
  </si>
  <si>
    <t>Итого по управлению по экономике и финансам</t>
  </si>
  <si>
    <t>ПТО</t>
  </si>
  <si>
    <t>05</t>
  </si>
  <si>
    <t>Начальник отдела</t>
  </si>
  <si>
    <t xml:space="preserve">Ведущий инженер </t>
  </si>
  <si>
    <t>Инженер по охране труда и промышленной безопасности</t>
  </si>
  <si>
    <t>Специалист по договорной работе</t>
  </si>
  <si>
    <t xml:space="preserve">  Итого по ПТО</t>
  </si>
  <si>
    <t>Отдел по строительству и реконструкции теплоэнергетического комплекса</t>
  </si>
  <si>
    <t>10</t>
  </si>
  <si>
    <t xml:space="preserve">Ведущий инженер по тепловым сетям  и тепловому оборудованию </t>
  </si>
  <si>
    <t>Инженер (теплотехник)</t>
  </si>
  <si>
    <t xml:space="preserve">  Итого по отделу строительства</t>
  </si>
  <si>
    <t>Юридический отдел</t>
  </si>
  <si>
    <t xml:space="preserve">Ведущий юрисконсульт </t>
  </si>
  <si>
    <t xml:space="preserve">Юрисконсульт </t>
  </si>
  <si>
    <t xml:space="preserve">  Итого по юридическому отделу</t>
  </si>
  <si>
    <t>Отдел материально-технического обеспечения</t>
  </si>
  <si>
    <t>06</t>
  </si>
  <si>
    <t>Ведущий инженер по снабжению</t>
  </si>
  <si>
    <t>Водитель</t>
  </si>
  <si>
    <t>Курьер</t>
  </si>
  <si>
    <t>Уборщик служебных помещений</t>
  </si>
  <si>
    <t xml:space="preserve">  Итого по отделу МТО</t>
  </si>
  <si>
    <t>Служба автоматизированной системы управления и связи</t>
  </si>
  <si>
    <t>07</t>
  </si>
  <si>
    <t xml:space="preserve">Ведущий инженер-программист </t>
  </si>
  <si>
    <t>Кадровая служба</t>
  </si>
  <si>
    <t>08</t>
  </si>
  <si>
    <t>Специалист по кадрам</t>
  </si>
  <si>
    <t xml:space="preserve">  Итого по центральному аппарату</t>
  </si>
  <si>
    <t>Котельная поселка Химинститут</t>
  </si>
  <si>
    <t>09</t>
  </si>
  <si>
    <t>Начальник котельной</t>
  </si>
  <si>
    <t>Страший мастер котельной</t>
  </si>
  <si>
    <t xml:space="preserve">Оператор котельной </t>
  </si>
  <si>
    <t>Оператор котельной</t>
  </si>
  <si>
    <t xml:space="preserve">Лаборант химанализа </t>
  </si>
  <si>
    <t xml:space="preserve">Слесарь по РОК </t>
  </si>
  <si>
    <t xml:space="preserve">Электрогазосварщик </t>
  </si>
  <si>
    <t>Электромонтер по ремонту и обслуживанию ЭО</t>
  </si>
  <si>
    <t xml:space="preserve">Экскаваторщик </t>
  </si>
  <si>
    <t xml:space="preserve">Слесарь по КИПиА </t>
  </si>
  <si>
    <t xml:space="preserve">Слесарь-ремонтник </t>
  </si>
  <si>
    <t xml:space="preserve">Слесарь по эксплуатации и ремонту газового оборудования </t>
  </si>
  <si>
    <t>Кладовщик</t>
  </si>
  <si>
    <t>Уборщик производственных  помещений</t>
  </si>
  <si>
    <t xml:space="preserve">  Итого по Котельной пос.Химинститут</t>
  </si>
  <si>
    <t>Участок тепловых сетей и ЦТП</t>
  </si>
  <si>
    <t>Начальник участка ТС и ЦТП</t>
  </si>
  <si>
    <t>Слесарь РОТС</t>
  </si>
  <si>
    <t>Слесарь ЦТП</t>
  </si>
  <si>
    <t>Диспетчер</t>
  </si>
  <si>
    <t xml:space="preserve">  Итого по участку тепловых сетей и ЦТП</t>
  </si>
  <si>
    <t xml:space="preserve">  Итого по Котельной и участку тепловых сетей и ЦТП</t>
  </si>
  <si>
    <t>ИТОГО по центральному аппарату:</t>
  </si>
  <si>
    <t>Протокол № ____ от "____" ______________ 2018 г.</t>
  </si>
  <si>
    <t>Общество с ограниченной ответственностью "Объединенные энергетические системы" Тверской области</t>
  </si>
  <si>
    <t>на период с " 01" марта 2018 г.</t>
  </si>
  <si>
    <t>Советом директоров ООО "ОЭС" ТО</t>
  </si>
  <si>
    <t>ФИО</t>
  </si>
  <si>
    <t>3.1.</t>
  </si>
  <si>
    <t>Дирекция по водоснабжению и водоотведению</t>
  </si>
  <si>
    <t>Директор по ВиВ</t>
  </si>
  <si>
    <t xml:space="preserve">Заместитель директора </t>
  </si>
  <si>
    <t>Директор по теплоснабжению</t>
  </si>
  <si>
    <t>04</t>
  </si>
  <si>
    <t>Дирекция по производству и передаче тепловой (электрической) энергии</t>
  </si>
  <si>
    <t>Дирекция по  передаче электрической энергии</t>
  </si>
  <si>
    <t>Директор по электроэнергетике</t>
  </si>
  <si>
    <t>Дирекция по  транспортировке          газа</t>
  </si>
  <si>
    <t>Директор по газу</t>
  </si>
  <si>
    <t>на период с " 01" ноября 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</si>
</sst>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р_._-;\-* #,##0.00_р_._-;_-* &quot;-&quot;??_р_._-;_-@_-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sz val="12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2" fillId="0" borderId="0"/>
  </cellStyleXfs>
  <cellXfs count="291">
    <xf numFmtId="0" fontId="0" fillId="0" borderId="0" xfId="0"/>
    <xf numFmtId="4" fontId="4" fillId="2" borderId="16" xfId="1" applyNumberFormat="1" applyFont="1" applyFill="1" applyBorder="1" applyAlignment="1">
      <alignment horizontal="center" vertical="center" wrapText="1"/>
    </xf>
    <xf numFmtId="4" fontId="4" fillId="2" borderId="17" xfId="1" applyNumberFormat="1" applyFont="1" applyFill="1" applyBorder="1" applyAlignment="1">
      <alignment horizontal="center" vertical="center" wrapText="1"/>
    </xf>
    <xf numFmtId="4" fontId="4" fillId="2" borderId="18" xfId="1" applyNumberFormat="1" applyFont="1" applyFill="1" applyBorder="1" applyAlignment="1">
      <alignment vertical="center" wrapText="1"/>
    </xf>
    <xf numFmtId="4" fontId="3" fillId="0" borderId="7" xfId="1" applyNumberFormat="1" applyFont="1" applyFill="1" applyBorder="1" applyAlignment="1">
      <alignment vertical="center" wrapText="1"/>
    </xf>
    <xf numFmtId="4" fontId="3" fillId="2" borderId="6" xfId="1" applyNumberFormat="1" applyFont="1" applyFill="1" applyBorder="1" applyAlignment="1">
      <alignment horizontal="center" vertical="center" wrapText="1"/>
    </xf>
    <xf numFmtId="4" fontId="3" fillId="2" borderId="3" xfId="1" applyNumberFormat="1" applyFont="1" applyFill="1" applyBorder="1" applyAlignment="1">
      <alignment horizontal="center" vertical="center" wrapText="1"/>
    </xf>
    <xf numFmtId="4" fontId="3" fillId="2" borderId="7" xfId="1" applyNumberFormat="1" applyFont="1" applyFill="1" applyBorder="1" applyAlignment="1">
      <alignment vertical="center" wrapText="1"/>
    </xf>
    <xf numFmtId="4" fontId="4" fillId="0" borderId="19" xfId="1" applyNumberFormat="1" applyFont="1" applyFill="1" applyBorder="1" applyAlignment="1">
      <alignment vertical="center" wrapText="1"/>
    </xf>
    <xf numFmtId="4" fontId="4" fillId="0" borderId="18" xfId="1" applyNumberFormat="1" applyFont="1" applyFill="1" applyBorder="1" applyAlignment="1">
      <alignment vertical="center" wrapText="1"/>
    </xf>
    <xf numFmtId="4" fontId="4" fillId="2" borderId="29" xfId="1" applyNumberFormat="1" applyFont="1" applyFill="1" applyBorder="1" applyAlignment="1">
      <alignment vertical="center" wrapText="1"/>
    </xf>
    <xf numFmtId="4" fontId="3" fillId="2" borderId="6" xfId="1" applyNumberFormat="1" applyFont="1" applyFill="1" applyBorder="1" applyAlignment="1">
      <alignment vertical="center" wrapText="1"/>
    </xf>
    <xf numFmtId="4" fontId="3" fillId="0" borderId="19" xfId="1" applyNumberFormat="1" applyFont="1" applyFill="1" applyBorder="1" applyAlignment="1">
      <alignment vertical="center" wrapText="1"/>
    </xf>
    <xf numFmtId="4" fontId="3" fillId="2" borderId="7" xfId="1" applyNumberFormat="1" applyFont="1" applyFill="1" applyBorder="1" applyAlignment="1">
      <alignment horizontal="center" vertical="center" wrapText="1"/>
    </xf>
    <xf numFmtId="4" fontId="3" fillId="2" borderId="7" xfId="1" applyNumberFormat="1" applyFont="1" applyFill="1" applyBorder="1" applyAlignment="1">
      <alignment horizontal="right" vertical="center" wrapText="1"/>
    </xf>
    <xf numFmtId="4" fontId="3" fillId="2" borderId="32" xfId="1" applyNumberFormat="1" applyFont="1" applyFill="1" applyBorder="1" applyAlignment="1">
      <alignment vertical="center" wrapText="1"/>
    </xf>
    <xf numFmtId="4" fontId="3" fillId="0" borderId="8" xfId="1" applyNumberFormat="1" applyFont="1" applyFill="1" applyBorder="1" applyAlignment="1">
      <alignment vertical="center" wrapText="1"/>
    </xf>
    <xf numFmtId="4" fontId="3" fillId="0" borderId="6" xfId="1" applyNumberFormat="1" applyFont="1" applyBorder="1" applyAlignment="1">
      <alignment horizontal="center" vertical="center" wrapText="1"/>
    </xf>
    <xf numFmtId="4" fontId="3" fillId="0" borderId="3" xfId="1" applyNumberFormat="1" applyFont="1" applyBorder="1" applyAlignment="1">
      <alignment horizontal="center" vertical="center" wrapText="1"/>
    </xf>
    <xf numFmtId="4" fontId="3" fillId="0" borderId="7" xfId="1" applyNumberFormat="1" applyFont="1" applyBorder="1" applyAlignment="1">
      <alignment vertical="center" wrapText="1"/>
    </xf>
    <xf numFmtId="4" fontId="4" fillId="4" borderId="13" xfId="1" applyNumberFormat="1" applyFont="1" applyFill="1" applyBorder="1" applyAlignment="1">
      <alignment horizontal="center" vertical="center" wrapText="1"/>
    </xf>
    <xf numFmtId="4" fontId="4" fillId="4" borderId="14" xfId="1" applyNumberFormat="1" applyFont="1" applyFill="1" applyBorder="1" applyAlignment="1">
      <alignment horizontal="center" vertical="center" wrapText="1"/>
    </xf>
    <xf numFmtId="4" fontId="4" fillId="4" borderId="15" xfId="1" applyNumberFormat="1" applyFont="1" applyFill="1" applyBorder="1" applyAlignment="1">
      <alignment vertical="center" wrapText="1"/>
    </xf>
    <xf numFmtId="4" fontId="4" fillId="0" borderId="16" xfId="1" applyNumberFormat="1" applyFont="1" applyBorder="1" applyAlignment="1">
      <alignment horizontal="center" vertical="center" wrapText="1"/>
    </xf>
    <xf numFmtId="4" fontId="4" fillId="0" borderId="17" xfId="1" applyNumberFormat="1" applyFont="1" applyBorder="1" applyAlignment="1">
      <alignment horizontal="center" vertical="center" wrapText="1"/>
    </xf>
    <xf numFmtId="4" fontId="4" fillId="0" borderId="18" xfId="1" applyNumberFormat="1" applyFont="1" applyBorder="1" applyAlignment="1">
      <alignment vertical="center" wrapText="1"/>
    </xf>
    <xf numFmtId="4" fontId="4" fillId="0" borderId="22" xfId="1" applyNumberFormat="1" applyFont="1" applyBorder="1" applyAlignment="1">
      <alignment horizontal="center" vertical="center" wrapText="1"/>
    </xf>
    <xf numFmtId="4" fontId="4" fillId="0" borderId="30" xfId="1" applyNumberFormat="1" applyFont="1" applyBorder="1" applyAlignment="1">
      <alignment horizontal="center" vertical="center" wrapText="1"/>
    </xf>
    <xf numFmtId="4" fontId="4" fillId="0" borderId="29" xfId="1" applyNumberFormat="1" applyFont="1" applyBorder="1" applyAlignment="1">
      <alignment vertical="center" wrapText="1"/>
    </xf>
    <xf numFmtId="4" fontId="3" fillId="0" borderId="26" xfId="1" applyNumberFormat="1" applyFont="1" applyBorder="1" applyAlignment="1">
      <alignment horizontal="center" vertical="center" wrapText="1"/>
    </xf>
    <xf numFmtId="4" fontId="3" fillId="0" borderId="5" xfId="1" applyNumberFormat="1" applyFont="1" applyBorder="1" applyAlignment="1">
      <alignment horizontal="center" vertical="center" wrapText="1"/>
    </xf>
    <xf numFmtId="4" fontId="3" fillId="0" borderId="11" xfId="1" applyNumberFormat="1" applyFont="1" applyBorder="1" applyAlignment="1">
      <alignment vertical="center" wrapText="1"/>
    </xf>
    <xf numFmtId="0" fontId="8" fillId="0" borderId="0" xfId="0" applyFont="1"/>
    <xf numFmtId="4" fontId="3" fillId="0" borderId="4" xfId="1" applyNumberFormat="1" applyFont="1" applyFill="1" applyBorder="1" applyAlignment="1">
      <alignment horizontal="left" vertical="center" wrapText="1"/>
    </xf>
    <xf numFmtId="4" fontId="4" fillId="0" borderId="3" xfId="1" applyNumberFormat="1" applyFont="1" applyBorder="1" applyAlignment="1">
      <alignment vertical="center" wrapText="1"/>
    </xf>
    <xf numFmtId="4" fontId="4" fillId="0" borderId="0" xfId="1" applyNumberFormat="1" applyFont="1" applyAlignment="1">
      <alignment horizontal="left" vertical="center" wrapText="1"/>
    </xf>
    <xf numFmtId="4" fontId="4" fillId="0" borderId="0" xfId="1" applyNumberFormat="1" applyFont="1" applyAlignment="1">
      <alignment horizontal="center" vertical="center" wrapText="1"/>
    </xf>
    <xf numFmtId="4" fontId="4" fillId="0" borderId="0" xfId="1" applyNumberFormat="1" applyFont="1" applyAlignment="1">
      <alignment vertical="center" wrapText="1"/>
    </xf>
    <xf numFmtId="4" fontId="4" fillId="0" borderId="7" xfId="1" applyNumberFormat="1" applyFont="1" applyBorder="1" applyAlignment="1">
      <alignment vertical="center" wrapText="1"/>
    </xf>
    <xf numFmtId="4" fontId="4" fillId="0" borderId="11" xfId="1" applyNumberFormat="1" applyFont="1" applyFill="1" applyBorder="1" applyAlignment="1">
      <alignment horizontal="center" vertical="center" wrapText="1"/>
    </xf>
    <xf numFmtId="4" fontId="4" fillId="0" borderId="5" xfId="1" applyNumberFormat="1" applyFont="1" applyFill="1" applyBorder="1" applyAlignment="1">
      <alignment horizontal="center" vertical="center" wrapText="1"/>
    </xf>
    <xf numFmtId="4" fontId="4" fillId="0" borderId="15" xfId="1" applyNumberFormat="1" applyFont="1" applyBorder="1" applyAlignment="1">
      <alignment horizontal="right" vertical="center" wrapText="1"/>
    </xf>
    <xf numFmtId="4" fontId="4" fillId="0" borderId="16" xfId="1" applyNumberFormat="1" applyFont="1" applyFill="1" applyBorder="1" applyAlignment="1">
      <alignment vertical="center" wrapText="1"/>
    </xf>
    <xf numFmtId="4" fontId="4" fillId="0" borderId="21" xfId="1" applyNumberFormat="1" applyFont="1" applyBorder="1" applyAlignment="1">
      <alignment horizontal="right" vertical="center" wrapText="1"/>
    </xf>
    <xf numFmtId="4" fontId="4" fillId="2" borderId="17" xfId="1" applyNumberFormat="1" applyFont="1" applyFill="1" applyBorder="1" applyAlignment="1">
      <alignment horizontal="left" vertical="center" wrapText="1"/>
    </xf>
    <xf numFmtId="4" fontId="4" fillId="2" borderId="24" xfId="1" applyNumberFormat="1" applyFont="1" applyFill="1" applyBorder="1" applyAlignment="1">
      <alignment horizontal="left" vertical="center" wrapText="1"/>
    </xf>
    <xf numFmtId="4" fontId="4" fillId="0" borderId="0" xfId="1" applyNumberFormat="1" applyFont="1" applyBorder="1" applyAlignment="1">
      <alignment vertical="center" wrapText="1"/>
    </xf>
    <xf numFmtId="4" fontId="4" fillId="0" borderId="21" xfId="1" applyNumberFormat="1" applyFont="1" applyBorder="1" applyAlignment="1">
      <alignment vertical="center" wrapText="1"/>
    </xf>
    <xf numFmtId="4" fontId="4" fillId="0" borderId="33" xfId="1" applyNumberFormat="1" applyFont="1" applyBorder="1" applyAlignment="1">
      <alignment vertical="center" wrapText="1"/>
    </xf>
    <xf numFmtId="4" fontId="4" fillId="0" borderId="11" xfId="1" applyNumberFormat="1" applyFont="1" applyBorder="1" applyAlignment="1">
      <alignment vertical="center" wrapText="1"/>
    </xf>
    <xf numFmtId="0" fontId="8" fillId="0" borderId="0" xfId="0" applyNumberFormat="1" applyFont="1"/>
    <xf numFmtId="0" fontId="0" fillId="0" borderId="0" xfId="0" applyNumberFormat="1"/>
    <xf numFmtId="0" fontId="8" fillId="0" borderId="0" xfId="0" applyFont="1" applyAlignment="1">
      <alignment vertical="center" wrapText="1"/>
    </xf>
    <xf numFmtId="4" fontId="4" fillId="0" borderId="0" xfId="1" applyNumberFormat="1" applyFont="1" applyFill="1" applyAlignment="1">
      <alignment horizontal="left" vertical="center" wrapText="1"/>
    </xf>
    <xf numFmtId="4" fontId="4" fillId="0" borderId="1" xfId="1" applyNumberFormat="1" applyFont="1" applyBorder="1" applyAlignment="1">
      <alignment vertical="center" wrapText="1"/>
    </xf>
    <xf numFmtId="4" fontId="4" fillId="0" borderId="5" xfId="1" applyNumberFormat="1" applyFont="1" applyBorder="1" applyAlignment="1">
      <alignment vertical="center" wrapText="1"/>
    </xf>
    <xf numFmtId="4" fontId="4" fillId="0" borderId="0" xfId="1" applyNumberFormat="1" applyFont="1" applyBorder="1" applyAlignment="1">
      <alignment horizontal="center" vertical="center" wrapText="1"/>
    </xf>
    <xf numFmtId="4" fontId="3" fillId="0" borderId="5" xfId="1" applyNumberFormat="1" applyFont="1" applyBorder="1" applyAlignment="1">
      <alignment vertical="center" wrapText="1"/>
    </xf>
    <xf numFmtId="4" fontId="4" fillId="0" borderId="0" xfId="1" applyNumberFormat="1" applyFont="1" applyFill="1" applyAlignment="1">
      <alignment vertical="center" wrapText="1"/>
    </xf>
    <xf numFmtId="4" fontId="3" fillId="0" borderId="0" xfId="1" applyNumberFormat="1" applyFont="1" applyAlignment="1">
      <alignment horizontal="center" vertical="center" wrapText="1"/>
    </xf>
    <xf numFmtId="4" fontId="4" fillId="0" borderId="0" xfId="1" applyNumberFormat="1" applyFont="1" applyFill="1" applyBorder="1" applyAlignment="1">
      <alignment horizontal="center" vertical="center" wrapText="1"/>
    </xf>
    <xf numFmtId="0" fontId="4" fillId="0" borderId="3" xfId="1" applyNumberFormat="1" applyFont="1" applyBorder="1" applyAlignment="1">
      <alignment horizontal="center" vertical="center" wrapText="1"/>
    </xf>
    <xf numFmtId="0" fontId="4" fillId="0" borderId="6" xfId="1" applyNumberFormat="1" applyFont="1" applyBorder="1" applyAlignment="1">
      <alignment horizontal="center" vertical="center" wrapText="1"/>
    </xf>
    <xf numFmtId="0" fontId="4" fillId="0" borderId="3" xfId="1" applyNumberFormat="1" applyFont="1" applyFill="1" applyBorder="1" applyAlignment="1">
      <alignment horizontal="center" vertical="center" wrapText="1"/>
    </xf>
    <xf numFmtId="0" fontId="4" fillId="0" borderId="1" xfId="1" applyNumberFormat="1" applyFont="1" applyBorder="1" applyAlignment="1">
      <alignment horizontal="center" vertical="center" wrapText="1"/>
    </xf>
    <xf numFmtId="0" fontId="4" fillId="0" borderId="8" xfId="1" applyNumberFormat="1" applyFont="1" applyBorder="1" applyAlignment="1">
      <alignment horizontal="center" vertical="center" wrapText="1"/>
    </xf>
    <xf numFmtId="4" fontId="4" fillId="0" borderId="13" xfId="1" applyNumberFormat="1" applyFont="1" applyBorder="1" applyAlignment="1">
      <alignment horizontal="center" vertical="center" wrapText="1"/>
    </xf>
    <xf numFmtId="4" fontId="4" fillId="0" borderId="14" xfId="1" applyNumberFormat="1" applyFont="1" applyBorder="1" applyAlignment="1">
      <alignment horizontal="center" vertical="center" wrapText="1"/>
    </xf>
    <xf numFmtId="4" fontId="4" fillId="0" borderId="15" xfId="1" applyNumberFormat="1" applyFont="1" applyBorder="1" applyAlignment="1">
      <alignment vertical="center" wrapText="1"/>
    </xf>
    <xf numFmtId="4" fontId="4" fillId="0" borderId="16" xfId="1" applyNumberFormat="1" applyFont="1" applyBorder="1" applyAlignment="1">
      <alignment vertical="center" wrapText="1"/>
    </xf>
    <xf numFmtId="4" fontId="4" fillId="0" borderId="18" xfId="1" applyNumberFormat="1" applyFont="1" applyBorder="1" applyAlignment="1">
      <alignment horizontal="right" vertical="center" wrapText="1"/>
    </xf>
    <xf numFmtId="4" fontId="4" fillId="0" borderId="16" xfId="1" applyNumberFormat="1" applyFont="1" applyFill="1" applyBorder="1" applyAlignment="1">
      <alignment horizontal="center" vertical="center" wrapText="1"/>
    </xf>
    <xf numFmtId="4" fontId="4" fillId="0" borderId="17" xfId="1" applyNumberFormat="1" applyFont="1" applyFill="1" applyBorder="1" applyAlignment="1">
      <alignment horizontal="center" vertical="center" wrapText="1"/>
    </xf>
    <xf numFmtId="4" fontId="4" fillId="2" borderId="16" xfId="1" applyNumberFormat="1" applyFont="1" applyFill="1" applyBorder="1" applyAlignment="1">
      <alignment vertical="center" wrapText="1"/>
    </xf>
    <xf numFmtId="4" fontId="4" fillId="3" borderId="16" xfId="1" applyNumberFormat="1" applyFont="1" applyFill="1" applyBorder="1" applyAlignment="1">
      <alignment horizontal="center" vertical="center" wrapText="1"/>
    </xf>
    <xf numFmtId="4" fontId="4" fillId="3" borderId="17" xfId="1" applyNumberFormat="1" applyFont="1" applyFill="1" applyBorder="1" applyAlignment="1">
      <alignment horizontal="center" vertical="center" wrapText="1"/>
    </xf>
    <xf numFmtId="4" fontId="4" fillId="3" borderId="18" xfId="1" applyNumberFormat="1" applyFont="1" applyFill="1" applyBorder="1" applyAlignment="1">
      <alignment vertical="center" wrapText="1"/>
    </xf>
    <xf numFmtId="4" fontId="4" fillId="0" borderId="20" xfId="1" applyNumberFormat="1" applyFont="1" applyBorder="1" applyAlignment="1">
      <alignment horizontal="right" vertical="center" wrapText="1"/>
    </xf>
    <xf numFmtId="4" fontId="4" fillId="0" borderId="22" xfId="1" applyNumberFormat="1" applyFont="1" applyBorder="1" applyAlignment="1">
      <alignment vertical="center" wrapText="1"/>
    </xf>
    <xf numFmtId="4" fontId="4" fillId="0" borderId="23" xfId="1" applyNumberFormat="1" applyFont="1" applyBorder="1" applyAlignment="1">
      <alignment horizontal="center" vertical="center" wrapText="1"/>
    </xf>
    <xf numFmtId="4" fontId="4" fillId="0" borderId="24" xfId="1" applyNumberFormat="1" applyFont="1" applyBorder="1" applyAlignment="1">
      <alignment horizontal="center" vertical="center" wrapText="1"/>
    </xf>
    <xf numFmtId="4" fontId="4" fillId="0" borderId="25" xfId="1" applyNumberFormat="1" applyFont="1" applyBorder="1" applyAlignment="1">
      <alignment vertical="center" wrapText="1"/>
    </xf>
    <xf numFmtId="4" fontId="4" fillId="0" borderId="2" xfId="1" applyNumberFormat="1" applyFont="1" applyBorder="1" applyAlignment="1">
      <alignment horizontal="right" vertical="center" wrapText="1"/>
    </xf>
    <xf numFmtId="4" fontId="4" fillId="0" borderId="6" xfId="1" applyNumberFormat="1" applyFont="1" applyBorder="1" applyAlignment="1">
      <alignment vertical="center" wrapText="1"/>
    </xf>
    <xf numFmtId="4" fontId="3" fillId="0" borderId="7" xfId="1" applyNumberFormat="1" applyFont="1" applyBorder="1" applyAlignment="1">
      <alignment horizontal="right" vertical="center" wrapText="1"/>
    </xf>
    <xf numFmtId="4" fontId="4" fillId="2" borderId="19" xfId="1" applyNumberFormat="1" applyFont="1" applyFill="1" applyBorder="1" applyAlignment="1">
      <alignment vertical="center" wrapText="1"/>
    </xf>
    <xf numFmtId="4" fontId="4" fillId="2" borderId="13" xfId="1" applyNumberFormat="1" applyFont="1" applyFill="1" applyBorder="1" applyAlignment="1">
      <alignment horizontal="center" vertical="center" wrapText="1"/>
    </xf>
    <xf numFmtId="4" fontId="4" fillId="2" borderId="28" xfId="1" applyNumberFormat="1" applyFont="1" applyFill="1" applyBorder="1" applyAlignment="1">
      <alignment horizontal="center" vertical="center" wrapText="1"/>
    </xf>
    <xf numFmtId="4" fontId="4" fillId="2" borderId="22" xfId="1" applyNumberFormat="1" applyFont="1" applyFill="1" applyBorder="1" applyAlignment="1">
      <alignment horizontal="center" vertical="center" wrapText="1"/>
    </xf>
    <xf numFmtId="4" fontId="4" fillId="2" borderId="30" xfId="1" applyNumberFormat="1" applyFont="1" applyFill="1" applyBorder="1" applyAlignment="1">
      <alignment horizontal="center" vertical="center" wrapText="1"/>
    </xf>
    <xf numFmtId="4" fontId="5" fillId="2" borderId="6" xfId="1" applyNumberFormat="1" applyFont="1" applyFill="1" applyBorder="1" applyAlignment="1">
      <alignment horizontal="center" vertical="center" wrapText="1"/>
    </xf>
    <xf numFmtId="4" fontId="5" fillId="2" borderId="7" xfId="1" applyNumberFormat="1" applyFont="1" applyFill="1" applyBorder="1" applyAlignment="1">
      <alignment vertical="center" wrapText="1"/>
    </xf>
    <xf numFmtId="4" fontId="4" fillId="0" borderId="10" xfId="1" applyNumberFormat="1" applyFont="1" applyBorder="1" applyAlignment="1">
      <alignment vertical="center" wrapText="1"/>
    </xf>
    <xf numFmtId="4" fontId="5" fillId="2" borderId="2" xfId="1" applyNumberFormat="1" applyFont="1" applyFill="1" applyBorder="1" applyAlignment="1">
      <alignment vertical="center" wrapText="1"/>
    </xf>
    <xf numFmtId="4" fontId="4" fillId="0" borderId="31" xfId="1" applyNumberFormat="1" applyFont="1" applyFill="1" applyBorder="1" applyAlignment="1">
      <alignment horizontal="center" vertical="center" wrapText="1"/>
    </xf>
    <xf numFmtId="4" fontId="4" fillId="0" borderId="28" xfId="1" applyNumberFormat="1" applyFont="1" applyFill="1" applyBorder="1" applyAlignment="1">
      <alignment horizontal="center" vertical="center" wrapText="1"/>
    </xf>
    <xf numFmtId="4" fontId="4" fillId="2" borderId="2" xfId="1" applyNumberFormat="1" applyFont="1" applyFill="1" applyBorder="1" applyAlignment="1">
      <alignment vertical="center" wrapText="1"/>
    </xf>
    <xf numFmtId="4" fontId="4" fillId="0" borderId="29" xfId="1" applyNumberFormat="1" applyFont="1" applyFill="1" applyBorder="1" applyAlignment="1">
      <alignment vertical="center" wrapText="1"/>
    </xf>
    <xf numFmtId="4" fontId="4" fillId="0" borderId="2" xfId="1" applyNumberFormat="1" applyFont="1" applyFill="1" applyBorder="1" applyAlignment="1">
      <alignment vertical="center" wrapText="1"/>
    </xf>
    <xf numFmtId="4" fontId="4" fillId="2" borderId="27" xfId="1" applyNumberFormat="1" applyFont="1" applyFill="1" applyBorder="1" applyAlignment="1">
      <alignment horizontal="center" vertical="center" wrapText="1"/>
    </xf>
    <xf numFmtId="4" fontId="3" fillId="2" borderId="31" xfId="1" applyNumberFormat="1" applyFont="1" applyFill="1" applyBorder="1" applyAlignment="1">
      <alignment horizontal="center" vertical="center" wrapText="1"/>
    </xf>
    <xf numFmtId="4" fontId="3" fillId="2" borderId="28" xfId="1" applyNumberFormat="1" applyFont="1" applyFill="1" applyBorder="1" applyAlignment="1">
      <alignment horizontal="center" vertical="center" wrapText="1"/>
    </xf>
    <xf numFmtId="4" fontId="3" fillId="2" borderId="19" xfId="1" applyNumberFormat="1" applyFont="1" applyFill="1" applyBorder="1" applyAlignment="1">
      <alignment vertical="center" wrapText="1"/>
    </xf>
    <xf numFmtId="4" fontId="3" fillId="2" borderId="19" xfId="1" applyNumberFormat="1" applyFont="1" applyFill="1" applyBorder="1" applyAlignment="1">
      <alignment horizontal="center" vertical="center" wrapText="1"/>
    </xf>
    <xf numFmtId="4" fontId="3" fillId="2" borderId="2" xfId="1" applyNumberFormat="1" applyFont="1" applyFill="1" applyBorder="1" applyAlignment="1">
      <alignment vertical="center" wrapText="1"/>
    </xf>
    <xf numFmtId="4" fontId="4" fillId="2" borderId="23" xfId="1" applyNumberFormat="1" applyFont="1" applyFill="1" applyBorder="1" applyAlignment="1">
      <alignment horizontal="center" vertical="center" wrapText="1"/>
    </xf>
    <xf numFmtId="4" fontId="4" fillId="2" borderId="24" xfId="1" applyNumberFormat="1" applyFont="1" applyFill="1" applyBorder="1" applyAlignment="1">
      <alignment horizontal="center" vertical="center" wrapText="1"/>
    </xf>
    <xf numFmtId="4" fontId="4" fillId="0" borderId="11" xfId="1" applyNumberFormat="1" applyFont="1" applyFill="1" applyBorder="1" applyAlignment="1">
      <alignment vertical="center" wrapText="1"/>
    </xf>
    <xf numFmtId="4" fontId="4" fillId="2" borderId="25" xfId="1" applyNumberFormat="1" applyFont="1" applyFill="1" applyBorder="1" applyAlignment="1">
      <alignment vertical="center" wrapText="1"/>
    </xf>
    <xf numFmtId="4" fontId="4" fillId="2" borderId="6" xfId="1" applyNumberFormat="1" applyFont="1" applyFill="1" applyBorder="1" applyAlignment="1">
      <alignment horizontal="center" vertical="center" wrapText="1"/>
    </xf>
    <xf numFmtId="4" fontId="4" fillId="2" borderId="4" xfId="1" applyNumberFormat="1" applyFont="1" applyFill="1" applyBorder="1" applyAlignment="1">
      <alignment vertical="center" wrapText="1"/>
    </xf>
    <xf numFmtId="4" fontId="4" fillId="4" borderId="18" xfId="1" applyNumberFormat="1" applyFont="1" applyFill="1" applyBorder="1" applyAlignment="1">
      <alignment vertical="center" wrapText="1"/>
    </xf>
    <xf numFmtId="4" fontId="3" fillId="2" borderId="15" xfId="1" applyNumberFormat="1" applyFont="1" applyFill="1" applyBorder="1" applyAlignment="1">
      <alignment vertical="center" wrapText="1"/>
    </xf>
    <xf numFmtId="4" fontId="3" fillId="2" borderId="18" xfId="1" applyNumberFormat="1" applyFont="1" applyFill="1" applyBorder="1" applyAlignment="1">
      <alignment vertical="center" wrapText="1"/>
    </xf>
    <xf numFmtId="4" fontId="3" fillId="2" borderId="25" xfId="1" applyNumberFormat="1" applyFont="1" applyFill="1" applyBorder="1" applyAlignment="1">
      <alignment vertical="center" wrapText="1"/>
    </xf>
    <xf numFmtId="4" fontId="4" fillId="0" borderId="28" xfId="1" applyNumberFormat="1" applyFont="1" applyFill="1" applyBorder="1" applyAlignment="1">
      <alignment vertical="center" wrapText="1"/>
    </xf>
    <xf numFmtId="4" fontId="4" fillId="0" borderId="13" xfId="1" applyNumberFormat="1" applyFont="1" applyFill="1" applyBorder="1" applyAlignment="1">
      <alignment horizontal="center" vertical="center" wrapText="1"/>
    </xf>
    <xf numFmtId="4" fontId="4" fillId="0" borderId="27" xfId="1" applyNumberFormat="1" applyFont="1" applyFill="1" applyBorder="1" applyAlignment="1">
      <alignment vertical="center" wrapText="1"/>
    </xf>
    <xf numFmtId="4" fontId="4" fillId="0" borderId="10" xfId="1" applyNumberFormat="1" applyFont="1" applyFill="1" applyBorder="1" applyAlignment="1">
      <alignment horizontal="center" vertical="center" wrapText="1"/>
    </xf>
    <xf numFmtId="4" fontId="4" fillId="0" borderId="30" xfId="1" applyNumberFormat="1" applyFont="1" applyFill="1" applyBorder="1" applyAlignment="1">
      <alignment vertical="center" wrapText="1"/>
    </xf>
    <xf numFmtId="4" fontId="4" fillId="0" borderId="22" xfId="1" applyNumberFormat="1" applyFont="1" applyFill="1" applyBorder="1" applyAlignment="1">
      <alignment horizontal="center" vertical="center" wrapText="1"/>
    </xf>
    <xf numFmtId="4" fontId="4" fillId="2" borderId="30" xfId="1" applyNumberFormat="1" applyFont="1" applyFill="1" applyBorder="1" applyAlignment="1">
      <alignment vertical="center" wrapText="1"/>
    </xf>
    <xf numFmtId="4" fontId="4" fillId="0" borderId="28" xfId="1" applyNumberFormat="1" applyFont="1" applyBorder="1" applyAlignment="1">
      <alignment vertical="center" wrapText="1"/>
    </xf>
    <xf numFmtId="4" fontId="4" fillId="2" borderId="15" xfId="1" applyNumberFormat="1" applyFont="1" applyFill="1" applyBorder="1" applyAlignment="1">
      <alignment vertical="center" wrapText="1"/>
    </xf>
    <xf numFmtId="4" fontId="4" fillId="0" borderId="31" xfId="1" applyNumberFormat="1" applyFont="1" applyBorder="1" applyAlignment="1">
      <alignment horizontal="center" vertical="center" wrapText="1"/>
    </xf>
    <xf numFmtId="4" fontId="4" fillId="0" borderId="28" xfId="1" applyNumberFormat="1" applyFont="1" applyBorder="1" applyAlignment="1">
      <alignment horizontal="center" vertical="center" wrapText="1"/>
    </xf>
    <xf numFmtId="4" fontId="4" fillId="0" borderId="19" xfId="1" applyNumberFormat="1" applyFont="1" applyBorder="1" applyAlignment="1">
      <alignment vertical="center" wrapText="1"/>
    </xf>
    <xf numFmtId="4" fontId="4" fillId="0" borderId="17" xfId="1" applyNumberFormat="1" applyFont="1" applyBorder="1" applyAlignment="1">
      <alignment vertical="center" wrapText="1"/>
    </xf>
    <xf numFmtId="4" fontId="4" fillId="0" borderId="30" xfId="1" applyNumberFormat="1" applyFont="1" applyBorder="1" applyAlignment="1">
      <alignment vertical="center" wrapText="1"/>
    </xf>
    <xf numFmtId="4" fontId="3" fillId="0" borderId="12" xfId="1" applyNumberFormat="1" applyFont="1" applyBorder="1" applyAlignment="1">
      <alignment horizontal="center" vertical="center" wrapText="1"/>
    </xf>
    <xf numFmtId="4" fontId="3" fillId="0" borderId="1" xfId="1" applyNumberFormat="1" applyFont="1" applyBorder="1" applyAlignment="1">
      <alignment horizontal="center" vertical="center" wrapText="1"/>
    </xf>
    <xf numFmtId="4" fontId="3" fillId="0" borderId="8" xfId="1" applyNumberFormat="1" applyFont="1" applyBorder="1" applyAlignment="1">
      <alignment vertical="center" wrapText="1"/>
    </xf>
    <xf numFmtId="4" fontId="4" fillId="0" borderId="3" xfId="1" applyNumberFormat="1" applyFont="1" applyFill="1" applyBorder="1" applyAlignment="1">
      <alignment horizontal="center" vertical="center" wrapText="1"/>
    </xf>
    <xf numFmtId="4" fontId="4" fillId="2" borderId="3" xfId="1" applyNumberFormat="1" applyFont="1" applyFill="1" applyBorder="1" applyAlignment="1">
      <alignment horizontal="center" vertical="center" wrapText="1"/>
    </xf>
    <xf numFmtId="4" fontId="4" fillId="2" borderId="7" xfId="1" applyNumberFormat="1" applyFont="1" applyFill="1" applyBorder="1" applyAlignment="1">
      <alignment vertical="center" wrapText="1"/>
    </xf>
    <xf numFmtId="4" fontId="4" fillId="0" borderId="27" xfId="1" applyNumberFormat="1" applyFont="1" applyBorder="1" applyAlignment="1">
      <alignment vertical="center" wrapText="1"/>
    </xf>
    <xf numFmtId="4" fontId="4" fillId="0" borderId="26" xfId="1" applyNumberFormat="1" applyFont="1" applyBorder="1" applyAlignment="1">
      <alignment horizontal="center" vertical="center" wrapText="1"/>
    </xf>
    <xf numFmtId="4" fontId="4" fillId="0" borderId="5" xfId="1" applyNumberFormat="1" applyFont="1" applyBorder="1" applyAlignment="1">
      <alignment horizontal="center" vertical="center" wrapText="1"/>
    </xf>
    <xf numFmtId="4" fontId="4" fillId="2" borderId="11" xfId="1" applyNumberFormat="1" applyFont="1" applyFill="1" applyBorder="1" applyAlignment="1">
      <alignment vertical="center" wrapText="1"/>
    </xf>
    <xf numFmtId="4" fontId="3" fillId="0" borderId="7" xfId="1" applyNumberFormat="1" applyFont="1" applyBorder="1" applyAlignment="1">
      <alignment horizontal="center" vertical="center" wrapText="1"/>
    </xf>
    <xf numFmtId="4" fontId="4" fillId="5" borderId="17" xfId="1" applyNumberFormat="1" applyFont="1" applyFill="1" applyBorder="1" applyAlignment="1">
      <alignment vertical="center" wrapText="1"/>
    </xf>
    <xf numFmtId="4" fontId="4" fillId="5" borderId="16" xfId="1" applyNumberFormat="1" applyFont="1" applyFill="1" applyBorder="1" applyAlignment="1">
      <alignment horizontal="center" vertical="center" wrapText="1"/>
    </xf>
    <xf numFmtId="4" fontId="4" fillId="5" borderId="17" xfId="1" applyNumberFormat="1" applyFont="1" applyFill="1" applyBorder="1" applyAlignment="1">
      <alignment horizontal="center" vertical="center" wrapText="1"/>
    </xf>
    <xf numFmtId="4" fontId="4" fillId="5" borderId="18" xfId="1" applyNumberFormat="1" applyFont="1" applyFill="1" applyBorder="1" applyAlignment="1">
      <alignment vertical="center" wrapText="1"/>
    </xf>
    <xf numFmtId="4" fontId="4" fillId="4" borderId="17" xfId="1" applyNumberFormat="1" applyFont="1" applyFill="1" applyBorder="1" applyAlignment="1">
      <alignment vertical="center" wrapText="1"/>
    </xf>
    <xf numFmtId="4" fontId="4" fillId="4" borderId="16" xfId="1" applyNumberFormat="1" applyFont="1" applyFill="1" applyBorder="1" applyAlignment="1">
      <alignment horizontal="center" vertical="center" wrapText="1"/>
    </xf>
    <xf numFmtId="4" fontId="4" fillId="4" borderId="17" xfId="1" applyNumberFormat="1" applyFont="1" applyFill="1" applyBorder="1" applyAlignment="1">
      <alignment horizontal="center" vertical="center" wrapText="1"/>
    </xf>
    <xf numFmtId="4" fontId="4" fillId="4" borderId="19" xfId="1" applyNumberFormat="1" applyFont="1" applyFill="1" applyBorder="1" applyAlignment="1">
      <alignment horizontal="left" vertical="center" wrapText="1"/>
    </xf>
    <xf numFmtId="4" fontId="4" fillId="4" borderId="19" xfId="1" applyNumberFormat="1" applyFont="1" applyFill="1" applyBorder="1" applyAlignment="1">
      <alignment vertical="center" wrapText="1"/>
    </xf>
    <xf numFmtId="4" fontId="4" fillId="0" borderId="18" xfId="1" applyNumberFormat="1" applyFont="1" applyBorder="1" applyAlignment="1">
      <alignment horizontal="left" vertical="center" wrapText="1"/>
    </xf>
    <xf numFmtId="4" fontId="4" fillId="0" borderId="29" xfId="1" applyNumberFormat="1" applyFont="1" applyBorder="1" applyAlignment="1">
      <alignment horizontal="left" vertical="center" wrapText="1"/>
    </xf>
    <xf numFmtId="4" fontId="4" fillId="0" borderId="6" xfId="1" applyNumberFormat="1" applyFont="1" applyFill="1" applyBorder="1" applyAlignment="1">
      <alignment horizontal="center" vertical="center" wrapText="1"/>
    </xf>
    <xf numFmtId="4" fontId="3" fillId="0" borderId="3" xfId="1" applyNumberFormat="1" applyFont="1" applyFill="1" applyBorder="1" applyAlignment="1">
      <alignment horizontal="center" vertical="center" wrapText="1"/>
    </xf>
    <xf numFmtId="4" fontId="4" fillId="0" borderId="7" xfId="1" applyNumberFormat="1" applyFont="1" applyFill="1" applyBorder="1" applyAlignment="1">
      <alignment horizontal="right" vertical="center" wrapText="1"/>
    </xf>
    <xf numFmtId="4" fontId="3" fillId="0" borderId="0" xfId="1" applyNumberFormat="1" applyFont="1" applyFill="1" applyAlignment="1">
      <alignment vertical="center" wrapText="1"/>
    </xf>
    <xf numFmtId="4" fontId="4" fillId="0" borderId="0" xfId="1" applyNumberFormat="1" applyFont="1" applyFill="1" applyAlignment="1">
      <alignment horizontal="center" vertical="center" wrapText="1"/>
    </xf>
    <xf numFmtId="4" fontId="4" fillId="0" borderId="0" xfId="1" applyNumberFormat="1" applyFont="1" applyFill="1" applyAlignment="1">
      <alignment horizontal="right" vertical="center" wrapText="1"/>
    </xf>
    <xf numFmtId="4" fontId="4" fillId="6" borderId="13" xfId="1" applyNumberFormat="1" applyFont="1" applyFill="1" applyBorder="1" applyAlignment="1">
      <alignment vertical="center" wrapText="1"/>
    </xf>
    <xf numFmtId="4" fontId="4" fillId="6" borderId="16" xfId="1" applyNumberFormat="1" applyFont="1" applyFill="1" applyBorder="1" applyAlignment="1">
      <alignment vertical="center" wrapText="1"/>
    </xf>
    <xf numFmtId="4" fontId="4" fillId="6" borderId="19" xfId="1" applyNumberFormat="1" applyFont="1" applyFill="1" applyBorder="1" applyAlignment="1">
      <alignment vertical="center" wrapText="1"/>
    </xf>
    <xf numFmtId="164" fontId="4" fillId="0" borderId="15" xfId="1" applyNumberFormat="1" applyFont="1" applyBorder="1" applyAlignment="1">
      <alignment vertical="center" wrapText="1"/>
    </xf>
    <xf numFmtId="4" fontId="4" fillId="0" borderId="14" xfId="1" applyNumberFormat="1" applyFont="1" applyFill="1" applyBorder="1" applyAlignment="1">
      <alignment horizontal="left" vertical="center" wrapText="1"/>
    </xf>
    <xf numFmtId="4" fontId="4" fillId="0" borderId="3" xfId="1" applyNumberFormat="1" applyFont="1" applyFill="1" applyBorder="1" applyAlignment="1">
      <alignment vertical="center" wrapText="1"/>
    </xf>
    <xf numFmtId="4" fontId="3" fillId="0" borderId="6" xfId="1" applyNumberFormat="1" applyFont="1" applyBorder="1" applyAlignment="1">
      <alignment horizontal="center" vertical="center" wrapText="1"/>
    </xf>
    <xf numFmtId="4" fontId="4" fillId="0" borderId="0" xfId="1" applyNumberFormat="1" applyFont="1" applyAlignment="1">
      <alignment vertical="center" wrapText="1"/>
    </xf>
    <xf numFmtId="4" fontId="3" fillId="0" borderId="4" xfId="1" applyNumberFormat="1" applyFont="1" applyFill="1" applyBorder="1" applyAlignment="1">
      <alignment horizontal="left" vertical="center" wrapText="1"/>
    </xf>
    <xf numFmtId="4" fontId="4" fillId="0" borderId="0" xfId="1" applyNumberFormat="1" applyFont="1" applyAlignment="1">
      <alignment horizontal="left" vertical="center" wrapText="1"/>
    </xf>
    <xf numFmtId="4" fontId="4" fillId="0" borderId="5" xfId="1" applyNumberFormat="1" applyFont="1" applyBorder="1" applyAlignment="1">
      <alignment horizontal="center" vertical="center" wrapText="1"/>
    </xf>
    <xf numFmtId="4" fontId="4" fillId="0" borderId="1" xfId="1" applyNumberFormat="1" applyFont="1" applyFill="1" applyBorder="1" applyAlignment="1">
      <alignment vertical="center" wrapText="1"/>
    </xf>
    <xf numFmtId="4" fontId="4" fillId="0" borderId="5" xfId="1" applyNumberFormat="1" applyFont="1" applyFill="1" applyBorder="1" applyAlignment="1">
      <alignment vertical="center" wrapText="1"/>
    </xf>
    <xf numFmtId="4" fontId="4" fillId="0" borderId="10" xfId="1" applyNumberFormat="1" applyFont="1" applyFill="1" applyBorder="1" applyAlignment="1">
      <alignment horizontal="center" vertical="center" wrapText="1"/>
    </xf>
    <xf numFmtId="4" fontId="5" fillId="2" borderId="6" xfId="1" applyNumberFormat="1" applyFont="1" applyFill="1" applyBorder="1" applyAlignment="1">
      <alignment horizontal="center" vertical="center" wrapText="1"/>
    </xf>
    <xf numFmtId="4" fontId="5" fillId="2" borderId="9" xfId="1" applyNumberFormat="1" applyFont="1" applyFill="1" applyBorder="1" applyAlignment="1">
      <alignment horizontal="center" vertical="center" wrapText="1"/>
    </xf>
    <xf numFmtId="4" fontId="5" fillId="0" borderId="9" xfId="1" applyNumberFormat="1" applyFont="1" applyBorder="1" applyAlignment="1">
      <alignment horizontal="center" vertical="center" wrapText="1"/>
    </xf>
    <xf numFmtId="4" fontId="4" fillId="0" borderId="5" xfId="1" applyNumberFormat="1" applyFont="1" applyFill="1" applyBorder="1" applyAlignment="1">
      <alignment horizontal="center" vertical="center" wrapText="1"/>
    </xf>
    <xf numFmtId="4" fontId="3" fillId="2" borderId="9" xfId="1" applyNumberFormat="1" applyFont="1" applyFill="1" applyBorder="1" applyAlignment="1">
      <alignment horizontal="center" vertical="center" wrapText="1"/>
    </xf>
    <xf numFmtId="4" fontId="3" fillId="2" borderId="6" xfId="1" applyNumberFormat="1" applyFont="1" applyFill="1" applyBorder="1" applyAlignment="1">
      <alignment horizontal="center" vertical="center" wrapText="1"/>
    </xf>
    <xf numFmtId="4" fontId="3" fillId="2" borderId="7" xfId="1" applyNumberFormat="1" applyFont="1" applyFill="1" applyBorder="1" applyAlignment="1">
      <alignment horizontal="center" vertical="center" wrapText="1"/>
    </xf>
    <xf numFmtId="4" fontId="5" fillId="2" borderId="9" xfId="1" applyNumberFormat="1" applyFont="1" applyFill="1" applyBorder="1" applyAlignment="1">
      <alignment horizontal="left" vertical="center" wrapText="1"/>
    </xf>
    <xf numFmtId="4" fontId="3" fillId="2" borderId="12" xfId="1" applyNumberFormat="1" applyFont="1" applyFill="1" applyBorder="1" applyAlignment="1">
      <alignment horizontal="center" vertical="center" wrapText="1"/>
    </xf>
    <xf numFmtId="4" fontId="3" fillId="0" borderId="6" xfId="1" applyNumberFormat="1" applyFont="1" applyBorder="1" applyAlignment="1">
      <alignment horizontal="center" vertical="center" wrapText="1"/>
    </xf>
    <xf numFmtId="4" fontId="3" fillId="0" borderId="7" xfId="1" applyNumberFormat="1" applyFont="1" applyBorder="1" applyAlignment="1">
      <alignment horizontal="center" vertical="center" wrapText="1"/>
    </xf>
    <xf numFmtId="4" fontId="3" fillId="0" borderId="12" xfId="1" applyNumberFormat="1" applyFont="1" applyBorder="1" applyAlignment="1">
      <alignment horizontal="center" vertical="center" wrapText="1"/>
    </xf>
    <xf numFmtId="4" fontId="8" fillId="0" borderId="9" xfId="2" applyNumberFormat="1" applyFont="1" applyBorder="1" applyAlignment="1">
      <alignment horizontal="center" vertical="center" wrapText="1"/>
    </xf>
    <xf numFmtId="0" fontId="4" fillId="0" borderId="9" xfId="1" applyNumberFormat="1" applyFont="1" applyBorder="1" applyAlignment="1">
      <alignment horizontal="center" vertical="center" wrapText="1"/>
    </xf>
    <xf numFmtId="4" fontId="4" fillId="6" borderId="34" xfId="1" applyNumberFormat="1" applyFont="1" applyFill="1" applyBorder="1" applyAlignment="1">
      <alignment vertical="center" wrapText="1"/>
    </xf>
    <xf numFmtId="4" fontId="4" fillId="2" borderId="20" xfId="1" applyNumberFormat="1" applyFont="1" applyFill="1" applyBorder="1" applyAlignment="1">
      <alignment vertical="center" wrapText="1"/>
    </xf>
    <xf numFmtId="4" fontId="4" fillId="2" borderId="35" xfId="1" applyNumberFormat="1" applyFont="1" applyFill="1" applyBorder="1" applyAlignment="1">
      <alignment vertical="center" wrapText="1"/>
    </xf>
    <xf numFmtId="4" fontId="4" fillId="0" borderId="6" xfId="1" applyNumberFormat="1" applyFont="1" applyFill="1" applyBorder="1" applyAlignment="1">
      <alignment vertical="center" wrapText="1"/>
    </xf>
    <xf numFmtId="4" fontId="4" fillId="0" borderId="34" xfId="1" applyNumberFormat="1" applyFont="1" applyFill="1" applyBorder="1" applyAlignment="1">
      <alignment vertical="center" wrapText="1"/>
    </xf>
    <xf numFmtId="4" fontId="4" fillId="0" borderId="20" xfId="1" applyNumberFormat="1" applyFont="1" applyFill="1" applyBorder="1" applyAlignment="1">
      <alignment vertical="center" wrapText="1"/>
    </xf>
    <xf numFmtId="4" fontId="4" fillId="0" borderId="31" xfId="1" applyNumberFormat="1" applyFont="1" applyFill="1" applyBorder="1" applyAlignment="1">
      <alignment horizontal="left" vertical="center" wrapText="1"/>
    </xf>
    <xf numFmtId="4" fontId="4" fillId="2" borderId="16" xfId="1" applyNumberFormat="1" applyFont="1" applyFill="1" applyBorder="1" applyAlignment="1">
      <alignment horizontal="left" vertical="center" wrapText="1"/>
    </xf>
    <xf numFmtId="4" fontId="4" fillId="2" borderId="23" xfId="1" applyNumberFormat="1" applyFont="1" applyFill="1" applyBorder="1" applyAlignment="1">
      <alignment horizontal="left" vertical="center" wrapText="1"/>
    </xf>
    <xf numFmtId="4" fontId="4" fillId="2" borderId="34" xfId="1" applyNumberFormat="1" applyFont="1" applyFill="1" applyBorder="1" applyAlignment="1">
      <alignment vertical="center" wrapText="1"/>
    </xf>
    <xf numFmtId="4" fontId="4" fillId="0" borderId="31" xfId="1" applyNumberFormat="1" applyFont="1" applyFill="1" applyBorder="1" applyAlignment="1">
      <alignment vertical="center" wrapText="1"/>
    </xf>
    <xf numFmtId="4" fontId="4" fillId="0" borderId="10" xfId="1" applyNumberFormat="1" applyFont="1" applyFill="1" applyBorder="1" applyAlignment="1">
      <alignment vertical="center" wrapText="1"/>
    </xf>
    <xf numFmtId="4" fontId="4" fillId="0" borderId="22" xfId="1" applyNumberFormat="1" applyFont="1" applyFill="1" applyBorder="1" applyAlignment="1">
      <alignment vertical="center" wrapText="1"/>
    </xf>
    <xf numFmtId="4" fontId="4" fillId="2" borderId="22" xfId="1" applyNumberFormat="1" applyFont="1" applyFill="1" applyBorder="1" applyAlignment="1">
      <alignment vertical="center" wrapText="1"/>
    </xf>
    <xf numFmtId="4" fontId="4" fillId="0" borderId="31" xfId="1" applyNumberFormat="1" applyFont="1" applyBorder="1" applyAlignment="1">
      <alignment vertical="center" wrapText="1"/>
    </xf>
    <xf numFmtId="4" fontId="5" fillId="0" borderId="36" xfId="1" applyNumberFormat="1" applyFont="1" applyBorder="1" applyAlignment="1">
      <alignment horizontal="center" vertical="center" wrapText="1"/>
    </xf>
    <xf numFmtId="4" fontId="4" fillId="5" borderId="16" xfId="1" applyNumberFormat="1" applyFont="1" applyFill="1" applyBorder="1" applyAlignment="1">
      <alignment vertical="center" wrapText="1"/>
    </xf>
    <xf numFmtId="4" fontId="4" fillId="4" borderId="16" xfId="1" applyNumberFormat="1" applyFont="1" applyFill="1" applyBorder="1" applyAlignment="1">
      <alignment vertical="center" wrapText="1"/>
    </xf>
    <xf numFmtId="4" fontId="4" fillId="4" borderId="34" xfId="1" applyNumberFormat="1" applyFont="1" applyFill="1" applyBorder="1" applyAlignment="1">
      <alignment horizontal="left" vertical="center" wrapText="1"/>
    </xf>
    <xf numFmtId="4" fontId="4" fillId="0" borderId="20" xfId="1" applyNumberFormat="1" applyFont="1" applyBorder="1" applyAlignment="1">
      <alignment horizontal="left" vertical="center" wrapText="1"/>
    </xf>
    <xf numFmtId="4" fontId="4" fillId="3" borderId="20" xfId="1" applyNumberFormat="1" applyFont="1" applyFill="1" applyBorder="1" applyAlignment="1">
      <alignment vertical="center" wrapText="1"/>
    </xf>
    <xf numFmtId="4" fontId="4" fillId="0" borderId="35" xfId="1" applyNumberFormat="1" applyFont="1" applyBorder="1" applyAlignment="1">
      <alignment horizontal="left" vertical="center" wrapText="1"/>
    </xf>
    <xf numFmtId="4" fontId="5" fillId="0" borderId="4" xfId="1" applyNumberFormat="1" applyFont="1" applyBorder="1" applyAlignment="1">
      <alignment horizontal="center" vertical="center" wrapText="1"/>
    </xf>
    <xf numFmtId="4" fontId="4" fillId="0" borderId="13" xfId="1" applyNumberFormat="1" applyFont="1" applyFill="1" applyBorder="1" applyAlignment="1">
      <alignment vertical="center" wrapText="1"/>
    </xf>
    <xf numFmtId="4" fontId="4" fillId="2" borderId="35" xfId="1" applyNumberFormat="1" applyFont="1" applyFill="1" applyBorder="1" applyAlignment="1">
      <alignment horizontal="center" vertical="center" wrapText="1"/>
    </xf>
    <xf numFmtId="4" fontId="4" fillId="0" borderId="20" xfId="1" applyNumberFormat="1" applyFont="1" applyFill="1" applyBorder="1" applyAlignment="1">
      <alignment horizontal="center" vertical="center" wrapText="1"/>
    </xf>
    <xf numFmtId="4" fontId="4" fillId="0" borderId="14" xfId="1" applyNumberFormat="1" applyFont="1" applyFill="1" applyBorder="1" applyAlignment="1">
      <alignment vertical="center" wrapText="1"/>
    </xf>
    <xf numFmtId="4" fontId="4" fillId="0" borderId="17" xfId="1" applyNumberFormat="1" applyFont="1" applyFill="1" applyBorder="1" applyAlignment="1">
      <alignment vertical="center" wrapText="1"/>
    </xf>
    <xf numFmtId="4" fontId="4" fillId="2" borderId="17" xfId="1" applyNumberFormat="1" applyFont="1" applyFill="1" applyBorder="1" applyAlignment="1">
      <alignment vertical="center" wrapText="1"/>
    </xf>
    <xf numFmtId="4" fontId="4" fillId="0" borderId="12" xfId="1" applyNumberFormat="1" applyFont="1" applyFill="1" applyBorder="1" applyAlignment="1">
      <alignment vertical="center" wrapText="1"/>
    </xf>
    <xf numFmtId="4" fontId="4" fillId="6" borderId="15" xfId="1" applyNumberFormat="1" applyFont="1" applyFill="1" applyBorder="1" applyAlignment="1">
      <alignment vertical="center" wrapText="1"/>
    </xf>
    <xf numFmtId="4" fontId="4" fillId="6" borderId="37" xfId="1" applyNumberFormat="1" applyFont="1" applyFill="1" applyBorder="1" applyAlignment="1">
      <alignment vertical="center" wrapText="1"/>
    </xf>
    <xf numFmtId="4" fontId="4" fillId="2" borderId="14" xfId="1" applyNumberFormat="1" applyFont="1" applyFill="1" applyBorder="1" applyAlignment="1">
      <alignment horizontal="center" vertical="center" wrapText="1"/>
    </xf>
    <xf numFmtId="4" fontId="4" fillId="0" borderId="25" xfId="1" applyNumberFormat="1" applyFont="1" applyFill="1" applyBorder="1" applyAlignment="1">
      <alignment vertical="center" wrapText="1"/>
    </xf>
    <xf numFmtId="4" fontId="4" fillId="2" borderId="3" xfId="1" applyNumberFormat="1" applyFont="1" applyFill="1" applyBorder="1" applyAlignment="1">
      <alignment vertical="center" wrapText="1"/>
    </xf>
    <xf numFmtId="4" fontId="5" fillId="2" borderId="3" xfId="1" applyNumberFormat="1" applyFont="1" applyFill="1" applyBorder="1" applyAlignment="1">
      <alignment horizontal="center" vertical="center" wrapText="1"/>
    </xf>
    <xf numFmtId="164" fontId="4" fillId="0" borderId="19" xfId="1" applyNumberFormat="1" applyFont="1" applyBorder="1" applyAlignment="1">
      <alignment vertical="center" wrapText="1"/>
    </xf>
    <xf numFmtId="4" fontId="4" fillId="0" borderId="19" xfId="1" applyNumberFormat="1" applyFont="1" applyBorder="1" applyAlignment="1">
      <alignment horizontal="right" vertical="center" wrapText="1"/>
    </xf>
    <xf numFmtId="49" fontId="4" fillId="0" borderId="3" xfId="1" applyNumberFormat="1" applyFont="1" applyFill="1" applyBorder="1" applyAlignment="1">
      <alignment horizontal="center" vertical="center" wrapText="1"/>
    </xf>
    <xf numFmtId="4" fontId="3" fillId="0" borderId="3" xfId="1" applyNumberFormat="1" applyFont="1" applyFill="1" applyBorder="1" applyAlignment="1">
      <alignment vertical="center" wrapText="1"/>
    </xf>
    <xf numFmtId="4" fontId="5" fillId="0" borderId="9" xfId="1" applyNumberFormat="1" applyFont="1" applyBorder="1" applyAlignment="1">
      <alignment horizontal="center" vertical="center" wrapText="1"/>
    </xf>
    <xf numFmtId="4" fontId="5" fillId="0" borderId="7" xfId="1" applyNumberFormat="1" applyFont="1" applyBorder="1" applyAlignment="1">
      <alignment horizontal="center" vertical="center" wrapText="1"/>
    </xf>
    <xf numFmtId="4" fontId="3" fillId="0" borderId="9" xfId="1" applyNumberFormat="1" applyFont="1" applyFill="1" applyBorder="1" applyAlignment="1">
      <alignment horizontal="center" vertical="center" wrapText="1"/>
    </xf>
    <xf numFmtId="4" fontId="8" fillId="0" borderId="9" xfId="2" applyNumberFormat="1" applyFont="1" applyBorder="1" applyAlignment="1">
      <alignment horizontal="center" vertical="center" wrapText="1"/>
    </xf>
    <xf numFmtId="4" fontId="8" fillId="0" borderId="7" xfId="2" applyNumberFormat="1" applyFont="1" applyBorder="1" applyAlignment="1">
      <alignment horizontal="center" vertical="center" wrapText="1"/>
    </xf>
    <xf numFmtId="4" fontId="3" fillId="0" borderId="10" xfId="1" applyNumberFormat="1" applyFont="1" applyBorder="1" applyAlignment="1">
      <alignment horizontal="center" vertical="center" wrapText="1"/>
    </xf>
    <xf numFmtId="4" fontId="3" fillId="0" borderId="2" xfId="1" applyNumberFormat="1" applyFont="1" applyBorder="1" applyAlignment="1">
      <alignment horizontal="center" vertical="center" wrapText="1"/>
    </xf>
    <xf numFmtId="4" fontId="4" fillId="0" borderId="27" xfId="1" applyNumberFormat="1" applyFont="1" applyFill="1" applyBorder="1" applyAlignment="1">
      <alignment horizontal="center" vertical="center" wrapText="1"/>
    </xf>
    <xf numFmtId="4" fontId="5" fillId="0" borderId="6" xfId="1" applyNumberFormat="1" applyFont="1" applyBorder="1" applyAlignment="1">
      <alignment horizontal="center" vertical="center" wrapText="1"/>
    </xf>
    <xf numFmtId="4" fontId="3" fillId="0" borderId="12" xfId="1" applyNumberFormat="1" applyFont="1" applyBorder="1" applyAlignment="1">
      <alignment horizontal="center" vertical="center" wrapText="1"/>
    </xf>
    <xf numFmtId="4" fontId="3" fillId="0" borderId="8" xfId="1" applyNumberFormat="1" applyFont="1" applyBorder="1" applyAlignment="1">
      <alignment horizontal="center" vertical="center" wrapText="1"/>
    </xf>
    <xf numFmtId="3" fontId="3" fillId="0" borderId="27" xfId="1" applyNumberFormat="1" applyFont="1" applyFill="1" applyBorder="1" applyAlignment="1">
      <alignment horizontal="center" vertical="center" wrapText="1"/>
    </xf>
    <xf numFmtId="4" fontId="3" fillId="2" borderId="12" xfId="1" applyNumberFormat="1" applyFont="1" applyFill="1" applyBorder="1" applyAlignment="1">
      <alignment horizontal="center" vertical="center" wrapText="1"/>
    </xf>
    <xf numFmtId="4" fontId="3" fillId="2" borderId="8" xfId="1" applyNumberFormat="1" applyFont="1" applyFill="1" applyBorder="1" applyAlignment="1">
      <alignment horizontal="center" vertical="center" wrapText="1"/>
    </xf>
    <xf numFmtId="4" fontId="3" fillId="2" borderId="10" xfId="1" applyNumberFormat="1" applyFont="1" applyFill="1" applyBorder="1" applyAlignment="1">
      <alignment horizontal="center" vertical="center" wrapText="1"/>
    </xf>
    <xf numFmtId="4" fontId="3" fillId="2" borderId="2" xfId="1" applyNumberFormat="1" applyFont="1" applyFill="1" applyBorder="1" applyAlignment="1">
      <alignment horizontal="center" vertical="center" wrapText="1"/>
    </xf>
    <xf numFmtId="4" fontId="3" fillId="2" borderId="26" xfId="1" applyNumberFormat="1" applyFont="1" applyFill="1" applyBorder="1" applyAlignment="1">
      <alignment horizontal="center" vertical="center" wrapText="1"/>
    </xf>
    <xf numFmtId="4" fontId="3" fillId="2" borderId="11" xfId="1" applyNumberFormat="1" applyFont="1" applyFill="1" applyBorder="1" applyAlignment="1">
      <alignment horizontal="center" vertical="center" wrapText="1"/>
    </xf>
    <xf numFmtId="4" fontId="5" fillId="2" borderId="6" xfId="1" applyNumberFormat="1" applyFont="1" applyFill="1" applyBorder="1" applyAlignment="1">
      <alignment horizontal="center" vertical="center" wrapText="1"/>
    </xf>
    <xf numFmtId="4" fontId="5" fillId="2" borderId="9" xfId="1" applyNumberFormat="1" applyFont="1" applyFill="1" applyBorder="1" applyAlignment="1">
      <alignment horizontal="center" vertical="center" wrapText="1"/>
    </xf>
    <xf numFmtId="4" fontId="5" fillId="2" borderId="7" xfId="1" applyNumberFormat="1" applyFont="1" applyFill="1" applyBorder="1" applyAlignment="1">
      <alignment horizontal="center" vertical="center" wrapText="1"/>
    </xf>
    <xf numFmtId="4" fontId="3" fillId="0" borderId="6" xfId="1" applyNumberFormat="1" applyFont="1" applyBorder="1" applyAlignment="1">
      <alignment horizontal="center" vertical="center" wrapText="1"/>
    </xf>
    <xf numFmtId="4" fontId="3" fillId="0" borderId="7" xfId="1" applyNumberFormat="1" applyFont="1" applyBorder="1" applyAlignment="1">
      <alignment horizontal="center" vertical="center" wrapText="1"/>
    </xf>
    <xf numFmtId="4" fontId="3" fillId="0" borderId="12" xfId="1" applyNumberFormat="1" applyFont="1" applyBorder="1" applyAlignment="1">
      <alignment horizontal="center" vertical="center" textRotation="90" wrapText="1"/>
    </xf>
    <xf numFmtId="4" fontId="3" fillId="0" borderId="8" xfId="1" applyNumberFormat="1" applyFont="1" applyBorder="1" applyAlignment="1">
      <alignment horizontal="center" vertical="center" textRotation="90" wrapText="1"/>
    </xf>
    <xf numFmtId="4" fontId="3" fillId="0" borderId="10" xfId="1" applyNumberFormat="1" applyFont="1" applyBorder="1" applyAlignment="1">
      <alignment horizontal="center" vertical="center" textRotation="90" wrapText="1"/>
    </xf>
    <xf numFmtId="4" fontId="3" fillId="0" borderId="2" xfId="1" applyNumberFormat="1" applyFont="1" applyBorder="1" applyAlignment="1">
      <alignment horizontal="center" vertical="center" textRotation="90" wrapText="1"/>
    </xf>
    <xf numFmtId="4" fontId="4" fillId="0" borderId="12" xfId="1" applyNumberFormat="1" applyFont="1" applyFill="1" applyBorder="1" applyAlignment="1">
      <alignment horizontal="center" vertical="center" wrapText="1"/>
    </xf>
    <xf numFmtId="4" fontId="4" fillId="0" borderId="10" xfId="1" applyNumberFormat="1" applyFont="1" applyFill="1" applyBorder="1" applyAlignment="1">
      <alignment horizontal="center" vertical="center" wrapText="1"/>
    </xf>
    <xf numFmtId="4" fontId="3" fillId="0" borderId="26" xfId="1" applyNumberFormat="1" applyFont="1" applyFill="1" applyBorder="1" applyAlignment="1">
      <alignment horizontal="center" vertical="center" wrapText="1"/>
    </xf>
    <xf numFmtId="4" fontId="3" fillId="0" borderId="7" xfId="1" applyNumberFormat="1" applyFont="1" applyFill="1" applyBorder="1" applyAlignment="1">
      <alignment horizontal="center" vertical="center" wrapText="1"/>
    </xf>
    <xf numFmtId="4" fontId="3" fillId="0" borderId="27" xfId="1" applyNumberFormat="1" applyFont="1" applyBorder="1" applyAlignment="1">
      <alignment horizontal="center" vertical="center" textRotation="90" wrapText="1"/>
    </xf>
    <xf numFmtId="4" fontId="3" fillId="2" borderId="27" xfId="1" applyNumberFormat="1" applyFont="1" applyFill="1" applyBorder="1" applyAlignment="1">
      <alignment horizontal="center" vertical="center" wrapText="1"/>
    </xf>
    <xf numFmtId="4" fontId="3" fillId="2" borderId="5" xfId="1" applyNumberFormat="1" applyFont="1" applyFill="1" applyBorder="1" applyAlignment="1">
      <alignment horizontal="center" vertical="center" wrapText="1"/>
    </xf>
    <xf numFmtId="49" fontId="4" fillId="0" borderId="27" xfId="1" applyNumberFormat="1" applyFont="1" applyFill="1" applyBorder="1" applyAlignment="1">
      <alignment horizontal="center" vertical="center" wrapText="1"/>
    </xf>
    <xf numFmtId="4" fontId="3" fillId="2" borderId="6" xfId="1" applyNumberFormat="1" applyFont="1" applyFill="1" applyBorder="1" applyAlignment="1">
      <alignment horizontal="center" vertical="center" wrapText="1"/>
    </xf>
    <xf numFmtId="4" fontId="3" fillId="2" borderId="9" xfId="1" applyNumberFormat="1" applyFont="1" applyFill="1" applyBorder="1" applyAlignment="1">
      <alignment horizontal="center" vertical="center" wrapText="1"/>
    </xf>
    <xf numFmtId="0" fontId="4" fillId="0" borderId="27" xfId="1" applyNumberFormat="1" applyFont="1" applyFill="1" applyBorder="1" applyAlignment="1">
      <alignment horizontal="center" vertical="center" wrapText="1"/>
    </xf>
    <xf numFmtId="4" fontId="3" fillId="2" borderId="7" xfId="1" applyNumberFormat="1" applyFont="1" applyFill="1" applyBorder="1" applyAlignment="1">
      <alignment horizontal="center" vertical="center" wrapText="1"/>
    </xf>
    <xf numFmtId="4" fontId="5" fillId="2" borderId="12" xfId="1" applyNumberFormat="1" applyFont="1" applyFill="1" applyBorder="1" applyAlignment="1">
      <alignment horizontal="left" vertical="center" wrapText="1"/>
    </xf>
    <xf numFmtId="4" fontId="5" fillId="2" borderId="9" xfId="1" applyNumberFormat="1" applyFont="1" applyFill="1" applyBorder="1" applyAlignment="1">
      <alignment horizontal="left" vertical="center" wrapText="1"/>
    </xf>
    <xf numFmtId="4" fontId="5" fillId="2" borderId="7" xfId="1" applyNumberFormat="1" applyFont="1" applyFill="1" applyBorder="1" applyAlignment="1">
      <alignment horizontal="left" vertical="center" wrapText="1"/>
    </xf>
    <xf numFmtId="4" fontId="4" fillId="0" borderId="0" xfId="1" applyNumberFormat="1" applyFont="1" applyAlignment="1">
      <alignment horizontal="left" vertical="center" wrapText="1"/>
    </xf>
    <xf numFmtId="4" fontId="4" fillId="0" borderId="0" xfId="3" applyNumberFormat="1" applyFont="1" applyAlignment="1">
      <alignment horizontal="left" vertical="center" wrapText="1"/>
    </xf>
    <xf numFmtId="4" fontId="4" fillId="0" borderId="0" xfId="1" applyNumberFormat="1" applyFont="1" applyAlignment="1">
      <alignment vertical="center" wrapText="1"/>
    </xf>
    <xf numFmtId="4" fontId="4" fillId="0" borderId="6" xfId="1" applyNumberFormat="1" applyFont="1" applyBorder="1" applyAlignment="1">
      <alignment horizontal="center" vertical="center" wrapText="1"/>
    </xf>
    <xf numFmtId="4" fontId="4" fillId="0" borderId="7" xfId="1" applyNumberFormat="1" applyFont="1" applyBorder="1" applyAlignment="1">
      <alignment horizontal="center" vertical="center" wrapText="1"/>
    </xf>
    <xf numFmtId="4" fontId="4" fillId="0" borderId="1" xfId="1" applyNumberFormat="1" applyFont="1" applyBorder="1" applyAlignment="1">
      <alignment horizontal="center" vertical="center" wrapText="1"/>
    </xf>
    <xf numFmtId="4" fontId="4" fillId="0" borderId="5" xfId="1" applyNumberFormat="1" applyFont="1" applyBorder="1" applyAlignment="1">
      <alignment horizontal="center" vertical="center" wrapText="1"/>
    </xf>
    <xf numFmtId="4" fontId="4" fillId="0" borderId="8" xfId="1" applyNumberFormat="1" applyFont="1" applyBorder="1" applyAlignment="1">
      <alignment horizontal="center" vertical="center" wrapText="1"/>
    </xf>
    <xf numFmtId="4" fontId="4" fillId="0" borderId="11" xfId="1" applyNumberFormat="1" applyFont="1" applyBorder="1" applyAlignment="1">
      <alignment horizontal="center" vertical="center" wrapText="1"/>
    </xf>
    <xf numFmtId="4" fontId="4" fillId="0" borderId="9" xfId="1" applyNumberFormat="1" applyFont="1" applyBorder="1" applyAlignment="1">
      <alignment horizontal="center" vertical="center" wrapText="1"/>
    </xf>
    <xf numFmtId="4" fontId="4" fillId="0" borderId="1" xfId="1" applyNumberFormat="1" applyFont="1" applyFill="1" applyBorder="1" applyAlignment="1">
      <alignment vertical="center" wrapText="1"/>
    </xf>
    <xf numFmtId="4" fontId="4" fillId="0" borderId="5" xfId="1" applyNumberFormat="1" applyFont="1" applyFill="1" applyBorder="1" applyAlignment="1">
      <alignment vertical="center" wrapText="1"/>
    </xf>
    <xf numFmtId="4" fontId="4" fillId="0" borderId="10" xfId="1" applyNumberFormat="1" applyFont="1" applyBorder="1" applyAlignment="1">
      <alignment horizontal="center" vertical="center" wrapText="1"/>
    </xf>
    <xf numFmtId="4" fontId="4" fillId="0" borderId="2" xfId="1" applyNumberFormat="1" applyFont="1" applyBorder="1" applyAlignment="1">
      <alignment horizontal="center" vertical="center" wrapText="1"/>
    </xf>
    <xf numFmtId="4" fontId="8" fillId="0" borderId="0" xfId="2" applyNumberFormat="1" applyFont="1" applyAlignment="1">
      <alignment vertical="center" wrapText="1"/>
    </xf>
    <xf numFmtId="4" fontId="4" fillId="0" borderId="2" xfId="1" applyNumberFormat="1" applyFont="1" applyBorder="1" applyAlignment="1">
      <alignment vertical="center" wrapText="1"/>
    </xf>
    <xf numFmtId="4" fontId="3" fillId="0" borderId="4" xfId="1" applyNumberFormat="1" applyFont="1" applyFill="1" applyBorder="1" applyAlignment="1">
      <alignment horizontal="left" vertical="center" wrapText="1"/>
    </xf>
    <xf numFmtId="4" fontId="3" fillId="0" borderId="0" xfId="1" applyNumberFormat="1" applyFont="1" applyBorder="1" applyAlignment="1">
      <alignment horizontal="center" vertical="center" wrapText="1"/>
    </xf>
    <xf numFmtId="4" fontId="3" fillId="0" borderId="0" xfId="1" applyNumberFormat="1" applyFont="1" applyBorder="1" applyAlignment="1">
      <alignment horizontal="left" vertical="center" wrapText="1"/>
    </xf>
    <xf numFmtId="4" fontId="4" fillId="0" borderId="5" xfId="1" applyNumberFormat="1" applyFont="1" applyFill="1" applyBorder="1" applyAlignment="1">
      <alignment horizontal="center" vertical="center" wrapText="1"/>
    </xf>
    <xf numFmtId="4" fontId="3" fillId="0" borderId="10" xfId="1" applyNumberFormat="1" applyFont="1" applyFill="1" applyBorder="1" applyAlignment="1">
      <alignment horizontal="center" vertical="center" wrapText="1"/>
    </xf>
    <xf numFmtId="4" fontId="3" fillId="0" borderId="8" xfId="1" applyNumberFormat="1" applyFont="1" applyFill="1" applyBorder="1" applyAlignment="1">
      <alignment horizontal="center" vertical="center" wrapText="1"/>
    </xf>
    <xf numFmtId="49" fontId="4" fillId="0" borderId="1" xfId="1" applyNumberFormat="1" applyFont="1" applyFill="1" applyBorder="1" applyAlignment="1">
      <alignment horizontal="center" vertical="center" wrapText="1"/>
    </xf>
    <xf numFmtId="49" fontId="4" fillId="0" borderId="5" xfId="1" applyNumberFormat="1" applyFont="1" applyFill="1" applyBorder="1" applyAlignment="1">
      <alignment horizontal="center" vertical="center" wrapText="1"/>
    </xf>
  </cellXfs>
  <cellStyles count="4">
    <cellStyle name="Обычный" xfId="0" builtinId="0"/>
    <cellStyle name="Обычный 12" xfId="2"/>
    <cellStyle name="Обычный 2 6" xfId="1"/>
    <cellStyle name="Обычный 8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15"/>
  <sheetViews>
    <sheetView tabSelected="1" view="pageBreakPreview" zoomScale="90" zoomScaleNormal="100" zoomScaleSheetLayoutView="90" workbookViewId="0">
      <pane xSplit="4" ySplit="14" topLeftCell="E69" activePane="bottomRight" state="frozen"/>
      <selection pane="topRight" activeCell="E1" sqref="E1"/>
      <selection pane="bottomLeft" activeCell="A15" sqref="A15"/>
      <selection pane="bottomRight" activeCell="O113" sqref="O113"/>
    </sheetView>
  </sheetViews>
  <sheetFormatPr defaultRowHeight="15.75" x14ac:dyDescent="0.25"/>
  <cols>
    <col min="1" max="1" width="11.28515625" style="52" customWidth="1"/>
    <col min="2" max="2" width="12.5703125" style="52" customWidth="1"/>
    <col min="3" max="3" width="9.42578125" style="52" bestFit="1" customWidth="1"/>
    <col min="4" max="4" width="40.28515625" style="52" customWidth="1"/>
    <col min="5" max="5" width="36.5703125" style="52" customWidth="1"/>
    <col min="6" max="6" width="16.85546875" style="52" customWidth="1"/>
    <col min="7" max="8" width="14.28515625" style="52" customWidth="1"/>
    <col min="9" max="9" width="16" style="52" customWidth="1"/>
    <col min="10" max="14" width="14.28515625" style="52" customWidth="1"/>
    <col min="15" max="15" width="17" style="52" customWidth="1"/>
    <col min="16" max="16" width="16" style="52" customWidth="1"/>
    <col min="17" max="17" width="9.140625" style="32"/>
  </cols>
  <sheetData>
    <row r="1" spans="1:17" ht="16.5" thickBot="1" x14ac:dyDescent="0.3"/>
    <row r="2" spans="1:17" ht="16.5" thickBot="1" x14ac:dyDescent="0.3">
      <c r="A2" s="37"/>
      <c r="B2" s="35"/>
      <c r="C2" s="53"/>
      <c r="D2" s="35"/>
      <c r="E2" s="166"/>
      <c r="F2" s="36"/>
      <c r="G2" s="36"/>
      <c r="H2" s="37"/>
      <c r="I2" s="37"/>
      <c r="J2" s="37"/>
      <c r="K2" s="37"/>
      <c r="L2" s="37"/>
      <c r="M2" s="37"/>
      <c r="N2" s="37"/>
      <c r="O2" s="54" t="s">
        <v>0</v>
      </c>
      <c r="P2" s="35"/>
    </row>
    <row r="3" spans="1:17" ht="16.5" thickBot="1" x14ac:dyDescent="0.3">
      <c r="A3" s="37"/>
      <c r="B3" s="35"/>
      <c r="C3" s="53"/>
      <c r="D3" s="35"/>
      <c r="E3" s="166"/>
      <c r="F3" s="36"/>
      <c r="G3" s="36"/>
      <c r="H3" s="37"/>
      <c r="I3" s="37"/>
      <c r="J3" s="37"/>
      <c r="K3" s="37"/>
      <c r="L3" s="269" t="s">
        <v>1</v>
      </c>
      <c r="M3" s="269"/>
      <c r="N3" s="282"/>
      <c r="O3" s="34" t="s">
        <v>2</v>
      </c>
      <c r="P3" s="35"/>
    </row>
    <row r="4" spans="1:17" ht="16.5" thickBot="1" x14ac:dyDescent="0.3">
      <c r="A4" s="37"/>
      <c r="B4" s="33"/>
      <c r="C4" s="33"/>
      <c r="D4" s="283" t="s">
        <v>115</v>
      </c>
      <c r="E4" s="283"/>
      <c r="F4" s="283"/>
      <c r="G4" s="283"/>
      <c r="H4" s="283"/>
      <c r="I4" s="283"/>
      <c r="J4" s="283"/>
      <c r="K4" s="283"/>
      <c r="L4" s="283"/>
      <c r="M4" s="283"/>
      <c r="N4" s="37" t="s">
        <v>3</v>
      </c>
      <c r="O4" s="55">
        <v>57802481</v>
      </c>
      <c r="P4" s="35"/>
    </row>
    <row r="5" spans="1:17" x14ac:dyDescent="0.25">
      <c r="A5" s="37"/>
      <c r="B5" s="267" t="s">
        <v>4</v>
      </c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37"/>
      <c r="N5" s="37"/>
      <c r="O5" s="37"/>
      <c r="P5" s="35"/>
    </row>
    <row r="6" spans="1:17" ht="16.5" thickBot="1" x14ac:dyDescent="0.3">
      <c r="A6" s="37"/>
      <c r="B6" s="35"/>
      <c r="C6" s="53"/>
      <c r="D6" s="35"/>
      <c r="E6" s="166"/>
      <c r="F6" s="36"/>
      <c r="G6" s="36"/>
      <c r="H6" s="37"/>
      <c r="I6" s="37"/>
      <c r="J6" s="37"/>
      <c r="K6" s="37"/>
      <c r="L6" s="37"/>
      <c r="M6" s="37"/>
      <c r="N6" s="37"/>
      <c r="O6" s="37"/>
      <c r="P6" s="35"/>
    </row>
    <row r="7" spans="1:17" ht="32.25" thickBot="1" x14ac:dyDescent="0.3">
      <c r="A7" s="37"/>
      <c r="B7" s="35"/>
      <c r="C7" s="53"/>
      <c r="D7" s="35"/>
      <c r="E7" s="166"/>
      <c r="F7" s="36"/>
      <c r="G7" s="36"/>
      <c r="H7" s="37"/>
      <c r="I7" s="37"/>
      <c r="J7" s="37"/>
      <c r="K7" s="34" t="s">
        <v>5</v>
      </c>
      <c r="L7" s="34" t="s">
        <v>6</v>
      </c>
      <c r="M7" s="37"/>
      <c r="N7" s="37"/>
      <c r="O7" s="37"/>
      <c r="P7" s="35"/>
    </row>
    <row r="8" spans="1:17" ht="16.5" thickBot="1" x14ac:dyDescent="0.3">
      <c r="A8" s="37"/>
      <c r="B8" s="284" t="s">
        <v>7</v>
      </c>
      <c r="C8" s="284"/>
      <c r="D8" s="284"/>
      <c r="E8" s="284"/>
      <c r="F8" s="284"/>
      <c r="G8" s="56"/>
      <c r="H8" s="46"/>
      <c r="I8" s="46"/>
      <c r="J8" s="46"/>
      <c r="K8" s="34"/>
      <c r="L8" s="57"/>
      <c r="M8" s="37"/>
      <c r="N8" s="285" t="s">
        <v>8</v>
      </c>
      <c r="O8" s="285"/>
      <c r="P8" s="285"/>
    </row>
    <row r="9" spans="1:17" x14ac:dyDescent="0.25">
      <c r="A9" s="37"/>
      <c r="B9" s="35"/>
      <c r="C9" s="269" t="s">
        <v>130</v>
      </c>
      <c r="D9" s="269"/>
      <c r="E9" s="269"/>
      <c r="F9" s="281"/>
      <c r="G9" s="36"/>
      <c r="H9" s="37"/>
      <c r="I9" s="37"/>
      <c r="J9" s="37"/>
      <c r="K9" s="37"/>
      <c r="L9" s="37"/>
      <c r="M9" s="269" t="s">
        <v>117</v>
      </c>
      <c r="N9" s="281"/>
      <c r="O9" s="281"/>
      <c r="P9" s="37"/>
    </row>
    <row r="10" spans="1:17" x14ac:dyDescent="0.25">
      <c r="A10" s="37"/>
      <c r="B10" s="35"/>
      <c r="C10" s="53"/>
      <c r="D10" s="36"/>
      <c r="E10" s="36"/>
      <c r="F10" s="36"/>
      <c r="G10" s="36"/>
      <c r="H10" s="37"/>
      <c r="I10" s="37"/>
      <c r="J10" s="37"/>
      <c r="K10" s="37"/>
      <c r="L10" s="37"/>
      <c r="M10" s="267" t="s">
        <v>114</v>
      </c>
      <c r="N10" s="268"/>
      <c r="O10" s="268"/>
      <c r="P10" s="268"/>
    </row>
    <row r="11" spans="1:17" x14ac:dyDescent="0.25">
      <c r="A11" s="37"/>
      <c r="B11" s="37"/>
      <c r="C11" s="58"/>
      <c r="D11" s="37"/>
      <c r="E11" s="164"/>
      <c r="F11" s="36"/>
      <c r="G11" s="36"/>
      <c r="H11" s="37"/>
      <c r="I11" s="37"/>
      <c r="J11" s="37"/>
      <c r="K11" s="37"/>
      <c r="L11" s="37"/>
      <c r="M11" s="269" t="s">
        <v>9</v>
      </c>
      <c r="N11" s="269"/>
      <c r="O11" s="59">
        <f>G113</f>
        <v>20</v>
      </c>
      <c r="P11" s="37"/>
    </row>
    <row r="12" spans="1:17" ht="16.5" thickBot="1" x14ac:dyDescent="0.3">
      <c r="A12" s="37"/>
      <c r="B12" s="37"/>
      <c r="C12" s="58"/>
      <c r="D12" s="37"/>
      <c r="E12" s="164"/>
      <c r="F12" s="36"/>
      <c r="G12" s="36"/>
      <c r="H12" s="37"/>
      <c r="I12" s="37"/>
      <c r="J12" s="37"/>
      <c r="K12" s="37"/>
      <c r="L12" s="37"/>
      <c r="M12" s="37"/>
      <c r="N12" s="37"/>
      <c r="O12" s="37"/>
      <c r="P12" s="36"/>
    </row>
    <row r="13" spans="1:17" ht="39" customHeight="1" thickBot="1" x14ac:dyDescent="0.3">
      <c r="A13" s="270" t="s">
        <v>10</v>
      </c>
      <c r="B13" s="271"/>
      <c r="C13" s="38"/>
      <c r="D13" s="272" t="s">
        <v>11</v>
      </c>
      <c r="E13" s="272" t="s">
        <v>118</v>
      </c>
      <c r="F13" s="274" t="s">
        <v>12</v>
      </c>
      <c r="G13" s="272" t="s">
        <v>13</v>
      </c>
      <c r="H13" s="272" t="s">
        <v>14</v>
      </c>
      <c r="I13" s="272" t="s">
        <v>15</v>
      </c>
      <c r="J13" s="272" t="s">
        <v>16</v>
      </c>
      <c r="K13" s="272" t="s">
        <v>17</v>
      </c>
      <c r="L13" s="270" t="s">
        <v>18</v>
      </c>
      <c r="M13" s="276"/>
      <c r="N13" s="271"/>
      <c r="O13" s="277" t="s">
        <v>19</v>
      </c>
      <c r="P13" s="272" t="s">
        <v>20</v>
      </c>
    </row>
    <row r="14" spans="1:17" ht="48" thickBot="1" x14ac:dyDescent="0.3">
      <c r="A14" s="279" t="s">
        <v>21</v>
      </c>
      <c r="B14" s="280"/>
      <c r="C14" s="60" t="s">
        <v>22</v>
      </c>
      <c r="D14" s="273"/>
      <c r="E14" s="273"/>
      <c r="F14" s="275"/>
      <c r="G14" s="273"/>
      <c r="H14" s="273"/>
      <c r="I14" s="273"/>
      <c r="J14" s="273"/>
      <c r="K14" s="273"/>
      <c r="L14" s="39" t="s">
        <v>23</v>
      </c>
      <c r="M14" s="40" t="s">
        <v>24</v>
      </c>
      <c r="N14" s="40" t="s">
        <v>25</v>
      </c>
      <c r="O14" s="278"/>
      <c r="P14" s="273"/>
    </row>
    <row r="15" spans="1:17" s="51" customFormat="1" ht="16.5" thickBot="1" x14ac:dyDescent="0.3">
      <c r="A15" s="61"/>
      <c r="B15" s="62">
        <v>1</v>
      </c>
      <c r="C15" s="63">
        <v>2</v>
      </c>
      <c r="D15" s="64">
        <v>3</v>
      </c>
      <c r="E15" s="65" t="s">
        <v>119</v>
      </c>
      <c r="F15" s="65">
        <v>4</v>
      </c>
      <c r="G15" s="64">
        <v>5</v>
      </c>
      <c r="H15" s="64">
        <v>6</v>
      </c>
      <c r="I15" s="64">
        <v>7</v>
      </c>
      <c r="J15" s="64">
        <v>8</v>
      </c>
      <c r="K15" s="62">
        <v>9</v>
      </c>
      <c r="L15" s="61">
        <v>10</v>
      </c>
      <c r="M15" s="61">
        <v>11</v>
      </c>
      <c r="N15" s="184">
        <v>12</v>
      </c>
      <c r="O15" s="61">
        <v>13</v>
      </c>
      <c r="P15" s="61">
        <v>15</v>
      </c>
      <c r="Q15" s="50"/>
    </row>
    <row r="16" spans="1:17" ht="16.5" thickBot="1" x14ac:dyDescent="0.3">
      <c r="A16" s="248" t="s">
        <v>26</v>
      </c>
      <c r="B16" s="249"/>
      <c r="C16" s="252" t="s">
        <v>27</v>
      </c>
      <c r="D16" s="157" t="s">
        <v>28</v>
      </c>
      <c r="E16" s="208"/>
      <c r="F16" s="66">
        <v>18</v>
      </c>
      <c r="G16" s="67">
        <v>1</v>
      </c>
      <c r="H16" s="68"/>
      <c r="I16" s="68">
        <f>86000/5600</f>
        <v>15.357142857142858</v>
      </c>
      <c r="J16" s="68">
        <v>500000</v>
      </c>
      <c r="K16" s="68">
        <f t="shared" ref="K16:K21" si="0">J16</f>
        <v>500000</v>
      </c>
      <c r="L16" s="68"/>
      <c r="M16" s="160">
        <v>150000</v>
      </c>
      <c r="N16" s="68"/>
      <c r="O16" s="68">
        <f>K16+L16+M16+N16</f>
        <v>650000</v>
      </c>
      <c r="P16" s="41" t="s">
        <v>29</v>
      </c>
      <c r="Q16" s="32">
        <f>O16*12</f>
        <v>7800000</v>
      </c>
    </row>
    <row r="17" spans="1:17" ht="32.25" thickBot="1" x14ac:dyDescent="0.3">
      <c r="A17" s="250"/>
      <c r="B17" s="251"/>
      <c r="C17" s="253"/>
      <c r="D17" s="158" t="s">
        <v>30</v>
      </c>
      <c r="E17" s="42"/>
      <c r="F17" s="23">
        <v>16</v>
      </c>
      <c r="G17" s="24">
        <v>1</v>
      </c>
      <c r="H17" s="25"/>
      <c r="I17" s="25">
        <f>53950/5600</f>
        <v>9.6339285714285712</v>
      </c>
      <c r="J17" s="68">
        <v>400000</v>
      </c>
      <c r="K17" s="25">
        <f t="shared" si="0"/>
        <v>400000</v>
      </c>
      <c r="L17" s="25"/>
      <c r="M17" s="160">
        <v>130000</v>
      </c>
      <c r="N17" s="9"/>
      <c r="O17" s="25">
        <f t="shared" ref="O17:O21" si="1">K17+L17+M17+N17</f>
        <v>530000</v>
      </c>
      <c r="P17" s="41" t="s">
        <v>29</v>
      </c>
      <c r="Q17" s="32">
        <f t="shared" ref="Q17:Q21" si="2">O17*12</f>
        <v>6360000</v>
      </c>
    </row>
    <row r="18" spans="1:17" ht="32.25" thickBot="1" x14ac:dyDescent="0.3">
      <c r="A18" s="250"/>
      <c r="B18" s="251"/>
      <c r="C18" s="253"/>
      <c r="D18" s="69" t="s">
        <v>31</v>
      </c>
      <c r="E18" s="42"/>
      <c r="F18" s="23">
        <v>14</v>
      </c>
      <c r="G18" s="24">
        <v>1</v>
      </c>
      <c r="H18" s="25"/>
      <c r="I18" s="25">
        <f>45825/5600</f>
        <v>8.1830357142857135</v>
      </c>
      <c r="J18" s="68">
        <v>400000</v>
      </c>
      <c r="K18" s="25">
        <f t="shared" si="0"/>
        <v>400000</v>
      </c>
      <c r="L18" s="25"/>
      <c r="M18" s="160">
        <v>130000</v>
      </c>
      <c r="N18" s="9"/>
      <c r="O18" s="25">
        <f t="shared" si="1"/>
        <v>530000</v>
      </c>
      <c r="P18" s="41" t="s">
        <v>29</v>
      </c>
      <c r="Q18" s="32">
        <f t="shared" si="2"/>
        <v>6360000</v>
      </c>
    </row>
    <row r="19" spans="1:17" ht="32.25" thickBot="1" x14ac:dyDescent="0.3">
      <c r="A19" s="250"/>
      <c r="B19" s="251"/>
      <c r="C19" s="253"/>
      <c r="D19" s="69" t="s">
        <v>32</v>
      </c>
      <c r="E19" s="42"/>
      <c r="F19" s="23">
        <v>16</v>
      </c>
      <c r="G19" s="24">
        <v>1</v>
      </c>
      <c r="H19" s="25"/>
      <c r="I19" s="25">
        <f>55000/5600</f>
        <v>9.8214285714285712</v>
      </c>
      <c r="J19" s="68">
        <v>400000</v>
      </c>
      <c r="K19" s="25">
        <f t="shared" si="0"/>
        <v>400000</v>
      </c>
      <c r="L19" s="25"/>
      <c r="M19" s="160">
        <v>130000</v>
      </c>
      <c r="N19" s="9"/>
      <c r="O19" s="25">
        <f t="shared" si="1"/>
        <v>530000</v>
      </c>
      <c r="P19" s="41" t="s">
        <v>29</v>
      </c>
      <c r="Q19" s="32">
        <f t="shared" si="2"/>
        <v>6360000</v>
      </c>
    </row>
    <row r="20" spans="1:17" ht="32.25" thickBot="1" x14ac:dyDescent="0.3">
      <c r="A20" s="250"/>
      <c r="B20" s="251"/>
      <c r="C20" s="253"/>
      <c r="D20" s="158" t="s">
        <v>33</v>
      </c>
      <c r="E20" s="42"/>
      <c r="F20" s="71">
        <v>16</v>
      </c>
      <c r="G20" s="24">
        <v>1</v>
      </c>
      <c r="H20" s="25"/>
      <c r="I20" s="9">
        <f>I17</f>
        <v>9.6339285714285712</v>
      </c>
      <c r="J20" s="68">
        <v>400000</v>
      </c>
      <c r="K20" s="25">
        <f t="shared" si="0"/>
        <v>400000</v>
      </c>
      <c r="L20" s="9"/>
      <c r="M20" s="160">
        <v>130000</v>
      </c>
      <c r="N20" s="9"/>
      <c r="O20" s="25">
        <f t="shared" si="1"/>
        <v>530000</v>
      </c>
      <c r="P20" s="41" t="s">
        <v>29</v>
      </c>
      <c r="Q20" s="32">
        <f t="shared" si="2"/>
        <v>6360000</v>
      </c>
    </row>
    <row r="21" spans="1:17" ht="31.5" x14ac:dyDescent="0.25">
      <c r="A21" s="250"/>
      <c r="B21" s="251"/>
      <c r="C21" s="253"/>
      <c r="D21" s="73" t="s">
        <v>34</v>
      </c>
      <c r="E21" s="42"/>
      <c r="F21" s="1">
        <v>12</v>
      </c>
      <c r="G21" s="24">
        <v>1</v>
      </c>
      <c r="H21" s="25"/>
      <c r="I21" s="3">
        <v>5.0999999999999996</v>
      </c>
      <c r="J21" s="68">
        <v>400000</v>
      </c>
      <c r="K21" s="25">
        <f t="shared" si="0"/>
        <v>400000</v>
      </c>
      <c r="L21" s="25"/>
      <c r="M21" s="160">
        <v>130000</v>
      </c>
      <c r="N21" s="3"/>
      <c r="O21" s="25">
        <f t="shared" si="1"/>
        <v>530000</v>
      </c>
      <c r="P21" s="41" t="s">
        <v>29</v>
      </c>
      <c r="Q21" s="32">
        <f t="shared" si="2"/>
        <v>6360000</v>
      </c>
    </row>
    <row r="22" spans="1:17" x14ac:dyDescent="0.25">
      <c r="A22" s="250"/>
      <c r="B22" s="251"/>
      <c r="C22" s="253"/>
      <c r="D22" s="42" t="s">
        <v>35</v>
      </c>
      <c r="E22" s="42"/>
      <c r="F22" s="71">
        <v>8</v>
      </c>
      <c r="G22" s="72"/>
      <c r="H22" s="25"/>
      <c r="I22" s="9">
        <v>3.12</v>
      </c>
      <c r="J22" s="9"/>
      <c r="K22" s="9"/>
      <c r="L22" s="9"/>
      <c r="M22" s="9"/>
      <c r="N22" s="9"/>
      <c r="O22" s="9"/>
      <c r="P22" s="77"/>
    </row>
    <row r="23" spans="1:17" ht="31.5" x14ac:dyDescent="0.25">
      <c r="A23" s="250"/>
      <c r="B23" s="251"/>
      <c r="C23" s="253"/>
      <c r="D23" s="42" t="s">
        <v>36</v>
      </c>
      <c r="E23" s="42"/>
      <c r="F23" s="1">
        <v>12</v>
      </c>
      <c r="G23" s="2"/>
      <c r="H23" s="25"/>
      <c r="I23" s="3">
        <f>30105/5600</f>
        <v>5.3758928571428575</v>
      </c>
      <c r="J23" s="9"/>
      <c r="K23" s="25"/>
      <c r="L23" s="25"/>
      <c r="M23" s="25"/>
      <c r="N23" s="3"/>
      <c r="O23" s="25"/>
      <c r="P23" s="43"/>
    </row>
    <row r="24" spans="1:17" ht="16.5" thickBot="1" x14ac:dyDescent="0.3">
      <c r="A24" s="250"/>
      <c r="B24" s="251"/>
      <c r="C24" s="253"/>
      <c r="D24" s="78" t="s">
        <v>37</v>
      </c>
      <c r="E24" s="197"/>
      <c r="F24" s="26">
        <v>3</v>
      </c>
      <c r="G24" s="27"/>
      <c r="H24" s="28"/>
      <c r="I24" s="28">
        <v>1.69</v>
      </c>
      <c r="J24" s="28"/>
      <c r="K24" s="28"/>
      <c r="L24" s="28"/>
      <c r="M24" s="28"/>
      <c r="N24" s="28"/>
      <c r="O24" s="28"/>
      <c r="P24" s="82"/>
    </row>
    <row r="25" spans="1:17" ht="16.5" thickBot="1" x14ac:dyDescent="0.3">
      <c r="A25" s="83"/>
      <c r="B25" s="225" t="s">
        <v>38</v>
      </c>
      <c r="C25" s="225"/>
      <c r="D25" s="226"/>
      <c r="E25" s="173"/>
      <c r="F25" s="163"/>
      <c r="G25" s="18">
        <f>SUM(G16:G24)</f>
        <v>6</v>
      </c>
      <c r="H25" s="19"/>
      <c r="I25" s="4">
        <f>((G16*I16)+(G17*I17)+(G18*I18)+(G19*I19)+(G21*I21)+(G23*I23)+(G24*I24))/G25</f>
        <v>8.01592261904762</v>
      </c>
      <c r="J25" s="19">
        <f>SUM(J16:J24)</f>
        <v>2500000</v>
      </c>
      <c r="K25" s="19">
        <f t="shared" ref="K25:N25" si="3">SUM(K16:K24)</f>
        <v>2500000</v>
      </c>
      <c r="L25" s="19">
        <f t="shared" si="3"/>
        <v>0</v>
      </c>
      <c r="M25" s="19">
        <f t="shared" si="3"/>
        <v>800000</v>
      </c>
      <c r="N25" s="19">
        <f t="shared" si="3"/>
        <v>0</v>
      </c>
      <c r="O25" s="19">
        <f>SUM(O16:O24)</f>
        <v>3300000</v>
      </c>
      <c r="P25" s="84"/>
    </row>
    <row r="26" spans="1:17" ht="16.5" thickBot="1" x14ac:dyDescent="0.3">
      <c r="A26" s="239" t="s">
        <v>39</v>
      </c>
      <c r="B26" s="240"/>
      <c r="C26" s="232" t="s">
        <v>40</v>
      </c>
      <c r="D26" s="159" t="s">
        <v>41</v>
      </c>
      <c r="E26" s="185"/>
      <c r="F26" s="86">
        <v>16</v>
      </c>
      <c r="G26" s="87">
        <v>1</v>
      </c>
      <c r="H26" s="25">
        <f>H24</f>
        <v>0</v>
      </c>
      <c r="I26" s="85">
        <v>8.17</v>
      </c>
      <c r="J26" s="25">
        <v>300000</v>
      </c>
      <c r="K26" s="25">
        <f>J26</f>
        <v>300000</v>
      </c>
      <c r="L26" s="25"/>
      <c r="M26" s="160">
        <v>150000</v>
      </c>
      <c r="N26" s="3"/>
      <c r="O26" s="25">
        <f>K26+L26+M26+N26</f>
        <v>450000</v>
      </c>
      <c r="P26" s="41" t="s">
        <v>29</v>
      </c>
    </row>
    <row r="27" spans="1:17" x14ac:dyDescent="0.25">
      <c r="A27" s="239"/>
      <c r="B27" s="240"/>
      <c r="C27" s="232"/>
      <c r="D27" s="3" t="s">
        <v>42</v>
      </c>
      <c r="E27" s="186"/>
      <c r="F27" s="1">
        <v>11</v>
      </c>
      <c r="G27" s="2">
        <v>1</v>
      </c>
      <c r="H27" s="25">
        <f>H26</f>
        <v>0</v>
      </c>
      <c r="I27" s="3">
        <v>4.51</v>
      </c>
      <c r="J27" s="25">
        <v>200000</v>
      </c>
      <c r="K27" s="25">
        <f>J27</f>
        <v>200000</v>
      </c>
      <c r="L27" s="25"/>
      <c r="M27" s="25">
        <v>100000</v>
      </c>
      <c r="N27" s="3"/>
      <c r="O27" s="25">
        <f>K27+L27+M27+N27</f>
        <v>300000</v>
      </c>
      <c r="P27" s="41" t="s">
        <v>29</v>
      </c>
    </row>
    <row r="28" spans="1:17" x14ac:dyDescent="0.25">
      <c r="A28" s="239"/>
      <c r="B28" s="240"/>
      <c r="C28" s="232"/>
      <c r="D28" s="10" t="s">
        <v>43</v>
      </c>
      <c r="E28" s="187"/>
      <c r="F28" s="88">
        <v>9</v>
      </c>
      <c r="G28" s="89"/>
      <c r="H28" s="25">
        <f t="shared" ref="H28:H29" si="4">H26</f>
        <v>0</v>
      </c>
      <c r="I28" s="10">
        <v>3.53</v>
      </c>
      <c r="J28" s="25"/>
      <c r="K28" s="25"/>
      <c r="L28" s="25"/>
      <c r="M28" s="25"/>
      <c r="N28" s="3"/>
      <c r="O28" s="25"/>
      <c r="P28" s="3"/>
    </row>
    <row r="29" spans="1:17" ht="16.5" thickBot="1" x14ac:dyDescent="0.3">
      <c r="A29" s="239"/>
      <c r="B29" s="240"/>
      <c r="C29" s="232"/>
      <c r="D29" s="10" t="s">
        <v>44</v>
      </c>
      <c r="E29" s="187"/>
      <c r="F29" s="88">
        <v>8</v>
      </c>
      <c r="G29" s="89"/>
      <c r="H29" s="25">
        <f t="shared" si="4"/>
        <v>0</v>
      </c>
      <c r="I29" s="10">
        <v>3.12</v>
      </c>
      <c r="J29" s="25"/>
      <c r="K29" s="25"/>
      <c r="L29" s="25"/>
      <c r="M29" s="25"/>
      <c r="N29" s="3"/>
      <c r="O29" s="25"/>
      <c r="P29" s="10"/>
    </row>
    <row r="30" spans="1:17" ht="16.5" thickBot="1" x14ac:dyDescent="0.3">
      <c r="A30" s="243" t="s">
        <v>45</v>
      </c>
      <c r="B30" s="244"/>
      <c r="C30" s="244"/>
      <c r="D30" s="245"/>
      <c r="E30" s="172"/>
      <c r="F30" s="90"/>
      <c r="G30" s="6">
        <f>SUM(G26:G29)</f>
        <v>2</v>
      </c>
      <c r="H30" s="7"/>
      <c r="I30" s="4">
        <f>((G26*I26)+(G27*I27)+(G28*I28)+(G29*I29))/G30</f>
        <v>6.34</v>
      </c>
      <c r="J30" s="7">
        <f t="shared" ref="J30:O30" si="5">SUM(J26:J29)</f>
        <v>500000</v>
      </c>
      <c r="K30" s="7">
        <f t="shared" si="5"/>
        <v>500000</v>
      </c>
      <c r="L30" s="7">
        <f t="shared" si="5"/>
        <v>0</v>
      </c>
      <c r="M30" s="7">
        <f t="shared" si="5"/>
        <v>250000</v>
      </c>
      <c r="N30" s="7">
        <f t="shared" si="5"/>
        <v>0</v>
      </c>
      <c r="O30" s="7">
        <f t="shared" si="5"/>
        <v>750000</v>
      </c>
      <c r="P30" s="91"/>
    </row>
    <row r="31" spans="1:17" ht="16.5" thickBot="1" x14ac:dyDescent="0.3">
      <c r="A31" s="34"/>
      <c r="B31" s="254"/>
      <c r="C31" s="255"/>
      <c r="D31" s="162"/>
      <c r="E31" s="188"/>
      <c r="F31" s="5"/>
      <c r="G31" s="6"/>
      <c r="H31" s="19"/>
      <c r="I31" s="7"/>
      <c r="J31" s="4"/>
      <c r="K31" s="19"/>
      <c r="L31" s="19"/>
      <c r="M31" s="19"/>
      <c r="N31" s="7"/>
      <c r="O31" s="19"/>
      <c r="P31" s="93"/>
    </row>
    <row r="32" spans="1:17" ht="16.5" thickBot="1" x14ac:dyDescent="0.3">
      <c r="A32" s="239" t="s">
        <v>120</v>
      </c>
      <c r="B32" s="240"/>
      <c r="C32" s="232" t="s">
        <v>48</v>
      </c>
      <c r="D32" s="159" t="s">
        <v>121</v>
      </c>
      <c r="E32" s="185"/>
      <c r="F32" s="86">
        <v>16</v>
      </c>
      <c r="G32" s="87">
        <v>1</v>
      </c>
      <c r="H32" s="25">
        <f>H30</f>
        <v>0</v>
      </c>
      <c r="I32" s="85">
        <v>8.17</v>
      </c>
      <c r="J32" s="25">
        <v>300000</v>
      </c>
      <c r="K32" s="25">
        <f>J32</f>
        <v>300000</v>
      </c>
      <c r="L32" s="25"/>
      <c r="M32" s="160">
        <v>150000</v>
      </c>
      <c r="N32" s="3"/>
      <c r="O32" s="25">
        <f>K32+L32+M32+N32</f>
        <v>450000</v>
      </c>
      <c r="P32" s="41" t="s">
        <v>29</v>
      </c>
    </row>
    <row r="33" spans="1:16" x14ac:dyDescent="0.25">
      <c r="A33" s="239"/>
      <c r="B33" s="240"/>
      <c r="C33" s="232"/>
      <c r="D33" s="3" t="s">
        <v>122</v>
      </c>
      <c r="E33" s="186"/>
      <c r="F33" s="1">
        <v>11</v>
      </c>
      <c r="G33" s="2">
        <v>1</v>
      </c>
      <c r="H33" s="25">
        <f>H32</f>
        <v>0</v>
      </c>
      <c r="I33" s="3">
        <v>4.51</v>
      </c>
      <c r="J33" s="25">
        <v>200000</v>
      </c>
      <c r="K33" s="25">
        <f>J33</f>
        <v>200000</v>
      </c>
      <c r="L33" s="25"/>
      <c r="M33" s="25">
        <v>100000</v>
      </c>
      <c r="N33" s="3"/>
      <c r="O33" s="25">
        <f>K33+L33+M33+N33</f>
        <v>300000</v>
      </c>
      <c r="P33" s="41" t="s">
        <v>29</v>
      </c>
    </row>
    <row r="34" spans="1:16" x14ac:dyDescent="0.25">
      <c r="A34" s="239"/>
      <c r="B34" s="240"/>
      <c r="C34" s="232"/>
      <c r="D34" s="10"/>
      <c r="E34" s="187"/>
      <c r="F34" s="88"/>
      <c r="G34" s="89"/>
      <c r="H34" s="25"/>
      <c r="I34" s="10"/>
      <c r="J34" s="25"/>
      <c r="K34" s="25"/>
      <c r="L34" s="25"/>
      <c r="M34" s="25"/>
      <c r="N34" s="3"/>
      <c r="O34" s="25"/>
      <c r="P34" s="3"/>
    </row>
    <row r="35" spans="1:16" ht="16.5" thickBot="1" x14ac:dyDescent="0.3">
      <c r="A35" s="239"/>
      <c r="B35" s="240"/>
      <c r="C35" s="286"/>
      <c r="D35" s="10"/>
      <c r="E35" s="187"/>
      <c r="F35" s="88"/>
      <c r="G35" s="89"/>
      <c r="H35" s="25"/>
      <c r="I35" s="10"/>
      <c r="J35" s="25"/>
      <c r="K35" s="25"/>
      <c r="L35" s="25"/>
      <c r="M35" s="25"/>
      <c r="N35" s="3"/>
      <c r="O35" s="25"/>
      <c r="P35" s="10"/>
    </row>
    <row r="36" spans="1:16" ht="16.5" thickBot="1" x14ac:dyDescent="0.3">
      <c r="A36" s="243" t="s">
        <v>45</v>
      </c>
      <c r="B36" s="244"/>
      <c r="C36" s="244"/>
      <c r="D36" s="245"/>
      <c r="E36" s="172"/>
      <c r="F36" s="171"/>
      <c r="G36" s="6">
        <f>SUM(G32:G35)</f>
        <v>2</v>
      </c>
      <c r="H36" s="7"/>
      <c r="I36" s="4">
        <f>((G32*I32)+(G33*I33)+(G34*I34)+(G35*I35))/G36</f>
        <v>6.34</v>
      </c>
      <c r="J36" s="7">
        <f t="shared" ref="J36:O36" si="6">SUM(J32:J35)</f>
        <v>500000</v>
      </c>
      <c r="K36" s="7">
        <f t="shared" si="6"/>
        <v>500000</v>
      </c>
      <c r="L36" s="7">
        <f t="shared" si="6"/>
        <v>0</v>
      </c>
      <c r="M36" s="7">
        <f t="shared" si="6"/>
        <v>250000</v>
      </c>
      <c r="N36" s="7">
        <f t="shared" si="6"/>
        <v>0</v>
      </c>
      <c r="O36" s="7">
        <f t="shared" si="6"/>
        <v>750000</v>
      </c>
      <c r="P36" s="91"/>
    </row>
    <row r="37" spans="1:16" ht="16.5" thickBot="1" x14ac:dyDescent="0.3">
      <c r="A37" s="92"/>
      <c r="B37" s="287"/>
      <c r="C37" s="288"/>
      <c r="D37" s="168"/>
      <c r="E37" s="214"/>
      <c r="F37" s="179"/>
      <c r="G37" s="6"/>
      <c r="H37" s="19"/>
      <c r="I37" s="7"/>
      <c r="J37" s="4"/>
      <c r="K37" s="19"/>
      <c r="L37" s="19"/>
      <c r="M37" s="19"/>
      <c r="N37" s="7"/>
      <c r="O37" s="19"/>
      <c r="P37" s="93"/>
    </row>
    <row r="38" spans="1:16" ht="16.5" thickBot="1" x14ac:dyDescent="0.3">
      <c r="A38" s="237" t="s">
        <v>125</v>
      </c>
      <c r="B38" s="238"/>
      <c r="C38" s="289" t="s">
        <v>124</v>
      </c>
      <c r="D38" s="215" t="s">
        <v>123</v>
      </c>
      <c r="E38" s="216"/>
      <c r="F38" s="217">
        <v>16</v>
      </c>
      <c r="G38" s="87">
        <v>1</v>
      </c>
      <c r="H38" s="25">
        <f>H36</f>
        <v>0</v>
      </c>
      <c r="I38" s="85">
        <v>8.17</v>
      </c>
      <c r="J38" s="25">
        <v>300000</v>
      </c>
      <c r="K38" s="25">
        <f>J38</f>
        <v>300000</v>
      </c>
      <c r="L38" s="25"/>
      <c r="M38" s="160">
        <v>150000</v>
      </c>
      <c r="N38" s="3"/>
      <c r="O38" s="25">
        <f>K38+L38+M38+N38</f>
        <v>450000</v>
      </c>
      <c r="P38" s="41" t="s">
        <v>29</v>
      </c>
    </row>
    <row r="39" spans="1:16" x14ac:dyDescent="0.25">
      <c r="A39" s="239"/>
      <c r="B39" s="240"/>
      <c r="C39" s="259"/>
      <c r="D39" s="3" t="s">
        <v>122</v>
      </c>
      <c r="E39" s="186"/>
      <c r="F39" s="2">
        <v>11</v>
      </c>
      <c r="G39" s="2">
        <v>1</v>
      </c>
      <c r="H39" s="25">
        <f>H38</f>
        <v>0</v>
      </c>
      <c r="I39" s="3">
        <v>4.51</v>
      </c>
      <c r="J39" s="25">
        <v>200000</v>
      </c>
      <c r="K39" s="25">
        <f>J39</f>
        <v>200000</v>
      </c>
      <c r="L39" s="25"/>
      <c r="M39" s="25">
        <v>100000</v>
      </c>
      <c r="N39" s="3"/>
      <c r="O39" s="25">
        <f>K39+L39+M39+N39</f>
        <v>300000</v>
      </c>
      <c r="P39" s="41" t="s">
        <v>29</v>
      </c>
    </row>
    <row r="40" spans="1:16" x14ac:dyDescent="0.25">
      <c r="A40" s="239"/>
      <c r="B40" s="240"/>
      <c r="C40" s="259"/>
      <c r="D40" s="10"/>
      <c r="E40" s="187"/>
      <c r="F40" s="89"/>
      <c r="G40" s="89"/>
      <c r="H40" s="25"/>
      <c r="I40" s="10"/>
      <c r="J40" s="25"/>
      <c r="K40" s="25"/>
      <c r="L40" s="25"/>
      <c r="M40" s="25"/>
      <c r="N40" s="3"/>
      <c r="O40" s="25"/>
      <c r="P40" s="3"/>
    </row>
    <row r="41" spans="1:16" ht="16.5" thickBot="1" x14ac:dyDescent="0.3">
      <c r="A41" s="239"/>
      <c r="B41" s="240"/>
      <c r="C41" s="259"/>
      <c r="D41" s="10"/>
      <c r="E41" s="187"/>
      <c r="F41" s="89"/>
      <c r="G41" s="89"/>
      <c r="H41" s="25"/>
      <c r="I41" s="10"/>
      <c r="J41" s="25"/>
      <c r="K41" s="25"/>
      <c r="L41" s="25"/>
      <c r="M41" s="25"/>
      <c r="N41" s="3"/>
      <c r="O41" s="25"/>
      <c r="P41" s="10"/>
    </row>
    <row r="42" spans="1:16" ht="16.5" thickBot="1" x14ac:dyDescent="0.3">
      <c r="A42" s="241"/>
      <c r="B42" s="242"/>
      <c r="C42" s="290"/>
      <c r="D42" s="219"/>
      <c r="E42" s="172"/>
      <c r="F42" s="220"/>
      <c r="G42" s="6">
        <f>SUM(G37:G41)</f>
        <v>2</v>
      </c>
      <c r="H42" s="7"/>
      <c r="I42" s="4">
        <f>((G37*I37)+(G38*I38)+(G39*I39)+(G41*I41))/G42</f>
        <v>6.34</v>
      </c>
      <c r="J42" s="7">
        <f t="shared" ref="J42:O42" si="7">SUM(J37:J41)</f>
        <v>500000</v>
      </c>
      <c r="K42" s="7">
        <f t="shared" si="7"/>
        <v>500000</v>
      </c>
      <c r="L42" s="7">
        <f t="shared" si="7"/>
        <v>0</v>
      </c>
      <c r="M42" s="7">
        <f t="shared" si="7"/>
        <v>250000</v>
      </c>
      <c r="N42" s="7">
        <f t="shared" si="7"/>
        <v>0</v>
      </c>
      <c r="O42" s="7">
        <f t="shared" si="7"/>
        <v>750000</v>
      </c>
      <c r="P42" s="91"/>
    </row>
    <row r="43" spans="1:16" ht="16.5" thickBot="1" x14ac:dyDescent="0.3">
      <c r="A43" s="92"/>
      <c r="B43" s="287"/>
      <c r="C43" s="288"/>
      <c r="D43" s="168"/>
      <c r="E43" s="214"/>
      <c r="F43" s="179"/>
      <c r="G43" s="6"/>
      <c r="H43" s="19"/>
      <c r="I43" s="7"/>
      <c r="J43" s="4"/>
      <c r="K43" s="19"/>
      <c r="L43" s="19"/>
      <c r="M43" s="19"/>
      <c r="N43" s="7"/>
      <c r="O43" s="19"/>
      <c r="P43" s="93"/>
    </row>
    <row r="44" spans="1:16" ht="16.5" thickBot="1" x14ac:dyDescent="0.3">
      <c r="A44" s="237" t="s">
        <v>126</v>
      </c>
      <c r="B44" s="238"/>
      <c r="C44" s="289" t="s">
        <v>124</v>
      </c>
      <c r="D44" s="215" t="s">
        <v>127</v>
      </c>
      <c r="E44" s="216"/>
      <c r="F44" s="217">
        <v>16</v>
      </c>
      <c r="G44" s="87">
        <v>1</v>
      </c>
      <c r="H44" s="25">
        <f>H42</f>
        <v>0</v>
      </c>
      <c r="I44" s="85">
        <v>8.17</v>
      </c>
      <c r="J44" s="25">
        <v>300000</v>
      </c>
      <c r="K44" s="25">
        <f>J44</f>
        <v>300000</v>
      </c>
      <c r="L44" s="25"/>
      <c r="M44" s="160">
        <v>150000</v>
      </c>
      <c r="N44" s="3"/>
      <c r="O44" s="25">
        <f>K44+L44+M44+N44</f>
        <v>450000</v>
      </c>
      <c r="P44" s="41" t="s">
        <v>29</v>
      </c>
    </row>
    <row r="45" spans="1:16" x14ac:dyDescent="0.25">
      <c r="A45" s="239"/>
      <c r="B45" s="240"/>
      <c r="C45" s="259"/>
      <c r="D45" s="3" t="s">
        <v>122</v>
      </c>
      <c r="E45" s="186"/>
      <c r="F45" s="2">
        <v>11</v>
      </c>
      <c r="G45" s="2">
        <v>1</v>
      </c>
      <c r="H45" s="25">
        <f>H44</f>
        <v>0</v>
      </c>
      <c r="I45" s="3">
        <v>4.51</v>
      </c>
      <c r="J45" s="25">
        <v>200000</v>
      </c>
      <c r="K45" s="25">
        <f>J45</f>
        <v>200000</v>
      </c>
      <c r="L45" s="25"/>
      <c r="M45" s="25">
        <v>100000</v>
      </c>
      <c r="N45" s="3"/>
      <c r="O45" s="25">
        <f>K45+L45+M45+N45</f>
        <v>300000</v>
      </c>
      <c r="P45" s="41" t="s">
        <v>29</v>
      </c>
    </row>
    <row r="46" spans="1:16" x14ac:dyDescent="0.25">
      <c r="A46" s="239"/>
      <c r="B46" s="240"/>
      <c r="C46" s="259"/>
      <c r="D46" s="10"/>
      <c r="E46" s="187"/>
      <c r="F46" s="89"/>
      <c r="G46" s="89"/>
      <c r="H46" s="25"/>
      <c r="I46" s="10"/>
      <c r="J46" s="25"/>
      <c r="K46" s="25"/>
      <c r="L46" s="25"/>
      <c r="M46" s="25"/>
      <c r="N46" s="3"/>
      <c r="O46" s="25"/>
      <c r="P46" s="3"/>
    </row>
    <row r="47" spans="1:16" ht="16.5" thickBot="1" x14ac:dyDescent="0.3">
      <c r="A47" s="239"/>
      <c r="B47" s="240"/>
      <c r="C47" s="259"/>
      <c r="D47" s="10"/>
      <c r="E47" s="187"/>
      <c r="F47" s="89"/>
      <c r="G47" s="89"/>
      <c r="H47" s="25"/>
      <c r="I47" s="10"/>
      <c r="J47" s="25"/>
      <c r="K47" s="25"/>
      <c r="L47" s="25"/>
      <c r="M47" s="25"/>
      <c r="N47" s="3"/>
      <c r="O47" s="25"/>
      <c r="P47" s="10"/>
    </row>
    <row r="48" spans="1:16" ht="16.5" thickBot="1" x14ac:dyDescent="0.3">
      <c r="A48" s="241"/>
      <c r="B48" s="242"/>
      <c r="C48" s="290"/>
      <c r="D48" s="219"/>
      <c r="E48" s="172"/>
      <c r="F48" s="220"/>
      <c r="G48" s="6">
        <f>SUM(G43:G47)</f>
        <v>2</v>
      </c>
      <c r="H48" s="7"/>
      <c r="I48" s="4">
        <f>((G43*I43)+(G44*I44)+(G45*I45)+(G47*I47))/G48</f>
        <v>6.34</v>
      </c>
      <c r="J48" s="7">
        <f t="shared" ref="J48:O48" si="8">SUM(J43:J47)</f>
        <v>500000</v>
      </c>
      <c r="K48" s="7">
        <f t="shared" si="8"/>
        <v>500000</v>
      </c>
      <c r="L48" s="7">
        <f t="shared" si="8"/>
        <v>0</v>
      </c>
      <c r="M48" s="7">
        <f t="shared" si="8"/>
        <v>250000</v>
      </c>
      <c r="N48" s="7">
        <f t="shared" si="8"/>
        <v>0</v>
      </c>
      <c r="O48" s="7">
        <f t="shared" si="8"/>
        <v>750000</v>
      </c>
      <c r="P48" s="91"/>
    </row>
    <row r="49" spans="1:16" ht="16.5" thickBot="1" x14ac:dyDescent="0.3">
      <c r="A49" s="176"/>
      <c r="B49" s="177"/>
      <c r="C49" s="223"/>
      <c r="D49" s="219"/>
      <c r="E49" s="172"/>
      <c r="F49" s="172"/>
      <c r="G49" s="6"/>
      <c r="H49" s="7"/>
      <c r="I49" s="4"/>
      <c r="J49" s="7"/>
      <c r="K49" s="7"/>
      <c r="L49" s="7"/>
      <c r="M49" s="7"/>
      <c r="N49" s="7"/>
      <c r="O49" s="7"/>
      <c r="P49" s="91"/>
    </row>
    <row r="50" spans="1:16" x14ac:dyDescent="0.25">
      <c r="A50" s="239" t="s">
        <v>128</v>
      </c>
      <c r="B50" s="240"/>
      <c r="C50" s="259" t="s">
        <v>124</v>
      </c>
      <c r="D50" s="159" t="s">
        <v>129</v>
      </c>
      <c r="E50" s="185"/>
      <c r="F50" s="87">
        <v>16</v>
      </c>
      <c r="G50" s="87">
        <v>1</v>
      </c>
      <c r="H50" s="126">
        <f>H48</f>
        <v>0</v>
      </c>
      <c r="I50" s="85">
        <v>8.17</v>
      </c>
      <c r="J50" s="126">
        <v>300000</v>
      </c>
      <c r="K50" s="126">
        <f>J50</f>
        <v>300000</v>
      </c>
      <c r="L50" s="126"/>
      <c r="M50" s="221">
        <v>150000</v>
      </c>
      <c r="N50" s="85"/>
      <c r="O50" s="126">
        <f>K50+L50+M50+N50</f>
        <v>450000</v>
      </c>
      <c r="P50" s="222" t="s">
        <v>29</v>
      </c>
    </row>
    <row r="51" spans="1:16" x14ac:dyDescent="0.25">
      <c r="A51" s="239"/>
      <c r="B51" s="240"/>
      <c r="C51" s="259"/>
      <c r="D51" s="3" t="s">
        <v>122</v>
      </c>
      <c r="E51" s="186"/>
      <c r="F51" s="2">
        <v>11</v>
      </c>
      <c r="G51" s="2">
        <v>1</v>
      </c>
      <c r="H51" s="25">
        <f>H50</f>
        <v>0</v>
      </c>
      <c r="I51" s="3">
        <v>4.51</v>
      </c>
      <c r="J51" s="25">
        <v>200000</v>
      </c>
      <c r="K51" s="25">
        <f>J51</f>
        <v>200000</v>
      </c>
      <c r="L51" s="25"/>
      <c r="M51" s="25">
        <v>100000</v>
      </c>
      <c r="N51" s="3"/>
      <c r="O51" s="25">
        <f>K51+L51+M51+N51</f>
        <v>300000</v>
      </c>
      <c r="P51" s="222" t="s">
        <v>29</v>
      </c>
    </row>
    <row r="52" spans="1:16" x14ac:dyDescent="0.25">
      <c r="A52" s="239"/>
      <c r="B52" s="240"/>
      <c r="C52" s="259"/>
      <c r="D52" s="10"/>
      <c r="E52" s="187"/>
      <c r="F52" s="89"/>
      <c r="G52" s="89"/>
      <c r="H52" s="25"/>
      <c r="I52" s="10"/>
      <c r="J52" s="25"/>
      <c r="K52" s="25"/>
      <c r="L52" s="25"/>
      <c r="M52" s="25"/>
      <c r="N52" s="3"/>
      <c r="O52" s="25"/>
      <c r="P52" s="3"/>
    </row>
    <row r="53" spans="1:16" ht="16.5" thickBot="1" x14ac:dyDescent="0.3">
      <c r="A53" s="239"/>
      <c r="B53" s="240"/>
      <c r="C53" s="259"/>
      <c r="D53" s="10"/>
      <c r="E53" s="187"/>
      <c r="F53" s="89"/>
      <c r="G53" s="89"/>
      <c r="H53" s="25"/>
      <c r="I53" s="10"/>
      <c r="J53" s="25"/>
      <c r="K53" s="25"/>
      <c r="L53" s="25"/>
      <c r="M53" s="25"/>
      <c r="N53" s="3"/>
      <c r="O53" s="25"/>
      <c r="P53" s="10"/>
    </row>
    <row r="54" spans="1:16" ht="16.5" thickBot="1" x14ac:dyDescent="0.3">
      <c r="A54" s="241"/>
      <c r="B54" s="242"/>
      <c r="C54" s="290"/>
      <c r="D54" s="219"/>
      <c r="E54" s="172"/>
      <c r="F54" s="220"/>
      <c r="G54" s="6">
        <f>SUM(G49:G53)</f>
        <v>2</v>
      </c>
      <c r="H54" s="7"/>
      <c r="I54" s="4">
        <f>((G49*I49)+(G50*I50)+(G51*I51)+(G53*I53))/G54</f>
        <v>6.34</v>
      </c>
      <c r="J54" s="7">
        <f t="shared" ref="J54:O54" si="9">SUM(J49:J53)</f>
        <v>500000</v>
      </c>
      <c r="K54" s="7">
        <f t="shared" si="9"/>
        <v>500000</v>
      </c>
      <c r="L54" s="7">
        <f t="shared" si="9"/>
        <v>0</v>
      </c>
      <c r="M54" s="7">
        <f t="shared" si="9"/>
        <v>250000</v>
      </c>
      <c r="N54" s="7">
        <f t="shared" si="9"/>
        <v>0</v>
      </c>
      <c r="O54" s="7">
        <f t="shared" si="9"/>
        <v>750000</v>
      </c>
      <c r="P54" s="91"/>
    </row>
    <row r="55" spans="1:16" x14ac:dyDescent="0.25">
      <c r="A55" s="256" t="s">
        <v>46</v>
      </c>
      <c r="B55" s="257" t="s">
        <v>47</v>
      </c>
      <c r="C55" s="259" t="s">
        <v>60</v>
      </c>
      <c r="D55" s="211" t="s">
        <v>49</v>
      </c>
      <c r="E55" s="9"/>
      <c r="F55" s="210">
        <v>11</v>
      </c>
      <c r="G55" s="95">
        <v>0</v>
      </c>
      <c r="H55" s="9">
        <f>H42</f>
        <v>0</v>
      </c>
      <c r="I55" s="97">
        <v>3.51</v>
      </c>
      <c r="J55" s="9"/>
      <c r="K55" s="9"/>
      <c r="L55" s="9"/>
      <c r="M55" s="9"/>
      <c r="N55" s="9"/>
      <c r="O55" s="9"/>
      <c r="P55" s="10"/>
    </row>
    <row r="56" spans="1:16" x14ac:dyDescent="0.25">
      <c r="A56" s="256"/>
      <c r="B56" s="257"/>
      <c r="C56" s="259"/>
      <c r="D56" s="212" t="s">
        <v>50</v>
      </c>
      <c r="E56" s="9"/>
      <c r="F56" s="210">
        <v>11</v>
      </c>
      <c r="G56" s="95">
        <v>1</v>
      </c>
      <c r="H56" s="9">
        <f>H55</f>
        <v>0</v>
      </c>
      <c r="I56" s="97">
        <v>4.51</v>
      </c>
      <c r="J56" s="9"/>
      <c r="K56" s="9"/>
      <c r="L56" s="9"/>
      <c r="M56" s="9"/>
      <c r="N56" s="9"/>
      <c r="O56" s="9"/>
      <c r="P56" s="10"/>
    </row>
    <row r="57" spans="1:16" x14ac:dyDescent="0.25">
      <c r="A57" s="256"/>
      <c r="B57" s="257"/>
      <c r="C57" s="259"/>
      <c r="D57" s="213" t="s">
        <v>51</v>
      </c>
      <c r="E57" s="3"/>
      <c r="F57" s="209">
        <v>9</v>
      </c>
      <c r="G57" s="87">
        <v>1</v>
      </c>
      <c r="H57" s="9">
        <f t="shared" ref="H57:H58" si="10">H56</f>
        <v>0</v>
      </c>
      <c r="I57" s="10">
        <v>3.53</v>
      </c>
      <c r="J57" s="25"/>
      <c r="K57" s="25"/>
      <c r="L57" s="25"/>
      <c r="M57" s="25"/>
      <c r="N57" s="3"/>
      <c r="O57" s="25"/>
      <c r="P57" s="10"/>
    </row>
    <row r="58" spans="1:16" ht="16.5" thickBot="1" x14ac:dyDescent="0.3">
      <c r="A58" s="256"/>
      <c r="B58" s="258"/>
      <c r="C58" s="259"/>
      <c r="D58" s="169" t="s">
        <v>52</v>
      </c>
      <c r="E58" s="218"/>
      <c r="F58" s="209">
        <v>7</v>
      </c>
      <c r="G58" s="99">
        <v>1</v>
      </c>
      <c r="H58" s="97">
        <f t="shared" si="10"/>
        <v>0</v>
      </c>
      <c r="I58" s="10">
        <v>2.76</v>
      </c>
      <c r="J58" s="28"/>
      <c r="K58" s="28"/>
      <c r="L58" s="28"/>
      <c r="M58" s="28"/>
      <c r="N58" s="10"/>
      <c r="O58" s="28"/>
      <c r="P58" s="10"/>
    </row>
    <row r="59" spans="1:16" ht="16.5" thickBot="1" x14ac:dyDescent="0.3">
      <c r="A59" s="256"/>
      <c r="B59" s="11"/>
      <c r="C59" s="260" t="s">
        <v>53</v>
      </c>
      <c r="D59" s="261"/>
      <c r="E59" s="175"/>
      <c r="F59" s="176"/>
      <c r="G59" s="6">
        <f>SUM(G55:G58)</f>
        <v>3</v>
      </c>
      <c r="H59" s="7"/>
      <c r="I59" s="4">
        <f>((G55*I55)+(G56*I56)+(G57*I57)+(G58*I58))/G59</f>
        <v>3.5999999999999996</v>
      </c>
      <c r="J59" s="177">
        <f t="shared" ref="J59:N59" si="11">SUM(J55:J58)</f>
        <v>0</v>
      </c>
      <c r="K59" s="14">
        <f t="shared" si="11"/>
        <v>0</v>
      </c>
      <c r="L59" s="177">
        <f t="shared" si="11"/>
        <v>0</v>
      </c>
      <c r="M59" s="177">
        <f t="shared" si="11"/>
        <v>0</v>
      </c>
      <c r="N59" s="177">
        <f t="shared" si="11"/>
        <v>0</v>
      </c>
      <c r="O59" s="177">
        <f>SUM(O55:O58)</f>
        <v>0</v>
      </c>
      <c r="P59" s="7"/>
    </row>
    <row r="60" spans="1:16" ht="31.5" x14ac:dyDescent="0.25">
      <c r="A60" s="256"/>
      <c r="B60" s="239" t="s">
        <v>54</v>
      </c>
      <c r="C60" s="262">
        <v>4</v>
      </c>
      <c r="D60" s="161" t="s">
        <v>55</v>
      </c>
      <c r="E60" s="191"/>
      <c r="F60" s="100"/>
      <c r="G60" s="101"/>
      <c r="H60" s="102"/>
      <c r="I60" s="12"/>
      <c r="J60" s="103"/>
      <c r="K60" s="103"/>
      <c r="L60" s="103"/>
      <c r="M60" s="103"/>
      <c r="N60" s="103"/>
      <c r="O60" s="103"/>
      <c r="P60" s="104"/>
    </row>
    <row r="61" spans="1:16" x14ac:dyDescent="0.25">
      <c r="A61" s="256"/>
      <c r="B61" s="239"/>
      <c r="C61" s="262"/>
      <c r="D61" s="44" t="s">
        <v>52</v>
      </c>
      <c r="E61" s="192"/>
      <c r="F61" s="1">
        <v>7</v>
      </c>
      <c r="G61" s="2">
        <v>1</v>
      </c>
      <c r="H61" s="25">
        <f>H58</f>
        <v>0</v>
      </c>
      <c r="I61" s="9">
        <v>2.76</v>
      </c>
      <c r="J61" s="25"/>
      <c r="K61" s="25"/>
      <c r="L61" s="25"/>
      <c r="M61" s="25"/>
      <c r="N61" s="3"/>
      <c r="O61" s="25"/>
      <c r="P61" s="3"/>
    </row>
    <row r="62" spans="1:16" ht="16.5" thickBot="1" x14ac:dyDescent="0.3">
      <c r="A62" s="256"/>
      <c r="B62" s="239"/>
      <c r="C62" s="262"/>
      <c r="D62" s="45" t="s">
        <v>56</v>
      </c>
      <c r="E62" s="193"/>
      <c r="F62" s="105">
        <v>6</v>
      </c>
      <c r="G62" s="106">
        <v>1</v>
      </c>
      <c r="H62" s="81">
        <f>H61</f>
        <v>0</v>
      </c>
      <c r="I62" s="107">
        <v>2.44</v>
      </c>
      <c r="J62" s="81"/>
      <c r="K62" s="81"/>
      <c r="L62" s="81"/>
      <c r="M62" s="81"/>
      <c r="N62" s="108"/>
      <c r="O62" s="81"/>
      <c r="P62" s="108"/>
    </row>
    <row r="63" spans="1:16" ht="16.5" thickBot="1" x14ac:dyDescent="0.3">
      <c r="A63" s="256"/>
      <c r="B63" s="260" t="s">
        <v>57</v>
      </c>
      <c r="C63" s="261"/>
      <c r="D63" s="263"/>
      <c r="E63" s="175"/>
      <c r="F63" s="109"/>
      <c r="G63" s="6">
        <f>G61+G62</f>
        <v>2</v>
      </c>
      <c r="H63" s="38"/>
      <c r="I63" s="4">
        <f>((G61*I61)+(G62*I62))/G63</f>
        <v>2.5999999999999996</v>
      </c>
      <c r="J63" s="13">
        <f t="shared" ref="J63:O63" si="12">J61+J62</f>
        <v>0</v>
      </c>
      <c r="K63" s="14">
        <f t="shared" si="12"/>
        <v>0</v>
      </c>
      <c r="L63" s="13">
        <f t="shared" si="12"/>
        <v>0</v>
      </c>
      <c r="M63" s="13">
        <f t="shared" si="12"/>
        <v>0</v>
      </c>
      <c r="N63" s="13">
        <f t="shared" si="12"/>
        <v>0</v>
      </c>
      <c r="O63" s="13">
        <f t="shared" si="12"/>
        <v>0</v>
      </c>
      <c r="P63" s="110"/>
    </row>
    <row r="64" spans="1:16" ht="16.5" thickBot="1" x14ac:dyDescent="0.3">
      <c r="A64" s="256"/>
      <c r="B64" s="264" t="s">
        <v>58</v>
      </c>
      <c r="C64" s="265"/>
      <c r="D64" s="266"/>
      <c r="E64" s="178"/>
      <c r="F64" s="5"/>
      <c r="G64" s="6">
        <f>G63+G59+G31</f>
        <v>5</v>
      </c>
      <c r="H64" s="7"/>
      <c r="I64" s="4">
        <f>((G61*I61)+(G31*I31)+(G62*I62)+(G55*I55)+(G56*I56)+(G57*I57)+(G58*I58))/G64</f>
        <v>3.1999999999999997</v>
      </c>
      <c r="J64" s="13">
        <f t="shared" ref="J64:O64" si="13">J63+J59+J31</f>
        <v>0</v>
      </c>
      <c r="K64" s="14">
        <f t="shared" si="13"/>
        <v>0</v>
      </c>
      <c r="L64" s="13">
        <f t="shared" si="13"/>
        <v>0</v>
      </c>
      <c r="M64" s="13">
        <f t="shared" si="13"/>
        <v>0</v>
      </c>
      <c r="N64" s="13">
        <f t="shared" si="13"/>
        <v>0</v>
      </c>
      <c r="O64" s="13">
        <f t="shared" si="13"/>
        <v>0</v>
      </c>
      <c r="P64" s="15">
        <f>SUM(P55:P62)</f>
        <v>0</v>
      </c>
    </row>
    <row r="65" spans="1:16" x14ac:dyDescent="0.25">
      <c r="A65" s="237" t="s">
        <v>59</v>
      </c>
      <c r="B65" s="238"/>
      <c r="C65" s="232" t="s">
        <v>60</v>
      </c>
      <c r="D65" s="85" t="s">
        <v>61</v>
      </c>
      <c r="E65" s="194"/>
      <c r="F65" s="86">
        <v>10</v>
      </c>
      <c r="G65" s="87">
        <v>1</v>
      </c>
      <c r="H65" s="25">
        <f>H61</f>
        <v>0</v>
      </c>
      <c r="I65" s="85">
        <v>3.99</v>
      </c>
      <c r="J65" s="25"/>
      <c r="K65" s="25"/>
      <c r="L65" s="25"/>
      <c r="M65" s="25"/>
      <c r="N65" s="3"/>
      <c r="O65" s="25"/>
      <c r="P65" s="70"/>
    </row>
    <row r="66" spans="1:16" x14ac:dyDescent="0.25">
      <c r="A66" s="239"/>
      <c r="B66" s="240"/>
      <c r="C66" s="232"/>
      <c r="D66" s="9" t="s">
        <v>62</v>
      </c>
      <c r="E66" s="190"/>
      <c r="F66" s="71">
        <v>9</v>
      </c>
      <c r="G66" s="87">
        <v>1</v>
      </c>
      <c r="H66" s="25">
        <f>H65</f>
        <v>0</v>
      </c>
      <c r="I66" s="9">
        <v>3.53</v>
      </c>
      <c r="J66" s="25"/>
      <c r="K66" s="25"/>
      <c r="L66" s="25"/>
      <c r="M66" s="25"/>
      <c r="N66" s="3"/>
      <c r="O66" s="25"/>
      <c r="P66" s="9"/>
    </row>
    <row r="67" spans="1:16" ht="31.5" x14ac:dyDescent="0.25">
      <c r="A67" s="239"/>
      <c r="B67" s="240"/>
      <c r="C67" s="232"/>
      <c r="D67" s="9" t="s">
        <v>63</v>
      </c>
      <c r="E67" s="189"/>
      <c r="F67" s="94">
        <v>8</v>
      </c>
      <c r="G67" s="95">
        <v>1</v>
      </c>
      <c r="H67" s="9">
        <f t="shared" ref="H67:H68" si="14">H66</f>
        <v>0</v>
      </c>
      <c r="I67" s="97">
        <v>3.12</v>
      </c>
      <c r="J67" s="9"/>
      <c r="K67" s="9"/>
      <c r="L67" s="9"/>
      <c r="M67" s="9"/>
      <c r="N67" s="9"/>
      <c r="O67" s="9"/>
      <c r="P67" s="9"/>
    </row>
    <row r="68" spans="1:16" ht="16.5" thickBot="1" x14ac:dyDescent="0.3">
      <c r="A68" s="241"/>
      <c r="B68" s="242"/>
      <c r="C68" s="232"/>
      <c r="D68" s="3" t="s">
        <v>64</v>
      </c>
      <c r="E68" s="186"/>
      <c r="F68" s="1">
        <v>7</v>
      </c>
      <c r="G68" s="2">
        <v>1</v>
      </c>
      <c r="H68" s="25">
        <f t="shared" si="14"/>
        <v>0</v>
      </c>
      <c r="I68" s="3">
        <v>2.76</v>
      </c>
      <c r="J68" s="25"/>
      <c r="K68" s="25"/>
      <c r="L68" s="25"/>
      <c r="M68" s="25"/>
      <c r="N68" s="3"/>
      <c r="O68" s="25"/>
      <c r="P68" s="3"/>
    </row>
    <row r="69" spans="1:16" ht="16.5" thickBot="1" x14ac:dyDescent="0.3">
      <c r="A69" s="243" t="s">
        <v>65</v>
      </c>
      <c r="B69" s="244"/>
      <c r="C69" s="244"/>
      <c r="D69" s="245"/>
      <c r="E69" s="172"/>
      <c r="F69" s="5"/>
      <c r="G69" s="6">
        <f>SUM(G65:G68)</f>
        <v>4</v>
      </c>
      <c r="H69" s="7"/>
      <c r="I69" s="4">
        <f>((G65*I65)+(G66*I66)+(G68*I68)+(G67*I67))/G69</f>
        <v>3.3499999999999996</v>
      </c>
      <c r="J69" s="7">
        <f t="shared" ref="J69:O69" si="15">SUM(J65:J68)</f>
        <v>0</v>
      </c>
      <c r="K69" s="7">
        <f t="shared" si="15"/>
        <v>0</v>
      </c>
      <c r="L69" s="7">
        <f t="shared" si="15"/>
        <v>0</v>
      </c>
      <c r="M69" s="7">
        <f t="shared" si="15"/>
        <v>0</v>
      </c>
      <c r="N69" s="7">
        <f t="shared" si="15"/>
        <v>0</v>
      </c>
      <c r="O69" s="7">
        <f t="shared" si="15"/>
        <v>0</v>
      </c>
      <c r="P69" s="7"/>
    </row>
    <row r="70" spans="1:16" x14ac:dyDescent="0.25">
      <c r="A70" s="239" t="s">
        <v>66</v>
      </c>
      <c r="B70" s="240"/>
      <c r="C70" s="232" t="s">
        <v>67</v>
      </c>
      <c r="D70" s="85" t="s">
        <v>61</v>
      </c>
      <c r="E70" s="194"/>
      <c r="F70" s="86">
        <v>10</v>
      </c>
      <c r="G70" s="87">
        <v>1</v>
      </c>
      <c r="H70" s="25">
        <f>H68</f>
        <v>0</v>
      </c>
      <c r="I70" s="85">
        <v>3.99</v>
      </c>
      <c r="J70" s="25"/>
      <c r="K70" s="25"/>
      <c r="L70" s="25"/>
      <c r="M70" s="25"/>
      <c r="N70" s="3"/>
      <c r="O70" s="25"/>
      <c r="P70" s="112"/>
    </row>
    <row r="71" spans="1:16" ht="31.5" x14ac:dyDescent="0.25">
      <c r="A71" s="239"/>
      <c r="B71" s="240"/>
      <c r="C71" s="232"/>
      <c r="D71" s="3" t="s">
        <v>68</v>
      </c>
      <c r="E71" s="186"/>
      <c r="F71" s="1">
        <v>8</v>
      </c>
      <c r="G71" s="2">
        <v>1</v>
      </c>
      <c r="H71" s="25">
        <f>H70</f>
        <v>0</v>
      </c>
      <c r="I71" s="3">
        <v>3.12</v>
      </c>
      <c r="J71" s="25"/>
      <c r="K71" s="25"/>
      <c r="L71" s="25"/>
      <c r="M71" s="25"/>
      <c r="N71" s="3"/>
      <c r="O71" s="25"/>
      <c r="P71" s="113"/>
    </row>
    <row r="72" spans="1:16" ht="16.5" thickBot="1" x14ac:dyDescent="0.3">
      <c r="A72" s="239"/>
      <c r="B72" s="240"/>
      <c r="C72" s="232"/>
      <c r="D72" s="10" t="s">
        <v>69</v>
      </c>
      <c r="E72" s="187"/>
      <c r="F72" s="105">
        <v>7</v>
      </c>
      <c r="G72" s="89">
        <v>1</v>
      </c>
      <c r="H72" s="25">
        <f>H71</f>
        <v>0</v>
      </c>
      <c r="I72" s="10">
        <v>2.76</v>
      </c>
      <c r="J72" s="25"/>
      <c r="K72" s="25"/>
      <c r="L72" s="25"/>
      <c r="M72" s="25"/>
      <c r="N72" s="3"/>
      <c r="O72" s="25"/>
      <c r="P72" s="114"/>
    </row>
    <row r="73" spans="1:16" ht="16.5" thickBot="1" x14ac:dyDescent="0.3">
      <c r="A73" s="243" t="s">
        <v>70</v>
      </c>
      <c r="B73" s="244"/>
      <c r="C73" s="244"/>
      <c r="D73" s="245"/>
      <c r="E73" s="172"/>
      <c r="F73" s="5"/>
      <c r="G73" s="6">
        <f>SUM(G70:G72)</f>
        <v>3</v>
      </c>
      <c r="H73" s="7"/>
      <c r="I73" s="4">
        <f>((G70*I70)+(G71*I71)+(G72*I72))/G73</f>
        <v>3.2900000000000005</v>
      </c>
      <c r="J73" s="7">
        <f t="shared" ref="J73:O73" si="16">SUM(J70:J72)</f>
        <v>0</v>
      </c>
      <c r="K73" s="7">
        <f t="shared" si="16"/>
        <v>0</v>
      </c>
      <c r="L73" s="7">
        <f t="shared" si="16"/>
        <v>0</v>
      </c>
      <c r="M73" s="7">
        <f t="shared" si="16"/>
        <v>0</v>
      </c>
      <c r="N73" s="7">
        <f t="shared" si="16"/>
        <v>0</v>
      </c>
      <c r="O73" s="7">
        <f t="shared" si="16"/>
        <v>0</v>
      </c>
      <c r="P73" s="7"/>
    </row>
    <row r="74" spans="1:16" x14ac:dyDescent="0.25">
      <c r="A74" s="239" t="s">
        <v>71</v>
      </c>
      <c r="B74" s="240"/>
      <c r="C74" s="232" t="s">
        <v>60</v>
      </c>
      <c r="D74" s="115" t="s">
        <v>61</v>
      </c>
      <c r="E74" s="195"/>
      <c r="F74" s="116">
        <v>11</v>
      </c>
      <c r="G74" s="95">
        <v>1</v>
      </c>
      <c r="H74" s="9">
        <f>H72</f>
        <v>0</v>
      </c>
      <c r="I74" s="8">
        <v>4.51</v>
      </c>
      <c r="J74" s="25">
        <v>200000</v>
      </c>
      <c r="K74" s="25">
        <f>J74*G74</f>
        <v>200000</v>
      </c>
      <c r="L74" s="25"/>
      <c r="M74" s="25">
        <f>0.5*J74</f>
        <v>100000</v>
      </c>
      <c r="N74" s="3"/>
      <c r="O74" s="25">
        <f>K74+M74</f>
        <v>300000</v>
      </c>
      <c r="P74" s="85"/>
    </row>
    <row r="75" spans="1:16" x14ac:dyDescent="0.25">
      <c r="A75" s="239"/>
      <c r="B75" s="240"/>
      <c r="C75" s="232"/>
      <c r="D75" s="117" t="s">
        <v>50</v>
      </c>
      <c r="E75" s="196"/>
      <c r="F75" s="118">
        <v>10</v>
      </c>
      <c r="G75" s="95">
        <v>1</v>
      </c>
      <c r="H75" s="9">
        <f>H74</f>
        <v>0</v>
      </c>
      <c r="I75" s="98">
        <v>3.99</v>
      </c>
      <c r="J75" s="25">
        <v>150000</v>
      </c>
      <c r="K75" s="25">
        <f t="shared" ref="K75:K77" si="17">J75*G75</f>
        <v>150000</v>
      </c>
      <c r="L75" s="25"/>
      <c r="M75" s="25">
        <f t="shared" ref="M75:M77" si="18">0.5*J75</f>
        <v>75000</v>
      </c>
      <c r="N75" s="3"/>
      <c r="O75" s="25">
        <f t="shared" ref="O75:O77" si="19">K75+M75</f>
        <v>225000</v>
      </c>
      <c r="P75" s="85"/>
    </row>
    <row r="76" spans="1:16" x14ac:dyDescent="0.25">
      <c r="A76" s="239"/>
      <c r="B76" s="240"/>
      <c r="C76" s="232"/>
      <c r="D76" s="119" t="s">
        <v>72</v>
      </c>
      <c r="E76" s="197"/>
      <c r="F76" s="120">
        <v>9</v>
      </c>
      <c r="G76" s="95">
        <v>1</v>
      </c>
      <c r="H76" s="9">
        <f t="shared" ref="H76:H77" si="20">H75</f>
        <v>0</v>
      </c>
      <c r="I76" s="97">
        <v>3.53</v>
      </c>
      <c r="J76" s="25">
        <v>80000</v>
      </c>
      <c r="K76" s="25">
        <f t="shared" si="17"/>
        <v>80000</v>
      </c>
      <c r="L76" s="25"/>
      <c r="M76" s="25">
        <f t="shared" si="18"/>
        <v>40000</v>
      </c>
      <c r="N76" s="3"/>
      <c r="O76" s="25">
        <f t="shared" si="19"/>
        <v>120000</v>
      </c>
      <c r="P76" s="3"/>
    </row>
    <row r="77" spans="1:16" ht="16.5" thickBot="1" x14ac:dyDescent="0.3">
      <c r="A77" s="239"/>
      <c r="B77" s="240"/>
      <c r="C77" s="232"/>
      <c r="D77" s="121" t="s">
        <v>73</v>
      </c>
      <c r="E77" s="198"/>
      <c r="F77" s="105">
        <v>6</v>
      </c>
      <c r="G77" s="89">
        <v>1</v>
      </c>
      <c r="H77" s="9">
        <f t="shared" si="20"/>
        <v>0</v>
      </c>
      <c r="I77" s="10">
        <v>2.44</v>
      </c>
      <c r="J77" s="25">
        <v>60000</v>
      </c>
      <c r="K77" s="25">
        <f t="shared" si="17"/>
        <v>60000</v>
      </c>
      <c r="L77" s="25"/>
      <c r="M77" s="25">
        <f t="shared" si="18"/>
        <v>30000</v>
      </c>
      <c r="N77" s="3"/>
      <c r="O77" s="25">
        <f t="shared" si="19"/>
        <v>90000</v>
      </c>
      <c r="P77" s="10"/>
    </row>
    <row r="78" spans="1:16" ht="16.5" thickBot="1" x14ac:dyDescent="0.3">
      <c r="A78" s="243" t="s">
        <v>74</v>
      </c>
      <c r="B78" s="244"/>
      <c r="C78" s="244"/>
      <c r="D78" s="245"/>
      <c r="E78" s="172"/>
      <c r="F78" s="5"/>
      <c r="G78" s="6">
        <f>SUM(G74:G77)</f>
        <v>4</v>
      </c>
      <c r="H78" s="7"/>
      <c r="I78" s="4">
        <f>((G74*I74)+(G76*I76)+(G77*I77))/G78</f>
        <v>2.6199999999999997</v>
      </c>
      <c r="J78" s="7">
        <f t="shared" ref="J78:O78" si="21">SUM(J74:J77)</f>
        <v>490000</v>
      </c>
      <c r="K78" s="7">
        <f t="shared" si="21"/>
        <v>490000</v>
      </c>
      <c r="L78" s="7">
        <f t="shared" si="21"/>
        <v>0</v>
      </c>
      <c r="M78" s="7">
        <f t="shared" si="21"/>
        <v>245000</v>
      </c>
      <c r="N78" s="7">
        <f t="shared" si="21"/>
        <v>0</v>
      </c>
      <c r="O78" s="7">
        <f t="shared" si="21"/>
        <v>735000</v>
      </c>
      <c r="P78" s="7"/>
    </row>
    <row r="79" spans="1:16" x14ac:dyDescent="0.25">
      <c r="A79" s="230" t="s">
        <v>75</v>
      </c>
      <c r="B79" s="231"/>
      <c r="C79" s="232" t="s">
        <v>76</v>
      </c>
      <c r="D79" s="122" t="s">
        <v>61</v>
      </c>
      <c r="E79" s="199"/>
      <c r="F79" s="86">
        <v>10</v>
      </c>
      <c r="G79" s="87">
        <v>1</v>
      </c>
      <c r="H79" s="25">
        <f>H77</f>
        <v>0</v>
      </c>
      <c r="I79" s="85">
        <v>3.99</v>
      </c>
      <c r="J79" s="25"/>
      <c r="K79" s="25"/>
      <c r="L79" s="25"/>
      <c r="M79" s="25"/>
      <c r="N79" s="3"/>
      <c r="O79" s="25"/>
      <c r="P79" s="123"/>
    </row>
    <row r="80" spans="1:16" x14ac:dyDescent="0.25">
      <c r="A80" s="230"/>
      <c r="B80" s="231"/>
      <c r="C80" s="232"/>
      <c r="D80" s="122" t="s">
        <v>77</v>
      </c>
      <c r="E80" s="199"/>
      <c r="F80" s="124">
        <v>9</v>
      </c>
      <c r="G80" s="125">
        <v>1</v>
      </c>
      <c r="H80" s="25">
        <f>H79</f>
        <v>0</v>
      </c>
      <c r="I80" s="126">
        <v>3.53</v>
      </c>
      <c r="J80" s="25"/>
      <c r="K80" s="25"/>
      <c r="L80" s="25"/>
      <c r="M80" s="25"/>
      <c r="N80" s="3"/>
      <c r="O80" s="25"/>
      <c r="P80" s="85"/>
    </row>
    <row r="81" spans="1:16" x14ac:dyDescent="0.25">
      <c r="A81" s="230"/>
      <c r="B81" s="231"/>
      <c r="C81" s="232"/>
      <c r="D81" s="127" t="s">
        <v>78</v>
      </c>
      <c r="E81" s="69"/>
      <c r="F81" s="23">
        <v>6</v>
      </c>
      <c r="G81" s="24">
        <v>2</v>
      </c>
      <c r="H81" s="25">
        <f t="shared" ref="H81:H84" si="22">H79</f>
        <v>0</v>
      </c>
      <c r="I81" s="25">
        <v>2.44</v>
      </c>
      <c r="J81" s="25"/>
      <c r="K81" s="25"/>
      <c r="L81" s="25"/>
      <c r="M81" s="25"/>
      <c r="N81" s="3"/>
      <c r="O81" s="25"/>
      <c r="P81" s="3"/>
    </row>
    <row r="82" spans="1:16" x14ac:dyDescent="0.25">
      <c r="A82" s="230"/>
      <c r="B82" s="231"/>
      <c r="C82" s="232"/>
      <c r="D82" s="127" t="s">
        <v>78</v>
      </c>
      <c r="E82" s="78"/>
      <c r="F82" s="26">
        <v>7</v>
      </c>
      <c r="G82" s="27">
        <v>1</v>
      </c>
      <c r="H82" s="25">
        <f t="shared" si="22"/>
        <v>0</v>
      </c>
      <c r="I82" s="28">
        <v>2.76</v>
      </c>
      <c r="J82" s="25"/>
      <c r="K82" s="25"/>
      <c r="L82" s="25"/>
      <c r="M82" s="25"/>
      <c r="N82" s="3"/>
      <c r="O82" s="25"/>
      <c r="P82" s="3"/>
    </row>
    <row r="83" spans="1:16" x14ac:dyDescent="0.25">
      <c r="A83" s="230"/>
      <c r="B83" s="231"/>
      <c r="C83" s="232"/>
      <c r="D83" s="128" t="s">
        <v>79</v>
      </c>
      <c r="E83" s="78"/>
      <c r="F83" s="26">
        <v>2</v>
      </c>
      <c r="G83" s="27">
        <v>1</v>
      </c>
      <c r="H83" s="25">
        <f t="shared" si="22"/>
        <v>0</v>
      </c>
      <c r="I83" s="28">
        <v>1</v>
      </c>
      <c r="J83" s="25"/>
      <c r="K83" s="25"/>
      <c r="L83" s="25"/>
      <c r="M83" s="25"/>
      <c r="N83" s="3"/>
      <c r="O83" s="25"/>
      <c r="P83" s="3"/>
    </row>
    <row r="84" spans="1:16" ht="16.5" thickBot="1" x14ac:dyDescent="0.3">
      <c r="A84" s="230"/>
      <c r="B84" s="231"/>
      <c r="C84" s="232"/>
      <c r="D84" s="128" t="s">
        <v>80</v>
      </c>
      <c r="E84" s="78"/>
      <c r="F84" s="79">
        <v>1</v>
      </c>
      <c r="G84" s="27">
        <v>1</v>
      </c>
      <c r="H84" s="25">
        <f t="shared" si="22"/>
        <v>0</v>
      </c>
      <c r="I84" s="28">
        <v>1</v>
      </c>
      <c r="J84" s="25"/>
      <c r="K84" s="25"/>
      <c r="L84" s="25"/>
      <c r="M84" s="25"/>
      <c r="N84" s="3"/>
      <c r="O84" s="25"/>
      <c r="P84" s="3"/>
    </row>
    <row r="85" spans="1:16" ht="16.5" thickBot="1" x14ac:dyDescent="0.3">
      <c r="A85" s="233" t="s">
        <v>81</v>
      </c>
      <c r="B85" s="225"/>
      <c r="C85" s="225"/>
      <c r="D85" s="226"/>
      <c r="E85" s="200"/>
      <c r="F85" s="129"/>
      <c r="G85" s="130">
        <f>SUM(G79:G84)</f>
        <v>7</v>
      </c>
      <c r="H85" s="131"/>
      <c r="I85" s="16">
        <f>((G79*I79)+(G80*I80)+(G81*I81)+(G82*I82)+(G83*I83)+(G84*I84))/G85</f>
        <v>2.4514285714285711</v>
      </c>
      <c r="J85" s="131">
        <f t="shared" ref="J85:O85" si="23">SUM(J79:J84)</f>
        <v>0</v>
      </c>
      <c r="K85" s="131">
        <f t="shared" si="23"/>
        <v>0</v>
      </c>
      <c r="L85" s="131">
        <f t="shared" si="23"/>
        <v>0</v>
      </c>
      <c r="M85" s="131">
        <f t="shared" si="23"/>
        <v>0</v>
      </c>
      <c r="N85" s="131">
        <f t="shared" si="23"/>
        <v>0</v>
      </c>
      <c r="O85" s="19">
        <f t="shared" si="23"/>
        <v>0</v>
      </c>
      <c r="P85" s="131"/>
    </row>
    <row r="86" spans="1:16" ht="16.5" thickBot="1" x14ac:dyDescent="0.3">
      <c r="A86" s="246" t="s">
        <v>82</v>
      </c>
      <c r="B86" s="247"/>
      <c r="C86" s="132" t="s">
        <v>83</v>
      </c>
      <c r="D86" s="34" t="s">
        <v>84</v>
      </c>
      <c r="E86" s="83"/>
      <c r="F86" s="109">
        <v>9</v>
      </c>
      <c r="G86" s="133">
        <v>1</v>
      </c>
      <c r="H86" s="38">
        <f>H83</f>
        <v>0</v>
      </c>
      <c r="I86" s="134">
        <v>3.53</v>
      </c>
      <c r="J86" s="38"/>
      <c r="K86" s="38"/>
      <c r="L86" s="38"/>
      <c r="M86" s="38"/>
      <c r="N86" s="134"/>
      <c r="O86" s="49"/>
      <c r="P86" s="134"/>
    </row>
    <row r="87" spans="1:16" ht="16.5" thickBot="1" x14ac:dyDescent="0.3">
      <c r="A87" s="234" t="s">
        <v>85</v>
      </c>
      <c r="B87" s="235"/>
      <c r="C87" s="118" t="s">
        <v>86</v>
      </c>
      <c r="D87" s="135" t="s">
        <v>87</v>
      </c>
      <c r="E87" s="92"/>
      <c r="F87" s="136">
        <v>5</v>
      </c>
      <c r="G87" s="137">
        <v>1</v>
      </c>
      <c r="H87" s="126">
        <f>H86</f>
        <v>0</v>
      </c>
      <c r="I87" s="49">
        <v>1.69</v>
      </c>
      <c r="J87" s="126"/>
      <c r="K87" s="126"/>
      <c r="L87" s="126"/>
      <c r="M87" s="126"/>
      <c r="N87" s="85"/>
      <c r="O87" s="49"/>
      <c r="P87" s="138"/>
    </row>
    <row r="88" spans="1:16" ht="16.5" hidden="1" thickBot="1" x14ac:dyDescent="0.3">
      <c r="A88" s="233" t="s">
        <v>88</v>
      </c>
      <c r="B88" s="225"/>
      <c r="C88" s="225"/>
      <c r="D88" s="226"/>
      <c r="E88" s="173"/>
      <c r="F88" s="17"/>
      <c r="G88" s="18">
        <f>G25+G30+G64+G69+G73+G78+G85+G86+G87</f>
        <v>33</v>
      </c>
      <c r="H88" s="19"/>
      <c r="I88" s="19">
        <f>((G25*I25)+(G31*I31)+(G30*I30)+(G59*I59)+(G63*I63)+(G69*I69)+(G73*I73)+(G78*I78)+(G85*I85)+(G86*I86)+(G87*I87))/G88</f>
        <v>4.0274404761904767</v>
      </c>
      <c r="J88" s="139">
        <f t="shared" ref="J88:O88" si="24">J25+J30+J64+J69+J73+J78+J85+J86+J87</f>
        <v>3490000</v>
      </c>
      <c r="K88" s="139">
        <f t="shared" si="24"/>
        <v>3490000</v>
      </c>
      <c r="L88" s="139">
        <f t="shared" si="24"/>
        <v>0</v>
      </c>
      <c r="M88" s="139">
        <f t="shared" si="24"/>
        <v>1295000</v>
      </c>
      <c r="N88" s="139">
        <f t="shared" si="24"/>
        <v>0</v>
      </c>
      <c r="O88" s="139">
        <f t="shared" si="24"/>
        <v>4785000</v>
      </c>
      <c r="P88" s="7"/>
    </row>
    <row r="89" spans="1:16" hidden="1" x14ac:dyDescent="0.25">
      <c r="A89" s="230" t="s">
        <v>89</v>
      </c>
      <c r="B89" s="231"/>
      <c r="C89" s="232" t="s">
        <v>90</v>
      </c>
      <c r="D89" s="122" t="s">
        <v>91</v>
      </c>
      <c r="E89" s="199"/>
      <c r="F89" s="66">
        <v>13</v>
      </c>
      <c r="G89" s="67">
        <v>1</v>
      </c>
      <c r="H89" s="25"/>
      <c r="I89" s="68"/>
      <c r="J89" s="25"/>
      <c r="K89" s="25"/>
      <c r="L89" s="25"/>
      <c r="M89" s="25"/>
      <c r="N89" s="3"/>
      <c r="O89" s="25"/>
      <c r="P89" s="123"/>
    </row>
    <row r="90" spans="1:16" hidden="1" x14ac:dyDescent="0.25">
      <c r="A90" s="230"/>
      <c r="B90" s="231"/>
      <c r="C90" s="232"/>
      <c r="D90" s="127" t="s">
        <v>92</v>
      </c>
      <c r="E90" s="69"/>
      <c r="F90" s="23">
        <v>8</v>
      </c>
      <c r="G90" s="24">
        <v>1</v>
      </c>
      <c r="H90" s="25"/>
      <c r="I90" s="25"/>
      <c r="J90" s="25"/>
      <c r="K90" s="25"/>
      <c r="L90" s="25"/>
      <c r="M90" s="25"/>
      <c r="N90" s="3"/>
      <c r="O90" s="25"/>
      <c r="P90" s="3"/>
    </row>
    <row r="91" spans="1:16" hidden="1" x14ac:dyDescent="0.25">
      <c r="A91" s="230"/>
      <c r="B91" s="231"/>
      <c r="C91" s="232"/>
      <c r="D91" s="127" t="s">
        <v>93</v>
      </c>
      <c r="E91" s="69"/>
      <c r="F91" s="23">
        <v>6</v>
      </c>
      <c r="G91" s="24">
        <v>5</v>
      </c>
      <c r="H91" s="25"/>
      <c r="I91" s="25"/>
      <c r="J91" s="25"/>
      <c r="K91" s="25"/>
      <c r="L91" s="25"/>
      <c r="M91" s="25"/>
      <c r="N91" s="3"/>
      <c r="O91" s="25"/>
      <c r="P91" s="3"/>
    </row>
    <row r="92" spans="1:16" hidden="1" x14ac:dyDescent="0.25">
      <c r="A92" s="230"/>
      <c r="B92" s="231"/>
      <c r="C92" s="232"/>
      <c r="D92" s="127" t="s">
        <v>94</v>
      </c>
      <c r="E92" s="69"/>
      <c r="F92" s="23">
        <v>5</v>
      </c>
      <c r="G92" s="24">
        <v>4</v>
      </c>
      <c r="H92" s="25"/>
      <c r="I92" s="25"/>
      <c r="J92" s="25"/>
      <c r="K92" s="25"/>
      <c r="L92" s="25"/>
      <c r="M92" s="25"/>
      <c r="N92" s="3"/>
      <c r="O92" s="25"/>
      <c r="P92" s="3"/>
    </row>
    <row r="93" spans="1:16" hidden="1" x14ac:dyDescent="0.25">
      <c r="A93" s="230"/>
      <c r="B93" s="231"/>
      <c r="C93" s="232"/>
      <c r="D93" s="127" t="s">
        <v>95</v>
      </c>
      <c r="E93" s="69"/>
      <c r="F93" s="23">
        <v>3</v>
      </c>
      <c r="G93" s="24">
        <v>1</v>
      </c>
      <c r="H93" s="25"/>
      <c r="I93" s="25"/>
      <c r="J93" s="25"/>
      <c r="K93" s="25"/>
      <c r="L93" s="25"/>
      <c r="M93" s="25"/>
      <c r="N93" s="3"/>
      <c r="O93" s="25"/>
      <c r="P93" s="3"/>
    </row>
    <row r="94" spans="1:16" hidden="1" x14ac:dyDescent="0.25">
      <c r="A94" s="230"/>
      <c r="B94" s="231"/>
      <c r="C94" s="232"/>
      <c r="D94" s="127" t="s">
        <v>96</v>
      </c>
      <c r="E94" s="69"/>
      <c r="F94" s="23">
        <v>6</v>
      </c>
      <c r="G94" s="24">
        <v>2</v>
      </c>
      <c r="H94" s="25"/>
      <c r="I94" s="25"/>
      <c r="J94" s="25"/>
      <c r="K94" s="25"/>
      <c r="L94" s="25"/>
      <c r="M94" s="25"/>
      <c r="N94" s="3"/>
      <c r="O94" s="25"/>
      <c r="P94" s="3"/>
    </row>
    <row r="95" spans="1:16" hidden="1" x14ac:dyDescent="0.25">
      <c r="A95" s="230"/>
      <c r="B95" s="231"/>
      <c r="C95" s="232"/>
      <c r="D95" s="127" t="s">
        <v>97</v>
      </c>
      <c r="E95" s="69"/>
      <c r="F95" s="23">
        <v>6</v>
      </c>
      <c r="G95" s="24">
        <v>1</v>
      </c>
      <c r="H95" s="25"/>
      <c r="I95" s="25"/>
      <c r="J95" s="25"/>
      <c r="K95" s="25"/>
      <c r="L95" s="25"/>
      <c r="M95" s="25"/>
      <c r="N95" s="3"/>
      <c r="O95" s="25"/>
      <c r="P95" s="3"/>
    </row>
    <row r="96" spans="1:16" ht="31.5" hidden="1" x14ac:dyDescent="0.25">
      <c r="A96" s="230"/>
      <c r="B96" s="231"/>
      <c r="C96" s="232"/>
      <c r="D96" s="140" t="s">
        <v>98</v>
      </c>
      <c r="E96" s="201"/>
      <c r="F96" s="141">
        <v>5</v>
      </c>
      <c r="G96" s="142">
        <v>1.5</v>
      </c>
      <c r="H96" s="143"/>
      <c r="I96" s="143"/>
      <c r="J96" s="143"/>
      <c r="K96" s="143"/>
      <c r="L96" s="143"/>
      <c r="M96" s="143"/>
      <c r="N96" s="143"/>
      <c r="O96" s="143"/>
      <c r="P96" s="3"/>
    </row>
    <row r="97" spans="1:16" hidden="1" x14ac:dyDescent="0.25">
      <c r="A97" s="230"/>
      <c r="B97" s="231"/>
      <c r="C97" s="232"/>
      <c r="D97" s="144" t="s">
        <v>99</v>
      </c>
      <c r="E97" s="202"/>
      <c r="F97" s="145">
        <v>5</v>
      </c>
      <c r="G97" s="146">
        <v>1</v>
      </c>
      <c r="H97" s="111"/>
      <c r="I97" s="111"/>
      <c r="J97" s="111"/>
      <c r="K97" s="111"/>
      <c r="L97" s="111"/>
      <c r="M97" s="111"/>
      <c r="N97" s="111"/>
      <c r="O97" s="111"/>
      <c r="P97" s="3"/>
    </row>
    <row r="98" spans="1:16" hidden="1" x14ac:dyDescent="0.25">
      <c r="A98" s="230"/>
      <c r="B98" s="231"/>
      <c r="C98" s="232"/>
      <c r="D98" s="127" t="s">
        <v>100</v>
      </c>
      <c r="E98" s="69"/>
      <c r="F98" s="23">
        <v>5</v>
      </c>
      <c r="G98" s="24">
        <v>2</v>
      </c>
      <c r="H98" s="25"/>
      <c r="I98" s="25"/>
      <c r="J98" s="25"/>
      <c r="K98" s="25"/>
      <c r="L98" s="25"/>
      <c r="M98" s="25"/>
      <c r="N98" s="3"/>
      <c r="O98" s="25"/>
      <c r="P98" s="3"/>
    </row>
    <row r="99" spans="1:16" hidden="1" x14ac:dyDescent="0.25">
      <c r="A99" s="230"/>
      <c r="B99" s="231"/>
      <c r="C99" s="232"/>
      <c r="D99" s="127" t="s">
        <v>101</v>
      </c>
      <c r="E99" s="69"/>
      <c r="F99" s="23">
        <v>4</v>
      </c>
      <c r="G99" s="24">
        <v>3</v>
      </c>
      <c r="H99" s="25"/>
      <c r="I99" s="25"/>
      <c r="J99" s="25"/>
      <c r="K99" s="25"/>
      <c r="L99" s="25"/>
      <c r="M99" s="25"/>
      <c r="N99" s="3"/>
      <c r="O99" s="25"/>
      <c r="P99" s="3"/>
    </row>
    <row r="100" spans="1:16" ht="31.5" hidden="1" x14ac:dyDescent="0.25">
      <c r="A100" s="230"/>
      <c r="B100" s="231"/>
      <c r="C100" s="232"/>
      <c r="D100" s="127" t="s">
        <v>102</v>
      </c>
      <c r="E100" s="69"/>
      <c r="F100" s="23">
        <v>5</v>
      </c>
      <c r="G100" s="24">
        <v>2</v>
      </c>
      <c r="H100" s="25"/>
      <c r="I100" s="25"/>
      <c r="J100" s="25"/>
      <c r="K100" s="25"/>
      <c r="L100" s="25"/>
      <c r="M100" s="25"/>
      <c r="N100" s="3"/>
      <c r="O100" s="25"/>
      <c r="P100" s="3"/>
    </row>
    <row r="101" spans="1:16" hidden="1" x14ac:dyDescent="0.25">
      <c r="A101" s="230"/>
      <c r="B101" s="231"/>
      <c r="C101" s="232"/>
      <c r="D101" s="127" t="s">
        <v>78</v>
      </c>
      <c r="E101" s="69"/>
      <c r="F101" s="23">
        <v>6</v>
      </c>
      <c r="G101" s="24">
        <v>1</v>
      </c>
      <c r="H101" s="25"/>
      <c r="I101" s="25"/>
      <c r="J101" s="25"/>
      <c r="K101" s="25"/>
      <c r="L101" s="25"/>
      <c r="M101" s="25"/>
      <c r="N101" s="3"/>
      <c r="O101" s="25"/>
      <c r="P101" s="3"/>
    </row>
    <row r="102" spans="1:16" hidden="1" x14ac:dyDescent="0.25">
      <c r="A102" s="230"/>
      <c r="B102" s="231"/>
      <c r="C102" s="232"/>
      <c r="D102" s="128" t="s">
        <v>103</v>
      </c>
      <c r="E102" s="78"/>
      <c r="F102" s="26">
        <v>1</v>
      </c>
      <c r="G102" s="27">
        <v>1</v>
      </c>
      <c r="H102" s="25"/>
      <c r="I102" s="28"/>
      <c r="J102" s="25"/>
      <c r="K102" s="25"/>
      <c r="L102" s="25"/>
      <c r="M102" s="25"/>
      <c r="N102" s="3"/>
      <c r="O102" s="25"/>
      <c r="P102" s="10"/>
    </row>
    <row r="103" spans="1:16" ht="32.25" hidden="1" thickBot="1" x14ac:dyDescent="0.3">
      <c r="A103" s="230"/>
      <c r="B103" s="231"/>
      <c r="C103" s="232"/>
      <c r="D103" s="128" t="s">
        <v>104</v>
      </c>
      <c r="E103" s="78"/>
      <c r="F103" s="79">
        <v>1</v>
      </c>
      <c r="G103" s="80">
        <v>1</v>
      </c>
      <c r="H103" s="25"/>
      <c r="I103" s="28"/>
      <c r="J103" s="25"/>
      <c r="K103" s="25"/>
      <c r="L103" s="25"/>
      <c r="M103" s="25"/>
      <c r="N103" s="3"/>
      <c r="O103" s="25"/>
      <c r="P103" s="108"/>
    </row>
    <row r="104" spans="1:16" ht="16.5" hidden="1" thickBot="1" x14ac:dyDescent="0.3">
      <c r="A104" s="233" t="s">
        <v>105</v>
      </c>
      <c r="B104" s="225"/>
      <c r="C104" s="225"/>
      <c r="D104" s="226"/>
      <c r="E104" s="173"/>
      <c r="F104" s="17"/>
      <c r="G104" s="18">
        <f>SUM(G89:G103)</f>
        <v>27.5</v>
      </c>
      <c r="H104" s="19"/>
      <c r="I104" s="4">
        <f>((G89*I89)+(G90*I90)+(G91*I91)+(G92*I92)+(G93*I93)+(G94*I94)+(G95*I95)+(G96*I96)+(G98*I98)+(G99*I99)+(G100*I100)+(G101*I101)+(G102*I102)+(G103*I103))/G104</f>
        <v>0</v>
      </c>
      <c r="J104" s="19">
        <f t="shared" ref="J104:O104" si="25">SUM(J89:J103)</f>
        <v>0</v>
      </c>
      <c r="K104" s="19">
        <f t="shared" si="25"/>
        <v>0</v>
      </c>
      <c r="L104" s="19">
        <f t="shared" si="25"/>
        <v>0</v>
      </c>
      <c r="M104" s="19">
        <f t="shared" si="25"/>
        <v>0</v>
      </c>
      <c r="N104" s="19">
        <f t="shared" si="25"/>
        <v>0</v>
      </c>
      <c r="O104" s="19">
        <f t="shared" si="25"/>
        <v>0</v>
      </c>
      <c r="P104" s="38"/>
    </row>
    <row r="105" spans="1:16" hidden="1" x14ac:dyDescent="0.25">
      <c r="A105" s="234" t="s">
        <v>106</v>
      </c>
      <c r="B105" s="235"/>
      <c r="C105" s="236">
        <v>10</v>
      </c>
      <c r="D105" s="147" t="s">
        <v>107</v>
      </c>
      <c r="E105" s="203"/>
      <c r="F105" s="20">
        <v>8</v>
      </c>
      <c r="G105" s="21">
        <v>1</v>
      </c>
      <c r="H105" s="22"/>
      <c r="I105" s="22"/>
      <c r="J105" s="148"/>
      <c r="K105" s="148"/>
      <c r="L105" s="22"/>
      <c r="M105" s="22"/>
      <c r="N105" s="22"/>
      <c r="O105" s="22"/>
      <c r="P105" s="46"/>
    </row>
    <row r="106" spans="1:16" hidden="1" x14ac:dyDescent="0.25">
      <c r="A106" s="230"/>
      <c r="B106" s="231"/>
      <c r="C106" s="236"/>
      <c r="D106" s="149" t="s">
        <v>108</v>
      </c>
      <c r="E106" s="204"/>
      <c r="F106" s="23">
        <v>5</v>
      </c>
      <c r="G106" s="24">
        <v>3</v>
      </c>
      <c r="H106" s="25"/>
      <c r="I106" s="25"/>
      <c r="J106" s="25"/>
      <c r="K106" s="25"/>
      <c r="L106" s="25"/>
      <c r="M106" s="25"/>
      <c r="N106" s="3"/>
      <c r="O106" s="25"/>
      <c r="P106" s="47"/>
    </row>
    <row r="107" spans="1:16" hidden="1" x14ac:dyDescent="0.25">
      <c r="A107" s="230"/>
      <c r="B107" s="231"/>
      <c r="C107" s="236"/>
      <c r="D107" s="76"/>
      <c r="E107" s="205"/>
      <c r="F107" s="74"/>
      <c r="G107" s="75"/>
      <c r="H107" s="76"/>
      <c r="I107" s="76"/>
      <c r="J107" s="76"/>
      <c r="K107" s="76"/>
      <c r="L107" s="76"/>
      <c r="M107" s="76"/>
      <c r="N107" s="76"/>
      <c r="O107" s="76"/>
      <c r="P107" s="47"/>
    </row>
    <row r="108" spans="1:16" hidden="1" x14ac:dyDescent="0.25">
      <c r="A108" s="230"/>
      <c r="B108" s="231"/>
      <c r="C108" s="236"/>
      <c r="D108" s="76"/>
      <c r="E108" s="205"/>
      <c r="F108" s="74"/>
      <c r="G108" s="75"/>
      <c r="H108" s="76"/>
      <c r="I108" s="76"/>
      <c r="J108" s="76"/>
      <c r="K108" s="76"/>
      <c r="L108" s="76"/>
      <c r="M108" s="76"/>
      <c r="N108" s="76"/>
      <c r="O108" s="76"/>
      <c r="P108" s="47"/>
    </row>
    <row r="109" spans="1:16" hidden="1" x14ac:dyDescent="0.25">
      <c r="A109" s="230"/>
      <c r="B109" s="231"/>
      <c r="C109" s="236"/>
      <c r="D109" s="149" t="s">
        <v>109</v>
      </c>
      <c r="E109" s="204"/>
      <c r="F109" s="23">
        <v>4</v>
      </c>
      <c r="G109" s="24">
        <v>2</v>
      </c>
      <c r="H109" s="25"/>
      <c r="I109" s="25"/>
      <c r="J109" s="25"/>
      <c r="K109" s="25"/>
      <c r="L109" s="25"/>
      <c r="M109" s="25"/>
      <c r="N109" s="3"/>
      <c r="O109" s="25"/>
      <c r="P109" s="47"/>
    </row>
    <row r="110" spans="1:16" ht="16.5" hidden="1" thickBot="1" x14ac:dyDescent="0.3">
      <c r="A110" s="230"/>
      <c r="B110" s="231"/>
      <c r="C110" s="236"/>
      <c r="D110" s="150" t="s">
        <v>110</v>
      </c>
      <c r="E110" s="206"/>
      <c r="F110" s="26">
        <v>3</v>
      </c>
      <c r="G110" s="27">
        <v>1</v>
      </c>
      <c r="H110" s="25"/>
      <c r="I110" s="28"/>
      <c r="J110" s="25"/>
      <c r="K110" s="25"/>
      <c r="L110" s="25"/>
      <c r="M110" s="25"/>
      <c r="N110" s="3"/>
      <c r="O110" s="25"/>
      <c r="P110" s="48"/>
    </row>
    <row r="111" spans="1:16" ht="16.5" hidden="1" thickBot="1" x14ac:dyDescent="0.3">
      <c r="A111" s="83"/>
      <c r="B111" s="225" t="s">
        <v>111</v>
      </c>
      <c r="C111" s="225"/>
      <c r="D111" s="226"/>
      <c r="E111" s="173"/>
      <c r="F111" s="17"/>
      <c r="G111" s="18">
        <f>SUM(G105:G110)</f>
        <v>7</v>
      </c>
      <c r="H111" s="19"/>
      <c r="I111" s="4">
        <f>((G106*I106)+(G109*I109)+(G110*I110)+(G105*I105)+(G107*I107)+(G108*I108))/G111</f>
        <v>0</v>
      </c>
      <c r="J111" s="19">
        <f t="shared" ref="J111:O111" si="26">SUM(J105:J110)</f>
        <v>0</v>
      </c>
      <c r="K111" s="19">
        <f t="shared" si="26"/>
        <v>0</v>
      </c>
      <c r="L111" s="19">
        <f t="shared" si="26"/>
        <v>0</v>
      </c>
      <c r="M111" s="19">
        <f t="shared" si="26"/>
        <v>0</v>
      </c>
      <c r="N111" s="19">
        <f t="shared" si="26"/>
        <v>0</v>
      </c>
      <c r="O111" s="19">
        <f t="shared" si="26"/>
        <v>0</v>
      </c>
      <c r="P111" s="38"/>
    </row>
    <row r="112" spans="1:16" ht="16.5" hidden="1" thickBot="1" x14ac:dyDescent="0.3">
      <c r="A112" s="83"/>
      <c r="B112" s="225" t="s">
        <v>112</v>
      </c>
      <c r="C112" s="225"/>
      <c r="D112" s="226"/>
      <c r="E112" s="207"/>
      <c r="F112" s="29"/>
      <c r="G112" s="30">
        <f>G111+G104</f>
        <v>34.5</v>
      </c>
      <c r="H112" s="31"/>
      <c r="I112" s="31">
        <f>((G104*I104)+(G111*I111))/G112</f>
        <v>0</v>
      </c>
      <c r="J112" s="31">
        <f t="shared" ref="J112:O112" si="27">J111+J104</f>
        <v>0</v>
      </c>
      <c r="K112" s="31">
        <f t="shared" si="27"/>
        <v>0</v>
      </c>
      <c r="L112" s="31">
        <f t="shared" si="27"/>
        <v>0</v>
      </c>
      <c r="M112" s="31">
        <f t="shared" si="27"/>
        <v>0</v>
      </c>
      <c r="N112" s="31">
        <f t="shared" si="27"/>
        <v>0</v>
      </c>
      <c r="O112" s="31">
        <f t="shared" si="27"/>
        <v>0</v>
      </c>
      <c r="P112" s="49"/>
    </row>
    <row r="113" spans="1:16" ht="16.5" thickBot="1" x14ac:dyDescent="0.3">
      <c r="A113" s="83"/>
      <c r="B113" s="227" t="s">
        <v>113</v>
      </c>
      <c r="C113" s="228"/>
      <c r="D113" s="229"/>
      <c r="E113" s="183"/>
      <c r="F113" s="151"/>
      <c r="G113" s="224">
        <f>G30+G25+G36+G42+G48+G54+G78</f>
        <v>20</v>
      </c>
      <c r="H113" s="4"/>
      <c r="I113" s="4">
        <f>I25</f>
        <v>8.01592261904762</v>
      </c>
      <c r="J113" s="4">
        <f>J30+J25+J36+J42+J48+J54</f>
        <v>5000000</v>
      </c>
      <c r="K113" s="4">
        <f>K30+K25+K36+K42+K48+K54</f>
        <v>5000000</v>
      </c>
      <c r="L113" s="4">
        <f t="shared" ref="L113:O113" si="28">L30+L25+L36+L42+L48+L54</f>
        <v>0</v>
      </c>
      <c r="M113" s="4">
        <f t="shared" si="28"/>
        <v>2050000</v>
      </c>
      <c r="N113" s="4">
        <f>N30+N25+N36+N42+N48+N54</f>
        <v>0</v>
      </c>
      <c r="O113" s="4">
        <f t="shared" si="28"/>
        <v>7050000</v>
      </c>
      <c r="P113" s="153"/>
    </row>
    <row r="114" spans="1:16" x14ac:dyDescent="0.25">
      <c r="A114" s="37"/>
      <c r="B114" s="37"/>
      <c r="C114" s="58"/>
      <c r="D114" s="37"/>
      <c r="E114" s="164"/>
      <c r="F114" s="36"/>
      <c r="G114" s="36"/>
      <c r="H114" s="37"/>
      <c r="I114" s="37"/>
      <c r="J114" s="37"/>
      <c r="K114" s="37"/>
      <c r="L114" s="37"/>
      <c r="M114" s="37"/>
      <c r="N114" s="37"/>
      <c r="O114" s="37"/>
      <c r="P114" s="37"/>
    </row>
    <row r="115" spans="1:16" x14ac:dyDescent="0.25">
      <c r="A115" s="37"/>
      <c r="B115" s="58"/>
      <c r="C115" s="58"/>
      <c r="D115" s="154"/>
      <c r="E115" s="154"/>
      <c r="F115" s="155"/>
      <c r="G115" s="155"/>
      <c r="H115" s="58"/>
      <c r="I115" s="58"/>
      <c r="J115" s="58"/>
      <c r="K115" s="58"/>
      <c r="L115" s="58"/>
      <c r="M115" s="58"/>
      <c r="N115" s="154"/>
      <c r="O115" s="154">
        <f>O113/G113</f>
        <v>352500</v>
      </c>
      <c r="P115" s="156"/>
    </row>
  </sheetData>
  <mergeCells count="71">
    <mergeCell ref="B43:C43"/>
    <mergeCell ref="A44:B48"/>
    <mergeCell ref="C44:C48"/>
    <mergeCell ref="A50:B54"/>
    <mergeCell ref="C50:C54"/>
    <mergeCell ref="C32:C35"/>
    <mergeCell ref="A32:B35"/>
    <mergeCell ref="A36:D36"/>
    <mergeCell ref="B37:C37"/>
    <mergeCell ref="A38:B42"/>
    <mergeCell ref="C38:C42"/>
    <mergeCell ref="C9:F9"/>
    <mergeCell ref="M9:O9"/>
    <mergeCell ref="L3:N3"/>
    <mergeCell ref="D4:M4"/>
    <mergeCell ref="B5:L5"/>
    <mergeCell ref="B8:F8"/>
    <mergeCell ref="N8:P8"/>
    <mergeCell ref="M10:P10"/>
    <mergeCell ref="M11:N11"/>
    <mergeCell ref="A13:B13"/>
    <mergeCell ref="D13:D14"/>
    <mergeCell ref="F13:F14"/>
    <mergeCell ref="G13:G14"/>
    <mergeCell ref="H13:H14"/>
    <mergeCell ref="I13:I14"/>
    <mergeCell ref="J13:J14"/>
    <mergeCell ref="K13:K14"/>
    <mergeCell ref="L13:N13"/>
    <mergeCell ref="O13:O14"/>
    <mergeCell ref="P13:P14"/>
    <mergeCell ref="A14:B14"/>
    <mergeCell ref="E13:E14"/>
    <mergeCell ref="A16:B24"/>
    <mergeCell ref="C16:C24"/>
    <mergeCell ref="A69:D69"/>
    <mergeCell ref="B25:D25"/>
    <mergeCell ref="A26:B29"/>
    <mergeCell ref="C26:C29"/>
    <mergeCell ref="A30:D30"/>
    <mergeCell ref="B31:C31"/>
    <mergeCell ref="A55:A64"/>
    <mergeCell ref="B55:B58"/>
    <mergeCell ref="C55:C58"/>
    <mergeCell ref="C59:D59"/>
    <mergeCell ref="B60:B62"/>
    <mergeCell ref="C60:C62"/>
    <mergeCell ref="B63:D63"/>
    <mergeCell ref="B64:D64"/>
    <mergeCell ref="A65:B68"/>
    <mergeCell ref="C65:C68"/>
    <mergeCell ref="A88:D88"/>
    <mergeCell ref="A70:B72"/>
    <mergeCell ref="C70:C72"/>
    <mergeCell ref="A73:D73"/>
    <mergeCell ref="A74:B77"/>
    <mergeCell ref="C74:C77"/>
    <mergeCell ref="A78:D78"/>
    <mergeCell ref="A79:B84"/>
    <mergeCell ref="C79:C84"/>
    <mergeCell ref="A85:D85"/>
    <mergeCell ref="A86:B86"/>
    <mergeCell ref="A87:B87"/>
    <mergeCell ref="B112:D112"/>
    <mergeCell ref="B113:D113"/>
    <mergeCell ref="A89:B103"/>
    <mergeCell ref="C89:C103"/>
    <mergeCell ref="A104:D104"/>
    <mergeCell ref="A105:B110"/>
    <mergeCell ref="C105:C110"/>
    <mergeCell ref="B111:D111"/>
  </mergeCells>
  <pageMargins left="0.70866141732283472" right="0.70866141732283472" top="0.74803149606299213" bottom="0.74803149606299213" header="0.31496062992125984" footer="0.31496062992125984"/>
  <pageSetup paperSize="8" scale="67" orientation="landscape" r:id="rId1"/>
  <rowBreaks count="1" manualBreakCount="1">
    <brk id="59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92"/>
  <sheetViews>
    <sheetView view="pageBreakPreview" topLeftCell="C7" zoomScaleNormal="100" zoomScaleSheetLayoutView="100" workbookViewId="0">
      <selection activeCell="G20" sqref="G20"/>
    </sheetView>
  </sheetViews>
  <sheetFormatPr defaultRowHeight="15.75" x14ac:dyDescent="0.25"/>
  <cols>
    <col min="1" max="1" width="9.140625" style="52"/>
    <col min="2" max="3" width="9.42578125" style="52" bestFit="1" customWidth="1"/>
    <col min="4" max="4" width="40.28515625" style="52" customWidth="1"/>
    <col min="5" max="5" width="16.85546875" style="52" customWidth="1"/>
    <col min="6" max="7" width="14.28515625" style="52" customWidth="1"/>
    <col min="8" max="8" width="16" style="52" customWidth="1"/>
    <col min="9" max="13" width="14.28515625" style="52" customWidth="1"/>
    <col min="14" max="14" width="17" style="52" customWidth="1"/>
    <col min="15" max="15" width="16" style="52" customWidth="1"/>
    <col min="16" max="16" width="9.140625" style="32"/>
  </cols>
  <sheetData>
    <row r="1" spans="1:16" ht="16.5" thickBot="1" x14ac:dyDescent="0.3"/>
    <row r="2" spans="1:16" ht="16.5" thickBot="1" x14ac:dyDescent="0.3">
      <c r="A2" s="164"/>
      <c r="B2" s="166"/>
      <c r="C2" s="53"/>
      <c r="D2" s="166"/>
      <c r="E2" s="36"/>
      <c r="F2" s="36"/>
      <c r="G2" s="164"/>
      <c r="H2" s="164"/>
      <c r="I2" s="164"/>
      <c r="J2" s="164"/>
      <c r="K2" s="164"/>
      <c r="L2" s="164"/>
      <c r="M2" s="164"/>
      <c r="N2" s="54" t="s">
        <v>0</v>
      </c>
      <c r="O2" s="166"/>
    </row>
    <row r="3" spans="1:16" ht="16.5" thickBot="1" x14ac:dyDescent="0.3">
      <c r="A3" s="164"/>
      <c r="B3" s="166"/>
      <c r="C3" s="53"/>
      <c r="D3" s="166"/>
      <c r="E3" s="36"/>
      <c r="F3" s="36"/>
      <c r="G3" s="164"/>
      <c r="H3" s="164"/>
      <c r="I3" s="164"/>
      <c r="J3" s="164"/>
      <c r="K3" s="269" t="s">
        <v>1</v>
      </c>
      <c r="L3" s="269"/>
      <c r="M3" s="282"/>
      <c r="N3" s="34" t="s">
        <v>2</v>
      </c>
      <c r="O3" s="166"/>
    </row>
    <row r="4" spans="1:16" ht="16.5" thickBot="1" x14ac:dyDescent="0.3">
      <c r="A4" s="164"/>
      <c r="B4" s="165"/>
      <c r="C4" s="165"/>
      <c r="D4" s="283" t="s">
        <v>115</v>
      </c>
      <c r="E4" s="283"/>
      <c r="F4" s="283"/>
      <c r="G4" s="283"/>
      <c r="H4" s="283"/>
      <c r="I4" s="283"/>
      <c r="J4" s="283"/>
      <c r="K4" s="283"/>
      <c r="L4" s="283"/>
      <c r="M4" s="164" t="s">
        <v>3</v>
      </c>
      <c r="N4" s="55">
        <v>57802481</v>
      </c>
      <c r="O4" s="166"/>
    </row>
    <row r="5" spans="1:16" x14ac:dyDescent="0.25">
      <c r="A5" s="164"/>
      <c r="B5" s="267" t="s">
        <v>4</v>
      </c>
      <c r="C5" s="267"/>
      <c r="D5" s="267"/>
      <c r="E5" s="267"/>
      <c r="F5" s="267"/>
      <c r="G5" s="267"/>
      <c r="H5" s="267"/>
      <c r="I5" s="267"/>
      <c r="J5" s="267"/>
      <c r="K5" s="267"/>
      <c r="L5" s="164"/>
      <c r="M5" s="164"/>
      <c r="N5" s="164"/>
      <c r="O5" s="166"/>
    </row>
    <row r="6" spans="1:16" ht="16.5" thickBot="1" x14ac:dyDescent="0.3">
      <c r="A6" s="164"/>
      <c r="B6" s="166"/>
      <c r="C6" s="53"/>
      <c r="D6" s="166"/>
      <c r="E6" s="36"/>
      <c r="F6" s="36"/>
      <c r="G6" s="164"/>
      <c r="H6" s="164"/>
      <c r="I6" s="164"/>
      <c r="J6" s="164"/>
      <c r="K6" s="164"/>
      <c r="L6" s="164"/>
      <c r="M6" s="164"/>
      <c r="N6" s="164"/>
      <c r="O6" s="166"/>
    </row>
    <row r="7" spans="1:16" ht="32.25" thickBot="1" x14ac:dyDescent="0.3">
      <c r="A7" s="164"/>
      <c r="B7" s="166"/>
      <c r="C7" s="53"/>
      <c r="D7" s="166"/>
      <c r="E7" s="36"/>
      <c r="F7" s="36"/>
      <c r="G7" s="164"/>
      <c r="H7" s="164"/>
      <c r="I7" s="164"/>
      <c r="J7" s="34" t="s">
        <v>5</v>
      </c>
      <c r="K7" s="34" t="s">
        <v>6</v>
      </c>
      <c r="L7" s="164"/>
      <c r="M7" s="164"/>
      <c r="N7" s="164"/>
      <c r="O7" s="166"/>
    </row>
    <row r="8" spans="1:16" ht="16.5" thickBot="1" x14ac:dyDescent="0.3">
      <c r="A8" s="164"/>
      <c r="B8" s="284" t="s">
        <v>7</v>
      </c>
      <c r="C8" s="284"/>
      <c r="D8" s="284"/>
      <c r="E8" s="284"/>
      <c r="F8" s="56"/>
      <c r="G8" s="46"/>
      <c r="H8" s="46"/>
      <c r="I8" s="46"/>
      <c r="J8" s="34"/>
      <c r="K8" s="57"/>
      <c r="L8" s="164"/>
      <c r="M8" s="285" t="s">
        <v>8</v>
      </c>
      <c r="N8" s="285"/>
      <c r="O8" s="285"/>
    </row>
    <row r="9" spans="1:16" x14ac:dyDescent="0.25">
      <c r="A9" s="164"/>
      <c r="B9" s="166"/>
      <c r="C9" s="269" t="s">
        <v>116</v>
      </c>
      <c r="D9" s="269"/>
      <c r="E9" s="281"/>
      <c r="F9" s="36"/>
      <c r="G9" s="164"/>
      <c r="H9" s="164"/>
      <c r="I9" s="164"/>
      <c r="J9" s="164"/>
      <c r="K9" s="164"/>
      <c r="L9" s="269" t="s">
        <v>117</v>
      </c>
      <c r="M9" s="281"/>
      <c r="N9" s="281"/>
      <c r="O9" s="164"/>
    </row>
    <row r="10" spans="1:16" x14ac:dyDescent="0.25">
      <c r="A10" s="164"/>
      <c r="B10" s="166"/>
      <c r="C10" s="53"/>
      <c r="D10" s="36"/>
      <c r="E10" s="36"/>
      <c r="F10" s="36"/>
      <c r="G10" s="164"/>
      <c r="H10" s="164"/>
      <c r="I10" s="164"/>
      <c r="J10" s="164"/>
      <c r="K10" s="164"/>
      <c r="L10" s="267" t="s">
        <v>114</v>
      </c>
      <c r="M10" s="268"/>
      <c r="N10" s="268"/>
      <c r="O10" s="268"/>
    </row>
    <row r="11" spans="1:16" x14ac:dyDescent="0.25">
      <c r="A11" s="164"/>
      <c r="B11" s="164"/>
      <c r="C11" s="58"/>
      <c r="D11" s="164"/>
      <c r="E11" s="36"/>
      <c r="F11" s="36"/>
      <c r="G11" s="164"/>
      <c r="H11" s="164"/>
      <c r="I11" s="164"/>
      <c r="J11" s="164"/>
      <c r="K11" s="164"/>
      <c r="L11" s="269" t="s">
        <v>9</v>
      </c>
      <c r="M11" s="269"/>
      <c r="N11" s="59">
        <f>F90</f>
        <v>35</v>
      </c>
      <c r="O11" s="164"/>
    </row>
    <row r="12" spans="1:16" ht="16.5" thickBot="1" x14ac:dyDescent="0.3">
      <c r="A12" s="164"/>
      <c r="B12" s="164"/>
      <c r="C12" s="58"/>
      <c r="D12" s="164"/>
      <c r="E12" s="36"/>
      <c r="F12" s="36"/>
      <c r="G12" s="164"/>
      <c r="H12" s="164"/>
      <c r="I12" s="164"/>
      <c r="J12" s="164"/>
      <c r="K12" s="164"/>
      <c r="L12" s="164"/>
      <c r="M12" s="164"/>
      <c r="N12" s="164"/>
      <c r="O12" s="36"/>
    </row>
    <row r="13" spans="1:16" ht="39" customHeight="1" thickBot="1" x14ac:dyDescent="0.3">
      <c r="A13" s="270" t="s">
        <v>10</v>
      </c>
      <c r="B13" s="271"/>
      <c r="C13" s="38"/>
      <c r="D13" s="272" t="s">
        <v>11</v>
      </c>
      <c r="E13" s="274" t="s">
        <v>12</v>
      </c>
      <c r="F13" s="272" t="s">
        <v>13</v>
      </c>
      <c r="G13" s="272" t="s">
        <v>14</v>
      </c>
      <c r="H13" s="272" t="s">
        <v>15</v>
      </c>
      <c r="I13" s="272" t="s">
        <v>16</v>
      </c>
      <c r="J13" s="272" t="s">
        <v>17</v>
      </c>
      <c r="K13" s="270" t="s">
        <v>18</v>
      </c>
      <c r="L13" s="276"/>
      <c r="M13" s="271"/>
      <c r="N13" s="277" t="s">
        <v>19</v>
      </c>
      <c r="O13" s="272" t="s">
        <v>20</v>
      </c>
    </row>
    <row r="14" spans="1:16" ht="48" thickBot="1" x14ac:dyDescent="0.3">
      <c r="A14" s="279" t="s">
        <v>21</v>
      </c>
      <c r="B14" s="280"/>
      <c r="C14" s="60" t="s">
        <v>22</v>
      </c>
      <c r="D14" s="273"/>
      <c r="E14" s="275"/>
      <c r="F14" s="273"/>
      <c r="G14" s="273"/>
      <c r="H14" s="273"/>
      <c r="I14" s="273"/>
      <c r="J14" s="273"/>
      <c r="K14" s="39" t="s">
        <v>23</v>
      </c>
      <c r="L14" s="174" t="s">
        <v>24</v>
      </c>
      <c r="M14" s="174" t="s">
        <v>25</v>
      </c>
      <c r="N14" s="278"/>
      <c r="O14" s="273"/>
    </row>
    <row r="15" spans="1:16" s="51" customFormat="1" ht="16.5" thickBot="1" x14ac:dyDescent="0.3">
      <c r="A15" s="61"/>
      <c r="B15" s="62">
        <v>1</v>
      </c>
      <c r="C15" s="63">
        <v>2</v>
      </c>
      <c r="D15" s="64">
        <v>3</v>
      </c>
      <c r="E15" s="65">
        <v>4</v>
      </c>
      <c r="F15" s="64">
        <v>5</v>
      </c>
      <c r="G15" s="64">
        <v>6</v>
      </c>
      <c r="H15" s="64">
        <v>7</v>
      </c>
      <c r="I15" s="64">
        <v>8</v>
      </c>
      <c r="J15" s="62">
        <v>9</v>
      </c>
      <c r="K15" s="61">
        <v>10</v>
      </c>
      <c r="L15" s="61">
        <v>11</v>
      </c>
      <c r="M15" s="184">
        <v>12</v>
      </c>
      <c r="N15" s="61">
        <v>13</v>
      </c>
      <c r="O15" s="61">
        <v>15</v>
      </c>
      <c r="P15" s="50"/>
    </row>
    <row r="16" spans="1:16" ht="16.5" thickBot="1" x14ac:dyDescent="0.3">
      <c r="A16" s="248" t="s">
        <v>26</v>
      </c>
      <c r="B16" s="249"/>
      <c r="C16" s="252" t="s">
        <v>27</v>
      </c>
      <c r="D16" s="157" t="s">
        <v>28</v>
      </c>
      <c r="E16" s="66">
        <v>18</v>
      </c>
      <c r="F16" s="67">
        <v>1</v>
      </c>
      <c r="G16" s="68">
        <v>7907.65</v>
      </c>
      <c r="H16" s="68">
        <f>86000/5600</f>
        <v>15.357142857142858</v>
      </c>
      <c r="I16" s="68">
        <f>G16*H16</f>
        <v>121438.91071428571</v>
      </c>
      <c r="J16" s="68">
        <f t="shared" ref="J16:J20" si="0">I16</f>
        <v>121438.91071428571</v>
      </c>
      <c r="K16" s="68"/>
      <c r="L16" s="160">
        <f>I16*100%</f>
        <v>121438.91071428571</v>
      </c>
      <c r="M16" s="68"/>
      <c r="N16" s="68">
        <f>J16+K16+L16+M16</f>
        <v>242877.82142857142</v>
      </c>
      <c r="O16" s="41" t="s">
        <v>29</v>
      </c>
    </row>
    <row r="17" spans="1:15" ht="31.5" x14ac:dyDescent="0.25">
      <c r="A17" s="250"/>
      <c r="B17" s="251"/>
      <c r="C17" s="253"/>
      <c r="D17" s="158" t="s">
        <v>30</v>
      </c>
      <c r="E17" s="23">
        <v>16</v>
      </c>
      <c r="F17" s="24">
        <v>1</v>
      </c>
      <c r="G17" s="25">
        <f>G16</f>
        <v>7907.65</v>
      </c>
      <c r="H17" s="25">
        <f>53950/5600</f>
        <v>9.6339285714285712</v>
      </c>
      <c r="I17" s="68">
        <f>G17*H17</f>
        <v>76181.735267857133</v>
      </c>
      <c r="J17" s="25">
        <f t="shared" si="0"/>
        <v>76181.735267857133</v>
      </c>
      <c r="K17" s="25"/>
      <c r="L17" s="160">
        <f>I17*100%</f>
        <v>76181.735267857133</v>
      </c>
      <c r="M17" s="9"/>
      <c r="N17" s="25">
        <f t="shared" ref="N17:N20" si="1">J17+K17+L17+M17</f>
        <v>152363.47053571427</v>
      </c>
      <c r="O17" s="41" t="s">
        <v>29</v>
      </c>
    </row>
    <row r="18" spans="1:15" ht="31.5" x14ac:dyDescent="0.25">
      <c r="A18" s="250"/>
      <c r="B18" s="251"/>
      <c r="C18" s="253"/>
      <c r="D18" s="69" t="s">
        <v>31</v>
      </c>
      <c r="E18" s="23">
        <v>14</v>
      </c>
      <c r="F18" s="24"/>
      <c r="G18" s="25">
        <f t="shared" ref="G18:G24" si="2">G17</f>
        <v>7907.65</v>
      </c>
      <c r="H18" s="25">
        <f>45825/5600</f>
        <v>8.1830357142857135</v>
      </c>
      <c r="I18" s="25"/>
      <c r="J18" s="25"/>
      <c r="K18" s="25"/>
      <c r="L18" s="25"/>
      <c r="M18" s="9"/>
      <c r="N18" s="25"/>
      <c r="O18" s="70"/>
    </row>
    <row r="19" spans="1:15" ht="32.25" thickBot="1" x14ac:dyDescent="0.3">
      <c r="A19" s="250"/>
      <c r="B19" s="251"/>
      <c r="C19" s="253"/>
      <c r="D19" s="69" t="s">
        <v>32</v>
      </c>
      <c r="E19" s="23">
        <v>16</v>
      </c>
      <c r="F19" s="24"/>
      <c r="G19" s="25">
        <f t="shared" si="2"/>
        <v>7907.65</v>
      </c>
      <c r="H19" s="25">
        <f>55000/5600</f>
        <v>9.8214285714285712</v>
      </c>
      <c r="I19" s="25"/>
      <c r="J19" s="25"/>
      <c r="K19" s="25"/>
      <c r="L19" s="25"/>
      <c r="M19" s="9"/>
      <c r="N19" s="25"/>
      <c r="O19" s="70"/>
    </row>
    <row r="20" spans="1:15" ht="31.5" x14ac:dyDescent="0.25">
      <c r="A20" s="250"/>
      <c r="B20" s="251"/>
      <c r="C20" s="253"/>
      <c r="D20" s="158" t="s">
        <v>33</v>
      </c>
      <c r="E20" s="71">
        <v>16</v>
      </c>
      <c r="F20" s="72">
        <v>1</v>
      </c>
      <c r="G20" s="25">
        <f t="shared" si="2"/>
        <v>7907.65</v>
      </c>
      <c r="H20" s="9">
        <f>H17</f>
        <v>9.6339285714285712</v>
      </c>
      <c r="I20" s="9">
        <f>H20*G20</f>
        <v>76181.735267857133</v>
      </c>
      <c r="J20" s="9">
        <f t="shared" si="0"/>
        <v>76181.735267857133</v>
      </c>
      <c r="K20" s="9"/>
      <c r="L20" s="160">
        <f>I20*100%</f>
        <v>76181.735267857133</v>
      </c>
      <c r="M20" s="9"/>
      <c r="N20" s="9">
        <f t="shared" si="1"/>
        <v>152363.47053571427</v>
      </c>
      <c r="O20" s="41" t="s">
        <v>29</v>
      </c>
    </row>
    <row r="21" spans="1:15" ht="31.5" x14ac:dyDescent="0.25">
      <c r="A21" s="250"/>
      <c r="B21" s="251"/>
      <c r="C21" s="253"/>
      <c r="D21" s="73" t="s">
        <v>34</v>
      </c>
      <c r="E21" s="1">
        <v>12</v>
      </c>
      <c r="F21" s="2"/>
      <c r="G21" s="25">
        <f t="shared" si="2"/>
        <v>7907.65</v>
      </c>
      <c r="H21" s="3">
        <v>5.0999999999999996</v>
      </c>
      <c r="I21" s="25"/>
      <c r="J21" s="25"/>
      <c r="K21" s="25"/>
      <c r="L21" s="25"/>
      <c r="M21" s="3"/>
      <c r="N21" s="25"/>
      <c r="O21" s="70"/>
    </row>
    <row r="22" spans="1:15" x14ac:dyDescent="0.25">
      <c r="A22" s="250"/>
      <c r="B22" s="251"/>
      <c r="C22" s="253"/>
      <c r="D22" s="42" t="s">
        <v>35</v>
      </c>
      <c r="E22" s="71">
        <v>8</v>
      </c>
      <c r="F22" s="72"/>
      <c r="G22" s="25">
        <f t="shared" si="2"/>
        <v>7907.65</v>
      </c>
      <c r="H22" s="9">
        <v>3.12</v>
      </c>
      <c r="I22" s="9"/>
      <c r="J22" s="9"/>
      <c r="K22" s="9"/>
      <c r="L22" s="9"/>
      <c r="M22" s="9"/>
      <c r="N22" s="9"/>
      <c r="O22" s="77"/>
    </row>
    <row r="23" spans="1:15" ht="31.5" x14ac:dyDescent="0.25">
      <c r="A23" s="250"/>
      <c r="B23" s="251"/>
      <c r="C23" s="253"/>
      <c r="D23" s="42" t="s">
        <v>36</v>
      </c>
      <c r="E23" s="1">
        <v>12</v>
      </c>
      <c r="F23" s="2"/>
      <c r="G23" s="25">
        <f t="shared" si="2"/>
        <v>7907.65</v>
      </c>
      <c r="H23" s="3">
        <f>30105/5600</f>
        <v>5.3758928571428575</v>
      </c>
      <c r="I23" s="9"/>
      <c r="J23" s="25"/>
      <c r="K23" s="25"/>
      <c r="L23" s="25"/>
      <c r="M23" s="3"/>
      <c r="N23" s="25"/>
      <c r="O23" s="43"/>
    </row>
    <row r="24" spans="1:15" ht="16.5" thickBot="1" x14ac:dyDescent="0.3">
      <c r="A24" s="250"/>
      <c r="B24" s="251"/>
      <c r="C24" s="253"/>
      <c r="D24" s="78" t="s">
        <v>37</v>
      </c>
      <c r="E24" s="26">
        <v>3</v>
      </c>
      <c r="F24" s="27"/>
      <c r="G24" s="28">
        <f t="shared" si="2"/>
        <v>7907.65</v>
      </c>
      <c r="H24" s="28">
        <v>1.69</v>
      </c>
      <c r="I24" s="28"/>
      <c r="J24" s="28"/>
      <c r="K24" s="28"/>
      <c r="L24" s="28"/>
      <c r="M24" s="28"/>
      <c r="N24" s="28"/>
      <c r="O24" s="82"/>
    </row>
    <row r="25" spans="1:15" ht="16.5" thickBot="1" x14ac:dyDescent="0.3">
      <c r="A25" s="83"/>
      <c r="B25" s="225" t="s">
        <v>38</v>
      </c>
      <c r="C25" s="225"/>
      <c r="D25" s="226"/>
      <c r="E25" s="180"/>
      <c r="F25" s="18">
        <f>SUM(F16:F24)</f>
        <v>3</v>
      </c>
      <c r="G25" s="19"/>
      <c r="H25" s="4">
        <f>((F16*H16)+(F17*H17)+(F18*H18)+(F19*H19)+(F21*H21)+(F23*H23)+(F24*H24))/F25</f>
        <v>8.3303571428571441</v>
      </c>
      <c r="I25" s="19">
        <f t="shared" ref="I25:M25" si="3">SUM(I16:I24)</f>
        <v>273802.38124999998</v>
      </c>
      <c r="J25" s="19">
        <f t="shared" si="3"/>
        <v>273802.38124999998</v>
      </c>
      <c r="K25" s="19">
        <f t="shared" si="3"/>
        <v>0</v>
      </c>
      <c r="L25" s="19">
        <f t="shared" si="3"/>
        <v>273802.38124999998</v>
      </c>
      <c r="M25" s="19">
        <f t="shared" si="3"/>
        <v>0</v>
      </c>
      <c r="N25" s="19">
        <f>SUM(N16:N24)</f>
        <v>547604.76249999995</v>
      </c>
      <c r="O25" s="84"/>
    </row>
    <row r="26" spans="1:15" x14ac:dyDescent="0.25">
      <c r="A26" s="239" t="s">
        <v>39</v>
      </c>
      <c r="B26" s="240"/>
      <c r="C26" s="232" t="s">
        <v>40</v>
      </c>
      <c r="D26" s="159" t="s">
        <v>41</v>
      </c>
      <c r="E26" s="86">
        <v>16</v>
      </c>
      <c r="F26" s="87">
        <v>1</v>
      </c>
      <c r="G26" s="25">
        <f>G24</f>
        <v>7907.65</v>
      </c>
      <c r="H26" s="85">
        <v>8.17</v>
      </c>
      <c r="I26" s="25">
        <f>G26*H26</f>
        <v>64605.500499999995</v>
      </c>
      <c r="J26" s="25">
        <f>F26*G26*H26</f>
        <v>64605.500499999995</v>
      </c>
      <c r="K26" s="25">
        <v>20000</v>
      </c>
      <c r="L26" s="160">
        <f>I26*100%</f>
        <v>64605.500499999995</v>
      </c>
      <c r="M26" s="3"/>
      <c r="N26" s="25">
        <f>J26+K26+L26+M26</f>
        <v>149211.00099999999</v>
      </c>
      <c r="O26" s="41" t="s">
        <v>29</v>
      </c>
    </row>
    <row r="27" spans="1:15" x14ac:dyDescent="0.25">
      <c r="A27" s="239"/>
      <c r="B27" s="240"/>
      <c r="C27" s="232"/>
      <c r="D27" s="3" t="s">
        <v>42</v>
      </c>
      <c r="E27" s="1">
        <v>11</v>
      </c>
      <c r="F27" s="2">
        <v>1</v>
      </c>
      <c r="G27" s="25">
        <f>G26</f>
        <v>7907.65</v>
      </c>
      <c r="H27" s="3">
        <v>4.51</v>
      </c>
      <c r="I27" s="25"/>
      <c r="J27" s="25"/>
      <c r="K27" s="25"/>
      <c r="L27" s="25"/>
      <c r="M27" s="3"/>
      <c r="N27" s="25"/>
      <c r="O27" s="3"/>
    </row>
    <row r="28" spans="1:15" x14ac:dyDescent="0.25">
      <c r="A28" s="239"/>
      <c r="B28" s="240"/>
      <c r="C28" s="232"/>
      <c r="D28" s="10" t="s">
        <v>43</v>
      </c>
      <c r="E28" s="88">
        <v>9</v>
      </c>
      <c r="F28" s="89">
        <v>2</v>
      </c>
      <c r="G28" s="25">
        <f t="shared" ref="G28:G29" si="4">G26</f>
        <v>7907.65</v>
      </c>
      <c r="H28" s="10">
        <v>3.53</v>
      </c>
      <c r="I28" s="25"/>
      <c r="J28" s="25"/>
      <c r="K28" s="25"/>
      <c r="L28" s="25"/>
      <c r="M28" s="3"/>
      <c r="N28" s="25"/>
      <c r="O28" s="3"/>
    </row>
    <row r="29" spans="1:15" ht="16.5" thickBot="1" x14ac:dyDescent="0.3">
      <c r="A29" s="239"/>
      <c r="B29" s="240"/>
      <c r="C29" s="232"/>
      <c r="D29" s="10" t="s">
        <v>44</v>
      </c>
      <c r="E29" s="88">
        <v>8</v>
      </c>
      <c r="F29" s="89">
        <v>4</v>
      </c>
      <c r="G29" s="25">
        <f t="shared" si="4"/>
        <v>7907.65</v>
      </c>
      <c r="H29" s="10">
        <v>3.12</v>
      </c>
      <c r="I29" s="25"/>
      <c r="J29" s="25"/>
      <c r="K29" s="25"/>
      <c r="L29" s="25"/>
      <c r="M29" s="3"/>
      <c r="N29" s="25"/>
      <c r="O29" s="10"/>
    </row>
    <row r="30" spans="1:15" ht="16.5" thickBot="1" x14ac:dyDescent="0.3">
      <c r="A30" s="243" t="s">
        <v>45</v>
      </c>
      <c r="B30" s="244"/>
      <c r="C30" s="244"/>
      <c r="D30" s="245"/>
      <c r="E30" s="171"/>
      <c r="F30" s="6">
        <f>SUM(F26:F29)</f>
        <v>8</v>
      </c>
      <c r="G30" s="7"/>
      <c r="H30" s="4">
        <f>((F26*H26)+(F27*H27)+(F28*H28)+(F29*H29))/F30</f>
        <v>4.0274999999999999</v>
      </c>
      <c r="I30" s="7">
        <f t="shared" ref="I30:N30" si="5">SUM(I26:I29)</f>
        <v>64605.500499999995</v>
      </c>
      <c r="J30" s="7">
        <f t="shared" si="5"/>
        <v>64605.500499999995</v>
      </c>
      <c r="K30" s="7">
        <f t="shared" si="5"/>
        <v>20000</v>
      </c>
      <c r="L30" s="7">
        <f t="shared" si="5"/>
        <v>64605.500499999995</v>
      </c>
      <c r="M30" s="7">
        <f t="shared" si="5"/>
        <v>0</v>
      </c>
      <c r="N30" s="7">
        <f t="shared" si="5"/>
        <v>149211.00099999999</v>
      </c>
      <c r="O30" s="91"/>
    </row>
    <row r="31" spans="1:15" ht="16.5" thickBot="1" x14ac:dyDescent="0.3">
      <c r="A31" s="92"/>
      <c r="B31" s="254"/>
      <c r="C31" s="255"/>
      <c r="D31" s="162"/>
      <c r="E31" s="176"/>
      <c r="F31" s="6"/>
      <c r="G31" s="19"/>
      <c r="H31" s="7"/>
      <c r="I31" s="4"/>
      <c r="J31" s="19"/>
      <c r="K31" s="19"/>
      <c r="L31" s="19"/>
      <c r="M31" s="7"/>
      <c r="N31" s="19"/>
      <c r="O31" s="93"/>
    </row>
    <row r="32" spans="1:15" x14ac:dyDescent="0.25">
      <c r="A32" s="256" t="s">
        <v>46</v>
      </c>
      <c r="B32" s="257" t="s">
        <v>47</v>
      </c>
      <c r="C32" s="232" t="s">
        <v>48</v>
      </c>
      <c r="D32" s="8" t="s">
        <v>49</v>
      </c>
      <c r="E32" s="94">
        <v>12</v>
      </c>
      <c r="F32" s="95">
        <v>1</v>
      </c>
      <c r="G32" s="8">
        <f>G28</f>
        <v>7907.65</v>
      </c>
      <c r="H32" s="8">
        <v>5.0999999999999996</v>
      </c>
      <c r="I32" s="8"/>
      <c r="J32" s="8"/>
      <c r="K32" s="8"/>
      <c r="L32" s="8"/>
      <c r="M32" s="8"/>
      <c r="N32" s="8"/>
      <c r="O32" s="96"/>
    </row>
    <row r="33" spans="1:15" x14ac:dyDescent="0.25">
      <c r="A33" s="256"/>
      <c r="B33" s="257"/>
      <c r="C33" s="232"/>
      <c r="D33" s="9" t="s">
        <v>50</v>
      </c>
      <c r="E33" s="71">
        <v>11</v>
      </c>
      <c r="F33" s="95">
        <v>1</v>
      </c>
      <c r="G33" s="9">
        <f>G32</f>
        <v>7907.65</v>
      </c>
      <c r="H33" s="97">
        <v>4.51</v>
      </c>
      <c r="I33" s="9"/>
      <c r="J33" s="9"/>
      <c r="K33" s="9"/>
      <c r="L33" s="9"/>
      <c r="M33" s="9"/>
      <c r="N33" s="9"/>
      <c r="O33" s="10"/>
    </row>
    <row r="34" spans="1:15" x14ac:dyDescent="0.25">
      <c r="A34" s="256"/>
      <c r="B34" s="257"/>
      <c r="C34" s="232"/>
      <c r="D34" s="3" t="s">
        <v>51</v>
      </c>
      <c r="E34" s="88">
        <v>9</v>
      </c>
      <c r="F34" s="87">
        <v>1</v>
      </c>
      <c r="G34" s="9">
        <f t="shared" ref="G34:G35" si="6">G33</f>
        <v>7907.65</v>
      </c>
      <c r="H34" s="10">
        <v>3.53</v>
      </c>
      <c r="I34" s="25"/>
      <c r="J34" s="25"/>
      <c r="K34" s="25"/>
      <c r="L34" s="25"/>
      <c r="M34" s="3"/>
      <c r="N34" s="25"/>
      <c r="O34" s="10"/>
    </row>
    <row r="35" spans="1:15" ht="16.5" thickBot="1" x14ac:dyDescent="0.3">
      <c r="A35" s="256"/>
      <c r="B35" s="258"/>
      <c r="C35" s="286"/>
      <c r="D35" s="98" t="s">
        <v>52</v>
      </c>
      <c r="E35" s="88">
        <v>7</v>
      </c>
      <c r="F35" s="99">
        <v>1</v>
      </c>
      <c r="G35" s="9">
        <f t="shared" si="6"/>
        <v>7907.65</v>
      </c>
      <c r="H35" s="10">
        <v>2.76</v>
      </c>
      <c r="I35" s="28"/>
      <c r="J35" s="28"/>
      <c r="K35" s="28"/>
      <c r="L35" s="28"/>
      <c r="M35" s="10"/>
      <c r="N35" s="28"/>
      <c r="O35" s="10"/>
    </row>
    <row r="36" spans="1:15" ht="16.5" thickBot="1" x14ac:dyDescent="0.3">
      <c r="A36" s="256"/>
      <c r="B36" s="11"/>
      <c r="C36" s="261" t="s">
        <v>53</v>
      </c>
      <c r="D36" s="261"/>
      <c r="E36" s="176"/>
      <c r="F36" s="6">
        <f>SUM(F32:F35)</f>
        <v>4</v>
      </c>
      <c r="G36" s="7"/>
      <c r="H36" s="4">
        <f>((F32*H32)+(F33*H33)+(F34*H34)+(F35*H35))/F36</f>
        <v>3.9749999999999996</v>
      </c>
      <c r="I36" s="177">
        <f t="shared" ref="I36:M36" si="7">SUM(I32:I35)</f>
        <v>0</v>
      </c>
      <c r="J36" s="14">
        <f t="shared" si="7"/>
        <v>0</v>
      </c>
      <c r="K36" s="177">
        <f t="shared" si="7"/>
        <v>0</v>
      </c>
      <c r="L36" s="177">
        <f t="shared" si="7"/>
        <v>0</v>
      </c>
      <c r="M36" s="177">
        <f t="shared" si="7"/>
        <v>0</v>
      </c>
      <c r="N36" s="177">
        <f>SUM(N32:N35)</f>
        <v>0</v>
      </c>
      <c r="O36" s="7"/>
    </row>
    <row r="37" spans="1:15" ht="31.5" x14ac:dyDescent="0.25">
      <c r="A37" s="256"/>
      <c r="B37" s="239" t="s">
        <v>54</v>
      </c>
      <c r="C37" s="232" t="s">
        <v>48</v>
      </c>
      <c r="D37" s="161" t="s">
        <v>55</v>
      </c>
      <c r="E37" s="100"/>
      <c r="F37" s="101"/>
      <c r="G37" s="102"/>
      <c r="H37" s="12"/>
      <c r="I37" s="103"/>
      <c r="J37" s="103"/>
      <c r="K37" s="103"/>
      <c r="L37" s="103"/>
      <c r="M37" s="103"/>
      <c r="N37" s="103"/>
      <c r="O37" s="104"/>
    </row>
    <row r="38" spans="1:15" x14ac:dyDescent="0.25">
      <c r="A38" s="256"/>
      <c r="B38" s="239"/>
      <c r="C38" s="232"/>
      <c r="D38" s="44" t="s">
        <v>52</v>
      </c>
      <c r="E38" s="1">
        <v>7</v>
      </c>
      <c r="F38" s="2">
        <v>1</v>
      </c>
      <c r="G38" s="25">
        <f>G35</f>
        <v>7907.65</v>
      </c>
      <c r="H38" s="9">
        <v>2.76</v>
      </c>
      <c r="I38" s="25"/>
      <c r="J38" s="25"/>
      <c r="K38" s="25"/>
      <c r="L38" s="25"/>
      <c r="M38" s="3"/>
      <c r="N38" s="25"/>
      <c r="O38" s="3"/>
    </row>
    <row r="39" spans="1:15" ht="16.5" thickBot="1" x14ac:dyDescent="0.3">
      <c r="A39" s="256"/>
      <c r="B39" s="239"/>
      <c r="C39" s="232"/>
      <c r="D39" s="45" t="s">
        <v>56</v>
      </c>
      <c r="E39" s="105">
        <v>6</v>
      </c>
      <c r="F39" s="106">
        <v>1</v>
      </c>
      <c r="G39" s="81">
        <f>G38</f>
        <v>7907.65</v>
      </c>
      <c r="H39" s="107">
        <v>2.44</v>
      </c>
      <c r="I39" s="81"/>
      <c r="J39" s="81"/>
      <c r="K39" s="81"/>
      <c r="L39" s="81"/>
      <c r="M39" s="108"/>
      <c r="N39" s="81"/>
      <c r="O39" s="108"/>
    </row>
    <row r="40" spans="1:15" ht="16.5" thickBot="1" x14ac:dyDescent="0.3">
      <c r="A40" s="256"/>
      <c r="B40" s="260" t="s">
        <v>57</v>
      </c>
      <c r="C40" s="261"/>
      <c r="D40" s="263"/>
      <c r="E40" s="109"/>
      <c r="F40" s="6">
        <f>F38+F39</f>
        <v>2</v>
      </c>
      <c r="G40" s="38"/>
      <c r="H40" s="4">
        <f>((F38*H38)+(F39*H39))/F40</f>
        <v>2.5999999999999996</v>
      </c>
      <c r="I40" s="177">
        <f t="shared" ref="I40:N40" si="8">I38+I39</f>
        <v>0</v>
      </c>
      <c r="J40" s="14">
        <f t="shared" si="8"/>
        <v>0</v>
      </c>
      <c r="K40" s="177">
        <f t="shared" si="8"/>
        <v>0</v>
      </c>
      <c r="L40" s="177">
        <f t="shared" si="8"/>
        <v>0</v>
      </c>
      <c r="M40" s="177">
        <f t="shared" si="8"/>
        <v>0</v>
      </c>
      <c r="N40" s="177">
        <f t="shared" si="8"/>
        <v>0</v>
      </c>
      <c r="O40" s="110"/>
    </row>
    <row r="41" spans="1:15" ht="16.5" thickBot="1" x14ac:dyDescent="0.3">
      <c r="A41" s="256"/>
      <c r="B41" s="264" t="s">
        <v>58</v>
      </c>
      <c r="C41" s="265"/>
      <c r="D41" s="266"/>
      <c r="E41" s="176"/>
      <c r="F41" s="6">
        <f>F40+F36+F31</f>
        <v>6</v>
      </c>
      <c r="G41" s="7"/>
      <c r="H41" s="4">
        <f>((F38*H38)+(F31*H31)+(F39*H39)+(F32*H32)+(F33*H33)+(F34*H34)+(F35*H35))/F41</f>
        <v>3.5166666666666671</v>
      </c>
      <c r="I41" s="177">
        <f t="shared" ref="I41:M41" si="9">I40+I36+I31</f>
        <v>0</v>
      </c>
      <c r="J41" s="14">
        <f t="shared" si="9"/>
        <v>0</v>
      </c>
      <c r="K41" s="177">
        <f t="shared" si="9"/>
        <v>0</v>
      </c>
      <c r="L41" s="177">
        <f t="shared" si="9"/>
        <v>0</v>
      </c>
      <c r="M41" s="177">
        <f t="shared" si="9"/>
        <v>0</v>
      </c>
      <c r="N41" s="177">
        <f>N40+N36+N31</f>
        <v>0</v>
      </c>
      <c r="O41" s="15">
        <f>SUM(O32:O39)</f>
        <v>0</v>
      </c>
    </row>
    <row r="42" spans="1:15" x14ac:dyDescent="0.25">
      <c r="A42" s="237" t="s">
        <v>59</v>
      </c>
      <c r="B42" s="238"/>
      <c r="C42" s="232" t="s">
        <v>60</v>
      </c>
      <c r="D42" s="85" t="s">
        <v>61</v>
      </c>
      <c r="E42" s="86">
        <v>10</v>
      </c>
      <c r="F42" s="87">
        <v>1</v>
      </c>
      <c r="G42" s="25">
        <f>G38</f>
        <v>7907.65</v>
      </c>
      <c r="H42" s="85">
        <v>3.99</v>
      </c>
      <c r="I42" s="25"/>
      <c r="J42" s="25"/>
      <c r="K42" s="25"/>
      <c r="L42" s="25"/>
      <c r="M42" s="3"/>
      <c r="N42" s="25"/>
      <c r="O42" s="70"/>
    </row>
    <row r="43" spans="1:15" x14ac:dyDescent="0.25">
      <c r="A43" s="239"/>
      <c r="B43" s="240"/>
      <c r="C43" s="232"/>
      <c r="D43" s="9" t="s">
        <v>62</v>
      </c>
      <c r="E43" s="71">
        <v>9</v>
      </c>
      <c r="F43" s="87">
        <v>1</v>
      </c>
      <c r="G43" s="25">
        <f>G42</f>
        <v>7907.65</v>
      </c>
      <c r="H43" s="9">
        <v>3.53</v>
      </c>
      <c r="I43" s="25"/>
      <c r="J43" s="25"/>
      <c r="K43" s="25"/>
      <c r="L43" s="25"/>
      <c r="M43" s="3"/>
      <c r="N43" s="25"/>
      <c r="O43" s="9"/>
    </row>
    <row r="44" spans="1:15" ht="31.5" x14ac:dyDescent="0.25">
      <c r="A44" s="239"/>
      <c r="B44" s="240"/>
      <c r="C44" s="232"/>
      <c r="D44" s="9" t="s">
        <v>63</v>
      </c>
      <c r="E44" s="94">
        <v>8</v>
      </c>
      <c r="F44" s="95">
        <v>1</v>
      </c>
      <c r="G44" s="9">
        <f t="shared" ref="G44:G45" si="10">G43</f>
        <v>7907.65</v>
      </c>
      <c r="H44" s="97">
        <v>3.12</v>
      </c>
      <c r="I44" s="9"/>
      <c r="J44" s="9"/>
      <c r="K44" s="9"/>
      <c r="L44" s="9"/>
      <c r="M44" s="9"/>
      <c r="N44" s="9"/>
      <c r="O44" s="9"/>
    </row>
    <row r="45" spans="1:15" ht="16.5" thickBot="1" x14ac:dyDescent="0.3">
      <c r="A45" s="241"/>
      <c r="B45" s="242"/>
      <c r="C45" s="232"/>
      <c r="D45" s="3" t="s">
        <v>64</v>
      </c>
      <c r="E45" s="1">
        <v>7</v>
      </c>
      <c r="F45" s="2">
        <v>1</v>
      </c>
      <c r="G45" s="25">
        <f t="shared" si="10"/>
        <v>7907.65</v>
      </c>
      <c r="H45" s="3">
        <v>2.76</v>
      </c>
      <c r="I45" s="25"/>
      <c r="J45" s="25"/>
      <c r="K45" s="25"/>
      <c r="L45" s="25"/>
      <c r="M45" s="3"/>
      <c r="N45" s="25"/>
      <c r="O45" s="3"/>
    </row>
    <row r="46" spans="1:15" ht="16.5" thickBot="1" x14ac:dyDescent="0.3">
      <c r="A46" s="243" t="s">
        <v>65</v>
      </c>
      <c r="B46" s="244"/>
      <c r="C46" s="244"/>
      <c r="D46" s="245"/>
      <c r="E46" s="176"/>
      <c r="F46" s="6">
        <f>SUM(F42:F45)</f>
        <v>4</v>
      </c>
      <c r="G46" s="7"/>
      <c r="H46" s="4">
        <f>((F42*H42)+(F43*H43)+(F45*H45)+(F44*H44))/F46</f>
        <v>3.3499999999999996</v>
      </c>
      <c r="I46" s="7">
        <f t="shared" ref="I46:N46" si="11">SUM(I42:I45)</f>
        <v>0</v>
      </c>
      <c r="J46" s="7">
        <f t="shared" si="11"/>
        <v>0</v>
      </c>
      <c r="K46" s="7">
        <f t="shared" si="11"/>
        <v>0</v>
      </c>
      <c r="L46" s="7">
        <f t="shared" si="11"/>
        <v>0</v>
      </c>
      <c r="M46" s="7">
        <f t="shared" si="11"/>
        <v>0</v>
      </c>
      <c r="N46" s="7">
        <f t="shared" si="11"/>
        <v>0</v>
      </c>
      <c r="O46" s="7"/>
    </row>
    <row r="47" spans="1:15" x14ac:dyDescent="0.25">
      <c r="A47" s="239" t="s">
        <v>66</v>
      </c>
      <c r="B47" s="240"/>
      <c r="C47" s="232" t="s">
        <v>67</v>
      </c>
      <c r="D47" s="85" t="s">
        <v>61</v>
      </c>
      <c r="E47" s="86">
        <v>10</v>
      </c>
      <c r="F47" s="87">
        <v>1</v>
      </c>
      <c r="G47" s="25">
        <f>G45</f>
        <v>7907.65</v>
      </c>
      <c r="H47" s="85">
        <v>3.99</v>
      </c>
      <c r="I47" s="25"/>
      <c r="J47" s="25"/>
      <c r="K47" s="25"/>
      <c r="L47" s="25"/>
      <c r="M47" s="3"/>
      <c r="N47" s="25"/>
      <c r="O47" s="112"/>
    </row>
    <row r="48" spans="1:15" ht="31.5" x14ac:dyDescent="0.25">
      <c r="A48" s="239"/>
      <c r="B48" s="240"/>
      <c r="C48" s="232"/>
      <c r="D48" s="3" t="s">
        <v>68</v>
      </c>
      <c r="E48" s="1">
        <v>8</v>
      </c>
      <c r="F48" s="2">
        <v>1</v>
      </c>
      <c r="G48" s="25">
        <f>G47</f>
        <v>7907.65</v>
      </c>
      <c r="H48" s="3">
        <v>3.12</v>
      </c>
      <c r="I48" s="25"/>
      <c r="J48" s="25"/>
      <c r="K48" s="25"/>
      <c r="L48" s="25"/>
      <c r="M48" s="3"/>
      <c r="N48" s="25"/>
      <c r="O48" s="113"/>
    </row>
    <row r="49" spans="1:15" ht="16.5" thickBot="1" x14ac:dyDescent="0.3">
      <c r="A49" s="239"/>
      <c r="B49" s="240"/>
      <c r="C49" s="232"/>
      <c r="D49" s="10" t="s">
        <v>69</v>
      </c>
      <c r="E49" s="105">
        <v>7</v>
      </c>
      <c r="F49" s="89">
        <v>1</v>
      </c>
      <c r="G49" s="25">
        <f>G48</f>
        <v>7907.65</v>
      </c>
      <c r="H49" s="10">
        <v>2.76</v>
      </c>
      <c r="I49" s="25"/>
      <c r="J49" s="25"/>
      <c r="K49" s="25"/>
      <c r="L49" s="25"/>
      <c r="M49" s="3"/>
      <c r="N49" s="25"/>
      <c r="O49" s="114"/>
    </row>
    <row r="50" spans="1:15" ht="16.5" thickBot="1" x14ac:dyDescent="0.3">
      <c r="A50" s="243" t="s">
        <v>70</v>
      </c>
      <c r="B50" s="244"/>
      <c r="C50" s="244"/>
      <c r="D50" s="245"/>
      <c r="E50" s="176"/>
      <c r="F50" s="6">
        <f>SUM(F47:F49)</f>
        <v>3</v>
      </c>
      <c r="G50" s="7"/>
      <c r="H50" s="4">
        <f>((F47*H47)+(F48*H48)+(F49*H49))/F50</f>
        <v>3.2900000000000005</v>
      </c>
      <c r="I50" s="7">
        <f t="shared" ref="I50:N50" si="12">SUM(I47:I49)</f>
        <v>0</v>
      </c>
      <c r="J50" s="7">
        <f t="shared" si="12"/>
        <v>0</v>
      </c>
      <c r="K50" s="7">
        <f t="shared" si="12"/>
        <v>0</v>
      </c>
      <c r="L50" s="7">
        <f t="shared" si="12"/>
        <v>0</v>
      </c>
      <c r="M50" s="7">
        <f t="shared" si="12"/>
        <v>0</v>
      </c>
      <c r="N50" s="7">
        <f t="shared" si="12"/>
        <v>0</v>
      </c>
      <c r="O50" s="7"/>
    </row>
    <row r="51" spans="1:15" x14ac:dyDescent="0.25">
      <c r="A51" s="239" t="s">
        <v>71</v>
      </c>
      <c r="B51" s="240"/>
      <c r="C51" s="232" t="s">
        <v>60</v>
      </c>
      <c r="D51" s="115" t="s">
        <v>61</v>
      </c>
      <c r="E51" s="116">
        <v>11</v>
      </c>
      <c r="F51" s="95">
        <v>1</v>
      </c>
      <c r="G51" s="9">
        <f>G49</f>
        <v>7907.65</v>
      </c>
      <c r="H51" s="8">
        <v>4.51</v>
      </c>
      <c r="I51" s="25"/>
      <c r="J51" s="25"/>
      <c r="K51" s="25"/>
      <c r="L51" s="25"/>
      <c r="M51" s="3"/>
      <c r="N51" s="25"/>
      <c r="O51" s="85"/>
    </row>
    <row r="52" spans="1:15" x14ac:dyDescent="0.25">
      <c r="A52" s="239"/>
      <c r="B52" s="240"/>
      <c r="C52" s="232"/>
      <c r="D52" s="117" t="s">
        <v>50</v>
      </c>
      <c r="E52" s="170">
        <v>10</v>
      </c>
      <c r="F52" s="95">
        <v>1</v>
      </c>
      <c r="G52" s="9">
        <f>G51</f>
        <v>7907.65</v>
      </c>
      <c r="H52" s="98">
        <v>3.99</v>
      </c>
      <c r="I52" s="25"/>
      <c r="J52" s="25"/>
      <c r="K52" s="25"/>
      <c r="L52" s="25"/>
      <c r="M52" s="3"/>
      <c r="N52" s="25"/>
      <c r="O52" s="85"/>
    </row>
    <row r="53" spans="1:15" x14ac:dyDescent="0.25">
      <c r="A53" s="239"/>
      <c r="B53" s="240"/>
      <c r="C53" s="232"/>
      <c r="D53" s="119" t="s">
        <v>72</v>
      </c>
      <c r="E53" s="120">
        <v>9</v>
      </c>
      <c r="F53" s="95">
        <v>1</v>
      </c>
      <c r="G53" s="9">
        <f t="shared" ref="G53:G54" si="13">G52</f>
        <v>7907.65</v>
      </c>
      <c r="H53" s="97">
        <v>3.53</v>
      </c>
      <c r="I53" s="25"/>
      <c r="J53" s="25"/>
      <c r="K53" s="25"/>
      <c r="L53" s="25"/>
      <c r="M53" s="3"/>
      <c r="N53" s="25"/>
      <c r="O53" s="3"/>
    </row>
    <row r="54" spans="1:15" ht="16.5" thickBot="1" x14ac:dyDescent="0.3">
      <c r="A54" s="239"/>
      <c r="B54" s="240"/>
      <c r="C54" s="232"/>
      <c r="D54" s="121" t="s">
        <v>73</v>
      </c>
      <c r="E54" s="105">
        <v>6</v>
      </c>
      <c r="F54" s="89">
        <v>1</v>
      </c>
      <c r="G54" s="9">
        <f t="shared" si="13"/>
        <v>7907.65</v>
      </c>
      <c r="H54" s="10">
        <v>2.44</v>
      </c>
      <c r="I54" s="25"/>
      <c r="J54" s="25"/>
      <c r="K54" s="25"/>
      <c r="L54" s="25"/>
      <c r="M54" s="3"/>
      <c r="N54" s="25"/>
      <c r="O54" s="10"/>
    </row>
    <row r="55" spans="1:15" ht="16.5" thickBot="1" x14ac:dyDescent="0.3">
      <c r="A55" s="243" t="s">
        <v>74</v>
      </c>
      <c r="B55" s="244"/>
      <c r="C55" s="244"/>
      <c r="D55" s="245"/>
      <c r="E55" s="176"/>
      <c r="F55" s="6">
        <f>SUM(F51:F54)</f>
        <v>4</v>
      </c>
      <c r="G55" s="7"/>
      <c r="H55" s="4">
        <f>((F51*H51)+(F53*H53)+(F54*H54))/F55</f>
        <v>2.6199999999999997</v>
      </c>
      <c r="I55" s="7">
        <f t="shared" ref="I55:N55" si="14">SUM(I51:I54)</f>
        <v>0</v>
      </c>
      <c r="J55" s="7">
        <f t="shared" si="14"/>
        <v>0</v>
      </c>
      <c r="K55" s="7">
        <f t="shared" si="14"/>
        <v>0</v>
      </c>
      <c r="L55" s="7">
        <f t="shared" si="14"/>
        <v>0</v>
      </c>
      <c r="M55" s="7">
        <f t="shared" si="14"/>
        <v>0</v>
      </c>
      <c r="N55" s="7">
        <f t="shared" si="14"/>
        <v>0</v>
      </c>
      <c r="O55" s="7"/>
    </row>
    <row r="56" spans="1:15" x14ac:dyDescent="0.25">
      <c r="A56" s="230" t="s">
        <v>75</v>
      </c>
      <c r="B56" s="231"/>
      <c r="C56" s="232" t="s">
        <v>76</v>
      </c>
      <c r="D56" s="122" t="s">
        <v>61</v>
      </c>
      <c r="E56" s="86">
        <v>10</v>
      </c>
      <c r="F56" s="87">
        <v>1</v>
      </c>
      <c r="G56" s="25">
        <f>G54</f>
        <v>7907.65</v>
      </c>
      <c r="H56" s="85">
        <v>3.99</v>
      </c>
      <c r="I56" s="25"/>
      <c r="J56" s="25"/>
      <c r="K56" s="25"/>
      <c r="L56" s="25"/>
      <c r="M56" s="3"/>
      <c r="N56" s="25"/>
      <c r="O56" s="123"/>
    </row>
    <row r="57" spans="1:15" x14ac:dyDescent="0.25">
      <c r="A57" s="230"/>
      <c r="B57" s="231"/>
      <c r="C57" s="232"/>
      <c r="D57" s="122" t="s">
        <v>77</v>
      </c>
      <c r="E57" s="124">
        <v>9</v>
      </c>
      <c r="F57" s="125">
        <v>1</v>
      </c>
      <c r="G57" s="25">
        <f>G56</f>
        <v>7907.65</v>
      </c>
      <c r="H57" s="126">
        <v>3.53</v>
      </c>
      <c r="I57" s="25"/>
      <c r="J57" s="25"/>
      <c r="K57" s="25"/>
      <c r="L57" s="25"/>
      <c r="M57" s="3"/>
      <c r="N57" s="25"/>
      <c r="O57" s="85"/>
    </row>
    <row r="58" spans="1:15" x14ac:dyDescent="0.25">
      <c r="A58" s="230"/>
      <c r="B58" s="231"/>
      <c r="C58" s="232"/>
      <c r="D58" s="127" t="s">
        <v>78</v>
      </c>
      <c r="E58" s="23">
        <v>6</v>
      </c>
      <c r="F58" s="24">
        <v>2</v>
      </c>
      <c r="G58" s="25">
        <f t="shared" ref="G58:G61" si="15">G56</f>
        <v>7907.65</v>
      </c>
      <c r="H58" s="25">
        <v>2.44</v>
      </c>
      <c r="I58" s="25"/>
      <c r="J58" s="25"/>
      <c r="K58" s="25"/>
      <c r="L58" s="25"/>
      <c r="M58" s="3"/>
      <c r="N58" s="25"/>
      <c r="O58" s="3"/>
    </row>
    <row r="59" spans="1:15" x14ac:dyDescent="0.25">
      <c r="A59" s="230"/>
      <c r="B59" s="231"/>
      <c r="C59" s="232"/>
      <c r="D59" s="127" t="s">
        <v>78</v>
      </c>
      <c r="E59" s="26">
        <v>7</v>
      </c>
      <c r="F59" s="27">
        <v>1</v>
      </c>
      <c r="G59" s="25">
        <f t="shared" si="15"/>
        <v>7907.65</v>
      </c>
      <c r="H59" s="28">
        <v>2.76</v>
      </c>
      <c r="I59" s="25"/>
      <c r="J59" s="25"/>
      <c r="K59" s="25"/>
      <c r="L59" s="25"/>
      <c r="M59" s="3"/>
      <c r="N59" s="25"/>
      <c r="O59" s="3"/>
    </row>
    <row r="60" spans="1:15" x14ac:dyDescent="0.25">
      <c r="A60" s="230"/>
      <c r="B60" s="231"/>
      <c r="C60" s="232"/>
      <c r="D60" s="128" t="s">
        <v>79</v>
      </c>
      <c r="E60" s="26">
        <v>2</v>
      </c>
      <c r="F60" s="27">
        <v>1</v>
      </c>
      <c r="G60" s="25">
        <f t="shared" si="15"/>
        <v>7907.65</v>
      </c>
      <c r="H60" s="28">
        <v>1</v>
      </c>
      <c r="I60" s="25"/>
      <c r="J60" s="25"/>
      <c r="K60" s="25"/>
      <c r="L60" s="25"/>
      <c r="M60" s="3"/>
      <c r="N60" s="25"/>
      <c r="O60" s="3"/>
    </row>
    <row r="61" spans="1:15" ht="16.5" thickBot="1" x14ac:dyDescent="0.3">
      <c r="A61" s="230"/>
      <c r="B61" s="231"/>
      <c r="C61" s="232"/>
      <c r="D61" s="128" t="s">
        <v>80</v>
      </c>
      <c r="E61" s="79">
        <v>1</v>
      </c>
      <c r="F61" s="27">
        <v>1</v>
      </c>
      <c r="G61" s="25">
        <f t="shared" si="15"/>
        <v>7907.65</v>
      </c>
      <c r="H61" s="28">
        <v>1</v>
      </c>
      <c r="I61" s="25"/>
      <c r="J61" s="25"/>
      <c r="K61" s="25"/>
      <c r="L61" s="25"/>
      <c r="M61" s="3"/>
      <c r="N61" s="25"/>
      <c r="O61" s="3"/>
    </row>
    <row r="62" spans="1:15" ht="16.5" thickBot="1" x14ac:dyDescent="0.3">
      <c r="A62" s="233" t="s">
        <v>81</v>
      </c>
      <c r="B62" s="225"/>
      <c r="C62" s="225"/>
      <c r="D62" s="226"/>
      <c r="E62" s="182"/>
      <c r="F62" s="130">
        <f>SUM(F56:F61)</f>
        <v>7</v>
      </c>
      <c r="G62" s="131"/>
      <c r="H62" s="16">
        <f>((F56*H56)+(F57*H57)+(F58*H58)+(F59*H59)+(F60*H60)+(F61*H61))/F62</f>
        <v>2.4514285714285711</v>
      </c>
      <c r="I62" s="131">
        <f t="shared" ref="I62:N62" si="16">SUM(I56:I61)</f>
        <v>0</v>
      </c>
      <c r="J62" s="131">
        <f t="shared" si="16"/>
        <v>0</v>
      </c>
      <c r="K62" s="131">
        <f t="shared" si="16"/>
        <v>0</v>
      </c>
      <c r="L62" s="131">
        <f t="shared" si="16"/>
        <v>0</v>
      </c>
      <c r="M62" s="131">
        <f t="shared" si="16"/>
        <v>0</v>
      </c>
      <c r="N62" s="19">
        <f t="shared" si="16"/>
        <v>0</v>
      </c>
      <c r="O62" s="131"/>
    </row>
    <row r="63" spans="1:15" ht="16.5" thickBot="1" x14ac:dyDescent="0.3">
      <c r="A63" s="246" t="s">
        <v>82</v>
      </c>
      <c r="B63" s="247"/>
      <c r="C63" s="132" t="s">
        <v>83</v>
      </c>
      <c r="D63" s="34" t="s">
        <v>84</v>
      </c>
      <c r="E63" s="109">
        <v>9</v>
      </c>
      <c r="F63" s="133">
        <v>1</v>
      </c>
      <c r="G63" s="38">
        <f>G60</f>
        <v>7907.65</v>
      </c>
      <c r="H63" s="134">
        <v>3.53</v>
      </c>
      <c r="I63" s="38"/>
      <c r="J63" s="38"/>
      <c r="K63" s="38"/>
      <c r="L63" s="38"/>
      <c r="M63" s="134"/>
      <c r="N63" s="49"/>
      <c r="O63" s="134"/>
    </row>
    <row r="64" spans="1:15" ht="16.5" thickBot="1" x14ac:dyDescent="0.3">
      <c r="A64" s="234" t="s">
        <v>85</v>
      </c>
      <c r="B64" s="235"/>
      <c r="C64" s="170" t="s">
        <v>86</v>
      </c>
      <c r="D64" s="135" t="s">
        <v>87</v>
      </c>
      <c r="E64" s="136">
        <v>5</v>
      </c>
      <c r="F64" s="167">
        <v>1</v>
      </c>
      <c r="G64" s="126">
        <f>G63</f>
        <v>7907.65</v>
      </c>
      <c r="H64" s="49">
        <v>1.69</v>
      </c>
      <c r="I64" s="126"/>
      <c r="J64" s="126"/>
      <c r="K64" s="126"/>
      <c r="L64" s="126"/>
      <c r="M64" s="85"/>
      <c r="N64" s="49"/>
      <c r="O64" s="138"/>
    </row>
    <row r="65" spans="1:15" ht="16.5" hidden="1" thickBot="1" x14ac:dyDescent="0.3">
      <c r="A65" s="233" t="s">
        <v>88</v>
      </c>
      <c r="B65" s="225"/>
      <c r="C65" s="225"/>
      <c r="D65" s="226"/>
      <c r="E65" s="180"/>
      <c r="F65" s="18">
        <f>F25+F30+F41+F46+F50+F55+F62+F63+F64</f>
        <v>37</v>
      </c>
      <c r="G65" s="19"/>
      <c r="H65" s="19">
        <f>((F25*H25)+(F31*H31)+(F30*H30)+(F36*H36)+(F40*H40)+(F46*H46)+(F50*H50)+(F55*H55)+(F62*H62)+(F63*H63)+(F64*H64))/F65</f>
        <v>3.6335424710424702</v>
      </c>
      <c r="I65" s="181">
        <f t="shared" ref="I65:N65" si="17">I25+I30+I41+I46+I50+I55+I62+I63+I64</f>
        <v>338407.88174999994</v>
      </c>
      <c r="J65" s="181">
        <f t="shared" si="17"/>
        <v>338407.88174999994</v>
      </c>
      <c r="K65" s="181">
        <f t="shared" si="17"/>
        <v>20000</v>
      </c>
      <c r="L65" s="181">
        <f t="shared" si="17"/>
        <v>338407.88174999994</v>
      </c>
      <c r="M65" s="181">
        <f t="shared" si="17"/>
        <v>0</v>
      </c>
      <c r="N65" s="181">
        <f t="shared" si="17"/>
        <v>696815.76349999988</v>
      </c>
      <c r="O65" s="7"/>
    </row>
    <row r="66" spans="1:15" ht="16.5" hidden="1" thickBot="1" x14ac:dyDescent="0.3">
      <c r="A66" s="230" t="s">
        <v>89</v>
      </c>
      <c r="B66" s="231"/>
      <c r="C66" s="232" t="s">
        <v>90</v>
      </c>
      <c r="D66" s="122" t="s">
        <v>91</v>
      </c>
      <c r="E66" s="66">
        <v>13</v>
      </c>
      <c r="F66" s="67">
        <v>1</v>
      </c>
      <c r="G66" s="25"/>
      <c r="H66" s="68"/>
      <c r="I66" s="25"/>
      <c r="J66" s="25"/>
      <c r="K66" s="25"/>
      <c r="L66" s="25"/>
      <c r="M66" s="3"/>
      <c r="N66" s="25"/>
      <c r="O66" s="123"/>
    </row>
    <row r="67" spans="1:15" ht="16.5" hidden="1" thickBot="1" x14ac:dyDescent="0.3">
      <c r="A67" s="230"/>
      <c r="B67" s="231"/>
      <c r="C67" s="232"/>
      <c r="D67" s="127" t="s">
        <v>92</v>
      </c>
      <c r="E67" s="23">
        <v>8</v>
      </c>
      <c r="F67" s="24">
        <v>1</v>
      </c>
      <c r="G67" s="25"/>
      <c r="H67" s="25"/>
      <c r="I67" s="25"/>
      <c r="J67" s="25"/>
      <c r="K67" s="25"/>
      <c r="L67" s="25"/>
      <c r="M67" s="3"/>
      <c r="N67" s="25"/>
      <c r="O67" s="3"/>
    </row>
    <row r="68" spans="1:15" ht="16.5" hidden="1" thickBot="1" x14ac:dyDescent="0.3">
      <c r="A68" s="230"/>
      <c r="B68" s="231"/>
      <c r="C68" s="232"/>
      <c r="D68" s="127" t="s">
        <v>93</v>
      </c>
      <c r="E68" s="23">
        <v>6</v>
      </c>
      <c r="F68" s="24">
        <v>5</v>
      </c>
      <c r="G68" s="25"/>
      <c r="H68" s="25"/>
      <c r="I68" s="25"/>
      <c r="J68" s="25"/>
      <c r="K68" s="25"/>
      <c r="L68" s="25"/>
      <c r="M68" s="3"/>
      <c r="N68" s="25"/>
      <c r="O68" s="3"/>
    </row>
    <row r="69" spans="1:15" ht="16.5" hidden="1" thickBot="1" x14ac:dyDescent="0.3">
      <c r="A69" s="230"/>
      <c r="B69" s="231"/>
      <c r="C69" s="232"/>
      <c r="D69" s="127" t="s">
        <v>94</v>
      </c>
      <c r="E69" s="23">
        <v>5</v>
      </c>
      <c r="F69" s="24">
        <v>4</v>
      </c>
      <c r="G69" s="25"/>
      <c r="H69" s="25"/>
      <c r="I69" s="25"/>
      <c r="J69" s="25"/>
      <c r="K69" s="25"/>
      <c r="L69" s="25"/>
      <c r="M69" s="3"/>
      <c r="N69" s="25"/>
      <c r="O69" s="3"/>
    </row>
    <row r="70" spans="1:15" ht="16.5" hidden="1" thickBot="1" x14ac:dyDescent="0.3">
      <c r="A70" s="230"/>
      <c r="B70" s="231"/>
      <c r="C70" s="232"/>
      <c r="D70" s="127" t="s">
        <v>95</v>
      </c>
      <c r="E70" s="23">
        <v>3</v>
      </c>
      <c r="F70" s="24">
        <v>1</v>
      </c>
      <c r="G70" s="25"/>
      <c r="H70" s="25"/>
      <c r="I70" s="25"/>
      <c r="J70" s="25"/>
      <c r="K70" s="25"/>
      <c r="L70" s="25"/>
      <c r="M70" s="3"/>
      <c r="N70" s="25"/>
      <c r="O70" s="3"/>
    </row>
    <row r="71" spans="1:15" ht="16.5" hidden="1" thickBot="1" x14ac:dyDescent="0.3">
      <c r="A71" s="230"/>
      <c r="B71" s="231"/>
      <c r="C71" s="232"/>
      <c r="D71" s="127" t="s">
        <v>96</v>
      </c>
      <c r="E71" s="23">
        <v>6</v>
      </c>
      <c r="F71" s="24">
        <v>2</v>
      </c>
      <c r="G71" s="25"/>
      <c r="H71" s="25"/>
      <c r="I71" s="25"/>
      <c r="J71" s="25"/>
      <c r="K71" s="25"/>
      <c r="L71" s="25"/>
      <c r="M71" s="3"/>
      <c r="N71" s="25"/>
      <c r="O71" s="3"/>
    </row>
    <row r="72" spans="1:15" ht="16.5" hidden="1" thickBot="1" x14ac:dyDescent="0.3">
      <c r="A72" s="230"/>
      <c r="B72" s="231"/>
      <c r="C72" s="232"/>
      <c r="D72" s="127" t="s">
        <v>97</v>
      </c>
      <c r="E72" s="23">
        <v>6</v>
      </c>
      <c r="F72" s="24">
        <v>1</v>
      </c>
      <c r="G72" s="25"/>
      <c r="H72" s="25"/>
      <c r="I72" s="25"/>
      <c r="J72" s="25"/>
      <c r="K72" s="25"/>
      <c r="L72" s="25"/>
      <c r="M72" s="3"/>
      <c r="N72" s="25"/>
      <c r="O72" s="3"/>
    </row>
    <row r="73" spans="1:15" ht="32.25" hidden="1" thickBot="1" x14ac:dyDescent="0.3">
      <c r="A73" s="230"/>
      <c r="B73" s="231"/>
      <c r="C73" s="232"/>
      <c r="D73" s="140" t="s">
        <v>98</v>
      </c>
      <c r="E73" s="141">
        <v>5</v>
      </c>
      <c r="F73" s="142">
        <v>1.5</v>
      </c>
      <c r="G73" s="143"/>
      <c r="H73" s="143"/>
      <c r="I73" s="143"/>
      <c r="J73" s="143"/>
      <c r="K73" s="143"/>
      <c r="L73" s="143"/>
      <c r="M73" s="143"/>
      <c r="N73" s="143"/>
      <c r="O73" s="3"/>
    </row>
    <row r="74" spans="1:15" ht="16.5" hidden="1" thickBot="1" x14ac:dyDescent="0.3">
      <c r="A74" s="230"/>
      <c r="B74" s="231"/>
      <c r="C74" s="232"/>
      <c r="D74" s="144" t="s">
        <v>99</v>
      </c>
      <c r="E74" s="145">
        <v>5</v>
      </c>
      <c r="F74" s="146">
        <v>1</v>
      </c>
      <c r="G74" s="111"/>
      <c r="H74" s="111"/>
      <c r="I74" s="111"/>
      <c r="J74" s="111"/>
      <c r="K74" s="111"/>
      <c r="L74" s="111"/>
      <c r="M74" s="111"/>
      <c r="N74" s="111"/>
      <c r="O74" s="3"/>
    </row>
    <row r="75" spans="1:15" ht="16.5" hidden="1" thickBot="1" x14ac:dyDescent="0.3">
      <c r="A75" s="230"/>
      <c r="B75" s="231"/>
      <c r="C75" s="232"/>
      <c r="D75" s="127" t="s">
        <v>100</v>
      </c>
      <c r="E75" s="23">
        <v>5</v>
      </c>
      <c r="F75" s="24">
        <v>2</v>
      </c>
      <c r="G75" s="25"/>
      <c r="H75" s="25"/>
      <c r="I75" s="25"/>
      <c r="J75" s="25"/>
      <c r="K75" s="25"/>
      <c r="L75" s="25"/>
      <c r="M75" s="3"/>
      <c r="N75" s="25"/>
      <c r="O75" s="3"/>
    </row>
    <row r="76" spans="1:15" ht="16.5" hidden="1" thickBot="1" x14ac:dyDescent="0.3">
      <c r="A76" s="230"/>
      <c r="B76" s="231"/>
      <c r="C76" s="232"/>
      <c r="D76" s="127" t="s">
        <v>101</v>
      </c>
      <c r="E76" s="23">
        <v>4</v>
      </c>
      <c r="F76" s="24">
        <v>3</v>
      </c>
      <c r="G76" s="25"/>
      <c r="H76" s="25"/>
      <c r="I76" s="25"/>
      <c r="J76" s="25"/>
      <c r="K76" s="25"/>
      <c r="L76" s="25"/>
      <c r="M76" s="3"/>
      <c r="N76" s="25"/>
      <c r="O76" s="3"/>
    </row>
    <row r="77" spans="1:15" ht="32.25" hidden="1" thickBot="1" x14ac:dyDescent="0.3">
      <c r="A77" s="230"/>
      <c r="B77" s="231"/>
      <c r="C77" s="232"/>
      <c r="D77" s="127" t="s">
        <v>102</v>
      </c>
      <c r="E77" s="23">
        <v>5</v>
      </c>
      <c r="F77" s="24">
        <v>2</v>
      </c>
      <c r="G77" s="25"/>
      <c r="H77" s="25"/>
      <c r="I77" s="25"/>
      <c r="J77" s="25"/>
      <c r="K77" s="25"/>
      <c r="L77" s="25"/>
      <c r="M77" s="3"/>
      <c r="N77" s="25"/>
      <c r="O77" s="3"/>
    </row>
    <row r="78" spans="1:15" ht="16.5" hidden="1" thickBot="1" x14ac:dyDescent="0.3">
      <c r="A78" s="230"/>
      <c r="B78" s="231"/>
      <c r="C78" s="232"/>
      <c r="D78" s="127" t="s">
        <v>78</v>
      </c>
      <c r="E78" s="23">
        <v>6</v>
      </c>
      <c r="F78" s="24">
        <v>1</v>
      </c>
      <c r="G78" s="25"/>
      <c r="H78" s="25"/>
      <c r="I78" s="25"/>
      <c r="J78" s="25"/>
      <c r="K78" s="25"/>
      <c r="L78" s="25"/>
      <c r="M78" s="3"/>
      <c r="N78" s="25"/>
      <c r="O78" s="3"/>
    </row>
    <row r="79" spans="1:15" ht="16.5" hidden="1" thickBot="1" x14ac:dyDescent="0.3">
      <c r="A79" s="230"/>
      <c r="B79" s="231"/>
      <c r="C79" s="232"/>
      <c r="D79" s="128" t="s">
        <v>103</v>
      </c>
      <c r="E79" s="26">
        <v>1</v>
      </c>
      <c r="F79" s="27">
        <v>1</v>
      </c>
      <c r="G79" s="25"/>
      <c r="H79" s="28"/>
      <c r="I79" s="25"/>
      <c r="J79" s="25"/>
      <c r="K79" s="25"/>
      <c r="L79" s="25"/>
      <c r="M79" s="3"/>
      <c r="N79" s="25"/>
      <c r="O79" s="10"/>
    </row>
    <row r="80" spans="1:15" ht="32.25" hidden="1" thickBot="1" x14ac:dyDescent="0.3">
      <c r="A80" s="230"/>
      <c r="B80" s="231"/>
      <c r="C80" s="232"/>
      <c r="D80" s="128" t="s">
        <v>104</v>
      </c>
      <c r="E80" s="79">
        <v>1</v>
      </c>
      <c r="F80" s="80">
        <v>1</v>
      </c>
      <c r="G80" s="25"/>
      <c r="H80" s="28"/>
      <c r="I80" s="25"/>
      <c r="J80" s="25"/>
      <c r="K80" s="25"/>
      <c r="L80" s="25"/>
      <c r="M80" s="3"/>
      <c r="N80" s="25"/>
      <c r="O80" s="108"/>
    </row>
    <row r="81" spans="1:15" ht="16.5" hidden="1" thickBot="1" x14ac:dyDescent="0.3">
      <c r="A81" s="233" t="s">
        <v>105</v>
      </c>
      <c r="B81" s="225"/>
      <c r="C81" s="225"/>
      <c r="D81" s="226"/>
      <c r="E81" s="180"/>
      <c r="F81" s="18">
        <f>SUM(F66:F80)</f>
        <v>27.5</v>
      </c>
      <c r="G81" s="19"/>
      <c r="H81" s="4">
        <f>((F66*H66)+(F67*H67)+(F68*H68)+(F69*H69)+(F70*H70)+(F71*H71)+(F72*H72)+(F73*H73)+(F75*H75)+(F76*H76)+(F77*H77)+(F78*H78)+(F79*H79)+(F80*H80))/F81</f>
        <v>0</v>
      </c>
      <c r="I81" s="19">
        <f t="shared" ref="I81:N81" si="18">SUM(I66:I80)</f>
        <v>0</v>
      </c>
      <c r="J81" s="19">
        <f t="shared" si="18"/>
        <v>0</v>
      </c>
      <c r="K81" s="19">
        <f t="shared" si="18"/>
        <v>0</v>
      </c>
      <c r="L81" s="19">
        <f t="shared" si="18"/>
        <v>0</v>
      </c>
      <c r="M81" s="19">
        <f t="shared" si="18"/>
        <v>0</v>
      </c>
      <c r="N81" s="19">
        <f t="shared" si="18"/>
        <v>0</v>
      </c>
      <c r="O81" s="38"/>
    </row>
    <row r="82" spans="1:15" ht="16.5" hidden="1" thickBot="1" x14ac:dyDescent="0.3">
      <c r="A82" s="234" t="s">
        <v>106</v>
      </c>
      <c r="B82" s="235"/>
      <c r="C82" s="236">
        <v>10</v>
      </c>
      <c r="D82" s="147" t="s">
        <v>107</v>
      </c>
      <c r="E82" s="20">
        <v>8</v>
      </c>
      <c r="F82" s="21">
        <v>1</v>
      </c>
      <c r="G82" s="22"/>
      <c r="H82" s="22"/>
      <c r="I82" s="148"/>
      <c r="J82" s="148"/>
      <c r="K82" s="22"/>
      <c r="L82" s="22"/>
      <c r="M82" s="22"/>
      <c r="N82" s="22"/>
      <c r="O82" s="46"/>
    </row>
    <row r="83" spans="1:15" ht="16.5" hidden="1" thickBot="1" x14ac:dyDescent="0.3">
      <c r="A83" s="230"/>
      <c r="B83" s="231"/>
      <c r="C83" s="236"/>
      <c r="D83" s="149" t="s">
        <v>108</v>
      </c>
      <c r="E83" s="23">
        <v>5</v>
      </c>
      <c r="F83" s="24">
        <v>3</v>
      </c>
      <c r="G83" s="25"/>
      <c r="H83" s="25"/>
      <c r="I83" s="25"/>
      <c r="J83" s="25"/>
      <c r="K83" s="25"/>
      <c r="L83" s="25"/>
      <c r="M83" s="3"/>
      <c r="N83" s="25"/>
      <c r="O83" s="47"/>
    </row>
    <row r="84" spans="1:15" ht="16.5" hidden="1" thickBot="1" x14ac:dyDescent="0.3">
      <c r="A84" s="230"/>
      <c r="B84" s="231"/>
      <c r="C84" s="236"/>
      <c r="D84" s="76"/>
      <c r="E84" s="74"/>
      <c r="F84" s="75"/>
      <c r="G84" s="76"/>
      <c r="H84" s="76"/>
      <c r="I84" s="76"/>
      <c r="J84" s="76"/>
      <c r="K84" s="76"/>
      <c r="L84" s="76"/>
      <c r="M84" s="76"/>
      <c r="N84" s="76"/>
      <c r="O84" s="47"/>
    </row>
    <row r="85" spans="1:15" ht="16.5" hidden="1" thickBot="1" x14ac:dyDescent="0.3">
      <c r="A85" s="230"/>
      <c r="B85" s="231"/>
      <c r="C85" s="236"/>
      <c r="D85" s="76"/>
      <c r="E85" s="74"/>
      <c r="F85" s="75"/>
      <c r="G85" s="76"/>
      <c r="H85" s="76"/>
      <c r="I85" s="76"/>
      <c r="J85" s="76"/>
      <c r="K85" s="76"/>
      <c r="L85" s="76"/>
      <c r="M85" s="76"/>
      <c r="N85" s="76"/>
      <c r="O85" s="47"/>
    </row>
    <row r="86" spans="1:15" ht="16.5" hidden="1" thickBot="1" x14ac:dyDescent="0.3">
      <c r="A86" s="230"/>
      <c r="B86" s="231"/>
      <c r="C86" s="236"/>
      <c r="D86" s="149" t="s">
        <v>109</v>
      </c>
      <c r="E86" s="23">
        <v>4</v>
      </c>
      <c r="F86" s="24">
        <v>2</v>
      </c>
      <c r="G86" s="25"/>
      <c r="H86" s="25"/>
      <c r="I86" s="25"/>
      <c r="J86" s="25"/>
      <c r="K86" s="25"/>
      <c r="L86" s="25"/>
      <c r="M86" s="3"/>
      <c r="N86" s="25"/>
      <c r="O86" s="47"/>
    </row>
    <row r="87" spans="1:15" ht="16.5" hidden="1" thickBot="1" x14ac:dyDescent="0.3">
      <c r="A87" s="230"/>
      <c r="B87" s="231"/>
      <c r="C87" s="236"/>
      <c r="D87" s="150" t="s">
        <v>110</v>
      </c>
      <c r="E87" s="26">
        <v>3</v>
      </c>
      <c r="F87" s="27">
        <v>1</v>
      </c>
      <c r="G87" s="25"/>
      <c r="H87" s="28"/>
      <c r="I87" s="25"/>
      <c r="J87" s="25"/>
      <c r="K87" s="25"/>
      <c r="L87" s="25"/>
      <c r="M87" s="3"/>
      <c r="N87" s="25"/>
      <c r="O87" s="48"/>
    </row>
    <row r="88" spans="1:15" ht="16.5" hidden="1" thickBot="1" x14ac:dyDescent="0.3">
      <c r="A88" s="83"/>
      <c r="B88" s="225" t="s">
        <v>111</v>
      </c>
      <c r="C88" s="225"/>
      <c r="D88" s="226"/>
      <c r="E88" s="180"/>
      <c r="F88" s="18">
        <f>SUM(F82:F87)</f>
        <v>7</v>
      </c>
      <c r="G88" s="19"/>
      <c r="H88" s="4">
        <f>((F83*H83)+(F86*H86)+(F87*H87)+(F82*H82)+(F84*H84)+(F85*H85))/F88</f>
        <v>0</v>
      </c>
      <c r="I88" s="19">
        <f t="shared" ref="I88:N88" si="19">SUM(I82:I87)</f>
        <v>0</v>
      </c>
      <c r="J88" s="19">
        <f t="shared" si="19"/>
        <v>0</v>
      </c>
      <c r="K88" s="19">
        <f t="shared" si="19"/>
        <v>0</v>
      </c>
      <c r="L88" s="19">
        <f t="shared" si="19"/>
        <v>0</v>
      </c>
      <c r="M88" s="19">
        <f t="shared" si="19"/>
        <v>0</v>
      </c>
      <c r="N88" s="19">
        <f t="shared" si="19"/>
        <v>0</v>
      </c>
      <c r="O88" s="38"/>
    </row>
    <row r="89" spans="1:15" ht="16.5" hidden="1" thickBot="1" x14ac:dyDescent="0.3">
      <c r="A89" s="83"/>
      <c r="B89" s="225" t="s">
        <v>112</v>
      </c>
      <c r="C89" s="225"/>
      <c r="D89" s="226"/>
      <c r="E89" s="29"/>
      <c r="F89" s="30">
        <f>F88+F81</f>
        <v>34.5</v>
      </c>
      <c r="G89" s="31"/>
      <c r="H89" s="31">
        <f>((F81*H81)+(F88*H88))/F89</f>
        <v>0</v>
      </c>
      <c r="I89" s="31">
        <f t="shared" ref="I89:N89" si="20">I88+I81</f>
        <v>0</v>
      </c>
      <c r="J89" s="31">
        <f t="shared" si="20"/>
        <v>0</v>
      </c>
      <c r="K89" s="31">
        <f t="shared" si="20"/>
        <v>0</v>
      </c>
      <c r="L89" s="31">
        <f t="shared" si="20"/>
        <v>0</v>
      </c>
      <c r="M89" s="31">
        <f t="shared" si="20"/>
        <v>0</v>
      </c>
      <c r="N89" s="31">
        <f t="shared" si="20"/>
        <v>0</v>
      </c>
      <c r="O89" s="49"/>
    </row>
    <row r="90" spans="1:15" ht="16.5" thickBot="1" x14ac:dyDescent="0.3">
      <c r="A90" s="83"/>
      <c r="B90" s="227" t="s">
        <v>113</v>
      </c>
      <c r="C90" s="228"/>
      <c r="D90" s="229"/>
      <c r="E90" s="151"/>
      <c r="F90" s="152">
        <f>SUM(F62,F55,F50,F46,F41,F30,F25)</f>
        <v>35</v>
      </c>
      <c r="G90" s="4"/>
      <c r="H90" s="4">
        <f>H25</f>
        <v>8.3303571428571441</v>
      </c>
      <c r="I90" s="4">
        <f>I30+I25</f>
        <v>338407.88174999994</v>
      </c>
      <c r="J90" s="4">
        <f>J30+J25</f>
        <v>338407.88174999994</v>
      </c>
      <c r="K90" s="4">
        <f t="shared" ref="K90:N90" si="21">K89+K65</f>
        <v>20000</v>
      </c>
      <c r="L90" s="4">
        <f t="shared" si="21"/>
        <v>338407.88174999994</v>
      </c>
      <c r="M90" s="4">
        <f t="shared" si="21"/>
        <v>0</v>
      </c>
      <c r="N90" s="4">
        <f t="shared" si="21"/>
        <v>696815.76349999988</v>
      </c>
      <c r="O90" s="153"/>
    </row>
    <row r="91" spans="1:15" x14ac:dyDescent="0.25">
      <c r="A91" s="164"/>
      <c r="B91" s="164"/>
      <c r="C91" s="58"/>
      <c r="D91" s="164"/>
      <c r="E91" s="36"/>
      <c r="F91" s="36"/>
      <c r="G91" s="164"/>
      <c r="H91" s="164"/>
      <c r="I91" s="164"/>
      <c r="J91" s="164"/>
      <c r="K91" s="164"/>
      <c r="L91" s="164"/>
      <c r="M91" s="164"/>
      <c r="N91" s="164"/>
      <c r="O91" s="164"/>
    </row>
    <row r="92" spans="1:15" x14ac:dyDescent="0.25">
      <c r="A92" s="164"/>
      <c r="B92" s="58"/>
      <c r="C92" s="58"/>
      <c r="D92" s="154"/>
      <c r="E92" s="155"/>
      <c r="F92" s="155"/>
      <c r="G92" s="58"/>
      <c r="H92" s="58"/>
      <c r="I92" s="58"/>
      <c r="J92" s="58"/>
      <c r="K92" s="58"/>
      <c r="L92" s="58"/>
      <c r="M92" s="154"/>
      <c r="N92" s="154"/>
      <c r="O92" s="156"/>
    </row>
  </sheetData>
  <mergeCells count="59">
    <mergeCell ref="B89:D89"/>
    <mergeCell ref="B90:D90"/>
    <mergeCell ref="A66:B80"/>
    <mergeCell ref="C66:C80"/>
    <mergeCell ref="A81:D81"/>
    <mergeCell ref="A82:B87"/>
    <mergeCell ref="C82:C87"/>
    <mergeCell ref="B88:D88"/>
    <mergeCell ref="A42:B45"/>
    <mergeCell ref="C42:C45"/>
    <mergeCell ref="A65:D65"/>
    <mergeCell ref="A47:B49"/>
    <mergeCell ref="C47:C49"/>
    <mergeCell ref="A50:D50"/>
    <mergeCell ref="A51:B54"/>
    <mergeCell ref="C51:C54"/>
    <mergeCell ref="A55:D55"/>
    <mergeCell ref="A56:B61"/>
    <mergeCell ref="C56:C61"/>
    <mergeCell ref="A62:D62"/>
    <mergeCell ref="A63:B63"/>
    <mergeCell ref="A64:B64"/>
    <mergeCell ref="A16:B24"/>
    <mergeCell ref="C16:C24"/>
    <mergeCell ref="A46:D46"/>
    <mergeCell ref="B25:D25"/>
    <mergeCell ref="A26:B29"/>
    <mergeCell ref="C26:C29"/>
    <mergeCell ref="A30:D30"/>
    <mergeCell ref="B31:C31"/>
    <mergeCell ref="A32:A41"/>
    <mergeCell ref="B32:B35"/>
    <mergeCell ref="C32:C35"/>
    <mergeCell ref="C36:D36"/>
    <mergeCell ref="B37:B39"/>
    <mergeCell ref="C37:C39"/>
    <mergeCell ref="B40:D40"/>
    <mergeCell ref="B41:D41"/>
    <mergeCell ref="L10:O10"/>
    <mergeCell ref="L11:M11"/>
    <mergeCell ref="A13:B13"/>
    <mergeCell ref="D13:D14"/>
    <mergeCell ref="E13:E14"/>
    <mergeCell ref="F13:F14"/>
    <mergeCell ref="G13:G14"/>
    <mergeCell ref="H13:H14"/>
    <mergeCell ref="I13:I14"/>
    <mergeCell ref="J13:J14"/>
    <mergeCell ref="K13:M13"/>
    <mergeCell ref="N13:N14"/>
    <mergeCell ref="O13:O14"/>
    <mergeCell ref="A14:B14"/>
    <mergeCell ref="C9:E9"/>
    <mergeCell ref="L9:N9"/>
    <mergeCell ref="K3:M3"/>
    <mergeCell ref="D4:L4"/>
    <mergeCell ref="B5:K5"/>
    <mergeCell ref="B8:E8"/>
    <mergeCell ref="M8:O8"/>
  </mergeCells>
  <pageMargins left="0.70866141732283472" right="0.70866141732283472" top="0.74803149606299213" bottom="0.74803149606299213" header="0.31496062992125984" footer="0.31496062992125984"/>
  <pageSetup paperSize="9" scale="5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вариант 1</vt:lpstr>
      <vt:lpstr>вариант 2</vt:lpstr>
      <vt:lpstr>'вариант 1'!Область_печати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ТатьянаЖарлицына Л.. Татьяна</dc:creator>
  <cp:lastModifiedBy>Жарлицына Татьяна Леонидовна</cp:lastModifiedBy>
  <cp:lastPrinted>2018-09-28T08:07:14Z</cp:lastPrinted>
  <dcterms:created xsi:type="dcterms:W3CDTF">2017-11-07T18:34:50Z</dcterms:created>
  <dcterms:modified xsi:type="dcterms:W3CDTF">2018-10-09T11:19:36Z</dcterms:modified>
</cp:coreProperties>
</file>