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zhatl\AppData\Local\Microsoft\Windows\INetCache\Content.Outlook\P2FY1QC3\"/>
    </mc:Choice>
  </mc:AlternateContent>
  <bookViews>
    <workbookView xWindow="0" yWindow="0" windowWidth="21570" windowHeight="8055" firstSheet="1" activeTab="1"/>
  </bookViews>
  <sheets>
    <sheet name="газ руб." sheetId="7" state="hidden" r:id="rId1"/>
    <sheet name="МРГ" sheetId="16" r:id="rId2"/>
    <sheet name="газ" sheetId="1" state="hidden" r:id="rId3"/>
    <sheet name="Пени МРГ" sheetId="19" r:id="rId4"/>
    <sheet name="Ур.сбора 2017" sheetId="20" r:id="rId5"/>
    <sheet name="Ур.сбора 2018" sheetId="21" r:id="rId6"/>
    <sheet name="ДЗ" sheetId="17" r:id="rId7"/>
    <sheet name="КЗ до окт.2016" sheetId="18" r:id="rId8"/>
  </sheets>
  <definedNames>
    <definedName name="_xlnm.Print_Area" localSheetId="0">'газ руб.'!$B$1:$K$121</definedName>
  </definedNames>
  <calcPr calcId="162913"/>
</workbook>
</file>

<file path=xl/calcChain.xml><?xml version="1.0" encoding="utf-8"?>
<calcChain xmlns="http://schemas.openxmlformats.org/spreadsheetml/2006/main">
  <c r="F70" i="16" l="1"/>
  <c r="L11" i="21" l="1"/>
  <c r="K11" i="21"/>
  <c r="M11" i="21" s="1"/>
  <c r="J11" i="21"/>
  <c r="G11" i="21"/>
  <c r="D11" i="21"/>
  <c r="L10" i="21"/>
  <c r="K10" i="21"/>
  <c r="J10" i="21"/>
  <c r="G10" i="21"/>
  <c r="D10" i="21"/>
  <c r="L9" i="21"/>
  <c r="K9" i="21"/>
  <c r="M9" i="21" s="1"/>
  <c r="J9" i="21"/>
  <c r="G9" i="21"/>
  <c r="D9" i="21"/>
  <c r="L8" i="21"/>
  <c r="K8" i="21"/>
  <c r="J8" i="21"/>
  <c r="G8" i="21"/>
  <c r="D8" i="21"/>
  <c r="L7" i="21"/>
  <c r="K7" i="21"/>
  <c r="M7" i="21" s="1"/>
  <c r="J7" i="21"/>
  <c r="G7" i="21"/>
  <c r="D7" i="21"/>
  <c r="I6" i="21"/>
  <c r="J6" i="21" s="1"/>
  <c r="H6" i="21"/>
  <c r="F6" i="21"/>
  <c r="F12" i="21" s="1"/>
  <c r="E6" i="21"/>
  <c r="C6" i="21"/>
  <c r="L6" i="21" s="1"/>
  <c r="B6" i="21"/>
  <c r="L5" i="21"/>
  <c r="L12" i="21" s="1"/>
  <c r="H5" i="21"/>
  <c r="H12" i="21" s="1"/>
  <c r="E5" i="21"/>
  <c r="G5" i="21" s="1"/>
  <c r="B5" i="21"/>
  <c r="B12" i="21" s="1"/>
  <c r="AM11" i="20"/>
  <c r="AN11" i="20" s="1"/>
  <c r="AL11" i="20"/>
  <c r="AK11" i="20"/>
  <c r="AH11" i="20"/>
  <c r="AE11" i="20"/>
  <c r="AB11" i="20"/>
  <c r="Y11" i="20"/>
  <c r="V11" i="20"/>
  <c r="S11" i="20"/>
  <c r="P11" i="20"/>
  <c r="M11" i="20"/>
  <c r="J11" i="20"/>
  <c r="G11" i="20"/>
  <c r="D11" i="20"/>
  <c r="AM10" i="20"/>
  <c r="AL10" i="20"/>
  <c r="P10" i="20"/>
  <c r="M10" i="20"/>
  <c r="J10" i="20"/>
  <c r="G10" i="20"/>
  <c r="D10" i="20"/>
  <c r="AM9" i="20"/>
  <c r="AL9" i="20"/>
  <c r="AN9" i="20" s="1"/>
  <c r="AK9" i="20"/>
  <c r="AH9" i="20"/>
  <c r="AE9" i="20"/>
  <c r="AB9" i="20"/>
  <c r="Y9" i="20"/>
  <c r="V9" i="20"/>
  <c r="S9" i="20"/>
  <c r="P9" i="20"/>
  <c r="M9" i="20"/>
  <c r="J9" i="20"/>
  <c r="G9" i="20"/>
  <c r="D9" i="20"/>
  <c r="AM8" i="20"/>
  <c r="AL8" i="20"/>
  <c r="AK8" i="20"/>
  <c r="AH8" i="20"/>
  <c r="AE8" i="20"/>
  <c r="AB8" i="20"/>
  <c r="Y8" i="20"/>
  <c r="V8" i="20"/>
  <c r="S8" i="20"/>
  <c r="P8" i="20"/>
  <c r="M8" i="20"/>
  <c r="J8" i="20"/>
  <c r="G8" i="20"/>
  <c r="D8" i="20"/>
  <c r="AM7" i="20"/>
  <c r="AL7" i="20"/>
  <c r="AN7" i="20" s="1"/>
  <c r="AK7" i="20"/>
  <c r="AH7" i="20"/>
  <c r="AE7" i="20"/>
  <c r="AB7" i="20"/>
  <c r="Y7" i="20"/>
  <c r="V7" i="20"/>
  <c r="S7" i="20"/>
  <c r="P7" i="20"/>
  <c r="M7" i="20"/>
  <c r="J7" i="20"/>
  <c r="G7" i="20"/>
  <c r="D7" i="20"/>
  <c r="AJ6" i="20"/>
  <c r="AJ12" i="20" s="1"/>
  <c r="AI6" i="20"/>
  <c r="AI12" i="20" s="1"/>
  <c r="AG6" i="20"/>
  <c r="AG12" i="20" s="1"/>
  <c r="AF6" i="20"/>
  <c r="AF12" i="20" s="1"/>
  <c r="AD6" i="20"/>
  <c r="AD12" i="20" s="1"/>
  <c r="AC6" i="20"/>
  <c r="AC12" i="20" s="1"/>
  <c r="AA6" i="20"/>
  <c r="AA12" i="20" s="1"/>
  <c r="Z6" i="20"/>
  <c r="Z12" i="20" s="1"/>
  <c r="X6" i="20"/>
  <c r="X12" i="20" s="1"/>
  <c r="W6" i="20"/>
  <c r="W12" i="20" s="1"/>
  <c r="U6" i="20"/>
  <c r="U12" i="20" s="1"/>
  <c r="T6" i="20"/>
  <c r="T12" i="20" s="1"/>
  <c r="R6" i="20"/>
  <c r="R12" i="20" s="1"/>
  <c r="Q6" i="20"/>
  <c r="Q12" i="20" s="1"/>
  <c r="O6" i="20"/>
  <c r="O12" i="20" s="1"/>
  <c r="N6" i="20"/>
  <c r="N12" i="20" s="1"/>
  <c r="L6" i="20"/>
  <c r="L12" i="20" s="1"/>
  <c r="K6" i="20"/>
  <c r="K12" i="20" s="1"/>
  <c r="I6" i="20"/>
  <c r="I12" i="20" s="1"/>
  <c r="H6" i="20"/>
  <c r="H12" i="20" s="1"/>
  <c r="F6" i="20"/>
  <c r="F12" i="20" s="1"/>
  <c r="E6" i="20"/>
  <c r="E12" i="20" s="1"/>
  <c r="C6" i="20"/>
  <c r="C12" i="20" s="1"/>
  <c r="B6" i="20"/>
  <c r="AL6" i="20" s="1"/>
  <c r="AM5" i="20"/>
  <c r="AL5" i="20"/>
  <c r="AN5" i="20" s="1"/>
  <c r="AK5" i="20"/>
  <c r="AH5" i="20"/>
  <c r="AE5" i="20"/>
  <c r="AB5" i="20"/>
  <c r="Y5" i="20"/>
  <c r="V5" i="20"/>
  <c r="S5" i="20"/>
  <c r="P5" i="20"/>
  <c r="M5" i="20"/>
  <c r="J5" i="20"/>
  <c r="G5" i="20"/>
  <c r="D5" i="20"/>
  <c r="G12" i="20" l="1"/>
  <c r="J12" i="20"/>
  <c r="M12" i="20"/>
  <c r="P12" i="20"/>
  <c r="S12" i="20"/>
  <c r="V12" i="20"/>
  <c r="Y12" i="20"/>
  <c r="AB12" i="20"/>
  <c r="AE12" i="20"/>
  <c r="AH12" i="20"/>
  <c r="AK12" i="20"/>
  <c r="AN8" i="20"/>
  <c r="AN10" i="20"/>
  <c r="K6" i="21"/>
  <c r="M6" i="21" s="1"/>
  <c r="M8" i="21"/>
  <c r="M10" i="21"/>
  <c r="K5" i="21"/>
  <c r="G6" i="21"/>
  <c r="C12" i="21"/>
  <c r="D12" i="21" s="1"/>
  <c r="E12" i="21"/>
  <c r="G12" i="21" s="1"/>
  <c r="I12" i="21"/>
  <c r="J12" i="21" s="1"/>
  <c r="D5" i="21"/>
  <c r="J5" i="21"/>
  <c r="D6" i="21"/>
  <c r="M6" i="20"/>
  <c r="S6" i="20"/>
  <c r="AM6" i="20"/>
  <c r="AN6" i="20" s="1"/>
  <c r="B12" i="20"/>
  <c r="D12" i="20" s="1"/>
  <c r="AL12" i="20"/>
  <c r="G6" i="20"/>
  <c r="Y6" i="20"/>
  <c r="AE6" i="20"/>
  <c r="AK6" i="20"/>
  <c r="D6" i="20"/>
  <c r="J6" i="20"/>
  <c r="P6" i="20"/>
  <c r="V6" i="20"/>
  <c r="AB6" i="20"/>
  <c r="AH6" i="20"/>
  <c r="K12" i="21" l="1"/>
  <c r="M12" i="21" s="1"/>
  <c r="M5" i="21"/>
  <c r="AM12" i="20"/>
  <c r="AN12" i="20" s="1"/>
  <c r="C8" i="17"/>
  <c r="C14" i="17" s="1"/>
  <c r="L8" i="17"/>
  <c r="L14" i="17" s="1"/>
  <c r="K8" i="17"/>
  <c r="K14" i="17" s="1"/>
  <c r="J8" i="17"/>
  <c r="J14" i="17" s="1"/>
  <c r="I8" i="17"/>
  <c r="I14" i="17" s="1"/>
  <c r="H8" i="17"/>
  <c r="H14" i="17" s="1"/>
  <c r="G8" i="17"/>
  <c r="G14" i="17" s="1"/>
  <c r="F8" i="17"/>
  <c r="F14" i="17" s="1"/>
  <c r="E8" i="17"/>
  <c r="E14" i="17" s="1"/>
  <c r="D8" i="17"/>
  <c r="D14" i="17" s="1"/>
  <c r="G13" i="19" l="1"/>
  <c r="F13" i="19"/>
  <c r="E13" i="19"/>
  <c r="H12" i="19"/>
  <c r="H11" i="19"/>
  <c r="H10" i="19"/>
  <c r="H9" i="19"/>
  <c r="H8" i="19"/>
  <c r="H7" i="19"/>
  <c r="H6" i="19"/>
  <c r="H13" i="19" s="1"/>
  <c r="E405" i="18"/>
  <c r="F6" i="16" l="1"/>
  <c r="I6" i="16" s="1"/>
  <c r="D7" i="16" s="1"/>
  <c r="K6" i="16"/>
  <c r="F7" i="16"/>
  <c r="J7" i="16" s="1"/>
  <c r="K7" i="16"/>
  <c r="F8" i="16"/>
  <c r="J8" i="16" s="1"/>
  <c r="K8" i="16"/>
  <c r="F9" i="16"/>
  <c r="J9" i="16" s="1"/>
  <c r="K9" i="16"/>
  <c r="F10" i="16"/>
  <c r="J10" i="16" s="1"/>
  <c r="K10" i="16"/>
  <c r="F11" i="16"/>
  <c r="J11" i="16" s="1"/>
  <c r="K11" i="16"/>
  <c r="G12" i="16"/>
  <c r="F12" i="16" s="1"/>
  <c r="E13" i="16"/>
  <c r="F13" i="16"/>
  <c r="E14" i="16"/>
  <c r="F14" i="16"/>
  <c r="G15" i="16"/>
  <c r="F15" i="16" s="1"/>
  <c r="E16" i="16"/>
  <c r="F16" i="16"/>
  <c r="J16" i="16" s="1"/>
  <c r="G16" i="16"/>
  <c r="K16" i="16"/>
  <c r="G17" i="16"/>
  <c r="F17" i="16" s="1"/>
  <c r="J17" i="16" s="1"/>
  <c r="D18" i="16"/>
  <c r="E18" i="16"/>
  <c r="H18" i="16"/>
  <c r="G19" i="16"/>
  <c r="F19" i="16" s="1"/>
  <c r="F20" i="16"/>
  <c r="J20" i="16" s="1"/>
  <c r="G20" i="16"/>
  <c r="K20" i="16"/>
  <c r="G21" i="16"/>
  <c r="F21" i="16" s="1"/>
  <c r="F22" i="16"/>
  <c r="J22" i="16" s="1"/>
  <c r="G22" i="16"/>
  <c r="K22" i="16"/>
  <c r="G23" i="16"/>
  <c r="F23" i="16" s="1"/>
  <c r="F24" i="16"/>
  <c r="J24" i="16" s="1"/>
  <c r="G24" i="16"/>
  <c r="K24" i="16"/>
  <c r="G25" i="16"/>
  <c r="F25" i="16" s="1"/>
  <c r="F26" i="16"/>
  <c r="K26" i="16" s="1"/>
  <c r="E27" i="16"/>
  <c r="F27" i="16"/>
  <c r="K27" i="16" s="1"/>
  <c r="E28" i="16"/>
  <c r="F28" i="16"/>
  <c r="J28" i="16" s="1"/>
  <c r="G28" i="16"/>
  <c r="K28" i="16"/>
  <c r="E29" i="16"/>
  <c r="G29" i="16"/>
  <c r="F29" i="16" s="1"/>
  <c r="J29" i="16" s="1"/>
  <c r="E30" i="16"/>
  <c r="F30" i="16"/>
  <c r="J30" i="16" s="1"/>
  <c r="G30" i="16"/>
  <c r="K30" i="16"/>
  <c r="E31" i="16"/>
  <c r="G31" i="16"/>
  <c r="H31" i="16"/>
  <c r="E32" i="16"/>
  <c r="G32" i="16"/>
  <c r="H32" i="16"/>
  <c r="E33" i="16"/>
  <c r="G33" i="16"/>
  <c r="H33" i="16"/>
  <c r="E34" i="16"/>
  <c r="G34" i="16"/>
  <c r="H34" i="16"/>
  <c r="E35" i="16"/>
  <c r="G35" i="16"/>
  <c r="H35" i="16"/>
  <c r="E36" i="16"/>
  <c r="G36" i="16"/>
  <c r="H36" i="16"/>
  <c r="E37" i="16"/>
  <c r="H37" i="16"/>
  <c r="H38" i="16"/>
  <c r="E39" i="16"/>
  <c r="H39" i="16"/>
  <c r="E40" i="16"/>
  <c r="H40" i="16"/>
  <c r="E41" i="16"/>
  <c r="H41" i="16"/>
  <c r="E42" i="16"/>
  <c r="E43" i="16"/>
  <c r="J25" i="16" l="1"/>
  <c r="K25" i="16"/>
  <c r="J23" i="16"/>
  <c r="K23" i="16"/>
  <c r="J21" i="16"/>
  <c r="K21" i="16"/>
  <c r="J19" i="16"/>
  <c r="K19" i="16"/>
  <c r="F36" i="16"/>
  <c r="K36" i="16" s="1"/>
  <c r="F34" i="16"/>
  <c r="K34" i="16" s="1"/>
  <c r="F32" i="16"/>
  <c r="G18" i="16"/>
  <c r="K14" i="16"/>
  <c r="J13" i="16"/>
  <c r="F35" i="16"/>
  <c r="K35" i="16" s="1"/>
  <c r="F33" i="16"/>
  <c r="K33" i="16" s="1"/>
  <c r="J26" i="16"/>
  <c r="J14" i="16"/>
  <c r="I7" i="16"/>
  <c r="D8" i="16" s="1"/>
  <c r="J6" i="16"/>
  <c r="J35" i="16"/>
  <c r="J33" i="16"/>
  <c r="J27" i="16"/>
  <c r="K29" i="16"/>
  <c r="I8" i="16"/>
  <c r="D9" i="16" s="1"/>
  <c r="I9" i="16" s="1"/>
  <c r="D10" i="16" s="1"/>
  <c r="I10" i="16" s="1"/>
  <c r="D11" i="16" s="1"/>
  <c r="I11" i="16" s="1"/>
  <c r="D12" i="16" s="1"/>
  <c r="J15" i="16"/>
  <c r="K15" i="16"/>
  <c r="J12" i="16"/>
  <c r="K12" i="16"/>
  <c r="J36" i="16"/>
  <c r="J34" i="16"/>
  <c r="J32" i="16"/>
  <c r="F18" i="16"/>
  <c r="K32" i="16"/>
  <c r="K17" i="16"/>
  <c r="F31" i="16"/>
  <c r="K31" i="16" s="1"/>
  <c r="K13" i="16"/>
  <c r="E103" i="7"/>
  <c r="E82" i="7"/>
  <c r="E80" i="7"/>
  <c r="K18" i="16" l="1"/>
  <c r="I12" i="16"/>
  <c r="D13" i="16" s="1"/>
  <c r="I13" i="16" s="1"/>
  <c r="D14" i="16" s="1"/>
  <c r="I14" i="16" s="1"/>
  <c r="D15" i="16" s="1"/>
  <c r="I15" i="16" s="1"/>
  <c r="D16" i="16" s="1"/>
  <c r="I16" i="16" s="1"/>
  <c r="D17" i="16" s="1"/>
  <c r="I17" i="16" s="1"/>
  <c r="D71" i="16"/>
  <c r="J31" i="16"/>
  <c r="J18" i="16"/>
  <c r="G103" i="7"/>
  <c r="H103" i="7"/>
  <c r="D19" i="16" l="1"/>
  <c r="I19" i="16" s="1"/>
  <c r="D20" i="16" s="1"/>
  <c r="I20" i="16" s="1"/>
  <c r="D21" i="16" s="1"/>
  <c r="I21" i="16" s="1"/>
  <c r="D22" i="16" s="1"/>
  <c r="I22" i="16" s="1"/>
  <c r="D23" i="16" s="1"/>
  <c r="I23" i="16" s="1"/>
  <c r="D24" i="16" s="1"/>
  <c r="I24" i="16" s="1"/>
  <c r="D25" i="16" s="1"/>
  <c r="I25" i="16" s="1"/>
  <c r="D26" i="16" s="1"/>
  <c r="I26" i="16" s="1"/>
  <c r="D27" i="16" s="1"/>
  <c r="I27" i="16" s="1"/>
  <c r="D28" i="16" s="1"/>
  <c r="I28" i="16" s="1"/>
  <c r="D29" i="16" s="1"/>
  <c r="I29" i="16" s="1"/>
  <c r="D30" i="16" s="1"/>
  <c r="I30" i="16" s="1"/>
  <c r="I18" i="16"/>
  <c r="D31" i="16" s="1"/>
  <c r="H101" i="7"/>
  <c r="G101" i="7"/>
  <c r="I31" i="16" l="1"/>
  <c r="D32" i="16"/>
  <c r="I32" i="16" s="1"/>
  <c r="D33" i="16" s="1"/>
  <c r="I33" i="16" s="1"/>
  <c r="D34" i="16" s="1"/>
  <c r="I34" i="16" s="1"/>
  <c r="D35" i="16" s="1"/>
  <c r="I35" i="16" s="1"/>
  <c r="D36" i="16" s="1"/>
  <c r="I36" i="16" s="1"/>
  <c r="D37" i="16" s="1"/>
  <c r="H99" i="7"/>
  <c r="E104" i="7" l="1"/>
  <c r="E102" i="7"/>
  <c r="E118" i="7"/>
  <c r="E116" i="7"/>
  <c r="E114" i="7"/>
  <c r="E112" i="7"/>
  <c r="E110" i="7"/>
  <c r="E108" i="7"/>
  <c r="E106" i="7"/>
  <c r="E100" i="7"/>
  <c r="H98" i="7" l="1"/>
  <c r="F101" i="7" l="1"/>
  <c r="G98" i="7" l="1"/>
  <c r="G99" i="7" l="1"/>
  <c r="F99" i="7" s="1"/>
  <c r="E97" i="7" l="1"/>
  <c r="E120" i="7" l="1"/>
  <c r="F98" i="7"/>
  <c r="F100" i="7" s="1"/>
  <c r="H96" i="7" l="1"/>
  <c r="H71" i="7" l="1"/>
  <c r="H42" i="16" s="1"/>
  <c r="G71" i="7"/>
  <c r="G42" i="16" s="1"/>
  <c r="H76" i="7"/>
  <c r="G76" i="7"/>
  <c r="G78" i="7"/>
  <c r="G75" i="7"/>
  <c r="G82" i="7"/>
  <c r="F71" i="7" l="1"/>
  <c r="F42" i="16"/>
  <c r="H82" i="7"/>
  <c r="H78" i="7"/>
  <c r="G96" i="7"/>
  <c r="F96" i="7" s="1"/>
  <c r="K42" i="16" l="1"/>
  <c r="J42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G69" i="16"/>
  <c r="G68" i="16"/>
  <c r="G67" i="16"/>
  <c r="G66" i="16"/>
  <c r="G65" i="16"/>
  <c r="G64" i="16"/>
  <c r="G63" i="16"/>
  <c r="G62" i="16"/>
  <c r="G61" i="16"/>
  <c r="E69" i="16"/>
  <c r="E68" i="16"/>
  <c r="E67" i="16"/>
  <c r="E66" i="16"/>
  <c r="E65" i="16"/>
  <c r="E64" i="16"/>
  <c r="E63" i="16"/>
  <c r="E62" i="16"/>
  <c r="E61" i="16"/>
  <c r="H70" i="16" l="1"/>
  <c r="H94" i="7" l="1"/>
  <c r="G94" i="7" l="1"/>
  <c r="H92" i="7" l="1"/>
  <c r="G92" i="7"/>
  <c r="E60" i="16" l="1"/>
  <c r="E59" i="16"/>
  <c r="E58" i="16"/>
  <c r="G60" i="16"/>
  <c r="G59" i="16"/>
  <c r="F59" i="16" s="1"/>
  <c r="G58" i="16"/>
  <c r="J69" i="16"/>
  <c r="K69" i="16"/>
  <c r="K68" i="16"/>
  <c r="F67" i="16"/>
  <c r="J67" i="16" s="1"/>
  <c r="K67" i="16"/>
  <c r="K66" i="16"/>
  <c r="F65" i="16"/>
  <c r="K65" i="16"/>
  <c r="F64" i="16"/>
  <c r="J64" i="16" s="1"/>
  <c r="F63" i="16"/>
  <c r="J63" i="16" s="1"/>
  <c r="F62" i="16"/>
  <c r="J62" i="16" s="1"/>
  <c r="K62" i="16"/>
  <c r="F61" i="16"/>
  <c r="J61" i="16" s="1"/>
  <c r="G120" i="7"/>
  <c r="P120" i="7"/>
  <c r="O120" i="7"/>
  <c r="R120" i="7" s="1"/>
  <c r="R119" i="7"/>
  <c r="K119" i="7"/>
  <c r="F119" i="7"/>
  <c r="J119" i="7" s="1"/>
  <c r="R118" i="7"/>
  <c r="R117" i="7"/>
  <c r="K117" i="7"/>
  <c r="F117" i="7"/>
  <c r="J117" i="7" s="1"/>
  <c r="R116" i="7"/>
  <c r="R115" i="7"/>
  <c r="F115" i="7"/>
  <c r="J115" i="7" s="1"/>
  <c r="R114" i="7"/>
  <c r="R113" i="7"/>
  <c r="F113" i="7"/>
  <c r="J113" i="7" s="1"/>
  <c r="R112" i="7"/>
  <c r="R111" i="7"/>
  <c r="F111" i="7"/>
  <c r="R110" i="7"/>
  <c r="R109" i="7"/>
  <c r="F109" i="7"/>
  <c r="J109" i="7" s="1"/>
  <c r="R108" i="7"/>
  <c r="R107" i="7"/>
  <c r="R106" i="7"/>
  <c r="R105" i="7"/>
  <c r="F105" i="7"/>
  <c r="J105" i="7" s="1"/>
  <c r="R104" i="7"/>
  <c r="R103" i="7"/>
  <c r="F103" i="7"/>
  <c r="R102" i="7"/>
  <c r="M101" i="7"/>
  <c r="R100" i="7"/>
  <c r="M100" i="7"/>
  <c r="K100" i="7"/>
  <c r="M99" i="7"/>
  <c r="J99" i="7"/>
  <c r="M98" i="7"/>
  <c r="O98" i="7" s="1"/>
  <c r="K61" i="16" l="1"/>
  <c r="K59" i="16"/>
  <c r="F58" i="16"/>
  <c r="G70" i="16"/>
  <c r="E70" i="16"/>
  <c r="J59" i="16"/>
  <c r="F60" i="16"/>
  <c r="F66" i="16"/>
  <c r="J66" i="16" s="1"/>
  <c r="K63" i="16"/>
  <c r="K64" i="16"/>
  <c r="J65" i="16"/>
  <c r="F68" i="16"/>
  <c r="J68" i="16" s="1"/>
  <c r="K105" i="7"/>
  <c r="H120" i="7"/>
  <c r="F107" i="7"/>
  <c r="J107" i="7" s="1"/>
  <c r="K115" i="7"/>
  <c r="K107" i="7"/>
  <c r="O99" i="7"/>
  <c r="N101" i="7"/>
  <c r="K101" i="7"/>
  <c r="J101" i="7"/>
  <c r="K111" i="7"/>
  <c r="J111" i="7"/>
  <c r="K99" i="7"/>
  <c r="N99" i="7"/>
  <c r="K103" i="7"/>
  <c r="K109" i="7"/>
  <c r="K113" i="7"/>
  <c r="M120" i="7"/>
  <c r="J103" i="7"/>
  <c r="F120" i="7" l="1"/>
  <c r="N100" i="7"/>
  <c r="F104" i="7"/>
  <c r="F118" i="7"/>
  <c r="J60" i="16"/>
  <c r="K60" i="16"/>
  <c r="J58" i="16"/>
  <c r="K58" i="16"/>
  <c r="F108" i="7"/>
  <c r="F102" i="7"/>
  <c r="F116" i="7"/>
  <c r="K98" i="7"/>
  <c r="F112" i="7"/>
  <c r="J98" i="7"/>
  <c r="F114" i="7"/>
  <c r="F110" i="7"/>
  <c r="F106" i="7"/>
  <c r="N98" i="7"/>
  <c r="P98" i="7" s="1"/>
  <c r="O101" i="7"/>
  <c r="J70" i="16" l="1"/>
  <c r="K70" i="16"/>
  <c r="J110" i="7"/>
  <c r="K110" i="7"/>
  <c r="J102" i="7"/>
  <c r="K102" i="7"/>
  <c r="J104" i="7"/>
  <c r="K104" i="7"/>
  <c r="J106" i="7"/>
  <c r="K106" i="7"/>
  <c r="J114" i="7"/>
  <c r="K114" i="7"/>
  <c r="J112" i="7"/>
  <c r="K112" i="7"/>
  <c r="I116" i="7"/>
  <c r="K116" i="7"/>
  <c r="J108" i="7"/>
  <c r="K108" i="7"/>
  <c r="J118" i="7"/>
  <c r="K118" i="7"/>
  <c r="J100" i="7"/>
  <c r="J116" i="7"/>
  <c r="K120" i="7"/>
  <c r="N120" i="7"/>
  <c r="J120" i="7"/>
  <c r="P99" i="7"/>
  <c r="R98" i="7"/>
  <c r="H90" i="7"/>
  <c r="P101" i="7" l="1"/>
  <c r="R101" i="7" s="1"/>
  <c r="R99" i="7"/>
  <c r="G90" i="7"/>
  <c r="F92" i="7" l="1"/>
  <c r="M28" i="1"/>
  <c r="C28" i="1"/>
  <c r="F27" i="1"/>
  <c r="E27" i="1"/>
  <c r="M26" i="1"/>
  <c r="F25" i="1"/>
  <c r="E25" i="1"/>
  <c r="M24" i="1"/>
  <c r="C24" i="1"/>
  <c r="F23" i="1"/>
  <c r="E23" i="1"/>
  <c r="M22" i="1"/>
  <c r="F21" i="1"/>
  <c r="E21" i="1"/>
  <c r="M20" i="1"/>
  <c r="H20" i="1"/>
  <c r="F19" i="1"/>
  <c r="E19" i="1"/>
  <c r="H18" i="1"/>
  <c r="C18" i="1"/>
  <c r="F17" i="1"/>
  <c r="E17" i="1"/>
  <c r="M16" i="1"/>
  <c r="H16" i="1"/>
  <c r="F16" i="1"/>
  <c r="E16" i="1"/>
  <c r="F15" i="1"/>
  <c r="E15" i="1"/>
  <c r="M14" i="1"/>
  <c r="H14" i="1"/>
  <c r="F14" i="1"/>
  <c r="E14" i="1"/>
  <c r="F13" i="1"/>
  <c r="E13" i="1"/>
  <c r="M12" i="1"/>
  <c r="H12" i="1"/>
  <c r="F12" i="1"/>
  <c r="E12" i="1"/>
  <c r="F11" i="1"/>
  <c r="E11" i="1"/>
  <c r="M10" i="1"/>
  <c r="H10" i="1"/>
  <c r="F10" i="1"/>
  <c r="E10" i="1"/>
  <c r="F9" i="1"/>
  <c r="E9" i="1"/>
  <c r="M8" i="1"/>
  <c r="H8" i="1"/>
  <c r="F8" i="1"/>
  <c r="E8" i="1"/>
  <c r="M7" i="1"/>
  <c r="H7" i="1"/>
  <c r="F7" i="1"/>
  <c r="E7" i="1"/>
  <c r="H56" i="16"/>
  <c r="G56" i="16"/>
  <c r="E56" i="16"/>
  <c r="H55" i="16"/>
  <c r="G55" i="16"/>
  <c r="E55" i="16"/>
  <c r="H54" i="16"/>
  <c r="G54" i="16"/>
  <c r="E54" i="16"/>
  <c r="H53" i="16"/>
  <c r="G53" i="16"/>
  <c r="E53" i="16"/>
  <c r="E52" i="16"/>
  <c r="E51" i="16"/>
  <c r="E50" i="16"/>
  <c r="G48" i="16"/>
  <c r="E47" i="16"/>
  <c r="E46" i="16"/>
  <c r="E45" i="16"/>
  <c r="R121" i="7"/>
  <c r="P97" i="7"/>
  <c r="O97" i="7"/>
  <c r="R97" i="7" s="1"/>
  <c r="R96" i="7"/>
  <c r="J96" i="7"/>
  <c r="K96" i="7" l="1"/>
  <c r="F56" i="16"/>
  <c r="K56" i="16" s="1"/>
  <c r="F55" i="16"/>
  <c r="J55" i="16" s="1"/>
  <c r="F53" i="16"/>
  <c r="J53" i="16" s="1"/>
  <c r="F54" i="16"/>
  <c r="J54" i="16" s="1"/>
  <c r="H9" i="1"/>
  <c r="M9" i="1"/>
  <c r="H11" i="1"/>
  <c r="M11" i="1"/>
  <c r="H13" i="1"/>
  <c r="M13" i="1"/>
  <c r="H15" i="1"/>
  <c r="M15" i="1"/>
  <c r="H17" i="1"/>
  <c r="M17" i="1"/>
  <c r="H19" i="1"/>
  <c r="H21" i="1"/>
  <c r="R95" i="7"/>
  <c r="K95" i="7"/>
  <c r="R94" i="7"/>
  <c r="F94" i="7"/>
  <c r="J94" i="7" s="1"/>
  <c r="R93" i="7"/>
  <c r="K93" i="7"/>
  <c r="R92" i="7"/>
  <c r="K92" i="7"/>
  <c r="R91" i="7"/>
  <c r="K91" i="7"/>
  <c r="R90" i="7"/>
  <c r="F90" i="7"/>
  <c r="R89" i="7"/>
  <c r="K89" i="7"/>
  <c r="R88" i="7"/>
  <c r="H88" i="7"/>
  <c r="H52" i="16" s="1"/>
  <c r="G88" i="7"/>
  <c r="G52" i="16" s="1"/>
  <c r="R87" i="7"/>
  <c r="K87" i="7"/>
  <c r="R86" i="7"/>
  <c r="H86" i="7"/>
  <c r="H51" i="16" s="1"/>
  <c r="G86" i="7"/>
  <c r="G51" i="16" s="1"/>
  <c r="F86" i="7"/>
  <c r="J86" i="7" s="1"/>
  <c r="R85" i="7"/>
  <c r="K85" i="7"/>
  <c r="R84" i="7"/>
  <c r="H84" i="7"/>
  <c r="H50" i="16" s="1"/>
  <c r="G84" i="7"/>
  <c r="G50" i="16" s="1"/>
  <c r="R83" i="7"/>
  <c r="K83" i="7"/>
  <c r="R82" i="7"/>
  <c r="H49" i="16"/>
  <c r="G49" i="16"/>
  <c r="F82" i="7"/>
  <c r="J82" i="7" s="1"/>
  <c r="E49" i="16"/>
  <c r="R81" i="7"/>
  <c r="K81" i="7"/>
  <c r="R80" i="7"/>
  <c r="H80" i="7"/>
  <c r="H48" i="16" s="1"/>
  <c r="F48" i="16" s="1"/>
  <c r="R79" i="7"/>
  <c r="K79" i="7"/>
  <c r="M78" i="7"/>
  <c r="H47" i="16"/>
  <c r="G47" i="16"/>
  <c r="R77" i="7"/>
  <c r="M77" i="7"/>
  <c r="K77" i="7"/>
  <c r="M76" i="7"/>
  <c r="H46" i="16"/>
  <c r="G46" i="16"/>
  <c r="F76" i="7"/>
  <c r="J76" i="7" s="1"/>
  <c r="M75" i="7"/>
  <c r="M97" i="7" s="1"/>
  <c r="H75" i="7"/>
  <c r="F75" i="7" s="1"/>
  <c r="P74" i="7"/>
  <c r="O74" i="7"/>
  <c r="R74" i="7" s="1"/>
  <c r="R73" i="7"/>
  <c r="H73" i="7"/>
  <c r="H43" i="16" s="1"/>
  <c r="G73" i="7"/>
  <c r="R72" i="7"/>
  <c r="T71" i="7"/>
  <c r="R71" i="7"/>
  <c r="H44" i="16"/>
  <c r="N26" i="1"/>
  <c r="P26" i="1" s="1"/>
  <c r="R70" i="7"/>
  <c r="H70" i="7"/>
  <c r="R69" i="7"/>
  <c r="G69" i="7"/>
  <c r="R68" i="7"/>
  <c r="H68" i="7"/>
  <c r="R67" i="7"/>
  <c r="G67" i="7"/>
  <c r="G40" i="16" s="1"/>
  <c r="F40" i="16" s="1"/>
  <c r="F67" i="7"/>
  <c r="N22" i="1" s="1"/>
  <c r="O22" i="1" s="1"/>
  <c r="R66" i="7"/>
  <c r="H66" i="7"/>
  <c r="R65" i="7"/>
  <c r="G65" i="7"/>
  <c r="G39" i="16" s="1"/>
  <c r="F39" i="16" s="1"/>
  <c r="R64" i="7"/>
  <c r="H64" i="7"/>
  <c r="R63" i="7"/>
  <c r="G63" i="7"/>
  <c r="G38" i="16" s="1"/>
  <c r="F38" i="16" s="1"/>
  <c r="E63" i="7"/>
  <c r="E38" i="16" s="1"/>
  <c r="J38" i="16" s="1"/>
  <c r="R62" i="7"/>
  <c r="H62" i="7"/>
  <c r="E62" i="7"/>
  <c r="R61" i="7"/>
  <c r="G61" i="7"/>
  <c r="G37" i="16" s="1"/>
  <c r="F37" i="16" s="1"/>
  <c r="R60" i="7"/>
  <c r="H60" i="7"/>
  <c r="E60" i="7"/>
  <c r="R59" i="7"/>
  <c r="F59" i="7"/>
  <c r="N14" i="1" s="1"/>
  <c r="O14" i="1" s="1"/>
  <c r="R58" i="7"/>
  <c r="H58" i="7"/>
  <c r="G58" i="7"/>
  <c r="E58" i="7"/>
  <c r="R57" i="7"/>
  <c r="F57" i="7"/>
  <c r="N12" i="1" s="1"/>
  <c r="O12" i="1" s="1"/>
  <c r="R56" i="7"/>
  <c r="H56" i="7"/>
  <c r="G56" i="7"/>
  <c r="E56" i="7"/>
  <c r="M55" i="7"/>
  <c r="F55" i="7"/>
  <c r="N10" i="1" s="1"/>
  <c r="O10" i="1" s="1"/>
  <c r="R54" i="7"/>
  <c r="H54" i="7"/>
  <c r="G54" i="7"/>
  <c r="E54" i="7"/>
  <c r="M53" i="7"/>
  <c r="F53" i="7"/>
  <c r="N8" i="1" s="1"/>
  <c r="O8" i="1" s="1"/>
  <c r="M52" i="7"/>
  <c r="F52" i="7"/>
  <c r="N7" i="1" s="1"/>
  <c r="P51" i="7"/>
  <c r="O51" i="7"/>
  <c r="R51" i="7" s="1"/>
  <c r="H51" i="7"/>
  <c r="R50" i="7"/>
  <c r="G50" i="7"/>
  <c r="F50" i="7" s="1"/>
  <c r="I28" i="1" s="1"/>
  <c r="E50" i="7"/>
  <c r="H28" i="1" s="1"/>
  <c r="R49" i="7"/>
  <c r="H49" i="7"/>
  <c r="R48" i="7"/>
  <c r="G48" i="7"/>
  <c r="F48" i="7" s="1"/>
  <c r="I26" i="1" s="1"/>
  <c r="E48" i="7"/>
  <c r="H26" i="1" s="1"/>
  <c r="R47" i="7"/>
  <c r="H47" i="7"/>
  <c r="R46" i="7"/>
  <c r="G46" i="7"/>
  <c r="F46" i="7" s="1"/>
  <c r="I24" i="1" s="1"/>
  <c r="E46" i="7"/>
  <c r="H24" i="1" s="1"/>
  <c r="R45" i="7"/>
  <c r="H45" i="7"/>
  <c r="R44" i="7"/>
  <c r="F44" i="7"/>
  <c r="I22" i="1" s="1"/>
  <c r="E44" i="7"/>
  <c r="H22" i="1" s="1"/>
  <c r="R43" i="7"/>
  <c r="H43" i="7"/>
  <c r="E43" i="7"/>
  <c r="R42" i="7"/>
  <c r="F42" i="7"/>
  <c r="I20" i="1" s="1"/>
  <c r="J20" i="1" s="1"/>
  <c r="R41" i="7"/>
  <c r="H41" i="7"/>
  <c r="E41" i="7"/>
  <c r="R40" i="7"/>
  <c r="G40" i="7"/>
  <c r="F40" i="7"/>
  <c r="K40" i="7" s="1"/>
  <c r="R39" i="7"/>
  <c r="H39" i="7"/>
  <c r="E39" i="7"/>
  <c r="R38" i="7"/>
  <c r="G38" i="7"/>
  <c r="F38" i="7" s="1"/>
  <c r="J38" i="7" s="1"/>
  <c r="R37" i="7"/>
  <c r="H37" i="7"/>
  <c r="E37" i="7"/>
  <c r="R36" i="7"/>
  <c r="G36" i="7"/>
  <c r="F36" i="7" s="1"/>
  <c r="R35" i="7"/>
  <c r="H35" i="7"/>
  <c r="E35" i="7"/>
  <c r="R34" i="7"/>
  <c r="G34" i="7"/>
  <c r="F34" i="7" s="1"/>
  <c r="J34" i="7" s="1"/>
  <c r="R33" i="7"/>
  <c r="H33" i="7"/>
  <c r="E33" i="7"/>
  <c r="M32" i="7"/>
  <c r="G32" i="7"/>
  <c r="F32" i="7" s="1"/>
  <c r="N32" i="7" s="1"/>
  <c r="R31" i="7"/>
  <c r="H31" i="7"/>
  <c r="E31" i="7"/>
  <c r="M31" i="7" s="1"/>
  <c r="M30" i="7"/>
  <c r="G30" i="7"/>
  <c r="M29" i="7"/>
  <c r="G29" i="7"/>
  <c r="G51" i="7" s="1"/>
  <c r="H28" i="7"/>
  <c r="D28" i="7"/>
  <c r="M27" i="7"/>
  <c r="G27" i="7"/>
  <c r="F27" i="7"/>
  <c r="N27" i="7" s="1"/>
  <c r="R26" i="7"/>
  <c r="H26" i="7"/>
  <c r="G25" i="7"/>
  <c r="F25" i="7"/>
  <c r="D26" i="1" s="1"/>
  <c r="E25" i="7"/>
  <c r="C26" i="1" s="1"/>
  <c r="R24" i="7"/>
  <c r="H24" i="7"/>
  <c r="M23" i="7"/>
  <c r="G23" i="7"/>
  <c r="F23" i="7"/>
  <c r="D24" i="1" s="1"/>
  <c r="R22" i="7"/>
  <c r="H22" i="7"/>
  <c r="G22" i="7"/>
  <c r="F21" i="7"/>
  <c r="D22" i="1" s="1"/>
  <c r="E21" i="7"/>
  <c r="C22" i="1" s="1"/>
  <c r="R20" i="7"/>
  <c r="H20" i="7"/>
  <c r="F19" i="7"/>
  <c r="D20" i="1" s="1"/>
  <c r="E19" i="7"/>
  <c r="E28" i="7" s="1"/>
  <c r="R18" i="7"/>
  <c r="H18" i="7"/>
  <c r="E18" i="7"/>
  <c r="M17" i="7"/>
  <c r="G17" i="7"/>
  <c r="G28" i="7" s="1"/>
  <c r="R16" i="7"/>
  <c r="H16" i="7"/>
  <c r="G16" i="7"/>
  <c r="E16" i="7"/>
  <c r="M15" i="7"/>
  <c r="K15" i="7"/>
  <c r="F15" i="7"/>
  <c r="J15" i="7" s="1"/>
  <c r="R14" i="7"/>
  <c r="H14" i="7"/>
  <c r="G14" i="7"/>
  <c r="E14" i="7"/>
  <c r="M13" i="7"/>
  <c r="K13" i="7"/>
  <c r="F13" i="7"/>
  <c r="J13" i="7" s="1"/>
  <c r="R12" i="7"/>
  <c r="H12" i="7"/>
  <c r="G12" i="7"/>
  <c r="E12" i="7"/>
  <c r="M11" i="7"/>
  <c r="K11" i="7"/>
  <c r="F11" i="7"/>
  <c r="J11" i="7" s="1"/>
  <c r="R10" i="7"/>
  <c r="H10" i="7"/>
  <c r="G10" i="7"/>
  <c r="E10" i="7"/>
  <c r="M9" i="7"/>
  <c r="K9" i="7"/>
  <c r="F9" i="7"/>
  <c r="J9" i="7" s="1"/>
  <c r="R8" i="7"/>
  <c r="H8" i="7"/>
  <c r="G8" i="7"/>
  <c r="E8" i="7"/>
  <c r="M7" i="7"/>
  <c r="K7" i="7"/>
  <c r="F7" i="7"/>
  <c r="J7" i="7" s="1"/>
  <c r="O6" i="7"/>
  <c r="O7" i="7" s="1"/>
  <c r="M6" i="7"/>
  <c r="K6" i="7"/>
  <c r="F6" i="7"/>
  <c r="P6" i="7" s="1"/>
  <c r="M21" i="7" l="1"/>
  <c r="K37" i="16"/>
  <c r="J37" i="16"/>
  <c r="I37" i="16"/>
  <c r="D38" i="16" s="1"/>
  <c r="I38" i="16" s="1"/>
  <c r="D39" i="16" s="1"/>
  <c r="I39" i="16" s="1"/>
  <c r="D40" i="16" s="1"/>
  <c r="I40" i="16" s="1"/>
  <c r="D41" i="16" s="1"/>
  <c r="I41" i="16" s="1"/>
  <c r="D42" i="16" s="1"/>
  <c r="I42" i="16" s="1"/>
  <c r="D43" i="16" s="1"/>
  <c r="K38" i="16"/>
  <c r="E64" i="7"/>
  <c r="K39" i="16"/>
  <c r="J39" i="16"/>
  <c r="G41" i="16"/>
  <c r="F41" i="16" s="1"/>
  <c r="F69" i="7"/>
  <c r="E72" i="7"/>
  <c r="G43" i="16"/>
  <c r="F43" i="16" s="1"/>
  <c r="F73" i="7"/>
  <c r="F29" i="7"/>
  <c r="K29" i="7" s="1"/>
  <c r="G33" i="7"/>
  <c r="F61" i="7"/>
  <c r="N16" i="1" s="1"/>
  <c r="P16" i="1" s="1"/>
  <c r="G62" i="7"/>
  <c r="F63" i="7"/>
  <c r="N18" i="1" s="1"/>
  <c r="G64" i="7"/>
  <c r="K40" i="16"/>
  <c r="J40" i="16"/>
  <c r="E68" i="7"/>
  <c r="I6" i="7"/>
  <c r="D7" i="7" s="1"/>
  <c r="I7" i="7" s="1"/>
  <c r="I8" i="7" s="1"/>
  <c r="K94" i="7"/>
  <c r="K55" i="16"/>
  <c r="P7" i="7"/>
  <c r="P9" i="7" s="1"/>
  <c r="P11" i="7" s="1"/>
  <c r="P13" i="7" s="1"/>
  <c r="P15" i="7" s="1"/>
  <c r="K24" i="1"/>
  <c r="K52" i="7"/>
  <c r="N52" i="7"/>
  <c r="P52" i="7" s="1"/>
  <c r="K53" i="7"/>
  <c r="N53" i="7"/>
  <c r="K55" i="7"/>
  <c r="N55" i="7"/>
  <c r="K57" i="7"/>
  <c r="N6" i="7"/>
  <c r="N7" i="7"/>
  <c r="N9" i="7"/>
  <c r="N11" i="7"/>
  <c r="N13" i="7"/>
  <c r="N15" i="7"/>
  <c r="N19" i="7"/>
  <c r="F22" i="1"/>
  <c r="F26" i="1"/>
  <c r="K27" i="7"/>
  <c r="K59" i="7"/>
  <c r="K23" i="7"/>
  <c r="K28" i="1"/>
  <c r="N29" i="7"/>
  <c r="K42" i="7"/>
  <c r="K22" i="1"/>
  <c r="K26" i="1"/>
  <c r="K54" i="16"/>
  <c r="F47" i="16"/>
  <c r="K47" i="16" s="1"/>
  <c r="F49" i="16"/>
  <c r="K49" i="16" s="1"/>
  <c r="F51" i="16"/>
  <c r="K51" i="16" s="1"/>
  <c r="F52" i="16"/>
  <c r="J52" i="16" s="1"/>
  <c r="K53" i="16"/>
  <c r="J56" i="16"/>
  <c r="F50" i="16"/>
  <c r="K50" i="16" s="1"/>
  <c r="D9" i="7"/>
  <c r="I9" i="7" s="1"/>
  <c r="O9" i="7"/>
  <c r="R7" i="7"/>
  <c r="G26" i="7"/>
  <c r="C20" i="1"/>
  <c r="F20" i="1" s="1"/>
  <c r="E26" i="7"/>
  <c r="E24" i="1"/>
  <c r="F24" i="1"/>
  <c r="I14" i="1"/>
  <c r="J36" i="7"/>
  <c r="D28" i="1"/>
  <c r="J27" i="7"/>
  <c r="I7" i="1"/>
  <c r="J29" i="7"/>
  <c r="G43" i="7"/>
  <c r="G41" i="7"/>
  <c r="F30" i="7"/>
  <c r="F45" i="7" s="1"/>
  <c r="K8" i="7"/>
  <c r="K10" i="7"/>
  <c r="K12" i="7"/>
  <c r="K14" i="7"/>
  <c r="K16" i="7"/>
  <c r="G20" i="7"/>
  <c r="J21" i="7"/>
  <c r="F22" i="7"/>
  <c r="N23" i="7"/>
  <c r="E24" i="7"/>
  <c r="K25" i="7"/>
  <c r="J6" i="7"/>
  <c r="R6" i="7"/>
  <c r="F8" i="7"/>
  <c r="J8" i="7" s="1"/>
  <c r="F10" i="7"/>
  <c r="J10" i="7" s="1"/>
  <c r="F12" i="7"/>
  <c r="J12" i="7" s="1"/>
  <c r="F14" i="7"/>
  <c r="J14" i="7" s="1"/>
  <c r="F16" i="7"/>
  <c r="J16" i="7" s="1"/>
  <c r="F17" i="7"/>
  <c r="F28" i="7" s="1"/>
  <c r="G18" i="7"/>
  <c r="J19" i="7"/>
  <c r="M19" i="7"/>
  <c r="F20" i="7"/>
  <c r="E22" i="1"/>
  <c r="K21" i="7"/>
  <c r="N21" i="7"/>
  <c r="E22" i="7"/>
  <c r="J23" i="7"/>
  <c r="F24" i="7"/>
  <c r="E26" i="1"/>
  <c r="J25" i="7"/>
  <c r="M25" i="7"/>
  <c r="F26" i="7"/>
  <c r="M51" i="7"/>
  <c r="K32" i="7"/>
  <c r="K36" i="7"/>
  <c r="I10" i="1"/>
  <c r="J32" i="7"/>
  <c r="I12" i="1"/>
  <c r="K34" i="7"/>
  <c r="I16" i="1"/>
  <c r="K38" i="7"/>
  <c r="I18" i="1"/>
  <c r="J40" i="7"/>
  <c r="K19" i="7"/>
  <c r="E20" i="7"/>
  <c r="G24" i="7"/>
  <c r="N25" i="7"/>
  <c r="G37" i="7"/>
  <c r="M18" i="1"/>
  <c r="P18" i="1" s="1"/>
  <c r="E44" i="16"/>
  <c r="G45" i="16"/>
  <c r="G97" i="7"/>
  <c r="G121" i="7" s="1"/>
  <c r="G31" i="7"/>
  <c r="G35" i="7"/>
  <c r="G39" i="7"/>
  <c r="J42" i="7"/>
  <c r="J22" i="1"/>
  <c r="K44" i="7"/>
  <c r="E45" i="7"/>
  <c r="G45" i="7"/>
  <c r="K46" i="7"/>
  <c r="E47" i="7"/>
  <c r="G47" i="7"/>
  <c r="K48" i="7"/>
  <c r="E49" i="7"/>
  <c r="G49" i="7"/>
  <c r="K50" i="7"/>
  <c r="J52" i="7"/>
  <c r="O52" i="7"/>
  <c r="J53" i="7"/>
  <c r="F54" i="7"/>
  <c r="N54" i="7" s="1"/>
  <c r="M54" i="7"/>
  <c r="M74" i="7" s="1"/>
  <c r="J55" i="7"/>
  <c r="F56" i="7"/>
  <c r="J56" i="7" s="1"/>
  <c r="J57" i="7"/>
  <c r="F58" i="7"/>
  <c r="K58" i="7" s="1"/>
  <c r="J59" i="7"/>
  <c r="F60" i="7"/>
  <c r="J60" i="7" s="1"/>
  <c r="J61" i="7"/>
  <c r="F62" i="7"/>
  <c r="K62" i="7" s="1"/>
  <c r="J63" i="7"/>
  <c r="F64" i="7"/>
  <c r="J64" i="7" s="1"/>
  <c r="F65" i="7"/>
  <c r="E66" i="7"/>
  <c r="G66" i="7"/>
  <c r="J67" i="7"/>
  <c r="F68" i="7"/>
  <c r="J68" i="7" s="1"/>
  <c r="E70" i="7"/>
  <c r="G70" i="7"/>
  <c r="K71" i="7"/>
  <c r="H72" i="7"/>
  <c r="E74" i="7"/>
  <c r="G74" i="7"/>
  <c r="K75" i="7"/>
  <c r="N75" i="7"/>
  <c r="F46" i="16"/>
  <c r="K76" i="7"/>
  <c r="N76" i="7"/>
  <c r="F77" i="7"/>
  <c r="F78" i="7"/>
  <c r="F79" i="7" s="1"/>
  <c r="J79" i="7" s="1"/>
  <c r="F80" i="7"/>
  <c r="K82" i="7"/>
  <c r="F84" i="7"/>
  <c r="K86" i="7"/>
  <c r="F88" i="7"/>
  <c r="N19" i="1"/>
  <c r="K52" i="16"/>
  <c r="G44" i="16"/>
  <c r="O16" i="1"/>
  <c r="O26" i="1"/>
  <c r="H29" i="1"/>
  <c r="H45" i="16"/>
  <c r="H57" i="16" s="1"/>
  <c r="H71" i="16" s="1"/>
  <c r="H97" i="7"/>
  <c r="E48" i="16"/>
  <c r="J44" i="7"/>
  <c r="J24" i="1"/>
  <c r="J46" i="7"/>
  <c r="J26" i="1"/>
  <c r="J48" i="7"/>
  <c r="J28" i="1"/>
  <c r="J50" i="7"/>
  <c r="E51" i="7"/>
  <c r="E121" i="7" s="1"/>
  <c r="K61" i="7"/>
  <c r="K63" i="7"/>
  <c r="F66" i="7"/>
  <c r="K67" i="7"/>
  <c r="G68" i="7"/>
  <c r="J71" i="7"/>
  <c r="G72" i="7"/>
  <c r="H74" i="7"/>
  <c r="H121" i="7" s="1"/>
  <c r="J75" i="7"/>
  <c r="O75" i="7"/>
  <c r="H27" i="1"/>
  <c r="H25" i="1"/>
  <c r="H23" i="1"/>
  <c r="O7" i="1"/>
  <c r="N17" i="1"/>
  <c r="P17" i="1" s="1"/>
  <c r="N15" i="1"/>
  <c r="P15" i="1" s="1"/>
  <c r="N13" i="1"/>
  <c r="P13" i="1" s="1"/>
  <c r="N11" i="1"/>
  <c r="O11" i="1" s="1"/>
  <c r="N9" i="1"/>
  <c r="P9" i="1" s="1"/>
  <c r="P7" i="1"/>
  <c r="P22" i="1"/>
  <c r="K20" i="1"/>
  <c r="P14" i="1"/>
  <c r="P12" i="1"/>
  <c r="P10" i="1"/>
  <c r="P8" i="1"/>
  <c r="K90" i="7"/>
  <c r="J90" i="7"/>
  <c r="J92" i="7"/>
  <c r="K43" i="16" l="1"/>
  <c r="J43" i="16"/>
  <c r="I43" i="16"/>
  <c r="J51" i="16"/>
  <c r="K28" i="7"/>
  <c r="K41" i="16"/>
  <c r="J41" i="16"/>
  <c r="P11" i="1"/>
  <c r="O15" i="1"/>
  <c r="N74" i="7"/>
  <c r="F44" i="16"/>
  <c r="J47" i="16"/>
  <c r="F72" i="7"/>
  <c r="K72" i="7" s="1"/>
  <c r="F74" i="7"/>
  <c r="F97" i="7"/>
  <c r="F121" i="7" s="1"/>
  <c r="J62" i="7"/>
  <c r="F87" i="7"/>
  <c r="J87" i="7" s="1"/>
  <c r="P53" i="7"/>
  <c r="P55" i="7" s="1"/>
  <c r="F95" i="7"/>
  <c r="J95" i="7" s="1"/>
  <c r="F91" i="7"/>
  <c r="J91" i="7" s="1"/>
  <c r="O9" i="1"/>
  <c r="O13" i="1"/>
  <c r="O17" i="1"/>
  <c r="F85" i="7"/>
  <c r="J85" i="7" s="1"/>
  <c r="F81" i="7"/>
  <c r="J81" i="7" s="1"/>
  <c r="J58" i="7"/>
  <c r="J72" i="7"/>
  <c r="M28" i="7"/>
  <c r="F31" i="7"/>
  <c r="N31" i="7" s="1"/>
  <c r="F43" i="7"/>
  <c r="F49" i="7"/>
  <c r="J49" i="7" s="1"/>
  <c r="F37" i="7"/>
  <c r="J97" i="7"/>
  <c r="J50" i="16"/>
  <c r="J49" i="16"/>
  <c r="K84" i="7"/>
  <c r="J84" i="7"/>
  <c r="N77" i="7"/>
  <c r="J77" i="7"/>
  <c r="P75" i="7"/>
  <c r="P76" i="7" s="1"/>
  <c r="N24" i="1"/>
  <c r="J69" i="7"/>
  <c r="K69" i="7"/>
  <c r="N20" i="1"/>
  <c r="J65" i="7"/>
  <c r="K65" i="7"/>
  <c r="O53" i="7"/>
  <c r="R52" i="7"/>
  <c r="F45" i="16"/>
  <c r="G57" i="16"/>
  <c r="G71" i="16" s="1"/>
  <c r="K20" i="7"/>
  <c r="J20" i="7"/>
  <c r="J22" i="7"/>
  <c r="K22" i="7"/>
  <c r="O76" i="7"/>
  <c r="E57" i="16"/>
  <c r="E71" i="16" s="1"/>
  <c r="J48" i="16"/>
  <c r="K48" i="16"/>
  <c r="K88" i="7"/>
  <c r="J88" i="7"/>
  <c r="N78" i="7"/>
  <c r="K78" i="7"/>
  <c r="J78" i="7"/>
  <c r="K46" i="16"/>
  <c r="J46" i="16"/>
  <c r="N28" i="1"/>
  <c r="K73" i="7"/>
  <c r="J73" i="7"/>
  <c r="J66" i="7"/>
  <c r="K66" i="7"/>
  <c r="J45" i="7"/>
  <c r="K45" i="7"/>
  <c r="J18" i="1"/>
  <c r="K18" i="1"/>
  <c r="J16" i="1"/>
  <c r="K16" i="1"/>
  <c r="J12" i="1"/>
  <c r="K12" i="1"/>
  <c r="J10" i="1"/>
  <c r="K10" i="1"/>
  <c r="D18" i="1"/>
  <c r="F18" i="7"/>
  <c r="J17" i="7"/>
  <c r="N17" i="7"/>
  <c r="K17" i="7"/>
  <c r="I8" i="1"/>
  <c r="I19" i="1" s="1"/>
  <c r="N30" i="7"/>
  <c r="K30" i="7"/>
  <c r="F39" i="7"/>
  <c r="F35" i="7"/>
  <c r="J30" i="7"/>
  <c r="I29" i="1"/>
  <c r="K29" i="1" s="1"/>
  <c r="K7" i="1"/>
  <c r="J7" i="1"/>
  <c r="E28" i="1"/>
  <c r="F28" i="1"/>
  <c r="J14" i="1"/>
  <c r="K14" i="1"/>
  <c r="O11" i="7"/>
  <c r="R9" i="7"/>
  <c r="K68" i="7"/>
  <c r="K80" i="7"/>
  <c r="K64" i="7"/>
  <c r="K56" i="7"/>
  <c r="J44" i="16"/>
  <c r="F93" i="7"/>
  <c r="J80" i="7"/>
  <c r="F70" i="7"/>
  <c r="J70" i="7" s="1"/>
  <c r="F83" i="7"/>
  <c r="J83" i="7" s="1"/>
  <c r="K60" i="7"/>
  <c r="J54" i="7"/>
  <c r="F89" i="7"/>
  <c r="J89" i="7" s="1"/>
  <c r="K54" i="7"/>
  <c r="F33" i="7"/>
  <c r="F41" i="7"/>
  <c r="F51" i="7"/>
  <c r="F47" i="7"/>
  <c r="K47" i="7" s="1"/>
  <c r="O18" i="1"/>
  <c r="M29" i="1"/>
  <c r="M19" i="1"/>
  <c r="O19" i="1" s="1"/>
  <c r="M21" i="1"/>
  <c r="M23" i="1"/>
  <c r="M25" i="1"/>
  <c r="M27" i="1"/>
  <c r="J24" i="7"/>
  <c r="K24" i="7"/>
  <c r="K26" i="7"/>
  <c r="J26" i="7"/>
  <c r="E20" i="1"/>
  <c r="C29" i="1"/>
  <c r="I10" i="7"/>
  <c r="D11" i="7"/>
  <c r="I11" i="7" s="1"/>
  <c r="K44" i="16" l="1"/>
  <c r="J51" i="7"/>
  <c r="J74" i="7"/>
  <c r="U98" i="7"/>
  <c r="K97" i="7"/>
  <c r="K121" i="7"/>
  <c r="K74" i="7"/>
  <c r="K49" i="7"/>
  <c r="N97" i="7"/>
  <c r="R75" i="7"/>
  <c r="J31" i="7"/>
  <c r="J29" i="1"/>
  <c r="I11" i="1"/>
  <c r="K11" i="1" s="1"/>
  <c r="I25" i="1"/>
  <c r="K25" i="1" s="1"/>
  <c r="J47" i="7"/>
  <c r="I15" i="1"/>
  <c r="K15" i="1" s="1"/>
  <c r="I21" i="1"/>
  <c r="K21" i="1" s="1"/>
  <c r="K37" i="7"/>
  <c r="J37" i="7"/>
  <c r="K43" i="7"/>
  <c r="J43" i="7"/>
  <c r="K31" i="7"/>
  <c r="I17" i="1"/>
  <c r="J17" i="1" s="1"/>
  <c r="I13" i="1"/>
  <c r="K13" i="1" s="1"/>
  <c r="I9" i="1"/>
  <c r="J9" i="1" s="1"/>
  <c r="I27" i="1"/>
  <c r="K27" i="1" s="1"/>
  <c r="I23" i="1"/>
  <c r="K23" i="1" s="1"/>
  <c r="N51" i="7"/>
  <c r="K51" i="7"/>
  <c r="I44" i="16"/>
  <c r="D57" i="16" s="1"/>
  <c r="I45" i="16"/>
  <c r="D46" i="16" s="1"/>
  <c r="I46" i="16" s="1"/>
  <c r="D47" i="16" s="1"/>
  <c r="I47" i="16" s="1"/>
  <c r="D48" i="16" s="1"/>
  <c r="I48" i="16" s="1"/>
  <c r="D49" i="16" s="1"/>
  <c r="I49" i="16" s="1"/>
  <c r="D50" i="16" s="1"/>
  <c r="I50" i="16" s="1"/>
  <c r="D51" i="16" s="1"/>
  <c r="I51" i="16" s="1"/>
  <c r="D52" i="16" s="1"/>
  <c r="I52" i="16" s="1"/>
  <c r="D53" i="16" s="1"/>
  <c r="I53" i="16" s="1"/>
  <c r="D54" i="16" s="1"/>
  <c r="I54" i="16" s="1"/>
  <c r="D55" i="16" s="1"/>
  <c r="I55" i="16" s="1"/>
  <c r="D56" i="16" s="1"/>
  <c r="I56" i="16" s="1"/>
  <c r="D33" i="1"/>
  <c r="I33" i="1"/>
  <c r="N33" i="1"/>
  <c r="K41" i="7"/>
  <c r="J41" i="7"/>
  <c r="I93" i="7"/>
  <c r="J93" i="7"/>
  <c r="O13" i="7"/>
  <c r="R11" i="7"/>
  <c r="K17" i="1"/>
  <c r="J13" i="1"/>
  <c r="J19" i="1"/>
  <c r="K19" i="1"/>
  <c r="J39" i="7"/>
  <c r="K39" i="7"/>
  <c r="D29" i="1"/>
  <c r="F18" i="1"/>
  <c r="E18" i="1"/>
  <c r="O28" i="1"/>
  <c r="P28" i="1"/>
  <c r="R76" i="7"/>
  <c r="O78" i="7"/>
  <c r="J45" i="16"/>
  <c r="K45" i="16"/>
  <c r="F57" i="16"/>
  <c r="F71" i="16" s="1"/>
  <c r="O55" i="7"/>
  <c r="R55" i="7" s="1"/>
  <c r="R53" i="7"/>
  <c r="O24" i="1"/>
  <c r="P24" i="1"/>
  <c r="K33" i="7"/>
  <c r="J33" i="7"/>
  <c r="J25" i="1"/>
  <c r="J21" i="1"/>
  <c r="J35" i="7"/>
  <c r="K35" i="7"/>
  <c r="J8" i="1"/>
  <c r="K8" i="1"/>
  <c r="P17" i="7"/>
  <c r="P19" i="7" s="1"/>
  <c r="P21" i="7" s="1"/>
  <c r="P23" i="7" s="1"/>
  <c r="P25" i="7" s="1"/>
  <c r="P27" i="7" s="1"/>
  <c r="N28" i="7"/>
  <c r="J18" i="7"/>
  <c r="K18" i="7"/>
  <c r="O20" i="1"/>
  <c r="P20" i="1"/>
  <c r="N27" i="1"/>
  <c r="P27" i="1" s="1"/>
  <c r="N25" i="1"/>
  <c r="P25" i="1" s="1"/>
  <c r="N21" i="1"/>
  <c r="P21" i="1" s="1"/>
  <c r="N29" i="1"/>
  <c r="P29" i="1" s="1"/>
  <c r="N23" i="1"/>
  <c r="P23" i="1" s="1"/>
  <c r="K70" i="7"/>
  <c r="J28" i="7"/>
  <c r="I70" i="7"/>
  <c r="P78" i="7"/>
  <c r="P19" i="1"/>
  <c r="I12" i="7"/>
  <c r="D13" i="7"/>
  <c r="I13" i="7" s="1"/>
  <c r="K71" i="16" l="1"/>
  <c r="J71" i="16"/>
  <c r="U97" i="7"/>
  <c r="O29" i="1"/>
  <c r="O25" i="1"/>
  <c r="J11" i="1"/>
  <c r="O21" i="1"/>
  <c r="O23" i="1"/>
  <c r="J27" i="1"/>
  <c r="O27" i="1"/>
  <c r="J15" i="1"/>
  <c r="K9" i="1"/>
  <c r="J23" i="1"/>
  <c r="I57" i="16"/>
  <c r="D70" i="16" s="1"/>
  <c r="D58" i="16"/>
  <c r="I58" i="16" s="1"/>
  <c r="D59" i="16" s="1"/>
  <c r="I59" i="16" s="1"/>
  <c r="D60" i="16" s="1"/>
  <c r="I60" i="16" s="1"/>
  <c r="D61" i="16" s="1"/>
  <c r="I61" i="16" s="1"/>
  <c r="D62" i="16" s="1"/>
  <c r="I62" i="16" s="1"/>
  <c r="D63" i="16" s="1"/>
  <c r="I63" i="16" s="1"/>
  <c r="D64" i="16" s="1"/>
  <c r="I64" i="16" s="1"/>
  <c r="D65" i="16" s="1"/>
  <c r="I65" i="16" s="1"/>
  <c r="D66" i="16" s="1"/>
  <c r="I66" i="16" s="1"/>
  <c r="D67" i="16" s="1"/>
  <c r="I67" i="16" s="1"/>
  <c r="D68" i="16" s="1"/>
  <c r="I68" i="16" s="1"/>
  <c r="D69" i="16" s="1"/>
  <c r="I69" i="16" s="1"/>
  <c r="I70" i="16" s="1"/>
  <c r="I71" i="16" s="1"/>
  <c r="K57" i="16"/>
  <c r="I14" i="7"/>
  <c r="D15" i="7"/>
  <c r="I15" i="7" s="1"/>
  <c r="P28" i="7"/>
  <c r="P29" i="7"/>
  <c r="P30" i="7" s="1"/>
  <c r="P32" i="7" s="1"/>
  <c r="D34" i="1"/>
  <c r="F35" i="1" s="1"/>
  <c r="F29" i="1"/>
  <c r="N34" i="1"/>
  <c r="P35" i="1" s="1"/>
  <c r="I34" i="1"/>
  <c r="K35" i="1" s="1"/>
  <c r="O15" i="7"/>
  <c r="R13" i="7"/>
  <c r="N35" i="1"/>
  <c r="J57" i="16"/>
  <c r="R78" i="7"/>
  <c r="E29" i="1"/>
  <c r="E30" i="1" s="1"/>
  <c r="J30" i="1" s="1"/>
  <c r="O30" i="1" l="1"/>
  <c r="D35" i="1"/>
  <c r="I35" i="1"/>
  <c r="R15" i="7"/>
  <c r="O17" i="7"/>
  <c r="D17" i="7"/>
  <c r="I17" i="7" s="1"/>
  <c r="I16" i="7"/>
  <c r="O19" i="7" l="1"/>
  <c r="R17" i="7"/>
  <c r="D19" i="7"/>
  <c r="I19" i="7" s="1"/>
  <c r="I18" i="7"/>
  <c r="D21" i="7" l="1"/>
  <c r="I21" i="7" s="1"/>
  <c r="I20" i="7"/>
  <c r="O21" i="7"/>
  <c r="R19" i="7"/>
  <c r="R21" i="7" l="1"/>
  <c r="O23" i="7"/>
  <c r="D23" i="7"/>
  <c r="I23" i="7" s="1"/>
  <c r="I22" i="7"/>
  <c r="O25" i="7" l="1"/>
  <c r="R23" i="7"/>
  <c r="D25" i="7"/>
  <c r="I25" i="7" s="1"/>
  <c r="I24" i="7"/>
  <c r="D27" i="7" l="1"/>
  <c r="I27" i="7" s="1"/>
  <c r="I26" i="7"/>
  <c r="O27" i="7"/>
  <c r="R25" i="7"/>
  <c r="O29" i="7" l="1"/>
  <c r="R27" i="7"/>
  <c r="O28" i="7"/>
  <c r="R28" i="7" s="1"/>
  <c r="D29" i="7"/>
  <c r="I29" i="7" s="1"/>
  <c r="D30" i="7" s="1"/>
  <c r="I30" i="7" s="1"/>
  <c r="I28" i="7"/>
  <c r="D51" i="7" s="1"/>
  <c r="D32" i="7" l="1"/>
  <c r="I32" i="7" s="1"/>
  <c r="I31" i="7"/>
  <c r="R29" i="7"/>
  <c r="O30" i="7"/>
  <c r="O32" i="7" l="1"/>
  <c r="R32" i="7" s="1"/>
  <c r="R30" i="7"/>
  <c r="D34" i="7"/>
  <c r="I34" i="7" s="1"/>
  <c r="I33" i="7"/>
  <c r="D36" i="7" l="1"/>
  <c r="I36" i="7" s="1"/>
  <c r="I35" i="7"/>
  <c r="I37" i="7" l="1"/>
  <c r="D38" i="7"/>
  <c r="I38" i="7" s="1"/>
  <c r="D40" i="7" l="1"/>
  <c r="I40" i="7" s="1"/>
  <c r="I39" i="7"/>
  <c r="D42" i="7" l="1"/>
  <c r="I42" i="7" s="1"/>
  <c r="I41" i="7"/>
  <c r="D44" i="7" l="1"/>
  <c r="I44" i="7" s="1"/>
  <c r="I43" i="7"/>
  <c r="D46" i="7" l="1"/>
  <c r="I46" i="7" s="1"/>
  <c r="I45" i="7"/>
  <c r="D48" i="7" l="1"/>
  <c r="I48" i="7" s="1"/>
  <c r="I47" i="7"/>
  <c r="D50" i="7" l="1"/>
  <c r="I50" i="7" s="1"/>
  <c r="I49" i="7"/>
  <c r="D52" i="7" l="1"/>
  <c r="I52" i="7" s="1"/>
  <c r="D53" i="7" s="1"/>
  <c r="I53" i="7" s="1"/>
  <c r="I51" i="7"/>
  <c r="D74" i="7" s="1"/>
  <c r="D55" i="7" l="1"/>
  <c r="I55" i="7" s="1"/>
  <c r="I54" i="7"/>
  <c r="D57" i="7" l="1"/>
  <c r="I57" i="7" s="1"/>
  <c r="I56" i="7"/>
  <c r="D59" i="7" l="1"/>
  <c r="I59" i="7" s="1"/>
  <c r="I58" i="7"/>
  <c r="D61" i="7" l="1"/>
  <c r="I61" i="7" s="1"/>
  <c r="I60" i="7"/>
  <c r="D63" i="7" l="1"/>
  <c r="I63" i="7" s="1"/>
  <c r="I62" i="7"/>
  <c r="D65" i="7" l="1"/>
  <c r="I65" i="7" s="1"/>
  <c r="I64" i="7"/>
  <c r="D67" i="7" l="1"/>
  <c r="I67" i="7" s="1"/>
  <c r="I66" i="7"/>
  <c r="D69" i="7" l="1"/>
  <c r="I69" i="7" s="1"/>
  <c r="D71" i="7" s="1"/>
  <c r="I71" i="7" s="1"/>
  <c r="I68" i="7"/>
  <c r="D73" i="7" l="1"/>
  <c r="I73" i="7" s="1"/>
  <c r="I72" i="7"/>
  <c r="D75" i="7" l="1"/>
  <c r="I75" i="7" s="1"/>
  <c r="D76" i="7" s="1"/>
  <c r="I76" i="7" s="1"/>
  <c r="I74" i="7"/>
  <c r="D97" i="7" s="1"/>
  <c r="D78" i="7" l="1"/>
  <c r="I78" i="7" s="1"/>
  <c r="I77" i="7"/>
  <c r="D80" i="7" l="1"/>
  <c r="I80" i="7" s="1"/>
  <c r="I79" i="7"/>
  <c r="D82" i="7" l="1"/>
  <c r="I82" i="7" s="1"/>
  <c r="I81" i="7"/>
  <c r="D84" i="7" l="1"/>
  <c r="I84" i="7" s="1"/>
  <c r="I83" i="7"/>
  <c r="D86" i="7" l="1"/>
  <c r="I86" i="7" s="1"/>
  <c r="I85" i="7"/>
  <c r="D88" i="7" l="1"/>
  <c r="I88" i="7" s="1"/>
  <c r="I87" i="7"/>
  <c r="D90" i="7" l="1"/>
  <c r="I90" i="7" s="1"/>
  <c r="I89" i="7"/>
  <c r="I91" i="7" l="1"/>
  <c r="D92" i="7"/>
  <c r="I92" i="7" s="1"/>
  <c r="D94" i="7" s="1"/>
  <c r="I94" i="7" s="1"/>
  <c r="I95" i="7" l="1"/>
  <c r="D96" i="7"/>
  <c r="I96" i="7" s="1"/>
  <c r="I97" i="7" l="1"/>
  <c r="D120" i="7" s="1"/>
  <c r="D98" i="7"/>
  <c r="I98" i="7" s="1"/>
  <c r="D99" i="7" s="1"/>
  <c r="I99" i="7" s="1"/>
  <c r="I100" i="7" l="1"/>
  <c r="D101" i="7"/>
  <c r="I101" i="7" s="1"/>
  <c r="I102" i="7" l="1"/>
  <c r="D103" i="7"/>
  <c r="I103" i="7" s="1"/>
  <c r="I104" i="7" l="1"/>
  <c r="D105" i="7"/>
  <c r="I105" i="7" s="1"/>
  <c r="D107" i="7" l="1"/>
  <c r="I107" i="7" s="1"/>
  <c r="I106" i="7"/>
  <c r="I108" i="7" l="1"/>
  <c r="D109" i="7"/>
  <c r="I109" i="7" s="1"/>
  <c r="D111" i="7" l="1"/>
  <c r="I111" i="7" s="1"/>
  <c r="I110" i="7"/>
  <c r="I112" i="7" l="1"/>
  <c r="D113" i="7"/>
  <c r="I113" i="7" s="1"/>
  <c r="D115" i="7" l="1"/>
  <c r="I115" i="7" s="1"/>
  <c r="D117" i="7" s="1"/>
  <c r="I117" i="7" s="1"/>
  <c r="I114" i="7"/>
  <c r="D119" i="7" l="1"/>
  <c r="I119" i="7" s="1"/>
  <c r="I120" i="7" s="1"/>
  <c r="I118" i="7"/>
</calcChain>
</file>

<file path=xl/comments1.xml><?xml version="1.0" encoding="utf-8"?>
<comments xmlns="http://schemas.openxmlformats.org/spreadsheetml/2006/main">
  <authors>
    <author>fominaol</author>
  </authors>
  <commentList>
    <comment ref="E4" authorId="0" shapeId="0">
      <text>
        <r>
          <rPr>
            <b/>
            <sz val="9"/>
            <color indexed="81"/>
            <rFont val="Tahoma"/>
            <family val="2"/>
            <charset val="204"/>
          </rPr>
          <t>по 1С</t>
        </r>
      </text>
    </comment>
    <comment ref="E44" authorId="0" shapeId="0">
      <text>
        <r>
          <rPr>
            <sz val="8"/>
            <color indexed="81"/>
            <rFont val="Tahoma"/>
            <family val="2"/>
            <charset val="204"/>
          </rPr>
          <t>сняты ССУ и транспортировка за июл., авг., сен. 2015</t>
        </r>
      </text>
    </comment>
    <comment ref="G44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платил ООО "Литком"
</t>
        </r>
      </text>
    </comment>
    <comment ref="E46" authorId="0" shapeId="0">
      <text>
        <r>
          <rPr>
            <sz val="8"/>
            <color indexed="81"/>
            <rFont val="Tahoma"/>
            <family val="2"/>
            <charset val="204"/>
          </rPr>
          <t>снято ССУ за окт.2015;
добавлена транспортировка за июл., авг., сен. 2015 (снятая в сент.)</t>
        </r>
      </text>
    </comment>
    <comment ref="G46" authorId="0" shapeId="0">
      <text>
        <r>
          <rPr>
            <sz val="8"/>
            <color indexed="81"/>
            <rFont val="Tahoma"/>
            <family val="2"/>
            <charset val="204"/>
          </rPr>
          <t>Оплачено и списано в пользу УФССП России по Тверской области по
Постановлению об обращении взыскания № 69042/15/143581 от 16.10.15</t>
        </r>
      </text>
    </comment>
    <comment ref="E48" authorId="0" shapeId="0">
      <text>
        <r>
          <rPr>
            <sz val="9"/>
            <color indexed="81"/>
            <rFont val="Tahoma"/>
            <family val="2"/>
            <charset val="204"/>
          </rPr>
          <t xml:space="preserve">без ССУ
</t>
        </r>
      </text>
    </comment>
    <comment ref="G48" authorId="0" shapeId="0">
      <text>
        <r>
          <rPr>
            <sz val="8"/>
            <color indexed="81"/>
            <rFont val="Tahoma"/>
            <family val="2"/>
            <charset val="204"/>
          </rPr>
          <t>Оплачено и списано в пользу УФССП России по Тверской области по
Постановлению об обращении взыскания № 69042/15/143581 от 16.10.15</t>
        </r>
      </text>
    </comment>
    <comment ref="E50" authorId="0" shapeId="0">
      <text>
        <r>
          <rPr>
            <sz val="8"/>
            <color indexed="81"/>
            <rFont val="Tahoma"/>
            <family val="2"/>
            <charset val="204"/>
          </rPr>
          <t>с ССУ+добавлены ССУ за июл.-нояб. 2015
откорр. апр., май, июнь 2015 (трансп. и газ)</t>
        </r>
      </text>
    </comment>
    <comment ref="H53" authorId="0" shapeId="0">
      <text>
        <r>
          <rPr>
            <sz val="9"/>
            <color indexed="81"/>
            <rFont val="Tahoma"/>
            <family val="2"/>
            <charset val="204"/>
          </rPr>
          <t>бухгалтерией снято с оплаты в августе, реально в феврале.</t>
        </r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63" authorId="0" shapeId="0">
      <text>
        <r>
          <rPr>
            <sz val="9"/>
            <color indexed="81"/>
            <rFont val="Tahoma"/>
            <family val="2"/>
            <charset val="204"/>
          </rPr>
          <t xml:space="preserve">206 000р.-госпошлина
</t>
        </r>
      </text>
    </comment>
    <comment ref="H71" authorId="0" shapeId="0">
      <text>
        <r>
          <rPr>
            <sz val="8"/>
            <color indexed="81"/>
            <rFont val="Tahoma"/>
            <family val="2"/>
            <charset val="204"/>
          </rPr>
          <t>155851611,94 - списано в УФССП в октябре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80" authorId="0" shapeId="0">
      <text>
        <r>
          <rPr>
            <sz val="8"/>
            <color indexed="81"/>
            <rFont val="Tahoma"/>
            <family val="2"/>
            <charset val="204"/>
          </rPr>
          <t>29 415,35 руб. - доначисление дек. 2016 без реш.суда</t>
        </r>
      </text>
    </comment>
    <comment ref="E82" authorId="0" shapeId="0">
      <text>
        <r>
          <rPr>
            <sz val="8"/>
            <color indexed="81"/>
            <rFont val="Tahoma"/>
            <family val="2"/>
            <charset val="204"/>
          </rPr>
          <t>1 141 012,73 руб. - доначисление дек. 2016 по реш.суда</t>
        </r>
      </text>
    </comment>
    <comment ref="C84" authorId="0" shapeId="0">
      <text>
        <r>
          <rPr>
            <sz val="8"/>
            <color indexed="81"/>
            <rFont val="Tahoma"/>
            <family val="2"/>
            <charset val="204"/>
          </rPr>
          <t>с июня 2017 с объед.котельными (МУП "Сахарово")</t>
        </r>
      </text>
    </comment>
    <comment ref="C107" authorId="0" shapeId="0">
      <text>
        <r>
          <rPr>
            <sz val="8"/>
            <color indexed="81"/>
            <rFont val="Tahoma"/>
            <family val="2"/>
            <charset val="204"/>
          </rPr>
          <t>с июня 2017 с объед.котельными (МУП "Сахарово")</t>
        </r>
      </text>
    </comment>
  </commentList>
</comments>
</file>

<file path=xl/comments2.xml><?xml version="1.0" encoding="utf-8"?>
<comments xmlns="http://schemas.openxmlformats.org/spreadsheetml/2006/main">
  <authors>
    <author>fominaol</author>
  </authors>
  <commentList>
    <comment ref="E4" authorId="0" shapeId="0">
      <text>
        <r>
          <rPr>
            <b/>
            <sz val="9"/>
            <color indexed="81"/>
            <rFont val="Tahoma"/>
            <family val="2"/>
            <charset val="204"/>
          </rPr>
          <t>по 1С</t>
        </r>
      </text>
    </comment>
    <comment ref="H33" authorId="0" shapeId="0">
      <text>
        <r>
          <rPr>
            <sz val="9"/>
            <color indexed="81"/>
            <rFont val="Tahoma"/>
            <family val="2"/>
            <charset val="204"/>
          </rPr>
          <t>бухгалтерией снято с оплаты в августе, реально в феврале.</t>
        </r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8" authorId="0" shapeId="0">
      <text>
        <r>
          <rPr>
            <sz val="9"/>
            <color indexed="81"/>
            <rFont val="Tahoma"/>
            <family val="2"/>
            <charset val="204"/>
          </rPr>
          <t xml:space="preserve">206 000р.-госпошлина
</t>
        </r>
      </text>
    </comment>
    <comment ref="H42" authorId="0" shapeId="0">
      <text>
        <r>
          <rPr>
            <sz val="8"/>
            <color indexed="81"/>
            <rFont val="Tahoma"/>
            <family val="2"/>
            <charset val="204"/>
          </rPr>
          <t>155851611,94 - списано в УФССП в октябре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fominaol</author>
  </authors>
  <commentList>
    <comment ref="C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- 83 462,70084 т.р.
без резерва по сомнит.долгам
655 470,28471 т.р.</t>
        </r>
      </text>
    </comment>
    <comment ref="F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-73 766,27169 т.р.</t>
        </r>
      </text>
    </comment>
    <comment ref="G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-73 150,24826 т.р.</t>
        </r>
      </text>
    </comment>
    <comment ref="H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-72 953,76150 т.р.</t>
        </r>
      </text>
    </comment>
    <comment ref="I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-68 031, 23233 т.р.</t>
        </r>
      </text>
    </comment>
    <comment ref="J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-66 656, 63789 т.р.</t>
        </r>
      </text>
    </comment>
    <comment ref="K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-67 084,18906 т.р.</t>
        </r>
      </text>
    </comment>
    <comment ref="L8" authorId="0" shapeId="0">
      <text>
        <r>
          <rPr>
            <sz val="8"/>
            <color indexed="81"/>
            <rFont val="Tahoma"/>
            <family val="2"/>
            <charset val="204"/>
          </rPr>
          <t>В т.ч. резерв по сомнит.долгам (сч.63) -66 288,35571 т.р.</t>
        </r>
      </text>
    </comment>
  </commentList>
</comments>
</file>

<file path=xl/sharedStrings.xml><?xml version="1.0" encoding="utf-8"?>
<sst xmlns="http://schemas.openxmlformats.org/spreadsheetml/2006/main" count="1859" uniqueCount="785">
  <si>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</si>
  <si>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</si>
  <si>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</si>
  <si>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</si>
  <si>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</si>
  <si>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</si>
  <si>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</si>
  <si>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</si>
  <si>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</si>
  <si>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</si>
  <si>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</si>
  <si>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</si>
  <si>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начислено</t>
  </si>
  <si>
    <t>оплачено</t>
  </si>
  <si>
    <t>% оплаты</t>
  </si>
  <si>
    <t>Итого за 2 месяца</t>
  </si>
  <si>
    <t>Итого за 3 месяца</t>
  </si>
  <si>
    <t>Итого за 4 месяца</t>
  </si>
  <si>
    <t>Итого за 5 месяцев</t>
  </si>
  <si>
    <t>Итого за 6 месяцев</t>
  </si>
  <si>
    <t>Итого за 7 месяцев</t>
  </si>
  <si>
    <t>Итого за 8 месяцев</t>
  </si>
  <si>
    <t>Итого за 9 месяцев</t>
  </si>
  <si>
    <t>Итого за 10 месяцев</t>
  </si>
  <si>
    <t>Итого за 11 месяцев</t>
  </si>
  <si>
    <t>ИТОГО за год</t>
  </si>
  <si>
    <t>месяц</t>
  </si>
  <si>
    <r>
      <t xml:space="preserve">отклонение </t>
    </r>
    <r>
      <rPr>
        <sz val="11.5"/>
        <rFont val="Arial"/>
        <family val="2"/>
        <charset val="204"/>
      </rPr>
      <t>(начислено-оплачено)</t>
    </r>
  </si>
  <si>
    <t>Итого с нарастающим итогом</t>
  </si>
  <si>
    <r>
      <t>задолженность</t>
    </r>
    <r>
      <rPr>
        <b/>
        <vertAlign val="superscript"/>
        <sz val="11.5"/>
        <rFont val="Arial"/>
        <family val="2"/>
        <charset val="204"/>
      </rPr>
      <t xml:space="preserve"> </t>
    </r>
    <r>
      <rPr>
        <b/>
        <vertAlign val="superscript"/>
        <sz val="12"/>
        <rFont val="Arial"/>
        <family val="2"/>
        <charset val="204"/>
      </rPr>
      <t>*</t>
    </r>
  </si>
  <si>
    <t>Расчеты с ООО "Газпром межрегионгаз Тверь"</t>
  </si>
  <si>
    <t>руб.</t>
  </si>
  <si>
    <t>Год</t>
  </si>
  <si>
    <t>Месяц</t>
  </si>
  <si>
    <t>в том числе</t>
  </si>
  <si>
    <t>отклонение (начислено-оплачено)</t>
  </si>
  <si>
    <t>денежные средства</t>
  </si>
  <si>
    <t>ООО "Тверская генерация"</t>
  </si>
  <si>
    <t>нарастающим итогом на 31.12.14</t>
  </si>
  <si>
    <t>Задолженность на конец периода (свернутое сальдо)</t>
  </si>
  <si>
    <t>Задолженность на начало периода (свернутое сальдо)</t>
  </si>
  <si>
    <t>ИТОГО</t>
  </si>
  <si>
    <t>Начислено за период</t>
  </si>
  <si>
    <t>Оплачено за период</t>
  </si>
  <si>
    <t xml:space="preserve">Начислено нарастающим итогом </t>
  </si>
  <si>
    <t>Оплачено нарастающим итогом</t>
  </si>
  <si>
    <t>ИТОГО за 2014 год</t>
  </si>
  <si>
    <t>ИТОГО за 2015 год</t>
  </si>
  <si>
    <t>млн.руб.</t>
  </si>
  <si>
    <t>для графиков</t>
  </si>
  <si>
    <t>Начислено за месяц</t>
  </si>
  <si>
    <t>Оплачено за месяц</t>
  </si>
  <si>
    <t>разрядность завести вручную в голубую ячейку</t>
  </si>
  <si>
    <t>нарастающим итогом на 31.12.15</t>
  </si>
  <si>
    <t>ИТОГО за 2016 год</t>
  </si>
  <si>
    <t>нарастающим итогом на 31.12.16</t>
  </si>
  <si>
    <t>коррект., списано УФССП опер.</t>
  </si>
  <si>
    <t>ИТОГО за 2017 год</t>
  </si>
  <si>
    <t>с ЕРКЦ</t>
  </si>
  <si>
    <t>ИТОГО за 2018 год</t>
  </si>
  <si>
    <r>
      <rPr>
        <b/>
        <i/>
        <sz val="10"/>
        <rFont val="Arial"/>
        <family val="2"/>
        <charset val="204"/>
      </rPr>
      <t>Примечание</t>
    </r>
    <r>
      <rPr>
        <i/>
        <sz val="10"/>
        <rFont val="Arial"/>
        <family val="2"/>
        <charset val="204"/>
      </rPr>
      <t>: Суммы оплаты за ____________________ года являются оперивными, т.к. в данный период происходило списание денежных средств с р/с в адрес Межрайонного отдела судебных приставов по ОВИП УФССП России по Тверской области. Информация по распределению списанных денежных средств в рамках сводного исполнительного производства от УФССП в ООО "Тверская генерация" пока не поступала (поэтому в оплате в адрес ООО "Газпром межрегионгаз Тверь" учтена ориентировочная сумма в размере 80% от сумм списания).</t>
    </r>
  </si>
  <si>
    <t>тыс. руб. с НДС</t>
  </si>
  <si>
    <t>Апрель 2018 прогноз</t>
  </si>
  <si>
    <t>Май 2018 прогноз</t>
  </si>
  <si>
    <t>01.01.2017 - 10.05.2018</t>
  </si>
  <si>
    <t>Кредиторская задолженность ООО "Тверская генерация" перед поставщиками и подрядчиками на 31.03.2018, возникшая до 01.10.2016</t>
  </si>
  <si>
    <t>Документы расчетов с контрагентом</t>
  </si>
  <si>
    <t>Контрагент</t>
  </si>
  <si>
    <t>Дата</t>
  </si>
  <si>
    <t>Договор</t>
  </si>
  <si>
    <t>Сумма</t>
  </si>
  <si>
    <t>Расчеты за выполненные работы ОКС</t>
  </si>
  <si>
    <t>Поступление (акт, накладная) ТГБУ-003355 от 25.07.2016 23:59:59</t>
  </si>
  <si>
    <t>Филиал ООО "КЭР-Инжиниринг" "КЭР-Автоматика"</t>
  </si>
  <si>
    <t>25.07.2016 23:59:59</t>
  </si>
  <si>
    <t>Модернизация группы сетевых насосов с установкой насоса холодной циркуляции с ЧРП КЦ ПСК</t>
  </si>
  <si>
    <t>Расчеты за выполненные ремонтные работы</t>
  </si>
  <si>
    <t>Документ расчетов с контрагентом 15. от 25.02.2015 12:00:00</t>
  </si>
  <si>
    <t>ТрансПрофиль, ООО</t>
  </si>
  <si>
    <t>25.02.2015 12:00:00</t>
  </si>
  <si>
    <t>Договор выполнения ремонтных работ № 6301-5-14 от 05.08.2014г.</t>
  </si>
  <si>
    <t>Документ расчетов с контрагентом 31. от 28.04.2015 12:00:00</t>
  </si>
  <si>
    <t>28.04.2015 12:00:00</t>
  </si>
  <si>
    <t>Поступление (акт, накладная) ТГБУ-000961 от 14.08.2015 23:59:59</t>
  </si>
  <si>
    <t>ГК ТВЕРСКОЙ ЭНЕРГОРЕМОНТ, ООО</t>
  </si>
  <si>
    <t>14.08.2015 23:59:59</t>
  </si>
  <si>
    <t>Ремонт электротехнического оборудования  (№ 253/2-4-2015 от 25.06.2015)</t>
  </si>
  <si>
    <t>Поступление (акт, накладная) ТГБУ-001471 от 01.09.2015 0:00:00</t>
  </si>
  <si>
    <t>01.09.2015 0:00:00</t>
  </si>
  <si>
    <t>Поступление (акт, накладная) ТГБУ-001932 от 01.09.2015 23:59:59</t>
  </si>
  <si>
    <t>01.09.2015 23:59:59</t>
  </si>
  <si>
    <t>Поступление (акт, накладная) ТГБУ-001584 от 04.09.2015 23:59:59</t>
  </si>
  <si>
    <t>04.09.2015 23:59:59</t>
  </si>
  <si>
    <t>Поступление (акт, накладная) ТГБУ-002592 от 05.10.2015 23:59:59</t>
  </si>
  <si>
    <t>05.10.2015 23:59:59</t>
  </si>
  <si>
    <t>Ремонт турбогенераторов (№202/2-4-2015 от 24.06.2015г.)</t>
  </si>
  <si>
    <t>Поступление (акт, накладная) ТГБУ-002593 от 05.10.2015 23:59:59</t>
  </si>
  <si>
    <t>Поступление (акт, накладная) ТГБУ-002936 от 30.11.2015 23:59:59</t>
  </si>
  <si>
    <t>30.11.2015 23:59:59</t>
  </si>
  <si>
    <t>Поступление (акт, накладная) ТГБУ-002938 от 30.11.2015 23:59:59</t>
  </si>
  <si>
    <t>Поступление (акт, накладная) ТГБУ-003894 от 01.12.2015 23:59:59</t>
  </si>
  <si>
    <t>Движение, ООО</t>
  </si>
  <si>
    <t>01.12.2015 23:59:59</t>
  </si>
  <si>
    <t>Благоустройство территорий (№158/2-4-2015 от 12.05.2015г.)</t>
  </si>
  <si>
    <t>Поступление (акт, накладная) ТГБУ-003353 от 04.12.2015 23:59:59</t>
  </si>
  <si>
    <t>04.12.2015 23:59:59</t>
  </si>
  <si>
    <t>Поступление (акт, накладная) ТГБУ-003354 от 23.12.2015 23:59:59</t>
  </si>
  <si>
    <t>23.12.2015 23:59:59</t>
  </si>
  <si>
    <t>Поступление (акт, накладная) ТГБУ-003533 от 23.12.2015 23:59:59</t>
  </si>
  <si>
    <t>Поступление (акт, накладная) ТГБУ-003746 от 25.12.2015 23:59:59</t>
  </si>
  <si>
    <t>25.12.2015 23:59:59</t>
  </si>
  <si>
    <t>Поступление (акт, накладная) ТГБУ-003749 от 31.12.2015 23:59:59</t>
  </si>
  <si>
    <t>ИТЦ ИРТС ЗАО</t>
  </si>
  <si>
    <t>31.12.2015 23:59:59</t>
  </si>
  <si>
    <t>Аварийный ремонт дымовой трубы ВК-1 ПСК</t>
  </si>
  <si>
    <t>Поступление (акт, накладная) ТГБУ-003750 от 31.12.2015 23:59:59</t>
  </si>
  <si>
    <t>Поступление (акт, накладная) ТГБУ-003751 от 31.12.2015 23:59:59</t>
  </si>
  <si>
    <t>Поступление (акт, накладная) ТГБУ-001070 от 25.03.2016 23:59:59</t>
  </si>
  <si>
    <t>МОСЭНЕРГОХИМЗАЩИТА, филиал ОАО "Фирма Энергозащита"</t>
  </si>
  <si>
    <t>25.03.2016 23:59:59</t>
  </si>
  <si>
    <t>Ремонт АКЗ ТЭЦ-1 (№250/2-4-2015 от 01.07.2015г.)</t>
  </si>
  <si>
    <t>Поступление (акт, накладная) ТГБУ-001415 от 31.03.2016 23:59:59</t>
  </si>
  <si>
    <t>Предприятие Энергозащита, ООО</t>
  </si>
  <si>
    <t>31.03.2016 23:59:59</t>
  </si>
  <si>
    <t>Ремонт АКЗ ТЭЦ-4 (№251/2-4-2015 от 29.06.2015г.)</t>
  </si>
  <si>
    <t>Поступление (акт, накладная) ТГБУ-001917 от 30.04.2016 23:59:59</t>
  </si>
  <si>
    <t>30.04.2016 23:59:59</t>
  </si>
  <si>
    <t>Ремонт АКЗ ТЭЦ-4</t>
  </si>
  <si>
    <t>Поступление (акт, накладная) ТГБУ-003043 от 15.07.2016 23:59:59</t>
  </si>
  <si>
    <t>ВТИ ОАО</t>
  </si>
  <si>
    <t>15.07.2016 23:59:59</t>
  </si>
  <si>
    <t>Ремонт лопаток турбины №5 ТЭЦ-4</t>
  </si>
  <si>
    <t>Поступление (акт, накладная) ТГБУ-003321 от 29.07.2016 23:59:59</t>
  </si>
  <si>
    <t>АО "ЭЛЕК"</t>
  </si>
  <si>
    <t>29.07.2016 23:59:59</t>
  </si>
  <si>
    <t>Ремонт ЭТО (электромонтажные работы) ТЭЦ-1, ТЭЦ-3, ТЭЦ-4</t>
  </si>
  <si>
    <t>Расчеты за поставленное оборудование ОКС</t>
  </si>
  <si>
    <t>Поступление (акт, накладная) ТГБУ-004392 от 30.09.2016 17:00:00</t>
  </si>
  <si>
    <t>ВТК ООО</t>
  </si>
  <si>
    <t>30.09.2016 17:00:00</t>
  </si>
  <si>
    <t>Купля-продажа ОС</t>
  </si>
  <si>
    <t>Поступление (акт, накладная) ТГБУ-004393 от 30.09.2016 17:00:00</t>
  </si>
  <si>
    <t>Поступление (акт, накладная) ТГБУ-004333 от 30.09.2016 23:00:00</t>
  </si>
  <si>
    <t>30.09.2016 23:00:00</t>
  </si>
  <si>
    <t>Поступление (акт, накладная) ТГБУ-004337 от 30.09.2016 23:00:00</t>
  </si>
  <si>
    <t>Поступление (акт, накладная) ТГБУ-004338 от 30.09.2016 23:00:00</t>
  </si>
  <si>
    <t>Поступление (акт, накладная) ТГБУ-004339 от 30.09.2016 23:00:00</t>
  </si>
  <si>
    <t>Расчеты с поставщик. услуг произв.характера</t>
  </si>
  <si>
    <t>Документ расчетов с контрагентом 6050/184 от 30.06.2010 0:00:00</t>
  </si>
  <si>
    <t>//Главное Управление по Тверской области</t>
  </si>
  <si>
    <t>30.06.2010 0:00:00</t>
  </si>
  <si>
    <t>Договор оказания услуг б/н от б/д</t>
  </si>
  <si>
    <t>Документ расчетов с контрагентом 87 от 22.09.2014 0:00:00</t>
  </si>
  <si>
    <t>ЕВРОКОМ, ООО</t>
  </si>
  <si>
    <t>22.09.2014 0:00:00</t>
  </si>
  <si>
    <t>Документ расчетов с контрагентом 19 от 24.04.2015 12:00:00</t>
  </si>
  <si>
    <t>МУЭЦ Расцвет, ООО</t>
  </si>
  <si>
    <t>24.04.2015 12:00:00</t>
  </si>
  <si>
    <t>Договор оказания услуг № 31/2-7-2015 от 18.02.2015г.</t>
  </si>
  <si>
    <t>Документ расчетов с контрагентом 42014/70 от 30.04.2015 12:00:24</t>
  </si>
  <si>
    <t>30.04.2015 12:00:24</t>
  </si>
  <si>
    <t>Поступление (акт, накладная) ТГБУ-000979 от 31.08.2015 23:59:59</t>
  </si>
  <si>
    <t>ТВЕРСКОЙ ФИЛИАЛ ГРУППА КОМПАНИЙ ТЕХНОСПАС, ООО</t>
  </si>
  <si>
    <t>31.08.2015 23:59:59</t>
  </si>
  <si>
    <t>Договор оказания услуг № 01/08/14-9 от 01.08.2014г.</t>
  </si>
  <si>
    <t>Поступление (акт, накладная) ТГБУ-000980 от 31.08.2015 23:59:59</t>
  </si>
  <si>
    <t>Договор оказания услуг № 5 от 26.05.2014г.</t>
  </si>
  <si>
    <t>Поступление (акт, накладная) ТГБУ-000982 от 31.08.2015 23:59:59</t>
  </si>
  <si>
    <t>Договор оказания услуг № 6301-6-14 от 01.08.2014г.</t>
  </si>
  <si>
    <t>Поступление (акт, накладная) ТГБУ-001591 от 30.09.2015 23:59:59</t>
  </si>
  <si>
    <t>30.09.2015 23:59:59</t>
  </si>
  <si>
    <t>Поступление (акт, накладная) ТГБУ-001592 от 30.09.2015 23:59:59</t>
  </si>
  <si>
    <t>Поступление (акт, накладная) ТГБУ-001594 от 30.09.2015 23:59:59</t>
  </si>
  <si>
    <t>Поступление (акт, накладная) ТГБУ-002495 от 31.10.2015 23:59:59</t>
  </si>
  <si>
    <t>31.10.2015 23:59:59</t>
  </si>
  <si>
    <t>Поступление (акт, накладная) ТГБУ-002496 от 31.10.2015 23:59:59</t>
  </si>
  <si>
    <t>Поступление (акт, накладная) ТГБУ-002498 от 31.10.2015 23:59:59</t>
  </si>
  <si>
    <t>Поступление (акт, накладная) ТГБУ-002846 от 30.11.2015 23:59:59</t>
  </si>
  <si>
    <t>Поступление (акт, накладная) ТГБУ-002848 от 30.11.2015 23:59:59</t>
  </si>
  <si>
    <t>Поступление (акт, накладная) ТГБУ-002849 от 30.11.2015 23:59:59</t>
  </si>
  <si>
    <t>Поступление (акт, накладная) ТГБУ-003437 от 01.12.2015 23:59:59</t>
  </si>
  <si>
    <t>СпецЭМС ООО</t>
  </si>
  <si>
    <t>Договор оказания услуг по проведению комплексной диагностики заземляющего устройства (устройств) и у</t>
  </si>
  <si>
    <t>Поступление (акт, накладная) ТГБУ-003362 от 31.12.2015 23:59:59</t>
  </si>
  <si>
    <t>Поступление (акт, накладная) ТГБУ-003363 от 31.12.2015 23:59:59</t>
  </si>
  <si>
    <t>Договор оказания услуг № 6 от 26.05.2014г.</t>
  </si>
  <si>
    <t>Поступление (акт, накладная) ТГБУ-003364 от 31.12.2015 23:59:59</t>
  </si>
  <si>
    <t>Поступление (акт, накладная) ТГБУ-003365 от 31.12.2015 23:59:59</t>
  </si>
  <si>
    <t>Поступление (акт, накладная) ТГБУ-000257 от 31.01.2016 23:59:59</t>
  </si>
  <si>
    <t>31.01.2016 23:59:59</t>
  </si>
  <si>
    <t>Договор - услуги автотранспорта и спецтехники</t>
  </si>
  <si>
    <t>Поступление (акт, накладная) ТГБУ-000658 от 01.02.2016 9:39:00</t>
  </si>
  <si>
    <t>ЛИТКОМ, ООО</t>
  </si>
  <si>
    <t>01.02.2016 9:39:00</t>
  </si>
  <si>
    <t>Соглашение о замене стороны</t>
  </si>
  <si>
    <t>Поступление (акт, накладная) ТГБУ-000938 от 29.02.2016 13:30:00</t>
  </si>
  <si>
    <t>29.02.2016 13:30:00</t>
  </si>
  <si>
    <t>Поступление (акт, накладная) ТГБУ-000939 от 29.02.2016 13:36:00</t>
  </si>
  <si>
    <t>29.02.2016 13:36:00</t>
  </si>
  <si>
    <t>Договор - услуги легкового автотранспорта</t>
  </si>
  <si>
    <t>Поступление (акт, накладная) ТГБУ-000749 от 29.02.2016 15:56:00</t>
  </si>
  <si>
    <t>ИП Павлов К.А.</t>
  </si>
  <si>
    <t>29.02.2016 15:56:00</t>
  </si>
  <si>
    <t>Договор №21 оказания транспортных услуг</t>
  </si>
  <si>
    <t>Поступление (акт, накладная) ТГБУ-001148 от 31.03.2016 14:24:00</t>
  </si>
  <si>
    <t>31.03.2016 14:24:00</t>
  </si>
  <si>
    <t>Поступление (акт, накладная) ТГБУ-001147 от 31.03.2016 23:59:59</t>
  </si>
  <si>
    <t>Поступление (акт, накладная) ТГБУ-001727 от 30.04.2016 23:59:59</t>
  </si>
  <si>
    <t>Поступление (акт, накладная) ТГБУ-001738 от 30.04.2016 23:59:59</t>
  </si>
  <si>
    <t>Поступление (акт, накладная) ТГБУ-002118 от 11.05.2016 23:59:59</t>
  </si>
  <si>
    <t>ТВЕРЬ ВОДОКАНАЛ, ООО</t>
  </si>
  <si>
    <t>11.05.2016 23:59:59</t>
  </si>
  <si>
    <t>Договор оказания услуг № 5303 от 01.07.2014г.</t>
  </si>
  <si>
    <t>Поступление (акт, накладная) ТГБУ-002261 от 31.05.2016 23:59:59</t>
  </si>
  <si>
    <t>31.05.2016 23:59:59</t>
  </si>
  <si>
    <t>Поступление (акт, накладная) ТГБУ-002262 от 31.05.2016 23:59:59</t>
  </si>
  <si>
    <t>Поступление (акт, накладная) ТГБУ-002787 от 30.06.2016 23:59:59</t>
  </si>
  <si>
    <t>30.06.2016 23:59:59</t>
  </si>
  <si>
    <t>Поступление (акт, накладная) ТГБУ-002790 от 30.06.2016 23:59:59</t>
  </si>
  <si>
    <t>Поступление (акт, накладная) ТГБУ-003381 от 25.07.2016 23:59:59</t>
  </si>
  <si>
    <t>ПРОМТЕХЭКСПЕРТИЗА ООО</t>
  </si>
  <si>
    <t>Проведение экспертизы промышленной безопасности зданий и сооружений</t>
  </si>
  <si>
    <t>Поступление (акт, накладная) ТГБУ-003066 от 31.07.2016 23:59:59</t>
  </si>
  <si>
    <t>31.07.2016 23:59:59</t>
  </si>
  <si>
    <t>Поступление (акт, накладная) ТГБУ-003067 от 31.07.2016 23:59:59</t>
  </si>
  <si>
    <t>Поступление (акт, накладная) ТГБУ-003121 от 31.07.2016 23:59:59</t>
  </si>
  <si>
    <t>ТВЕРЬПРОМЖЕЛДОРТРАНС, ООО</t>
  </si>
  <si>
    <t>договор аренды  вагонов- торфовозов для  ТЭЦ-4 № 6301-216-14 от 01.08.2014г.</t>
  </si>
  <si>
    <t>Поступление (акт, накладная) ТГБУ-003675 от 08.08.2016 23:59:59</t>
  </si>
  <si>
    <t>08.08.2016 23:59:59</t>
  </si>
  <si>
    <t>Поступление (акт, накладная) ТГБУ-003439 от 31.08.2016 23:59:59</t>
  </si>
  <si>
    <t>31.08.2016 23:59:59</t>
  </si>
  <si>
    <t>Поступление (акт, накладная) ТГБУ-003638 от 31.08.2016 23:59:59</t>
  </si>
  <si>
    <t>Поступление (акт, накладная) ТГБУ-003639 от 31.08.2016 23:59:59</t>
  </si>
  <si>
    <t>Поступление (акт, накладная) ТГБУ-003921 от 30.09.2016 23:59:59</t>
  </si>
  <si>
    <t>30.09.2016 23:59:59</t>
  </si>
  <si>
    <t>Поступление (акт, накладная) ТГБУ-004160 от 30.09.2016 23:59:59</t>
  </si>
  <si>
    <t>ЮРЭНЕРГО ЗАО</t>
  </si>
  <si>
    <t>Договор по проведению эксперизы расчетов НУР и НЗТ на 2016 ТЭЦ-, ТЭЦ-4 с ЗАО "Юрэнерго"</t>
  </si>
  <si>
    <t>Поступление (акт, накладная) ТГБУ-004172 от 30.09.2016 23:59:59</t>
  </si>
  <si>
    <t>ОСК ООО</t>
  </si>
  <si>
    <t>Договор оказания услуг по техобслуживанию кондиционеров с ООО "ОСК"</t>
  </si>
  <si>
    <t>Поступление (акт, накладная) ТГБУ-004215 от 30.09.2016 23:59:59</t>
  </si>
  <si>
    <t>Поступление (акт, накладная) ТГБУ-004311 от 30.09.2016 23:59:59</t>
  </si>
  <si>
    <t>Конопольский Егор Николаевич ИП</t>
  </si>
  <si>
    <t>Договор 5-ТГ от 01.08.2016г субаренды транспортных средств без экипажа</t>
  </si>
  <si>
    <t>Поступление (акт, накладная) ТГБУ-004314 от 30.09.2016 23:59:59</t>
  </si>
  <si>
    <t>Расчеты с поставщик. услуг произв.характера (юр.л)</t>
  </si>
  <si>
    <t>Документ расчетов с контрагентом 2095 от 01.12.2014 0:00:00</t>
  </si>
  <si>
    <t>САХАРОВО, МУП</t>
  </si>
  <si>
    <t>01.12.2014 0:00:00</t>
  </si>
  <si>
    <t>Субаренда</t>
  </si>
  <si>
    <t>Документ расчетов с контрагентом 2096 от 01.12.2014 0:00:00</t>
  </si>
  <si>
    <t>Документ расчетов с контрагентом ТГБУ-0000000000000024 от 28.02.2015 12:00:12</t>
  </si>
  <si>
    <t>Тверьтепло,ООО</t>
  </si>
  <si>
    <t>28.02.2015 12:00:12</t>
  </si>
  <si>
    <t>Договор оказания услуг № 24 от 01.07.2014г.</t>
  </si>
  <si>
    <t>Документ расчетов с контрагентом ТГБУ-0000000000000021 от 31.03.2015 12:00:19</t>
  </si>
  <si>
    <t>31.03.2015 12:00:19</t>
  </si>
  <si>
    <t>Документ расчетов с контрагентом ТГБУ-0000000000000025 от 30.04.2015 12:00:28</t>
  </si>
  <si>
    <t>30.04.2015 12:00:28</t>
  </si>
  <si>
    <t>Документ расчетов с контрагентом ТГБУ-0000000000000022 от 31.05.2015 12:00:36</t>
  </si>
  <si>
    <t>31.05.2015 12:00:36</t>
  </si>
  <si>
    <t>Документ расчетов с контрагентом ТГБУ-0000000000000023 от 30.06.2015 23:59:59</t>
  </si>
  <si>
    <t>30.06.2015 23:59:59</t>
  </si>
  <si>
    <t>Поступление (акт, накладная) ТГБУ-002561 от 28.10.2015 23:59:59</t>
  </si>
  <si>
    <t>ТГК-2, ПАО</t>
  </si>
  <si>
    <t>28.10.2015 23:59:59</t>
  </si>
  <si>
    <t>обеспечение доступа к программным продуктам № 001409-0001/ДогД15 от 02.06.2015</t>
  </si>
  <si>
    <t>Поступление (акт, накладная) ТГБУ-002562 от 29.10.2015 23:59:59</t>
  </si>
  <si>
    <t>29.10.2015 23:59:59</t>
  </si>
  <si>
    <t>Поступление (акт, накладная) ТГБУ-003852 от 03.12.2015 23:59:59</t>
  </si>
  <si>
    <t>ДЕПАРТАМЕНТ УИИЗР</t>
  </si>
  <si>
    <t>03.12.2015 23:59:59</t>
  </si>
  <si>
    <t>Договор оказания услуг № 1 от 01.07.2014г.</t>
  </si>
  <si>
    <t>Поступление (акт, накладная) ТГБУ-003853 от 04.12.2015 23:59:59</t>
  </si>
  <si>
    <t>Поступление (акт, накладная) ТГБУ-003274 от 31.12.2015 23:59:59</t>
  </si>
  <si>
    <t>ДОМАШНИЕ КОМПЬЮТЕРНЫЕ СЕТИ ООО</t>
  </si>
  <si>
    <t>Договор оказания услуг связи ООО "Домашние Компьютерные Сети</t>
  </si>
  <si>
    <t>Поступление (акт, накладная) ТГБУ-003276 от 31.12.2015 23:59:59</t>
  </si>
  <si>
    <t>Бозов Ю.В., ИП</t>
  </si>
  <si>
    <t>Договор 209/17-2015 от 09.06.2015 аренды движимого имущества с ИП Бозов Ю.В.</t>
  </si>
  <si>
    <t>Поступление (акт, накладная) ТГБУ-000896 от 31.01.2016 3:59:59</t>
  </si>
  <si>
    <t>31.01.2016 3:59:59</t>
  </si>
  <si>
    <t>перевыставление расходов (ГСМ)</t>
  </si>
  <si>
    <t>Поступление (акт, накладная) ТГБУ-000072 от 31.01.2016 23:59:59</t>
  </si>
  <si>
    <t>ДОГОВОР аренды муниципального имущества, относящегося к объектам  теплоснабжения для потребителей в</t>
  </si>
  <si>
    <t>Поступление (акт, накладная) ТГБУ-000319 от 31.01.2016 23:59:59</t>
  </si>
  <si>
    <t>Поступление (акт, накладная) ТГБУ-000534 от 31.01.2016 23:59:59</t>
  </si>
  <si>
    <t>Договор оказания услуг № 4767 от 15.01.2015г.</t>
  </si>
  <si>
    <t>Поступление (акт, накладная) ТГБУ-000940 от 29.02.2016 13:44:00</t>
  </si>
  <si>
    <t>29.02.2016 13:44:00</t>
  </si>
  <si>
    <t>Поступление (акт, накладная) ТГБУ-000982 от 29.02.2016 23:59:59</t>
  </si>
  <si>
    <t>29.02.2016 23:59:59</t>
  </si>
  <si>
    <t>Поступление (акт, накладная) ТГБУ-001136 от 31.03.2016 23:59:59</t>
  </si>
  <si>
    <t>Поступление (акт, накладная) ТГБУ-001475 от 31.03.2016 23:59:59</t>
  </si>
  <si>
    <t>ДогТГ-472-15  23.10.15 обслуж. магистральных и распределит. сетей, здан и сооруж. тепловых сетей с О</t>
  </si>
  <si>
    <t>Поступление (акт, накладная) ТГБУ-001694 от 30.04.2016 23:59:59</t>
  </si>
  <si>
    <t>Поступление (акт, накладная) ТГБУ-002244 от 02.05.2016 23:59:59</t>
  </si>
  <si>
    <t>02.05.2016 23:59:59</t>
  </si>
  <si>
    <t>Поступление (акт, накладная) ТГБУ-002293 от 02.05.2016 23:59:59</t>
  </si>
  <si>
    <t>ФИЛИАЛ ОАО БАНК ВТБ В Г.ВОРОНЕЖЕ</t>
  </si>
  <si>
    <t>Поступление (акт, накладная) ТГБУ-002294 от 02.05.2016 23:59:59</t>
  </si>
  <si>
    <t>Поступление (акт, накладная) ТГБУ-002285 от 31.05.2016 23:59:59</t>
  </si>
  <si>
    <t>Поступление (акт, накладная) ТГБУ-002555 от 23.06.2016 23:59:59</t>
  </si>
  <si>
    <t>ЦЕНТРАЛЬНЫЙ ФИЛИАЛ АБ РОССИЯ</t>
  </si>
  <si>
    <t>23.06.2016 23:59:59</t>
  </si>
  <si>
    <t>Договор с поставщиком (прочие) №  от 03.06.2014г.</t>
  </si>
  <si>
    <t>Поступление (акт, накладная) ТГБУ-002791 от 30.06.2016 1:00:00</t>
  </si>
  <si>
    <t>30.06.2016 1:00:00</t>
  </si>
  <si>
    <t>Поступление (акт, накладная) ТГБУ-003339 от 31.07.2016 23:59:59</t>
  </si>
  <si>
    <t>Дог ТГ-587-15 18..11.15 обслуж.магистральных и распредел. сетей, зданий и соор. тепловых сетей с О</t>
  </si>
  <si>
    <t>Поступление (акт, накладная) ТГБУ-003742 от 31.08.2016 23:59:59</t>
  </si>
  <si>
    <t>Поступление (акт, накладная) ТГБУ-003743 от 31.08.2016 23:59:59</t>
  </si>
  <si>
    <t>Поступление (акт, накладная) ТГБУ-003803 от 31.08.2016 23:59:59</t>
  </si>
  <si>
    <t>Поступление (акт, накладная) ТГБУ-004318 от 30.09.2016 23:59:59</t>
  </si>
  <si>
    <t>Поступление (акт, накладная) ТГБУ-004384 от 30.09.2016 23:59:59</t>
  </si>
  <si>
    <t>Расчеты с поставщиками материалов</t>
  </si>
  <si>
    <t>Документ расчетов с контрагентом 7101/89 от 24.06.2014 0:00:00</t>
  </si>
  <si>
    <t>ТКС, ОАО</t>
  </si>
  <si>
    <t>24.06.2014 0:00:00</t>
  </si>
  <si>
    <t>Договор поставки материалов б/н от б/д</t>
  </si>
  <si>
    <t>Документ расчетов с контрагентом 7101/90 от 24.06.2014 0:00:00</t>
  </si>
  <si>
    <t>Документ расчетов с контрагентом 7101/91 от 24.06.2014 0:00:00</t>
  </si>
  <si>
    <t>Документ расчетов с контрагентом 7101/92 от 24.06.2014 0:00:00</t>
  </si>
  <si>
    <t>Документ расчетов с контрагентом 7102/217 от 24.06.2014 0:00:00</t>
  </si>
  <si>
    <t>Документ расчетов с контрагентом 7102/243 от 24.06.2014 0:00:00</t>
  </si>
  <si>
    <t>Документ расчетов с контрагентом 7102/244 от 24.06.2014 0:00:00</t>
  </si>
  <si>
    <t>Документ расчетов с контрагентом 7102/245 от 24.06.2014 0:00:00</t>
  </si>
  <si>
    <t>Документ расчетов с контрагентом 7103/141 от 24.06.2014 0:00:00</t>
  </si>
  <si>
    <t>Документ расчетов с контрагентом 7103/143 от 24.06.2014 0:00:00</t>
  </si>
  <si>
    <t>Документ расчетов с контрагентом 7103/152 от 24.06.2014 0:00:00</t>
  </si>
  <si>
    <t>Документ расчетов с контрагентом 7103/154 от 24.06.2014 0:00:00</t>
  </si>
  <si>
    <t>Документ расчетов с контрагентом 7103/155 от 24.06.2014 0:00:00</t>
  </si>
  <si>
    <t>Документ расчетов с контрагентом 7103/156 от 24.06.2014 0:00:00</t>
  </si>
  <si>
    <t>Документ расчетов с контрагентом 7201/39 от 24.06.2014 0:00:00</t>
  </si>
  <si>
    <t>Документ расчетов с контрагентом 7201/41 от 24.06.2014 0:00:00</t>
  </si>
  <si>
    <t>Документ расчетов с контрагентом 7000/96 от 30.06.2014 0:00:00</t>
  </si>
  <si>
    <t>30.06.2014 0:00:00</t>
  </si>
  <si>
    <t>Документ расчетов с контрагентом 7101/96 от 30.06.2014 0:00:00</t>
  </si>
  <si>
    <t>Документ расчетов с контрагентом 7102/250 от 30.06.2014 0:00:00</t>
  </si>
  <si>
    <t>Документ расчетов с контрагентом 7102/255 от 30.06.2014 0:00:00</t>
  </si>
  <si>
    <t>Документ расчетов с контрагентом 7103/170 от 30.06.2014 0:00:00</t>
  </si>
  <si>
    <t>Документ расчетов с контрагентом 7201/42 от 30.06.2014 0:00:00</t>
  </si>
  <si>
    <t>Документ расчетов с контрагентом 7103/142 от 24.07.2014 0:00:00</t>
  </si>
  <si>
    <t>24.07.2014 0:00:00</t>
  </si>
  <si>
    <t>Документ расчетов с контрагентом 625 от 30.12.2014 0:00:00</t>
  </si>
  <si>
    <t>30.12.2014 0:00:00</t>
  </si>
  <si>
    <t>Документ расчетов с контрагентом 572 от 31.12.2014 0:00:00</t>
  </si>
  <si>
    <t>31.12.2014 0:00:00</t>
  </si>
  <si>
    <t>Документ расчетов с контрагентом 573 от 31.12.2014 0:00:00</t>
  </si>
  <si>
    <t>Документ расчетов с контрагентом 574 от 31.12.2014 0:00:00</t>
  </si>
  <si>
    <t>Документ расчетов с контрагентом 575 от 31.12.2014 0:00:00</t>
  </si>
  <si>
    <t>Документ расчетов с контрагентом 576 от 31.12.2014 0:00:00</t>
  </si>
  <si>
    <t>Документ расчетов с контрагентом 577 от 31.12.2014 0:00:00</t>
  </si>
  <si>
    <t>Документ расчетов с контрагентом 578 от 31.12.2014 0:00:00</t>
  </si>
  <si>
    <t>Документ расчетов с контрагентом 579 от 31.12.2014 0:00:00</t>
  </si>
  <si>
    <t>Документ расчетов с контрагентом 580 от 31.12.2014 0:00:00</t>
  </si>
  <si>
    <t>Документ расчетов с контрагентом 581 от 31.12.2014 0:00:00</t>
  </si>
  <si>
    <t>Документ расчетов с контрагентом 582 от 31.12.2014 0:00:00</t>
  </si>
  <si>
    <t>Документ расчетов с контрагентом 583 от 31.12.2014 0:00:00</t>
  </si>
  <si>
    <t>Документ расчетов с контрагентом 584 от 31.12.2014 0:00:00</t>
  </si>
  <si>
    <t>Документ расчетов с контрагентом 585 от 31.12.2014 0:00:00</t>
  </si>
  <si>
    <t>Документ расчетов с контрагентом 586 от 31.12.2014 0:00:00</t>
  </si>
  <si>
    <t>Документ расчетов с контрагентом 587 от 31.12.2014 0:00:00</t>
  </si>
  <si>
    <t>Документ расчетов с контрагентом 589 от 31.12.2014 0:00:00</t>
  </si>
  <si>
    <t>Документ расчетов с контрагентом 590 от 31.12.2014 0:00:00</t>
  </si>
  <si>
    <t>Документ расчетов с контрагентом 591 от 31.12.2014 0:00:00</t>
  </si>
  <si>
    <t>Документ расчетов с контрагентом 592 от 31.12.2014 0:00:00</t>
  </si>
  <si>
    <t>Документ расчетов с контрагентом 593 от 31.12.2014 0:00:00</t>
  </si>
  <si>
    <t>Документ расчетов с контрагентом 594 от 31.12.2014 0:00:00</t>
  </si>
  <si>
    <t>Документ расчетов с контрагентом 595 от 31.12.2014 0:00:00</t>
  </si>
  <si>
    <t>Документ расчетов с контрагентом 596 от 31.12.2014 0:00:00</t>
  </si>
  <si>
    <t>Документ расчетов с контрагентом 597 от 31.12.2014 0:00:00</t>
  </si>
  <si>
    <t>Документ расчетов с контрагентом 598 от 31.12.2014 0:00:00</t>
  </si>
  <si>
    <t>Документ расчетов с контрагентом 599 от 31.12.2014 0:00:00</t>
  </si>
  <si>
    <t>Документ расчетов с контрагентом 600 от 31.12.2014 0:00:00</t>
  </si>
  <si>
    <t>Документ расчетов с контрагентом 601 от 31.12.2014 0:00:00</t>
  </si>
  <si>
    <t>Документ расчетов с контрагентом 602 от 31.12.2014 0:00:00</t>
  </si>
  <si>
    <t>Документ расчетов с контрагентом 603 от 31.12.2014 0:00:00</t>
  </si>
  <si>
    <t>Документ расчетов с контрагентом 604 от 31.12.2014 0:00:00</t>
  </si>
  <si>
    <t>Документ расчетов с контрагентом 605 от 31.12.2014 0:00:00</t>
  </si>
  <si>
    <t>Документ расчетов с контрагентом 606 от 31.12.2014 0:00:00</t>
  </si>
  <si>
    <t>Документ расчетов с контрагентом 607 от 31.12.2014 0:00:00</t>
  </si>
  <si>
    <t>Документ расчетов с контрагентом 608 от 31.12.2014 0:00:00</t>
  </si>
  <si>
    <t>Документ расчетов с контрагентом 609 от 31.12.2014 0:00:00</t>
  </si>
  <si>
    <t>Документ расчетов с контрагентом 610 от 31.12.2014 0:00:00</t>
  </si>
  <si>
    <t>Документ расчетов с контрагентом 611 от 31.12.2014 0:00:00</t>
  </si>
  <si>
    <t>Документ расчетов с контрагентом 612 от 31.12.2014 0:00:00</t>
  </si>
  <si>
    <t>Документ расчетов с контрагентом 613 от 31.12.2014 0:00:00</t>
  </si>
  <si>
    <t>Документ расчетов с контрагентом 614 от 31.12.2014 0:00:00</t>
  </si>
  <si>
    <t>Документ расчетов с контрагентом 615 от 31.12.2014 0:00:00</t>
  </si>
  <si>
    <t>Документ расчетов с контрагентом 616 от 31.12.2014 0:00:00</t>
  </si>
  <si>
    <t>Документ расчетов с контрагентом 618 от 31.12.2014 0:00:00</t>
  </si>
  <si>
    <t>Документ расчетов с контрагентом 619 от 31.12.2014 0:00:00</t>
  </si>
  <si>
    <t>Документ расчетов с контрагентом 621 от 31.12.2014 0:00:00</t>
  </si>
  <si>
    <t>Документ расчетов с контрагентом 622 от 31.12.2014 0:00:00</t>
  </si>
  <si>
    <t>Документ расчетов с контрагентом 623 от 31.12.2014 0:00:00</t>
  </si>
  <si>
    <t>Документ расчетов с контрагентом 624 от 31.12.2014 0:00:00</t>
  </si>
  <si>
    <t>Документ расчетов с контрагентом 626 от 31.12.2014 0:00:00</t>
  </si>
  <si>
    <t>Документ расчетов с контрагентом 627 от 31.12.2014 0:00:00</t>
  </si>
  <si>
    <t>Документ расчетов с контрагентом 628 от 31.12.2014 0:00:00</t>
  </si>
  <si>
    <t>Документ расчетов с контрагентом 629 от 31.12.2014 0:00:00</t>
  </si>
  <si>
    <t>Документ расчетов с контрагентом 630 от 31.12.2014 0:00:00</t>
  </si>
  <si>
    <t>Документ расчетов с контрагентом 631 от 31.12.2014 0:00:00</t>
  </si>
  <si>
    <t>Документ расчетов с контрагентом 632 от 31.12.2014 0:00:00</t>
  </si>
  <si>
    <t>Документ расчетов с контрагентом 633 от 31.12.2014 0:00:00</t>
  </si>
  <si>
    <t>Документ расчетов с контрагентом 634 от 31.12.2014 0:00:00</t>
  </si>
  <si>
    <t>Документ расчетов с контрагентом 635 от 31.12.2014 0:00:00</t>
  </si>
  <si>
    <t>Документ расчетов с контрагентом 636 от 31.12.2014 0:00:00</t>
  </si>
  <si>
    <t>Документ расчетов с контрагентом 637 от 31.12.2014 0:00:00</t>
  </si>
  <si>
    <t>Документ расчетов с контрагентом 7000/173-1 от 31.12.2014 0:00:00</t>
  </si>
  <si>
    <t>Документ расчетов с контрагентом 7000/173-2 от 31.12.2014 0:00:00</t>
  </si>
  <si>
    <t>Документ расчетов с контрагентом 7000/173-3 от 31.12.2014 0:00:00</t>
  </si>
  <si>
    <t>Документ расчетов с контрагентом 7000/173-4 от 31.12.2014 0:00:00</t>
  </si>
  <si>
    <t>Документ расчетов с контрагентом 7000/173-5 от 31.12.2014 0:00:00</t>
  </si>
  <si>
    <t>Документ расчетов с контрагентом 7000/173-6 от 31.12.2014 0:00:00</t>
  </si>
  <si>
    <t>Документ расчетов с контрагентом 7000/173-7 от 31.12.2014 0:00:00</t>
  </si>
  <si>
    <t>Документ расчетов с контрагентом 7000/173-8 от 31.12.2014 0:00:00</t>
  </si>
  <si>
    <t>Документ расчетов с контрагентом 7000/173-9 от 31.12.2014 0:00:00</t>
  </si>
  <si>
    <t>Документ расчетов с контрагентом 7000/174 от 31.12.2014 0:00:00</t>
  </si>
  <si>
    <t>Документ расчетов с контрагентом 7000/175-1 от 31.12.2014 0:00:00</t>
  </si>
  <si>
    <t>Документ расчетов с контрагентом 7000/175-2 от 31.12.2014 0:00:00</t>
  </si>
  <si>
    <t>Документ расчетов с контрагентом 7000/175-3 от 31.12.2014 0:00:00</t>
  </si>
  <si>
    <t>Документ расчетов с контрагентом 7000/176 от 31.12.2014 0:00:00</t>
  </si>
  <si>
    <t>Документ расчетов с контрагентом 7000/177-1 от 31.12.2014 0:00:00</t>
  </si>
  <si>
    <t>Документ расчетов с контрагентом 7000/177-2 от 31.12.2014 0:00:00</t>
  </si>
  <si>
    <t>Документ расчетов с контрагентом 7000/178-1 от 31.12.2014 0:00:00</t>
  </si>
  <si>
    <t>Документ расчетов с контрагентом 7000/178-2 от 31.12.2014 0:00:00</t>
  </si>
  <si>
    <t>Документ расчетов с контрагентом 7000/179 от 31.12.2014 0:00:00</t>
  </si>
  <si>
    <t>Документ расчетов с контрагентом 7000/180 от 31.12.2014 0:00:00</t>
  </si>
  <si>
    <t>Документ расчетов с контрагентом 7000/181 от 31.12.2014 0:00:00</t>
  </si>
  <si>
    <t>Документ расчетов с контрагентом 7000/182 от 31.12.2014 0:00:00</t>
  </si>
  <si>
    <t>Документ расчетов с контрагентом 7000/183 от 31.12.2014 0:00:00</t>
  </si>
  <si>
    <t>Документ расчетов с контрагентом 7000/184 от 31.12.2014 0:00:00</t>
  </si>
  <si>
    <t>Документ расчетов с контрагентом 7000/185 от 31.12.2014 0:00:00</t>
  </si>
  <si>
    <t>Документ расчетов с контрагентом 7000/186 от 31.12.2014 0:00:00</t>
  </si>
  <si>
    <t>Документ расчетов с контрагентом 7000/187 от 31.12.2014 0:00:00</t>
  </si>
  <si>
    <t>Документ расчетов с контрагентом 7000/188 от 31.12.2014 0:00:00</t>
  </si>
  <si>
    <t>Документ расчетов с контрагентом 7000/189 от 31.12.2014 0:00:00</t>
  </si>
  <si>
    <t>Документ расчетов с контрагентом 7000/190 от 31.12.2014 0:00:00</t>
  </si>
  <si>
    <t>Документ расчетов с контрагентом 7000/191 от 31.12.2014 0:00:00</t>
  </si>
  <si>
    <t>Документ расчетов с контрагентом 7000/192 от 31.12.2014 0:00:00</t>
  </si>
  <si>
    <t>Документ расчетов с контрагентом 7000/193 от 31.12.2014 0:00:00</t>
  </si>
  <si>
    <t>Документ расчетов с контрагентом 7000/194 от 31.12.2014 0:00:00</t>
  </si>
  <si>
    <t>Документ расчетов с контрагентом 7000/195 от 31.12.2014 0:00:00</t>
  </si>
  <si>
    <t>Документ расчетов с контрагентом 7000/196 от 31.12.2014 0:00:00</t>
  </si>
  <si>
    <t>Документ расчетов с контрагентом 7000/197 от 31.12.2014 0:00:00</t>
  </si>
  <si>
    <t>Документ расчетов с контрагентом 7000/198 от 31.12.2014 0:00:00</t>
  </si>
  <si>
    <t>Документ расчетов с контрагентом 7000/199 от 31.12.2014 0:00:00</t>
  </si>
  <si>
    <t>Документ расчетов с контрагентом 7000/200 от 31.12.2014 0:00:00</t>
  </si>
  <si>
    <t>Документ расчетов с контрагентом 7000/201 от 31.12.2014 0:00:00</t>
  </si>
  <si>
    <t>Документ расчетов с контрагентом накладная 2763 от 30.01.2015 12:00:00</t>
  </si>
  <si>
    <t>ДОСТАВКА-ВОДЫ, ООО</t>
  </si>
  <si>
    <t>30.01.2015 12:00:00</t>
  </si>
  <si>
    <t>Документ расчетов с контрагентом накладная 22 от 13.05.2015 12:00:02</t>
  </si>
  <si>
    <t>13.05.2015 12:00:02</t>
  </si>
  <si>
    <t>Документ расчетов с контрагентом 8/ от 19.06.2015 23:59:59</t>
  </si>
  <si>
    <t>Промтехлит ООО</t>
  </si>
  <si>
    <t>19.06.2015 23:59:59</t>
  </si>
  <si>
    <t>Документ расчетов с контрагентом 00000059 от 30.06.2015 23:59:59</t>
  </si>
  <si>
    <t>ООО "Стальпромконструкция"</t>
  </si>
  <si>
    <t>Договор поставки 182/6-2015 от 19.05.15.</t>
  </si>
  <si>
    <t>Поступление (акт, накладная) ТГБУ-000113 от 22.07.2015 11:53:44</t>
  </si>
  <si>
    <t>22.07.2015 11:53:44</t>
  </si>
  <si>
    <t>Поставка запорно пломбировочных устройств</t>
  </si>
  <si>
    <t>Поступление (акт, накладная) ТГБУ-000180 от 24.07.2015 23:59:59</t>
  </si>
  <si>
    <t>УМПЦ ООО</t>
  </si>
  <si>
    <t>24.07.2015 23:59:59</t>
  </si>
  <si>
    <t>Договор № 278/6-2015</t>
  </si>
  <si>
    <t>Поступление (акт, накладная) ТГБУ-000688 от 10.08.2015 0:00:00</t>
  </si>
  <si>
    <t>10.08.2015 0:00:00</t>
  </si>
  <si>
    <t>Мех.обработка, изготовление з/частей (№249/2-4-2015 от 21.07.2015г)</t>
  </si>
  <si>
    <t>Поступление (акт, накладная) ТГБУ-000530 от 10.08.2015 23:59:59</t>
  </si>
  <si>
    <t>10.08.2015 23:59:59</t>
  </si>
  <si>
    <t>Поступление (акт, накладная) ТГБУ-000531 от 10.08.2015 23:59:59</t>
  </si>
  <si>
    <t>Поступление (акт, накладная) ТГБУ-000532 от 10.08.2015 23:59:59</t>
  </si>
  <si>
    <t>Поступление (акт, накладная) ТГБУ-000543 от 10.08.2015 23:59:59</t>
  </si>
  <si>
    <t>Поступление (акт, накладная) ТГБУ-000717 от 10.08.2015 23:59:59</t>
  </si>
  <si>
    <t>Поступление (акт, накладная) ТГБУ-001444 от 08.09.2015 23:59:59</t>
  </si>
  <si>
    <t>08.09.2015 23:59:59</t>
  </si>
  <si>
    <t>Поступление (акт, накладная) ТГБУ-001462 от 08.09.2015 23:59:59</t>
  </si>
  <si>
    <t>Поступление (акт, накладная) ТГБУ-000911 от 14.09.2015 11:00:19</t>
  </si>
  <si>
    <t>МИЛИОС-ИНСТРУМЕНТ ООО</t>
  </si>
  <si>
    <t>14.09.2015 11:00:19</t>
  </si>
  <si>
    <t>Договор поставки материалов №12 от 16.03.2015</t>
  </si>
  <si>
    <t>Поступление (акт, накладная) ТГБУ-000994 от 16.09.2015 16:19:18</t>
  </si>
  <si>
    <t>16.09.2015 16:19:18</t>
  </si>
  <si>
    <t>Поступление (акт, накладная) ТГБУ-001427 от 18.09.2015 23:59:59</t>
  </si>
  <si>
    <t>18.09.2015 23:59:59</t>
  </si>
  <si>
    <t>Поступление (акт, накладная) ТГБУ-001435 от 18.09.2015 23:59:59</t>
  </si>
  <si>
    <t>Поступление (акт, накладная) ТГБУ-001445 от 21.09.2015 23:59:59</t>
  </si>
  <si>
    <t>21.09.2015 23:59:59</t>
  </si>
  <si>
    <t>Поступление (акт, накладная) ТГБУ-001267 от 22.09.2015 23:59:59</t>
  </si>
  <si>
    <t>ТД ИСТОЧНИКИ СВЕТА, ООО</t>
  </si>
  <si>
    <t>22.09.2015 23:59:59</t>
  </si>
  <si>
    <t>Договор поставки материалов № 6301-256-14 от 29.09.2014г.</t>
  </si>
  <si>
    <t>Поступление (акт, накладная) ТГБУ-001293 от 24.09.2015 14:24:35</t>
  </si>
  <si>
    <t>24.09.2015 14:24:35</t>
  </si>
  <si>
    <t>Поступление (акт, накладная) ТГБУ-001428 от 29.09.2015 23:59:59</t>
  </si>
  <si>
    <t>ЭНЕРГОМАШКОМПЛЕКТ ООО ТД</t>
  </si>
  <si>
    <t>29.09.2015 23:59:59</t>
  </si>
  <si>
    <t>Договор поставки материалов</t>
  </si>
  <si>
    <t>Поступление (акт, накладная) ТГБУ-001740 от 30.09.2015 8:00:00</t>
  </si>
  <si>
    <t>30.09.2015 8:00:00</t>
  </si>
  <si>
    <t>Поступление (акт, накладная) ТГБУ-001569 от 30.09.2015 23:59:59</t>
  </si>
  <si>
    <t>Поступление (акт, накладная) ТГБУ-001705 от 30.09.2015 23:59:59</t>
  </si>
  <si>
    <t>Поступление (акт, накладная) ТГБУ-001789 от 30.09.2015 23:59:59</t>
  </si>
  <si>
    <t>Поступление (акт, накладная) ТГБУ-001945 от 30.09.2015 23:59:59</t>
  </si>
  <si>
    <t>Поступление (акт, накладная) ТГБУ-001463 от 01.10.2015 0:00:00</t>
  </si>
  <si>
    <t>01.10.2015 0:00:00</t>
  </si>
  <si>
    <t>Поступление (акт, накладная) ТГБУ-001554 от 09.10.2015 23:59:59</t>
  </si>
  <si>
    <t>ЭНЕРГОТЕХ-ЭЖЕКТОР ООО</t>
  </si>
  <si>
    <t>09.10.2015 23:59:59</t>
  </si>
  <si>
    <t>договор поставки сальникового подогревателя ПС-100-2</t>
  </si>
  <si>
    <t>Поступление (акт, накладная) ТГБУ-002184 от 14.10.2015 23:59:59</t>
  </si>
  <si>
    <t>14.10.2015 23:59:59</t>
  </si>
  <si>
    <t>Поступление (акт, накладная) ТГБУ-001931 от 20.10.2015 23:59:59</t>
  </si>
  <si>
    <t>НОРД СИСТЕМС ООО</t>
  </si>
  <si>
    <t>20.10.2015 23:59:59</t>
  </si>
  <si>
    <t>Договор поставки офисной бумаги</t>
  </si>
  <si>
    <t>Поступление (акт, накладная) ТГБУ-002451 от 06.11.2015 8:00:00</t>
  </si>
  <si>
    <t>06.11.2015 8:00:00</t>
  </si>
  <si>
    <t>Поступление (акт, накладная) ТГБУ-002681 от 25.11.2015 23:59:59</t>
  </si>
  <si>
    <t>25.11.2015 23:59:59</t>
  </si>
  <si>
    <t>Договор поставки ламп, светильников</t>
  </si>
  <si>
    <t>Поступление (акт, накладная) ТГБУ-002650 от 01.12.2015 23:59:59</t>
  </si>
  <si>
    <t>Поступление (акт, накладная) ТГБУ-000008 от 02.01.2016 12:00:00</t>
  </si>
  <si>
    <t>02.01.2016 12:00:00</t>
  </si>
  <si>
    <t>Договор поставки извести строительной</t>
  </si>
  <si>
    <t>Поступление (акт, накладная) ТГБУ-000164 от 11.01.2016 8:00:00</t>
  </si>
  <si>
    <t>11.01.2016 8:00:00</t>
  </si>
  <si>
    <t>Договор купли-продажи материалов</t>
  </si>
  <si>
    <t>Поступление (акт, накладная) ТГБУ-000176 от 11.01.2016 8:00:00</t>
  </si>
  <si>
    <t>Поступление (акт, накладная) ТГБУ-000178 от 11.01.2016 8:00:00</t>
  </si>
  <si>
    <t>Поступление (акт, накладная) ТГБУ-000179 от 11.01.2016 8:00:00</t>
  </si>
  <si>
    <t>Поступление (акт, накладная) ТГБУ-000203 от 11.01.2016 8:00:00</t>
  </si>
  <si>
    <t>Поступление (акт, накладная) ТГБУ-000204 от 11.01.2016 8:00:00</t>
  </si>
  <si>
    <t>Поступление (акт, накладная) ТГБУ-000032 от 31.01.2016 0:00:00</t>
  </si>
  <si>
    <t>31.01.2016 0:00:00</t>
  </si>
  <si>
    <t>Поступление (акт, накладная) ТГБУ-000143 от 31.01.2016 8:00:00</t>
  </si>
  <si>
    <t>31.01.2016 8:00:00</t>
  </si>
  <si>
    <t>Поступление (акт, накладная) ТГБУ-000636 от 03.02.2016 9:00:00</t>
  </si>
  <si>
    <t>03.02.2016 9:00:00</t>
  </si>
  <si>
    <t>Поступление (акт, накладная) ТГБУ-000638 от 05.02.2016 9:00:00</t>
  </si>
  <si>
    <t>05.02.2016 9:00:00</t>
  </si>
  <si>
    <t>Поступление (акт, накладная) ТГБУ-000643 от 11.02.2016 9:00:00</t>
  </si>
  <si>
    <t>11.02.2016 9:00:00</t>
  </si>
  <si>
    <t>Поступление (акт, накладная) ТГБУ-000647 от 11.02.2016 9:00:00</t>
  </si>
  <si>
    <t>Поступление (акт, накладная) ТГБУ-000652 от 15.02.2016 9:00:00</t>
  </si>
  <si>
    <t>15.02.2016 9:00:00</t>
  </si>
  <si>
    <t>Поступление (акт, накладная) ТГБУ-000583 от 25.02.2016 10:00:00</t>
  </si>
  <si>
    <t>25.02.2016 10:00:00</t>
  </si>
  <si>
    <t>Поступление (акт, накладная) ТГБУ-000655 от 29.02.2016 9:00:00</t>
  </si>
  <si>
    <t>29.02.2016 9:00:00</t>
  </si>
  <si>
    <t>Поступление (акт, накладная) ТГБУ-000662 от 29.02.2016 10:00:00</t>
  </si>
  <si>
    <t>29.02.2016 10:00:00</t>
  </si>
  <si>
    <t>Поступление (акт, накладная) ТГБУ-001066 от 31.03.2016 9:00:00</t>
  </si>
  <si>
    <t>31.03.2016 9:00:00</t>
  </si>
  <si>
    <t>Поступление (акт, накладная) ТГБУ-001051 от 05.04.2016 23:59:59</t>
  </si>
  <si>
    <t>МЕГА-Сталь ООО</t>
  </si>
  <si>
    <t>05.04.2016 23:59:59</t>
  </si>
  <si>
    <t>Договор № ТГ-584-15 от 10.11.2015 поставки труб большого диаметра для магистральных сетей</t>
  </si>
  <si>
    <t>Поступление (акт, накладная) ТГБУ-001146 от 06.04.2016 23:59:59</t>
  </si>
  <si>
    <t>РТК РОСАКВА, ООО</t>
  </si>
  <si>
    <t>06.04.2016 23:59:59</t>
  </si>
  <si>
    <t>Договор поставки материалов № 6301-342-14 от 11.11.2014г.</t>
  </si>
  <si>
    <t>Поступление (акт, накладная) ТГБУ-001211 от 06.04.2016 23:59:59</t>
  </si>
  <si>
    <t>Поступление (акт, накладная) ТГБУ-001212 от 07.04.2016 23:59:59</t>
  </si>
  <si>
    <t>07.04.2016 23:59:59</t>
  </si>
  <si>
    <t>Поступление (акт, накладная) ТГБУ-001497 от 25.04.2016 23:59:59</t>
  </si>
  <si>
    <t>25.04.2016 23:59:59</t>
  </si>
  <si>
    <t>Поступление (акт, накладная) ТГБУ-001257 от 26.04.2016 16:00:00</t>
  </si>
  <si>
    <t>26.04.2016 16:00:00</t>
  </si>
  <si>
    <t>Поступление (акт, накладная) ТГБУ-001570 от 30.04.2016 9:00:00</t>
  </si>
  <si>
    <t>30.04.2016 9:00:00</t>
  </si>
  <si>
    <t>Поступление (акт, накладная) ТГБУ-001565 от 04.05.2016 23:59:59</t>
  </si>
  <si>
    <t>Воды Архыза ООО ТД</t>
  </si>
  <si>
    <t>04.05.2016 23:59:59</t>
  </si>
  <si>
    <t>Договор поставки питьевой воды № 264/18-2015</t>
  </si>
  <si>
    <t>Поступление (акт, накладная) ТГБУ-001560 от 05.05.2016 0:00:00</t>
  </si>
  <si>
    <t>05.05.2016 0:00:00</t>
  </si>
  <si>
    <t>Поступление (акт, накладная) ТГБУ-001605 от 10.05.2016 23:59:59</t>
  </si>
  <si>
    <t>10.05.2016 23:59:59</t>
  </si>
  <si>
    <t>Поступление (акт, накладная) ТГБУ-001776 от 13.05.2016 23:59:59</t>
  </si>
  <si>
    <t>13.05.2016 23:59:59</t>
  </si>
  <si>
    <t>Поступление (акт, накладная) ТГБУ-002150 от 31.05.2016 9:00:00</t>
  </si>
  <si>
    <t>31.05.2016 9:00:00</t>
  </si>
  <si>
    <t>Поступление (акт, накладная) ТГБУ-002306 от 01.06.2016 23:59:59</t>
  </si>
  <si>
    <t>КАЛОРИФЕРНЫЙ ЗАВОД, ОАО</t>
  </si>
  <si>
    <t>01.06.2016 23:59:59</t>
  </si>
  <si>
    <t>Договор поставки материалов № 6301-301-14 от 05.10.2014г.</t>
  </si>
  <si>
    <t>Поступление (акт, накладная) ТГБУ-002510 от 02.06.2016 9:00:00</t>
  </si>
  <si>
    <t>02.06.2016 9:00:00</t>
  </si>
  <si>
    <t>Поступление (акт, накладная) ТГБУ-002257 от 02.06.2016 23:59:59</t>
  </si>
  <si>
    <t>02.06.2016 23:59:59</t>
  </si>
  <si>
    <t>Поступление (акт, накладная) ТГБУ-002534 от 20.06.2016 23:59:59</t>
  </si>
  <si>
    <t>ТД РОСОГНЕУПОР ООО</t>
  </si>
  <si>
    <t>20.06.2016 23:59:59</t>
  </si>
  <si>
    <t>Поставка шамотных огнеупорных материалов</t>
  </si>
  <si>
    <t>Поступление (акт, накладная) ТГБУ-002713 от 30.06.2016 8:00:00</t>
  </si>
  <si>
    <t>30.06.2016 8:00:00</t>
  </si>
  <si>
    <t>Поступление (акт, накладная) ТГБУ-002573 от 01.07.2016 23:59:59</t>
  </si>
  <si>
    <t>МЕТЭЛЕМЕНТ ООО</t>
  </si>
  <si>
    <t>01.07.2016 23:59:59</t>
  </si>
  <si>
    <t>Договор поставки деталей трубопроводов</t>
  </si>
  <si>
    <t>Поступление (акт, накладная) ТГБУ-002960 от 20.07.2016 9:00:00</t>
  </si>
  <si>
    <t>20.07.2016 9:00:00</t>
  </si>
  <si>
    <t>Поступление (акт, накладная) ТГБУ-003180 от 31.07.2016 9:00:00</t>
  </si>
  <si>
    <t>31.07.2016 9:00:00</t>
  </si>
  <si>
    <t>Поступление (акт, накладная) ТГБУ-003378 от 15.08.2016 8:00:00</t>
  </si>
  <si>
    <t>ЯХТИНГ ООО</t>
  </si>
  <si>
    <t>15.08.2016 8:00:00</t>
  </si>
  <si>
    <t>Договор поставки спецобуви</t>
  </si>
  <si>
    <t>Поступление (акт, накладная) ТГБУ-003424 от 31.08.2016 8:00:00</t>
  </si>
  <si>
    <t>ТД АЛЕКСАНДРОВСКИЙ ООО</t>
  </si>
  <si>
    <t>31.08.2016 8:00:00</t>
  </si>
  <si>
    <t>Договор поставки арматуры среднего и низкого давления</t>
  </si>
  <si>
    <t>Поступление (акт, накладная) ТГБУ-003496 от 31.08.2016 8:00:00</t>
  </si>
  <si>
    <t>Поступление (акт, накладная) ТГБУ-003430 от 31.08.2016 9:00:00</t>
  </si>
  <si>
    <t>31.08.2016 9:00:00</t>
  </si>
  <si>
    <t>Поступление (акт, накладная) ТГБУ-003507 от 31.08.2016 9:00:00</t>
  </si>
  <si>
    <t>Поступление (акт, накладная) ТГБУ-003628 от 31.08.2016 9:00:00</t>
  </si>
  <si>
    <t>Поступление (акт, накладная) ТГБУ-003840 от 01.09.2016 10:00:00</t>
  </si>
  <si>
    <t>01.09.2016 10:00:00</t>
  </si>
  <si>
    <t>Поступление (акт, накладная) ТГБУ-003841 от 01.09.2016 10:00:00</t>
  </si>
  <si>
    <t>Поступление (акт, накладная) ТГБУ-003842 от 01.09.2016 10:00:00</t>
  </si>
  <si>
    <t>Поступление (акт, накладная) ТГБУ-003847 от 01.09.2016 10:00:00</t>
  </si>
  <si>
    <t>Поступление (акт, накладная) ТГБУ-003848 от 01.09.2016 10:00:00</t>
  </si>
  <si>
    <t>Поступление (акт, накладная) ТГБУ-003849 от 01.09.2016 10:00:00</t>
  </si>
  <si>
    <t>Поступление (акт, накладная) ТГБУ-003850 от 01.09.2016 10:00:00</t>
  </si>
  <si>
    <t>Поступление (акт, накладная) ТГБУ-004019 от 01.09.2016 11:00:00</t>
  </si>
  <si>
    <t>01.09.2016 11:00:00</t>
  </si>
  <si>
    <t>Поступление (акт, накладная) ТГБУ-004033 от 01.09.2016 11:00:00</t>
  </si>
  <si>
    <t>Поступление (акт, накладная) ТГБУ-003457 от 06.09.2016 15:07:41</t>
  </si>
  <si>
    <t>06.09.2016 15:07:41</t>
  </si>
  <si>
    <t>Поступление (акт, накладная) ТГБУ-003525 от 07.09.2016 8:00:00</t>
  </si>
  <si>
    <t>07.09.2016 8:00:00</t>
  </si>
  <si>
    <t>Поступление (акт, накладная) ТГБУ-003563 от 12.09.2016 10:36:42</t>
  </si>
  <si>
    <t>12.09.2016 10:36:42</t>
  </si>
  <si>
    <t>Поступление (акт, накладная) ТГБУ-004214 от 30.09.2016 9:00:00</t>
  </si>
  <si>
    <t>30.09.2016 9:00:00</t>
  </si>
  <si>
    <t>Поступление (акт, накладная) ТГБУ-004222 от 30.09.2016 9:00:00</t>
  </si>
  <si>
    <t>Поступление (акт, накладная) ТГБУ-004329 от 30.09.2016 16:00:00</t>
  </si>
  <si>
    <t>30.09.2016 16:00:00</t>
  </si>
  <si>
    <t>Поступление (акт, накладная) ТГБУ-004332 от 30.09.2016 16:00:00</t>
  </si>
  <si>
    <t>Поступление (акт, накладная) ТГБУ-004335 от 30.09.2016 16:00:00</t>
  </si>
  <si>
    <t>Поступление (акт, накладная) ТГБУ-004340 от 30.09.2016 16:00:00</t>
  </si>
  <si>
    <t>Поступление (акт, накладная) ТГБУ-004342 от 30.09.2016 16:00:00</t>
  </si>
  <si>
    <t>Поступление (акт, накладная) ТГБУ-004343 от 30.09.2016 16:00:00</t>
  </si>
  <si>
    <t>Поступление (акт, накладная) ТГБУ-004344 от 30.09.2016 16:00:00</t>
  </si>
  <si>
    <t>Поступление (акт, накладная) ТГБУ-004346 от 30.09.2016 16:00:00</t>
  </si>
  <si>
    <t>Поступление (акт, накладная) ТГБУ-004348 от 30.09.2016 16:00:00</t>
  </si>
  <si>
    <t>Поступление (акт, накладная) ТГБУ-004349 от 30.09.2016 16:00:00</t>
  </si>
  <si>
    <t>Поступление (акт, накладная) ТГБУ-004350 от 30.09.2016 16:00:00</t>
  </si>
  <si>
    <t>Поступление (акт, накладная) ТГБУ-004351 от 30.09.2016 16:00:00</t>
  </si>
  <si>
    <t>Поступление (акт, накладная) ТГБУ-004352 от 30.09.2016 16:00:00</t>
  </si>
  <si>
    <t>Поступление (акт, накладная) ТГБУ-004353 от 30.09.2016 16:00:00</t>
  </si>
  <si>
    <t>Поступление (акт, накладная) ТГБУ-004354 от 30.09.2016 16:00:00</t>
  </si>
  <si>
    <t>Поступление (акт, накладная) ТГБУ-004355 от 30.09.2016 16:00:00</t>
  </si>
  <si>
    <t>Поступление (акт, накладная) ТГБУ-004357 от 30.09.2016 16:00:00</t>
  </si>
  <si>
    <t>Поступление (акт, накладная) ТГБУ-004358 от 30.09.2016 16:00:00</t>
  </si>
  <si>
    <t>Поступление (акт, накладная) ТГБУ-004359 от 30.09.2016 16:00:00</t>
  </si>
  <si>
    <t>Поступление (акт, накладная) ТГБУ-004360 от 30.09.2016 16:00:00</t>
  </si>
  <si>
    <t>Поступление (акт, накладная) ТГБУ-004361 от 30.09.2016 16:00:00</t>
  </si>
  <si>
    <t>Поступление (акт, накладная) ТГБУ-004362 от 30.09.2016 16:00:00</t>
  </si>
  <si>
    <t>Поступление (акт, накладная) ТГБУ-004363 от 30.09.2016 16:00:00</t>
  </si>
  <si>
    <t>Поступление (акт, накладная) ТГБУ-004364 от 30.09.2016 16:00:00</t>
  </si>
  <si>
    <t>Поступление (акт, накладная) ТГБУ-004365 от 30.09.2016 16:00:00</t>
  </si>
  <si>
    <t>Поступление (акт, накладная) ТГБУ-004366 от 30.09.2016 16:00:00</t>
  </si>
  <si>
    <t>Поступление (акт, накладная) ТГБУ-004367 от 30.09.2016 16:00:00</t>
  </si>
  <si>
    <t>Поступление (акт, накладная) ТГБУ-004368 от 30.09.2016 16:00:00</t>
  </si>
  <si>
    <t>Поступление (акт, накладная) ТГБУ-004369 от 30.09.2016 16:00:00</t>
  </si>
  <si>
    <t>Поступление (акт, накладная) ТГБУ-004370 от 30.09.2016 16:00:00</t>
  </si>
  <si>
    <t>Поступление (акт, накладная) ТГБУ-004374 от 30.09.2016 16:00:00</t>
  </si>
  <si>
    <t>Поступление (акт, накладная) ТГБУ-004375 от 30.09.2016 16:00:00</t>
  </si>
  <si>
    <t>Поступление (акт, накладная) ТГБУ-004376 от 30.09.2016 16:00:00</t>
  </si>
  <si>
    <t>Поступление (акт, накладная) ТГБУ-004377 от 30.09.2016 16:00:00</t>
  </si>
  <si>
    <t>Поступление (акт, накладная) ТГБУ-004378 от 30.09.2016 16:00:00</t>
  </si>
  <si>
    <t>Поступление (акт, накладная) ТГБУ-004379 от 30.09.2016 16:00:00</t>
  </si>
  <si>
    <t>Поступление (акт, накладная) ТГБУ-004380 от 30.09.2016 16:00:00</t>
  </si>
  <si>
    <t>Поступление (акт, накладная) ТГБУ-004381 от 30.09.2016 16:00:00</t>
  </si>
  <si>
    <t>Поступление (акт, накладная) ТГБУ-004382 от 30.09.2016 16:00:00</t>
  </si>
  <si>
    <t>Поступление (акт, накладная) ТГБУ-004541 от 30.09.2016 17:00:00</t>
  </si>
  <si>
    <t>Расчеты с поставщиками на рынке энергии НОРЭМ БР</t>
  </si>
  <si>
    <t>Корректировка долга ТГБУ-0000000081 от 24.05.2016 23:59:59</t>
  </si>
  <si>
    <t>24.05.2016 23:59:59</t>
  </si>
  <si>
    <t>Корректировка долга ТГБУ-0000000101 от 14.06.2016 20:30:00</t>
  </si>
  <si>
    <t>14.06.2016 20:30:00</t>
  </si>
  <si>
    <t>Корректировка долга ТГБУ-0000000135 от 14.07.2016 23:59:59</t>
  </si>
  <si>
    <t>14.07.2016 23:59:59</t>
  </si>
  <si>
    <t>Корректировка долга ТГБУ-0000000197 от 13.09.2016 23:59:59</t>
  </si>
  <si>
    <t>13.09.2016 23:59:59</t>
  </si>
  <si>
    <t>Корректировка долга ТГБУ-0000000200 от 13.09.2016 23:59:59</t>
  </si>
  <si>
    <t>Расчеты с поставщиками на рынке энергии НОРЭМ РСВ</t>
  </si>
  <si>
    <t>Корректировка долга ТГБУ-0000000100 от 14.06.2016 20:25:00</t>
  </si>
  <si>
    <t>14.06.2016 20:25:00</t>
  </si>
  <si>
    <t>Корректировка долга ТГБУ-0000000126 от 14.07.2016 23:59:59</t>
  </si>
  <si>
    <t>Корректировка долга ТГБУ-0000000129 от 14.07.2016 23:59:59</t>
  </si>
  <si>
    <t>Корректировка долга ТГБУ-0000000167 от 12.08.2016 23:59:59</t>
  </si>
  <si>
    <t>12.08.2016 23:59:59</t>
  </si>
  <si>
    <t>Корректировка долга ТГБУ-0000000192 от 13.09.2016 23:59:59</t>
  </si>
  <si>
    <t>Корректировка долга ТГБУ-0000000195 от 13.09.2016 23:59:59</t>
  </si>
  <si>
    <t>Расчеты с поставщиками эл. и тепловой энергии</t>
  </si>
  <si>
    <t>Поступление (акт, накладная) ТГБУ-003863 от 31.12.2015 23:59:59</t>
  </si>
  <si>
    <t>Договор поставки тепловой энергии № 422-07/14 от 07.09.2014г.</t>
  </si>
  <si>
    <t>Поступление (акт, накладная) ТГБУ-000530 от 31.01.2016 23:59:59</t>
  </si>
  <si>
    <t>Поступление (акт, накладная) ТГБУ-000871 от 29.02.2016 9:10:00</t>
  </si>
  <si>
    <t>29.02.2016 9:10:00</t>
  </si>
  <si>
    <t>Поступление (акт, накладная) ТГБУ-001466 от 31.03.2016 23:59:59</t>
  </si>
  <si>
    <t>Поступление (акт, накладная) ТГБУ-001999 от 03.05.2016 12:00:05</t>
  </si>
  <si>
    <t>03.05.2016 12:00:05</t>
  </si>
  <si>
    <t>Поступление (акт, накладная) ТГБУ-002527 от 31.05.2016 23:59:59</t>
  </si>
  <si>
    <t>Поступление (акт, накладная) ТГБУ-003036 от 31.07.2016 23:59:59</t>
  </si>
  <si>
    <t>Поступление (акт, накладная) ТГБУ-003492 от 31.08.2016 23:59:59</t>
  </si>
  <si>
    <t>ТКСМ N 2, АО</t>
  </si>
  <si>
    <t>Договор поставки тепловой энергии № 50/07-14 от 01.07.2014г.</t>
  </si>
  <si>
    <t>Поступление (акт, накладная) ТГБУ-003516 от 31.08.2016 23:59:59</t>
  </si>
  <si>
    <t>Итого</t>
  </si>
  <si>
    <t>Дела по искам ООО "Газпром межрегионгаз Тверь" за 2018г.</t>
  </si>
  <si>
    <t>№ п/п</t>
  </si>
  <si>
    <t>Наименование Истца</t>
  </si>
  <si>
    <t>Номер дела</t>
  </si>
  <si>
    <t>Предмет спора</t>
  </si>
  <si>
    <t>Сумма основного долга</t>
  </si>
  <si>
    <t>Сумма процентов, судебные издержки</t>
  </si>
  <si>
    <t>Госпошлина</t>
  </si>
  <si>
    <t>Общая сумма взыскания</t>
  </si>
  <si>
    <t>ООО "Газпром межрегионгаз Тверь"</t>
  </si>
  <si>
    <t>№ А66-12091/2018</t>
  </si>
  <si>
    <t>взыскание пени за июнь 2017</t>
  </si>
  <si>
    <t>№А66-4369/2018</t>
  </si>
  <si>
    <t>взыскание</t>
  </si>
  <si>
    <t>№А66-5533/2018</t>
  </si>
  <si>
    <t>взыскание пени</t>
  </si>
  <si>
    <t>№А66-6220/2018</t>
  </si>
  <si>
    <t xml:space="preserve">взыскание июль 2017, декабрь 2017 </t>
  </si>
  <si>
    <t>№А66-6183/2018</t>
  </si>
  <si>
    <t xml:space="preserve">взыскание за февраль 2018г. </t>
  </si>
  <si>
    <t>№А66-146/2018</t>
  </si>
  <si>
    <t>за ноябрь 2017</t>
  </si>
  <si>
    <t>№А66-2970/2018</t>
  </si>
  <si>
    <t>взыскание за декабрь 2017</t>
  </si>
  <si>
    <t>Итого:</t>
  </si>
  <si>
    <t>Динамика дебиторской задолженности</t>
  </si>
  <si>
    <t>за период 01.01.2016 - 31.03.2018</t>
  </si>
  <si>
    <t>тыс. руб.</t>
  </si>
  <si>
    <t>Задолженность на 31.12.2015</t>
  </si>
  <si>
    <t xml:space="preserve">Задолженность на 31.03.2016 </t>
  </si>
  <si>
    <t xml:space="preserve">Задолженность на 30.06.2016 </t>
  </si>
  <si>
    <t xml:space="preserve">Задолженность на 30.09.2016 </t>
  </si>
  <si>
    <t xml:space="preserve">Задолженность на 31.12.2016 </t>
  </si>
  <si>
    <t xml:space="preserve">Задолженность на 31.03.2017 </t>
  </si>
  <si>
    <t xml:space="preserve">Задолженность на 30.06.2017 </t>
  </si>
  <si>
    <t>Задолженность на 30.09.2017</t>
  </si>
  <si>
    <t>Задолженность на 31.12.2017</t>
  </si>
  <si>
    <t>Задолженность на 31.03.2018</t>
  </si>
  <si>
    <t>Электроэнергия и мощность</t>
  </si>
  <si>
    <t>Тепловая энергия (с компонентой на хвс, невозвратом конденсата и сетевой водой)</t>
  </si>
  <si>
    <t>2.1.</t>
  </si>
  <si>
    <t>Промышленные потребители</t>
  </si>
  <si>
    <t>2.2.</t>
  </si>
  <si>
    <t>Жилищные организации</t>
  </si>
  <si>
    <t>2.3.</t>
  </si>
  <si>
    <t>Бюджет</t>
  </si>
  <si>
    <t>2.4.</t>
  </si>
  <si>
    <t>Оптовый покупатель-перепродавец (МУП Сахарово)</t>
  </si>
  <si>
    <t>2.5.</t>
  </si>
  <si>
    <t>Прочие потребители</t>
  </si>
  <si>
    <t>Результат рассмотрения дела, руб.</t>
  </si>
  <si>
    <t>Выручка и поступления ООО "Тверская генерация" за 2017 год</t>
  </si>
  <si>
    <t>Показатели</t>
  </si>
  <si>
    <t xml:space="preserve">2017 год </t>
  </si>
  <si>
    <t>Начислено</t>
  </si>
  <si>
    <t>Оплачено</t>
  </si>
  <si>
    <t>Уровень сбора</t>
  </si>
  <si>
    <t>Электроэнегрия и мощность</t>
  </si>
  <si>
    <t>Тепловая энергия, подпитка, конденсат</t>
  </si>
  <si>
    <t>Промышленность</t>
  </si>
  <si>
    <t>Бюджетные организации</t>
  </si>
  <si>
    <t xml:space="preserve">ОПП              </t>
  </si>
  <si>
    <t>Прочие</t>
  </si>
  <si>
    <t>Выручка и поступления ООО "Тверская генерация" за 1 кв.2018</t>
  </si>
  <si>
    <t xml:space="preserve">1 квартал 2018 год </t>
  </si>
  <si>
    <t>Май 2018 на 14.05.2018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</si>
</sst>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419]mmmm\ yyyy;@"/>
    <numFmt numFmtId="165" formatCode="#,##0.00_р_."/>
    <numFmt numFmtId="166" formatCode="0.0"/>
    <numFmt numFmtId="167" formatCode="[$-419]mmmm;@"/>
    <numFmt numFmtId="168" formatCode="0.0%"/>
    <numFmt numFmtId="169" formatCode="#,##0.000"/>
    <numFmt numFmtId="170" formatCode="#,##0.0000000"/>
    <numFmt numFmtId="171" formatCode="#,##0.00000"/>
  </numFmts>
  <fonts count="34" x14ac:knownFonts="1">
    <font>
      <sz val="10"/>
      <name val="Arial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b/>
      <sz val="11.5"/>
      <name val="Arial"/>
      <family val="2"/>
      <charset val="204"/>
    </font>
    <font>
      <sz val="11.5"/>
      <name val="Arial"/>
      <family val="2"/>
      <charset val="204"/>
    </font>
    <font>
      <b/>
      <i/>
      <sz val="11.5"/>
      <name val="Arial"/>
      <family val="2"/>
      <charset val="204"/>
    </font>
    <font>
      <b/>
      <vertAlign val="superscript"/>
      <sz val="11.5"/>
      <name val="Arial"/>
      <family val="2"/>
      <charset val="204"/>
    </font>
    <font>
      <b/>
      <vertAlign val="superscript"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1"/>
      <name val="Arial"/>
      <family val="2"/>
      <charset val="204"/>
    </font>
    <font>
      <b/>
      <i/>
      <sz val="10"/>
      <color theme="0" tint="-0.499984740745262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b/>
      <sz val="10"/>
      <color theme="0" tint="-0.499984740745262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0"/>
      <color rgb="FF003F2F"/>
      <name val="Arial"/>
      <family val="2"/>
      <charset val="204"/>
    </font>
    <font>
      <sz val="9"/>
      <color rgb="FF003F2F"/>
      <name val="Arial"/>
      <family val="2"/>
      <charset val="204"/>
    </font>
    <font>
      <b/>
      <sz val="10"/>
      <color rgb="FF003F2F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6E5CB"/>
      </patternFill>
    </fill>
    <fill>
      <patternFill patternType="solid">
        <fgColor rgb="FFF0F6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9">
    <xf numFmtId="0" fontId="0" fillId="0" borderId="0" xfId="0"/>
    <xf numFmtId="0" fontId="2" fillId="0" borderId="0" xfId="0" applyFont="1" applyFill="1"/>
    <xf numFmtId="0" fontId="5" fillId="0" borderId="0" xfId="0" applyFont="1" applyFill="1"/>
    <xf numFmtId="0" fontId="4" fillId="0" borderId="0" xfId="0" applyNumberFormat="1" applyFont="1" applyFill="1" applyAlignment="1">
      <alignment horizontal="left" vertical="center"/>
    </xf>
    <xf numFmtId="4" fontId="5" fillId="2" borderId="5" xfId="0" applyNumberFormat="1" applyFont="1" applyFill="1" applyBorder="1" applyAlignment="1"/>
    <xf numFmtId="4" fontId="5" fillId="2" borderId="12" xfId="0" applyNumberFormat="1" applyFont="1" applyFill="1" applyBorder="1" applyAlignment="1"/>
    <xf numFmtId="4" fontId="5" fillId="2" borderId="7" xfId="0" applyNumberFormat="1" applyFont="1" applyFill="1" applyBorder="1" applyAlignment="1"/>
    <xf numFmtId="4" fontId="5" fillId="0" borderId="0" xfId="0" applyNumberFormat="1" applyFont="1" applyFill="1"/>
    <xf numFmtId="4" fontId="6" fillId="0" borderId="7" xfId="0" applyNumberFormat="1" applyFont="1" applyFill="1" applyBorder="1" applyAlignment="1"/>
    <xf numFmtId="4" fontId="6" fillId="0" borderId="12" xfId="0" applyNumberFormat="1" applyFont="1" applyFill="1" applyBorder="1" applyAlignment="1"/>
    <xf numFmtId="4" fontId="6" fillId="0" borderId="0" xfId="0" applyNumberFormat="1" applyFont="1" applyFill="1"/>
    <xf numFmtId="0" fontId="6" fillId="0" borderId="0" xfId="0" applyFont="1" applyFill="1"/>
    <xf numFmtId="4" fontId="6" fillId="0" borderId="2" xfId="0" applyNumberFormat="1" applyFont="1" applyFill="1" applyBorder="1" applyAlignment="1"/>
    <xf numFmtId="4" fontId="6" fillId="0" borderId="3" xfId="0" applyNumberFormat="1" applyFont="1" applyFill="1" applyBorder="1" applyAlignment="1"/>
    <xf numFmtId="0" fontId="6" fillId="0" borderId="24" xfId="0" applyFont="1" applyFill="1" applyBorder="1"/>
    <xf numFmtId="4" fontId="6" fillId="0" borderId="33" xfId="0" applyNumberFormat="1" applyFont="1" applyFill="1" applyBorder="1"/>
    <xf numFmtId="4" fontId="6" fillId="0" borderId="0" xfId="0" applyNumberFormat="1" applyFont="1" applyFill="1" applyBorder="1" applyAlignment="1"/>
    <xf numFmtId="0" fontId="4" fillId="0" borderId="6" xfId="0" applyFont="1" applyFill="1" applyBorder="1"/>
    <xf numFmtId="0" fontId="4" fillId="0" borderId="9" xfId="0" applyFont="1" applyFill="1" applyBorder="1"/>
    <xf numFmtId="2" fontId="5" fillId="0" borderId="0" xfId="0" applyNumberFormat="1" applyFont="1" applyFill="1" applyAlignment="1">
      <alignment wrapText="1"/>
    </xf>
    <xf numFmtId="2" fontId="5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Border="1"/>
    <xf numFmtId="4" fontId="5" fillId="2" borderId="4" xfId="0" applyNumberFormat="1" applyFont="1" applyFill="1" applyBorder="1" applyAlignment="1"/>
    <xf numFmtId="4" fontId="5" fillId="2" borderId="6" xfId="0" applyNumberFormat="1" applyFont="1" applyFill="1" applyBorder="1" applyAlignment="1"/>
    <xf numFmtId="4" fontId="6" fillId="0" borderId="6" xfId="0" applyNumberFormat="1" applyFont="1" applyFill="1" applyBorder="1" applyAlignment="1"/>
    <xf numFmtId="4" fontId="6" fillId="0" borderId="24" xfId="0" applyNumberFormat="1" applyFont="1" applyFill="1" applyBorder="1"/>
    <xf numFmtId="4" fontId="4" fillId="0" borderId="39" xfId="0" applyNumberFormat="1" applyFont="1" applyFill="1" applyBorder="1"/>
    <xf numFmtId="4" fontId="4" fillId="3" borderId="40" xfId="0" applyNumberFormat="1" applyFont="1" applyFill="1" applyBorder="1"/>
    <xf numFmtId="0" fontId="4" fillId="0" borderId="4" xfId="0" applyFont="1" applyFill="1" applyBorder="1"/>
    <xf numFmtId="4" fontId="4" fillId="0" borderId="41" xfId="0" applyNumberFormat="1" applyFont="1" applyFill="1" applyBorder="1"/>
    <xf numFmtId="0" fontId="5" fillId="0" borderId="28" xfId="0" applyFont="1" applyFill="1" applyBorder="1"/>
    <xf numFmtId="4" fontId="4" fillId="0" borderId="35" xfId="0" applyNumberFormat="1" applyFont="1" applyFill="1" applyBorder="1"/>
    <xf numFmtId="4" fontId="6" fillId="3" borderId="2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9" fontId="4" fillId="0" borderId="34" xfId="0" applyNumberFormat="1" applyFont="1" applyFill="1" applyBorder="1"/>
    <xf numFmtId="0" fontId="5" fillId="0" borderId="0" xfId="0" applyNumberFormat="1" applyFont="1" applyFill="1" applyAlignment="1">
      <alignment horizontal="right" vertical="center"/>
    </xf>
    <xf numFmtId="4" fontId="5" fillId="2" borderId="44" xfId="0" applyNumberFormat="1" applyFont="1" applyFill="1" applyBorder="1" applyAlignment="1"/>
    <xf numFmtId="4" fontId="5" fillId="2" borderId="13" xfId="0" applyNumberFormat="1" applyFont="1" applyFill="1" applyBorder="1" applyAlignment="1"/>
    <xf numFmtId="4" fontId="6" fillId="0" borderId="1" xfId="0" applyNumberFormat="1" applyFont="1" applyFill="1" applyBorder="1" applyAlignment="1"/>
    <xf numFmtId="2" fontId="4" fillId="0" borderId="31" xfId="0" applyNumberFormat="1" applyFont="1" applyFill="1" applyBorder="1" applyAlignment="1">
      <alignment horizontal="center" vertical="center" wrapText="1"/>
    </xf>
    <xf numFmtId="2" fontId="4" fillId="0" borderId="29" xfId="0" applyNumberFormat="1" applyFont="1" applyFill="1" applyBorder="1" applyAlignment="1">
      <alignment horizontal="center" vertical="center" wrapText="1"/>
    </xf>
    <xf numFmtId="10" fontId="5" fillId="2" borderId="36" xfId="0" applyNumberFormat="1" applyFont="1" applyFill="1" applyBorder="1" applyAlignment="1"/>
    <xf numFmtId="10" fontId="6" fillId="0" borderId="36" xfId="0" applyNumberFormat="1" applyFont="1" applyFill="1" applyBorder="1" applyAlignment="1"/>
    <xf numFmtId="10" fontId="5" fillId="2" borderId="8" xfId="0" applyNumberFormat="1" applyFont="1" applyFill="1" applyBorder="1" applyAlignment="1"/>
    <xf numFmtId="0" fontId="9" fillId="0" borderId="0" xfId="0" applyFont="1" applyFill="1"/>
    <xf numFmtId="0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right" vertical="center"/>
    </xf>
    <xf numFmtId="2" fontId="9" fillId="0" borderId="0" xfId="0" applyNumberFormat="1" applyFont="1" applyFill="1" applyAlignment="1">
      <alignment wrapText="1"/>
    </xf>
    <xf numFmtId="2" fontId="10" fillId="0" borderId="10" xfId="0" applyNumberFormat="1" applyFont="1" applyFill="1" applyBorder="1" applyAlignment="1">
      <alignment horizontal="center" vertical="center" wrapText="1"/>
    </xf>
    <xf numFmtId="2" fontId="10" fillId="0" borderId="11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left"/>
    </xf>
    <xf numFmtId="4" fontId="9" fillId="2" borderId="4" xfId="0" applyNumberFormat="1" applyFont="1" applyFill="1" applyBorder="1" applyAlignment="1"/>
    <xf numFmtId="4" fontId="9" fillId="4" borderId="4" xfId="0" applyNumberFormat="1" applyFont="1" applyFill="1" applyBorder="1" applyAlignment="1"/>
    <xf numFmtId="4" fontId="9" fillId="2" borderId="7" xfId="0" applyNumberFormat="1" applyFont="1" applyFill="1" applyBorder="1" applyAlignment="1"/>
    <xf numFmtId="4" fontId="9" fillId="4" borderId="36" xfId="0" applyNumberFormat="1" applyFont="1" applyFill="1" applyBorder="1" applyAlignment="1"/>
    <xf numFmtId="4" fontId="9" fillId="2" borderId="47" xfId="0" applyNumberFormat="1" applyFont="1" applyFill="1" applyBorder="1" applyAlignment="1"/>
    <xf numFmtId="4" fontId="9" fillId="2" borderId="48" xfId="0" applyNumberFormat="1" applyFont="1" applyFill="1" applyBorder="1" applyAlignment="1"/>
    <xf numFmtId="10" fontId="9" fillId="2" borderId="48" xfId="0" applyNumberFormat="1" applyFont="1" applyFill="1" applyBorder="1" applyAlignment="1"/>
    <xf numFmtId="0" fontId="9" fillId="2" borderId="6" xfId="0" applyNumberFormat="1" applyFont="1" applyFill="1" applyBorder="1" applyAlignment="1">
      <alignment horizontal="left"/>
    </xf>
    <xf numFmtId="4" fontId="9" fillId="2" borderId="6" xfId="0" applyNumberFormat="1" applyFont="1" applyFill="1" applyBorder="1" applyAlignment="1"/>
    <xf numFmtId="4" fontId="9" fillId="4" borderId="6" xfId="0" applyNumberFormat="1" applyFont="1" applyFill="1" applyBorder="1" applyAlignment="1"/>
    <xf numFmtId="0" fontId="11" fillId="0" borderId="6" xfId="0" applyNumberFormat="1" applyFont="1" applyFill="1" applyBorder="1" applyAlignment="1">
      <alignment horizontal="left"/>
    </xf>
    <xf numFmtId="4" fontId="11" fillId="0" borderId="6" xfId="0" applyNumberFormat="1" applyFont="1" applyFill="1" applyBorder="1" applyAlignment="1"/>
    <xf numFmtId="4" fontId="11" fillId="0" borderId="7" xfId="0" applyNumberFormat="1" applyFont="1" applyFill="1" applyBorder="1" applyAlignment="1"/>
    <xf numFmtId="4" fontId="11" fillId="0" borderId="8" xfId="0" applyNumberFormat="1" applyFont="1" applyFill="1" applyBorder="1" applyAlignment="1"/>
    <xf numFmtId="4" fontId="11" fillId="0" borderId="47" xfId="0" applyNumberFormat="1" applyFont="1" applyFill="1" applyBorder="1" applyAlignment="1"/>
    <xf numFmtId="4" fontId="11" fillId="0" borderId="48" xfId="0" applyNumberFormat="1" applyFont="1" applyFill="1" applyBorder="1" applyAlignment="1"/>
    <xf numFmtId="0" fontId="11" fillId="0" borderId="0" xfId="0" applyFont="1" applyFill="1"/>
    <xf numFmtId="4" fontId="9" fillId="2" borderId="9" xfId="0" applyNumberFormat="1" applyFont="1" applyFill="1" applyBorder="1" applyAlignment="1"/>
    <xf numFmtId="4" fontId="9" fillId="4" borderId="9" xfId="0" applyNumberFormat="1" applyFont="1" applyFill="1" applyBorder="1" applyAlignment="1"/>
    <xf numFmtId="4" fontId="9" fillId="2" borderId="10" xfId="0" applyNumberFormat="1" applyFont="1" applyFill="1" applyBorder="1" applyAlignment="1"/>
    <xf numFmtId="4" fontId="9" fillId="4" borderId="10" xfId="0" applyNumberFormat="1" applyFont="1" applyFill="1" applyBorder="1" applyAlignment="1"/>
    <xf numFmtId="4" fontId="9" fillId="4" borderId="11" xfId="0" applyNumberFormat="1" applyFont="1" applyFill="1" applyBorder="1" applyAlignment="1"/>
    <xf numFmtId="4" fontId="9" fillId="2" borderId="26" xfId="0" applyNumberFormat="1" applyFont="1" applyFill="1" applyBorder="1" applyAlignment="1"/>
    <xf numFmtId="4" fontId="11" fillId="5" borderId="29" xfId="0" applyNumberFormat="1" applyFont="1" applyFill="1" applyBorder="1" applyAlignment="1"/>
    <xf numFmtId="4" fontId="11" fillId="5" borderId="30" xfId="0" applyNumberFormat="1" applyFont="1" applyFill="1" applyBorder="1" applyAlignment="1"/>
    <xf numFmtId="4" fontId="11" fillId="5" borderId="43" xfId="0" applyNumberFormat="1" applyFont="1" applyFill="1" applyBorder="1" applyAlignment="1"/>
    <xf numFmtId="4" fontId="11" fillId="5" borderId="34" xfId="0" applyNumberFormat="1" applyFont="1" applyFill="1" applyBorder="1" applyAlignment="1"/>
    <xf numFmtId="0" fontId="11" fillId="5" borderId="31" xfId="0" applyNumberFormat="1" applyFont="1" applyFill="1" applyBorder="1" applyAlignment="1">
      <alignment horizontal="left"/>
    </xf>
    <xf numFmtId="4" fontId="9" fillId="4" borderId="5" xfId="0" applyNumberFormat="1" applyFont="1" applyFill="1" applyBorder="1" applyAlignment="1"/>
    <xf numFmtId="4" fontId="9" fillId="4" borderId="7" xfId="0" applyNumberFormat="1" applyFont="1" applyFill="1" applyBorder="1" applyAlignment="1"/>
    <xf numFmtId="0" fontId="6" fillId="0" borderId="16" xfId="0" applyNumberFormat="1" applyFont="1" applyFill="1" applyBorder="1" applyAlignment="1">
      <alignment horizontal="left"/>
    </xf>
    <xf numFmtId="0" fontId="5" fillId="2" borderId="47" xfId="0" applyNumberFormat="1" applyFont="1" applyFill="1" applyBorder="1" applyAlignment="1">
      <alignment horizontal="left"/>
    </xf>
    <xf numFmtId="0" fontId="5" fillId="2" borderId="50" xfId="0" applyNumberFormat="1" applyFont="1" applyFill="1" applyBorder="1" applyAlignment="1">
      <alignment horizontal="left"/>
    </xf>
    <xf numFmtId="0" fontId="6" fillId="0" borderId="50" xfId="0" applyNumberFormat="1" applyFont="1" applyFill="1" applyBorder="1" applyAlignment="1">
      <alignment horizontal="left"/>
    </xf>
    <xf numFmtId="0" fontId="5" fillId="2" borderId="26" xfId="0" applyNumberFormat="1" applyFont="1" applyFill="1" applyBorder="1" applyAlignment="1">
      <alignment horizontal="left"/>
    </xf>
    <xf numFmtId="2" fontId="4" fillId="0" borderId="30" xfId="0" applyNumberFormat="1" applyFont="1" applyFill="1" applyBorder="1" applyAlignment="1">
      <alignment horizontal="center" vertical="center" wrapText="1"/>
    </xf>
    <xf numFmtId="10" fontId="6" fillId="0" borderId="3" xfId="0" applyNumberFormat="1" applyFont="1" applyFill="1" applyBorder="1" applyAlignment="1"/>
    <xf numFmtId="4" fontId="11" fillId="0" borderId="42" xfId="0" applyNumberFormat="1" applyFont="1" applyFill="1" applyBorder="1" applyAlignment="1"/>
    <xf numFmtId="4" fontId="9" fillId="4" borderId="48" xfId="0" applyNumberFormat="1" applyFont="1" applyFill="1" applyBorder="1" applyAlignment="1"/>
    <xf numFmtId="0" fontId="9" fillId="2" borderId="26" xfId="0" applyNumberFormat="1" applyFont="1" applyFill="1" applyBorder="1" applyAlignment="1">
      <alignment horizontal="left"/>
    </xf>
    <xf numFmtId="0" fontId="11" fillId="0" borderId="24" xfId="0" applyFont="1" applyFill="1" applyBorder="1"/>
    <xf numFmtId="0" fontId="11" fillId="0" borderId="14" xfId="0" applyFont="1" applyFill="1" applyBorder="1"/>
    <xf numFmtId="4" fontId="11" fillId="0" borderId="14" xfId="0" applyNumberFormat="1" applyFont="1" applyFill="1" applyBorder="1"/>
    <xf numFmtId="0" fontId="1" fillId="0" borderId="0" xfId="0" applyNumberFormat="1" applyFont="1" applyFill="1" applyAlignment="1">
      <alignment horizontal="center" wrapText="1"/>
    </xf>
    <xf numFmtId="164" fontId="9" fillId="2" borderId="4" xfId="0" applyNumberFormat="1" applyFont="1" applyFill="1" applyBorder="1" applyAlignment="1">
      <alignment horizontal="left"/>
    </xf>
    <xf numFmtId="164" fontId="9" fillId="2" borderId="6" xfId="0" applyNumberFormat="1" applyFont="1" applyFill="1" applyBorder="1" applyAlignment="1">
      <alignment horizontal="left"/>
    </xf>
    <xf numFmtId="164" fontId="9" fillId="2" borderId="9" xfId="0" applyNumberFormat="1" applyFont="1" applyFill="1" applyBorder="1" applyAlignment="1">
      <alignment horizontal="left"/>
    </xf>
    <xf numFmtId="10" fontId="9" fillId="2" borderId="26" xfId="0" applyNumberFormat="1" applyFont="1" applyFill="1" applyBorder="1" applyAlignment="1"/>
    <xf numFmtId="10" fontId="13" fillId="5" borderId="43" xfId="0" applyNumberFormat="1" applyFont="1" applyFill="1" applyBorder="1" applyAlignment="1"/>
    <xf numFmtId="0" fontId="15" fillId="0" borderId="0" xfId="0" applyFont="1" applyFill="1"/>
    <xf numFmtId="0" fontId="15" fillId="0" borderId="0" xfId="0" applyFont="1" applyFill="1" applyAlignment="1">
      <alignment horizontal="right"/>
    </xf>
    <xf numFmtId="0" fontId="14" fillId="0" borderId="51" xfId="0" applyFont="1" applyFill="1" applyBorder="1"/>
    <xf numFmtId="10" fontId="15" fillId="0" borderId="8" xfId="0" applyNumberFormat="1" applyFont="1" applyFill="1" applyBorder="1"/>
    <xf numFmtId="0" fontId="14" fillId="0" borderId="38" xfId="0" applyFont="1" applyFill="1" applyBorder="1"/>
    <xf numFmtId="10" fontId="15" fillId="0" borderId="30" xfId="0" applyNumberFormat="1" applyFont="1" applyFill="1" applyBorder="1"/>
    <xf numFmtId="0" fontId="14" fillId="0" borderId="39" xfId="0" applyFont="1" applyFill="1" applyBorder="1"/>
    <xf numFmtId="4" fontId="15" fillId="0" borderId="39" xfId="0" applyNumberFormat="1" applyFont="1" applyFill="1" applyBorder="1"/>
    <xf numFmtId="2" fontId="15" fillId="0" borderId="0" xfId="0" applyNumberFormat="1" applyFont="1" applyFill="1" applyAlignment="1">
      <alignment wrapText="1"/>
    </xf>
    <xf numFmtId="2" fontId="15" fillId="0" borderId="0" xfId="0" applyNumberFormat="1" applyFont="1" applyFill="1" applyAlignment="1">
      <alignment horizontal="center" vertical="center" wrapText="1"/>
    </xf>
    <xf numFmtId="0" fontId="14" fillId="0" borderId="0" xfId="0" applyFont="1" applyFill="1"/>
    <xf numFmtId="0" fontId="17" fillId="0" borderId="0" xfId="0" applyFont="1" applyFill="1"/>
    <xf numFmtId="3" fontId="15" fillId="6" borderId="0" xfId="0" applyNumberFormat="1" applyFont="1" applyFill="1"/>
    <xf numFmtId="0" fontId="15" fillId="0" borderId="0" xfId="0" applyFont="1" applyFill="1" applyAlignment="1">
      <alignment horizontal="center"/>
    </xf>
    <xf numFmtId="0" fontId="14" fillId="0" borderId="52" xfId="0" applyFont="1" applyFill="1" applyBorder="1"/>
    <xf numFmtId="4" fontId="15" fillId="0" borderId="52" xfId="0" applyNumberFormat="1" applyFont="1" applyFill="1" applyBorder="1"/>
    <xf numFmtId="0" fontId="14" fillId="0" borderId="37" xfId="0" applyFont="1" applyFill="1" applyBorder="1"/>
    <xf numFmtId="4" fontId="14" fillId="0" borderId="58" xfId="0" applyNumberFormat="1" applyFont="1" applyFill="1" applyBorder="1"/>
    <xf numFmtId="0" fontId="14" fillId="0" borderId="58" xfId="0" applyFont="1" applyFill="1" applyBorder="1"/>
    <xf numFmtId="4" fontId="15" fillId="0" borderId="57" xfId="0" applyNumberFormat="1" applyFont="1" applyFill="1" applyBorder="1"/>
    <xf numFmtId="4" fontId="15" fillId="0" borderId="41" xfId="0" applyNumberFormat="1" applyFont="1" applyFill="1" applyBorder="1"/>
    <xf numFmtId="4" fontId="15" fillId="0" borderId="55" xfId="0" applyNumberFormat="1" applyFont="1" applyFill="1" applyBorder="1"/>
    <xf numFmtId="10" fontId="15" fillId="0" borderId="36" xfId="0" applyNumberFormat="1" applyFont="1" applyFill="1" applyBorder="1"/>
    <xf numFmtId="4" fontId="15" fillId="0" borderId="56" xfId="0" applyNumberFormat="1" applyFont="1" applyFill="1" applyBorder="1"/>
    <xf numFmtId="4" fontId="14" fillId="0" borderId="2" xfId="0" applyNumberFormat="1" applyFont="1" applyFill="1" applyBorder="1"/>
    <xf numFmtId="4" fontId="14" fillId="0" borderId="14" xfId="0" applyNumberFormat="1" applyFont="1" applyFill="1" applyBorder="1"/>
    <xf numFmtId="10" fontId="14" fillId="0" borderId="3" xfId="0" applyNumberFormat="1" applyFont="1" applyFill="1" applyBorder="1"/>
    <xf numFmtId="0" fontId="15" fillId="0" borderId="51" xfId="0" applyFont="1" applyFill="1" applyBorder="1"/>
    <xf numFmtId="0" fontId="15" fillId="0" borderId="39" xfId="0" applyFont="1" applyFill="1" applyBorder="1"/>
    <xf numFmtId="0" fontId="15" fillId="0" borderId="54" xfId="0" applyFont="1" applyFill="1" applyBorder="1"/>
    <xf numFmtId="0" fontId="15" fillId="0" borderId="53" xfId="0" applyFont="1" applyFill="1" applyBorder="1"/>
    <xf numFmtId="0" fontId="14" fillId="0" borderId="33" xfId="0" applyFont="1" applyFill="1" applyBorder="1"/>
    <xf numFmtId="4" fontId="15" fillId="0" borderId="59" xfId="0" applyNumberFormat="1" applyFont="1" applyFill="1" applyBorder="1"/>
    <xf numFmtId="4" fontId="15" fillId="0" borderId="18" xfId="0" applyNumberFormat="1" applyFont="1" applyFill="1" applyBorder="1"/>
    <xf numFmtId="4" fontId="15" fillId="0" borderId="7" xfId="0" applyNumberFormat="1" applyFont="1" applyFill="1" applyBorder="1"/>
    <xf numFmtId="4" fontId="14" fillId="0" borderId="59" xfId="0" applyNumberFormat="1" applyFont="1" applyFill="1" applyBorder="1"/>
    <xf numFmtId="4" fontId="14" fillId="0" borderId="7" xfId="0" applyNumberFormat="1" applyFont="1" applyFill="1" applyBorder="1"/>
    <xf numFmtId="4" fontId="14" fillId="0" borderId="6" xfId="0" applyNumberFormat="1" applyFont="1" applyFill="1" applyBorder="1"/>
    <xf numFmtId="4" fontId="15" fillId="0" borderId="6" xfId="0" applyNumberFormat="1" applyFont="1" applyFill="1" applyBorder="1"/>
    <xf numFmtId="4" fontId="15" fillId="0" borderId="44" xfId="0" applyNumberFormat="1" applyFont="1" applyFill="1" applyBorder="1"/>
    <xf numFmtId="4" fontId="15" fillId="0" borderId="13" xfId="0" applyNumberFormat="1" applyFont="1" applyFill="1" applyBorder="1"/>
    <xf numFmtId="4" fontId="15" fillId="0" borderId="4" xfId="0" applyNumberFormat="1" applyFont="1" applyFill="1" applyBorder="1"/>
    <xf numFmtId="4" fontId="15" fillId="0" borderId="5" xfId="0" applyNumberFormat="1" applyFont="1" applyFill="1" applyBorder="1"/>
    <xf numFmtId="4" fontId="14" fillId="0" borderId="31" xfId="0" applyNumberFormat="1" applyFont="1" applyFill="1" applyBorder="1"/>
    <xf numFmtId="4" fontId="14" fillId="0" borderId="29" xfId="0" applyNumberFormat="1" applyFont="1" applyFill="1" applyBorder="1"/>
    <xf numFmtId="4" fontId="14" fillId="0" borderId="1" xfId="0" applyNumberFormat="1" applyFont="1" applyFill="1" applyBorder="1"/>
    <xf numFmtId="0" fontId="9" fillId="0" borderId="4" xfId="0" applyNumberFormat="1" applyFont="1" applyFill="1" applyBorder="1" applyAlignment="1">
      <alignment horizontal="left"/>
    </xf>
    <xf numFmtId="164" fontId="9" fillId="0" borderId="4" xfId="0" applyNumberFormat="1" applyFont="1" applyFill="1" applyBorder="1" applyAlignment="1">
      <alignment horizontal="left"/>
    </xf>
    <xf numFmtId="4" fontId="9" fillId="0" borderId="4" xfId="0" applyNumberFormat="1" applyFont="1" applyFill="1" applyBorder="1" applyAlignment="1"/>
    <xf numFmtId="4" fontId="9" fillId="0" borderId="7" xfId="0" applyNumberFormat="1" applyFont="1" applyFill="1" applyBorder="1" applyAlignment="1"/>
    <xf numFmtId="4" fontId="9" fillId="0" borderId="47" xfId="0" applyNumberFormat="1" applyFont="1" applyFill="1" applyBorder="1" applyAlignment="1"/>
    <xf numFmtId="4" fontId="9" fillId="0" borderId="48" xfId="0" applyNumberFormat="1" applyFont="1" applyFill="1" applyBorder="1" applyAlignment="1"/>
    <xf numFmtId="10" fontId="9" fillId="0" borderId="48" xfId="0" applyNumberFormat="1" applyFont="1" applyFill="1" applyBorder="1" applyAlignment="1"/>
    <xf numFmtId="0" fontId="9" fillId="0" borderId="6" xfId="0" applyNumberFormat="1" applyFont="1" applyFill="1" applyBorder="1" applyAlignment="1">
      <alignment horizontal="left"/>
    </xf>
    <xf numFmtId="164" fontId="9" fillId="0" borderId="6" xfId="0" applyNumberFormat="1" applyFont="1" applyFill="1" applyBorder="1" applyAlignment="1">
      <alignment horizontal="left"/>
    </xf>
    <xf numFmtId="4" fontId="9" fillId="0" borderId="6" xfId="0" applyNumberFormat="1" applyFont="1" applyFill="1" applyBorder="1" applyAlignment="1"/>
    <xf numFmtId="164" fontId="9" fillId="0" borderId="9" xfId="0" applyNumberFormat="1" applyFont="1" applyFill="1" applyBorder="1" applyAlignment="1">
      <alignment horizontal="left"/>
    </xf>
    <xf numFmtId="4" fontId="9" fillId="0" borderId="9" xfId="0" applyNumberFormat="1" applyFont="1" applyFill="1" applyBorder="1" applyAlignment="1"/>
    <xf numFmtId="4" fontId="9" fillId="0" borderId="10" xfId="0" applyNumberFormat="1" applyFont="1" applyFill="1" applyBorder="1" applyAlignment="1"/>
    <xf numFmtId="4" fontId="9" fillId="0" borderId="26" xfId="0" applyNumberFormat="1" applyFont="1" applyFill="1" applyBorder="1" applyAlignment="1"/>
    <xf numFmtId="10" fontId="9" fillId="0" borderId="26" xfId="0" applyNumberFormat="1" applyFont="1" applyFill="1" applyBorder="1" applyAlignment="1"/>
    <xf numFmtId="0" fontId="9" fillId="0" borderId="26" xfId="0" applyNumberFormat="1" applyFont="1" applyFill="1" applyBorder="1" applyAlignment="1">
      <alignment horizontal="left"/>
    </xf>
    <xf numFmtId="10" fontId="15" fillId="0" borderId="11" xfId="0" applyNumberFormat="1" applyFont="1" applyFill="1" applyBorder="1"/>
    <xf numFmtId="10" fontId="11" fillId="0" borderId="15" xfId="0" applyNumberFormat="1" applyFont="1" applyFill="1" applyBorder="1"/>
    <xf numFmtId="164" fontId="11" fillId="0" borderId="6" xfId="0" applyNumberFormat="1" applyFont="1" applyFill="1" applyBorder="1" applyAlignment="1">
      <alignment horizontal="left"/>
    </xf>
    <xf numFmtId="4" fontId="9" fillId="0" borderId="0" xfId="0" applyNumberFormat="1" applyFont="1" applyFill="1"/>
    <xf numFmtId="4" fontId="9" fillId="4" borderId="39" xfId="0" applyNumberFormat="1" applyFont="1" applyFill="1" applyBorder="1" applyAlignment="1">
      <alignment wrapText="1"/>
    </xf>
    <xf numFmtId="4" fontId="11" fillId="5" borderId="37" xfId="0" applyNumberFormat="1" applyFont="1" applyFill="1" applyBorder="1" applyAlignment="1"/>
    <xf numFmtId="4" fontId="9" fillId="4" borderId="41" xfId="0" applyNumberFormat="1" applyFont="1" applyFill="1" applyBorder="1" applyAlignment="1"/>
    <xf numFmtId="4" fontId="9" fillId="4" borderId="39" xfId="0" applyNumberFormat="1" applyFont="1" applyFill="1" applyBorder="1" applyAlignment="1"/>
    <xf numFmtId="4" fontId="11" fillId="0" borderId="39" xfId="0" applyNumberFormat="1" applyFont="1" applyFill="1" applyBorder="1" applyAlignment="1"/>
    <xf numFmtId="4" fontId="9" fillId="4" borderId="40" xfId="0" applyNumberFormat="1" applyFont="1" applyFill="1" applyBorder="1" applyAlignment="1"/>
    <xf numFmtId="4" fontId="11" fillId="5" borderId="16" xfId="0" applyNumberFormat="1" applyFont="1" applyFill="1" applyBorder="1" applyAlignment="1"/>
    <xf numFmtId="4" fontId="9" fillId="2" borderId="50" xfId="0" applyNumberFormat="1" applyFont="1" applyFill="1" applyBorder="1" applyAlignment="1"/>
    <xf numFmtId="4" fontId="11" fillId="0" borderId="50" xfId="0" applyNumberFormat="1" applyFont="1" applyFill="1" applyBorder="1" applyAlignment="1"/>
    <xf numFmtId="4" fontId="9" fillId="0" borderId="39" xfId="0" applyNumberFormat="1" applyFont="1" applyFill="1" applyBorder="1" applyAlignment="1"/>
    <xf numFmtId="4" fontId="9" fillId="0" borderId="41" xfId="0" applyNumberFormat="1" applyFont="1" applyFill="1" applyBorder="1" applyAlignment="1"/>
    <xf numFmtId="4" fontId="9" fillId="0" borderId="39" xfId="0" applyNumberFormat="1" applyFont="1" applyFill="1" applyBorder="1" applyAlignment="1">
      <alignment wrapText="1"/>
    </xf>
    <xf numFmtId="4" fontId="9" fillId="4" borderId="9" xfId="0" applyNumberFormat="1" applyFont="1" applyFill="1" applyBorder="1" applyAlignment="1">
      <alignment wrapText="1"/>
    </xf>
    <xf numFmtId="4" fontId="12" fillId="4" borderId="36" xfId="0" applyNumberFormat="1" applyFont="1" applyFill="1" applyBorder="1" applyAlignment="1"/>
    <xf numFmtId="4" fontId="12" fillId="4" borderId="48" xfId="0" applyNumberFormat="1" applyFont="1" applyFill="1" applyBorder="1" applyAlignment="1"/>
    <xf numFmtId="4" fontId="21" fillId="4" borderId="48" xfId="0" applyNumberFormat="1" applyFont="1" applyFill="1" applyBorder="1" applyAlignment="1"/>
    <xf numFmtId="4" fontId="21" fillId="4" borderId="36" xfId="0" applyNumberFormat="1" applyFont="1" applyFill="1" applyBorder="1" applyAlignment="1"/>
    <xf numFmtId="4" fontId="11" fillId="0" borderId="0" xfId="0" applyNumberFormat="1" applyFont="1" applyFill="1"/>
    <xf numFmtId="4" fontId="9" fillId="0" borderId="0" xfId="0" applyNumberFormat="1" applyFont="1" applyFill="1" applyAlignment="1">
      <alignment horizontal="center"/>
    </xf>
    <xf numFmtId="4" fontId="11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4" fontId="21" fillId="4" borderId="11" xfId="0" applyNumberFormat="1" applyFont="1" applyFill="1" applyBorder="1" applyAlignment="1"/>
    <xf numFmtId="4" fontId="12" fillId="4" borderId="7" xfId="0" applyNumberFormat="1" applyFont="1" applyFill="1" applyBorder="1" applyAlignment="1"/>
    <xf numFmtId="4" fontId="9" fillId="0" borderId="50" xfId="0" applyNumberFormat="1" applyFont="1" applyFill="1" applyBorder="1" applyAlignment="1"/>
    <xf numFmtId="4" fontId="9" fillId="0" borderId="9" xfId="0" applyNumberFormat="1" applyFont="1" applyFill="1" applyBorder="1" applyAlignment="1">
      <alignment wrapText="1"/>
    </xf>
    <xf numFmtId="0" fontId="11" fillId="7" borderId="24" xfId="0" applyFont="1" applyFill="1" applyBorder="1"/>
    <xf numFmtId="4" fontId="11" fillId="7" borderId="14" xfId="0" applyNumberFormat="1" applyFont="1" applyFill="1" applyBorder="1"/>
    <xf numFmtId="10" fontId="11" fillId="7" borderId="15" xfId="0" applyNumberFormat="1" applyFont="1" applyFill="1" applyBorder="1"/>
    <xf numFmtId="164" fontId="9" fillId="0" borderId="26" xfId="0" applyNumberFormat="1" applyFont="1" applyFill="1" applyBorder="1" applyAlignment="1">
      <alignment horizontal="left"/>
    </xf>
    <xf numFmtId="4" fontId="9" fillId="0" borderId="40" xfId="0" applyNumberFormat="1" applyFont="1" applyFill="1" applyBorder="1" applyAlignment="1"/>
    <xf numFmtId="0" fontId="11" fillId="2" borderId="31" xfId="0" applyNumberFormat="1" applyFont="1" applyFill="1" applyBorder="1" applyAlignment="1">
      <alignment horizontal="left"/>
    </xf>
    <xf numFmtId="4" fontId="11" fillId="2" borderId="16" xfId="0" applyNumberFormat="1" applyFont="1" applyFill="1" applyBorder="1" applyAlignment="1"/>
    <xf numFmtId="4" fontId="11" fillId="2" borderId="37" xfId="0" applyNumberFormat="1" applyFont="1" applyFill="1" applyBorder="1" applyAlignment="1"/>
    <xf numFmtId="4" fontId="11" fillId="2" borderId="29" xfId="0" applyNumberFormat="1" applyFont="1" applyFill="1" applyBorder="1" applyAlignment="1"/>
    <xf numFmtId="4" fontId="11" fillId="2" borderId="30" xfId="0" applyNumberFormat="1" applyFont="1" applyFill="1" applyBorder="1" applyAlignment="1"/>
    <xf numFmtId="4" fontId="11" fillId="2" borderId="43" xfId="0" applyNumberFormat="1" applyFont="1" applyFill="1" applyBorder="1" applyAlignment="1"/>
    <xf numFmtId="4" fontId="11" fillId="2" borderId="34" xfId="0" applyNumberFormat="1" applyFont="1" applyFill="1" applyBorder="1" applyAlignment="1"/>
    <xf numFmtId="10" fontId="13" fillId="2" borderId="43" xfId="0" applyNumberFormat="1" applyFont="1" applyFill="1" applyBorder="1" applyAlignment="1"/>
    <xf numFmtId="4" fontId="15" fillId="0" borderId="0" xfId="0" applyNumberFormat="1" applyFont="1" applyFill="1"/>
    <xf numFmtId="4" fontId="11" fillId="4" borderId="7" xfId="0" applyNumberFormat="1" applyFont="1" applyFill="1" applyBorder="1" applyAlignment="1"/>
    <xf numFmtId="4" fontId="11" fillId="4" borderId="42" xfId="0" applyNumberFormat="1" applyFont="1" applyFill="1" applyBorder="1" applyAlignment="1"/>
    <xf numFmtId="4" fontId="12" fillId="4" borderId="39" xfId="0" applyNumberFormat="1" applyFont="1" applyFill="1" applyBorder="1" applyAlignment="1"/>
    <xf numFmtId="4" fontId="11" fillId="7" borderId="1" xfId="0" applyNumberFormat="1" applyFont="1" applyFill="1" applyBorder="1"/>
    <xf numFmtId="4" fontId="11" fillId="7" borderId="16" xfId="0" applyNumberFormat="1" applyFont="1" applyFill="1" applyBorder="1"/>
    <xf numFmtId="4" fontId="11" fillId="7" borderId="58" xfId="0" applyNumberFormat="1" applyFont="1" applyFill="1" applyBorder="1"/>
    <xf numFmtId="4" fontId="11" fillId="7" borderId="2" xfId="0" applyNumberFormat="1" applyFont="1" applyFill="1" applyBorder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 applyAlignment="1">
      <alignment horizontal="right"/>
    </xf>
    <xf numFmtId="0" fontId="24" fillId="8" borderId="7" xfId="0" applyFont="1" applyFill="1" applyBorder="1" applyAlignment="1">
      <alignment horizontal="left" vertical="top" wrapText="1"/>
    </xf>
    <xf numFmtId="0" fontId="25" fillId="8" borderId="7" xfId="0" applyFont="1" applyFill="1" applyBorder="1" applyAlignment="1">
      <alignment vertical="top"/>
    </xf>
    <xf numFmtId="4" fontId="25" fillId="9" borderId="7" xfId="0" applyNumberFormat="1" applyFont="1" applyFill="1" applyBorder="1" applyAlignment="1">
      <alignment horizontal="right" vertical="top" wrapText="1"/>
    </xf>
    <xf numFmtId="0" fontId="23" fillId="0" borderId="7" xfId="0" applyFont="1" applyBorder="1" applyAlignment="1">
      <alignment horizontal="left" vertical="top" wrapText="1" indent="2"/>
    </xf>
    <xf numFmtId="0" fontId="23" fillId="0" borderId="7" xfId="0" applyFont="1" applyBorder="1" applyAlignment="1">
      <alignment horizontal="left" vertical="top" wrapText="1"/>
    </xf>
    <xf numFmtId="4" fontId="23" fillId="0" borderId="7" xfId="0" applyNumberFormat="1" applyFont="1" applyBorder="1" applyAlignment="1">
      <alignment horizontal="right" vertical="top" wrapText="1"/>
    </xf>
    <xf numFmtId="4" fontId="26" fillId="8" borderId="7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28" fillId="0" borderId="0" xfId="0" applyFont="1"/>
    <xf numFmtId="0" fontId="30" fillId="0" borderId="7" xfId="0" applyNumberFormat="1" applyFont="1" applyBorder="1" applyAlignment="1">
      <alignment horizontal="center" vertical="center" wrapText="1"/>
    </xf>
    <xf numFmtId="0" fontId="29" fillId="0" borderId="7" xfId="0" applyNumberFormat="1" applyFont="1" applyBorder="1" applyAlignment="1">
      <alignment horizontal="center" vertical="center" wrapText="1"/>
    </xf>
    <xf numFmtId="3" fontId="30" fillId="0" borderId="7" xfId="0" applyNumberFormat="1" applyFont="1" applyFill="1" applyBorder="1" applyAlignment="1">
      <alignment horizontal="center" vertical="center" wrapText="1"/>
    </xf>
    <xf numFmtId="165" fontId="28" fillId="0" borderId="51" xfId="0" applyNumberFormat="1" applyFont="1" applyBorder="1" applyAlignment="1">
      <alignment horizontal="left" vertical="center" wrapText="1"/>
    </xf>
    <xf numFmtId="0" fontId="28" fillId="0" borderId="7" xfId="0" applyFont="1" applyBorder="1" applyAlignment="1">
      <alignment horizontal="center" vertical="center" wrapText="1"/>
    </xf>
    <xf numFmtId="4" fontId="30" fillId="0" borderId="7" xfId="0" applyNumberFormat="1" applyFont="1" applyBorder="1" applyAlignment="1">
      <alignment horizontal="center" vertical="center" wrapText="1"/>
    </xf>
    <xf numFmtId="4" fontId="29" fillId="0" borderId="7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left" vertical="center" wrapText="1"/>
    </xf>
    <xf numFmtId="4" fontId="28" fillId="0" borderId="7" xfId="0" applyNumberFormat="1" applyFont="1" applyBorder="1" applyAlignment="1">
      <alignment horizontal="center" vertical="center"/>
    </xf>
    <xf numFmtId="4" fontId="27" fillId="0" borderId="7" xfId="0" applyNumberFormat="1" applyFont="1" applyBorder="1" applyAlignment="1">
      <alignment horizontal="center" vertical="center"/>
    </xf>
    <xf numFmtId="4" fontId="28" fillId="0" borderId="7" xfId="0" applyNumberFormat="1" applyFont="1" applyBorder="1" applyAlignment="1">
      <alignment horizontal="center" vertical="center" wrapText="1"/>
    </xf>
    <xf numFmtId="0" fontId="28" fillId="0" borderId="51" xfId="0" applyFont="1" applyBorder="1" applyAlignment="1">
      <alignment horizontal="left" vertical="center" wrapText="1"/>
    </xf>
    <xf numFmtId="4" fontId="27" fillId="0" borderId="7" xfId="0" applyNumberFormat="1" applyFont="1" applyBorder="1" applyAlignment="1">
      <alignment horizontal="center" vertical="center" wrapText="1"/>
    </xf>
    <xf numFmtId="17" fontId="28" fillId="0" borderId="7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left" vertical="center" wrapText="1"/>
    </xf>
    <xf numFmtId="17" fontId="28" fillId="0" borderId="7" xfId="0" applyNumberFormat="1" applyFont="1" applyFill="1" applyBorder="1" applyAlignment="1">
      <alignment horizontal="center" vertical="center" wrapText="1"/>
    </xf>
    <xf numFmtId="4" fontId="28" fillId="0" borderId="7" xfId="0" applyNumberFormat="1" applyFont="1" applyFill="1" applyBorder="1" applyAlignment="1">
      <alignment horizontal="center" vertical="center" wrapText="1"/>
    </xf>
    <xf numFmtId="4" fontId="27" fillId="0" borderId="7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7" fillId="0" borderId="7" xfId="0" applyFont="1" applyBorder="1"/>
    <xf numFmtId="4" fontId="27" fillId="0" borderId="7" xfId="0" applyNumberFormat="1" applyFont="1" applyBorder="1"/>
    <xf numFmtId="0" fontId="27" fillId="0" borderId="0" xfId="0" applyFont="1"/>
    <xf numFmtId="0" fontId="30" fillId="0" borderId="0" xfId="0" applyFont="1"/>
    <xf numFmtId="0" fontId="29" fillId="0" borderId="0" xfId="0" applyFont="1" applyAlignment="1">
      <alignment horizontal="center" wrapText="1"/>
    </xf>
    <xf numFmtId="0" fontId="0" fillId="0" borderId="0" xfId="0" applyAlignment="1"/>
    <xf numFmtId="0" fontId="28" fillId="0" borderId="0" xfId="0" applyFont="1" applyAlignment="1">
      <alignment horizontal="right"/>
    </xf>
    <xf numFmtId="0" fontId="29" fillId="0" borderId="18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0" xfId="0" applyFont="1"/>
    <xf numFmtId="0" fontId="30" fillId="0" borderId="6" xfId="0" applyFont="1" applyBorder="1" applyAlignment="1">
      <alignment horizontal="left" indent="1"/>
    </xf>
    <xf numFmtId="0" fontId="30" fillId="0" borderId="7" xfId="0" applyFont="1" applyBorder="1" applyAlignment="1">
      <alignment horizontal="left" wrapText="1" indent="3"/>
    </xf>
    <xf numFmtId="3" fontId="30" fillId="0" borderId="8" xfId="0" applyNumberFormat="1" applyFont="1" applyBorder="1"/>
    <xf numFmtId="3" fontId="30" fillId="0" borderId="50" xfId="0" applyNumberFormat="1" applyFont="1" applyBorder="1"/>
    <xf numFmtId="3" fontId="30" fillId="0" borderId="42" xfId="0" applyNumberFormat="1" applyFont="1" applyFill="1" applyBorder="1"/>
    <xf numFmtId="3" fontId="30" fillId="0" borderId="50" xfId="0" applyNumberFormat="1" applyFont="1" applyFill="1" applyBorder="1"/>
    <xf numFmtId="3" fontId="30" fillId="0" borderId="6" xfId="0" applyNumberFormat="1" applyFont="1" applyFill="1" applyBorder="1"/>
    <xf numFmtId="0" fontId="29" fillId="0" borderId="9" xfId="0" applyFont="1" applyBorder="1" applyAlignment="1">
      <alignment horizontal="left" indent="1"/>
    </xf>
    <xf numFmtId="0" fontId="29" fillId="0" borderId="10" xfId="0" applyFont="1" applyBorder="1" applyAlignment="1">
      <alignment horizontal="left" wrapText="1" indent="3"/>
    </xf>
    <xf numFmtId="3" fontId="29" fillId="0" borderId="11" xfId="0" applyNumberFormat="1" applyFont="1" applyBorder="1"/>
    <xf numFmtId="4" fontId="30" fillId="0" borderId="0" xfId="0" applyNumberFormat="1" applyFont="1"/>
    <xf numFmtId="1" fontId="30" fillId="0" borderId="0" xfId="0" applyNumberFormat="1" applyFont="1"/>
    <xf numFmtId="0" fontId="29" fillId="0" borderId="62" xfId="0" applyFont="1" applyBorder="1" applyAlignment="1">
      <alignment horizontal="center" vertical="top"/>
    </xf>
    <xf numFmtId="0" fontId="29" fillId="0" borderId="6" xfId="0" applyFont="1" applyBorder="1" applyAlignment="1">
      <alignment horizontal="left" indent="1"/>
    </xf>
    <xf numFmtId="0" fontId="29" fillId="0" borderId="7" xfId="0" applyFont="1" applyBorder="1" applyAlignment="1">
      <alignment horizontal="left" wrapText="1" indent="3"/>
    </xf>
    <xf numFmtId="3" fontId="29" fillId="0" borderId="8" xfId="0" applyNumberFormat="1" applyFont="1" applyBorder="1"/>
    <xf numFmtId="3" fontId="29" fillId="0" borderId="50" xfId="0" applyNumberFormat="1" applyFont="1" applyBorder="1"/>
    <xf numFmtId="3" fontId="29" fillId="0" borderId="42" xfId="0" applyNumberFormat="1" applyFont="1" applyFill="1" applyBorder="1"/>
    <xf numFmtId="3" fontId="29" fillId="0" borderId="50" xfId="0" applyNumberFormat="1" applyFont="1" applyFill="1" applyBorder="1"/>
    <xf numFmtId="3" fontId="29" fillId="0" borderId="6" xfId="0" applyNumberFormat="1" applyFont="1" applyFill="1" applyBorder="1"/>
    <xf numFmtId="0" fontId="32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3" fontId="32" fillId="0" borderId="0" xfId="0" applyNumberFormat="1" applyFont="1" applyAlignment="1">
      <alignment vertical="center"/>
    </xf>
    <xf numFmtId="2" fontId="3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7" fontId="28" fillId="0" borderId="7" xfId="0" applyNumberFormat="1" applyFont="1" applyBorder="1" applyAlignment="1">
      <alignment horizontal="center" vertical="center"/>
    </xf>
    <xf numFmtId="167" fontId="28" fillId="0" borderId="7" xfId="0" applyNumberFormat="1" applyFont="1" applyBorder="1" applyAlignment="1">
      <alignment horizontal="center" vertical="center" wrapText="1"/>
    </xf>
    <xf numFmtId="167" fontId="28" fillId="0" borderId="8" xfId="0" applyNumberFormat="1" applyFont="1" applyBorder="1" applyAlignment="1">
      <alignment horizontal="center" vertical="center" wrapText="1"/>
    </xf>
    <xf numFmtId="0" fontId="27" fillId="0" borderId="59" xfId="0" applyFont="1" applyBorder="1" applyAlignment="1">
      <alignment vertical="center"/>
    </xf>
    <xf numFmtId="3" fontId="27" fillId="0" borderId="7" xfId="0" applyNumberFormat="1" applyFont="1" applyBorder="1" applyAlignment="1">
      <alignment horizontal="center" vertical="center"/>
    </xf>
    <xf numFmtId="168" fontId="27" fillId="11" borderId="7" xfId="0" applyNumberFormat="1" applyFont="1" applyFill="1" applyBorder="1" applyAlignment="1">
      <alignment horizontal="center" vertical="center"/>
    </xf>
    <xf numFmtId="9" fontId="27" fillId="11" borderId="7" xfId="0" applyNumberFormat="1" applyFont="1" applyFill="1" applyBorder="1" applyAlignment="1">
      <alignment horizontal="center" vertical="center"/>
    </xf>
    <xf numFmtId="3" fontId="27" fillId="0" borderId="7" xfId="0" applyNumberFormat="1" applyFont="1" applyFill="1" applyBorder="1" applyAlignment="1">
      <alignment horizontal="center" vertical="center"/>
    </xf>
    <xf numFmtId="168" fontId="27" fillId="11" borderId="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8" fillId="0" borderId="59" xfId="0" applyFont="1" applyBorder="1" applyAlignment="1">
      <alignment vertical="center"/>
    </xf>
    <xf numFmtId="3" fontId="28" fillId="0" borderId="7" xfId="0" applyNumberFormat="1" applyFont="1" applyBorder="1" applyAlignment="1">
      <alignment horizontal="center" vertical="center"/>
    </xf>
    <xf numFmtId="168" fontId="28" fillId="11" borderId="7" xfId="0" applyNumberFormat="1" applyFont="1" applyFill="1" applyBorder="1" applyAlignment="1">
      <alignment horizontal="center" vertical="center"/>
    </xf>
    <xf numFmtId="9" fontId="28" fillId="11" borderId="7" xfId="0" applyNumberFormat="1" applyFont="1" applyFill="1" applyBorder="1" applyAlignment="1">
      <alignment horizontal="center" vertical="center"/>
    </xf>
    <xf numFmtId="3" fontId="28" fillId="0" borderId="7" xfId="0" applyNumberFormat="1" applyFont="1" applyFill="1" applyBorder="1" applyAlignment="1">
      <alignment horizontal="center" vertical="center"/>
    </xf>
    <xf numFmtId="168" fontId="28" fillId="11" borderId="8" xfId="0" applyNumberFormat="1" applyFont="1" applyFill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3" fontId="27" fillId="0" borderId="10" xfId="0" applyNumberFormat="1" applyFont="1" applyBorder="1" applyAlignment="1">
      <alignment horizontal="center" vertical="center"/>
    </xf>
    <xf numFmtId="168" fontId="27" fillId="11" borderId="10" xfId="0" applyNumberFormat="1" applyFont="1" applyFill="1" applyBorder="1" applyAlignment="1">
      <alignment horizontal="center" vertical="center"/>
    </xf>
    <xf numFmtId="9" fontId="27" fillId="11" borderId="10" xfId="0" applyNumberFormat="1" applyFont="1" applyFill="1" applyBorder="1" applyAlignment="1">
      <alignment horizontal="center" vertical="center"/>
    </xf>
    <xf numFmtId="9" fontId="28" fillId="11" borderId="10" xfId="0" applyNumberFormat="1" applyFont="1" applyFill="1" applyBorder="1" applyAlignment="1">
      <alignment horizontal="center" vertical="center"/>
    </xf>
    <xf numFmtId="168" fontId="27" fillId="11" borderId="11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3" fontId="32" fillId="0" borderId="0" xfId="0" applyNumberFormat="1" applyFont="1" applyFill="1" applyAlignment="1">
      <alignment vertical="center"/>
    </xf>
    <xf numFmtId="169" fontId="32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167" fontId="28" fillId="0" borderId="6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vertical="center"/>
    </xf>
    <xf numFmtId="3" fontId="27" fillId="0" borderId="6" xfId="0" applyNumberFormat="1" applyFont="1" applyBorder="1" applyAlignment="1">
      <alignment horizontal="center" vertical="center"/>
    </xf>
    <xf numFmtId="3" fontId="27" fillId="0" borderId="39" xfId="0" applyNumberFormat="1" applyFont="1" applyBorder="1" applyAlignment="1">
      <alignment horizontal="center" vertical="center"/>
    </xf>
    <xf numFmtId="0" fontId="28" fillId="0" borderId="50" xfId="0" applyFont="1" applyBorder="1" applyAlignment="1">
      <alignment vertical="center"/>
    </xf>
    <xf numFmtId="3" fontId="28" fillId="0" borderId="6" xfId="0" applyNumberFormat="1" applyFont="1" applyBorder="1" applyAlignment="1">
      <alignment horizontal="center" vertical="center"/>
    </xf>
    <xf numFmtId="3" fontId="30" fillId="0" borderId="7" xfId="0" applyNumberFormat="1" applyFont="1" applyFill="1" applyBorder="1" applyAlignment="1">
      <alignment horizontal="center" vertical="center"/>
    </xf>
    <xf numFmtId="3" fontId="30" fillId="0" borderId="7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70" fontId="0" fillId="0" borderId="0" xfId="0" applyNumberFormat="1" applyFont="1" applyAlignment="1">
      <alignment vertical="center"/>
    </xf>
    <xf numFmtId="169" fontId="0" fillId="0" borderId="0" xfId="0" applyNumberFormat="1" applyFont="1" applyAlignment="1">
      <alignment vertical="center"/>
    </xf>
    <xf numFmtId="3" fontId="28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171" fontId="32" fillId="0" borderId="0" xfId="0" applyNumberFormat="1" applyFont="1" applyFill="1" applyBorder="1" applyAlignment="1">
      <alignment vertical="center"/>
    </xf>
    <xf numFmtId="167" fontId="28" fillId="0" borderId="51" xfId="0" applyNumberFormat="1" applyFont="1" applyBorder="1" applyAlignment="1">
      <alignment horizontal="center" vertical="center" wrapText="1"/>
    </xf>
    <xf numFmtId="168" fontId="27" fillId="11" borderId="51" xfId="0" applyNumberFormat="1" applyFont="1" applyFill="1" applyBorder="1" applyAlignment="1">
      <alignment horizontal="center" vertical="center"/>
    </xf>
    <xf numFmtId="9" fontId="28" fillId="11" borderId="51" xfId="0" applyNumberFormat="1" applyFont="1" applyFill="1" applyBorder="1" applyAlignment="1">
      <alignment horizontal="center" vertical="center"/>
    </xf>
    <xf numFmtId="167" fontId="28" fillId="0" borderId="6" xfId="0" applyNumberFormat="1" applyFont="1" applyBorder="1" applyAlignment="1">
      <alignment horizontal="center" vertical="center" wrapText="1"/>
    </xf>
    <xf numFmtId="0" fontId="28" fillId="0" borderId="68" xfId="0" applyFont="1" applyBorder="1" applyAlignment="1">
      <alignment vertical="center"/>
    </xf>
    <xf numFmtId="3" fontId="28" fillId="0" borderId="44" xfId="0" applyNumberFormat="1" applyFont="1" applyBorder="1" applyAlignment="1">
      <alignment horizontal="center" vertical="center"/>
    </xf>
    <xf numFmtId="3" fontId="28" fillId="0" borderId="13" xfId="0" applyNumberFormat="1" applyFont="1" applyBorder="1" applyAlignment="1">
      <alignment horizontal="center" vertical="center"/>
    </xf>
    <xf numFmtId="168" fontId="28" fillId="11" borderId="13" xfId="0" applyNumberFormat="1" applyFont="1" applyFill="1" applyBorder="1" applyAlignment="1">
      <alignment horizontal="center" vertical="center"/>
    </xf>
    <xf numFmtId="3" fontId="28" fillId="0" borderId="13" xfId="0" applyNumberFormat="1" applyFont="1" applyFill="1" applyBorder="1" applyAlignment="1">
      <alignment horizontal="center" vertical="center"/>
    </xf>
    <xf numFmtId="9" fontId="28" fillId="11" borderId="13" xfId="0" applyNumberFormat="1" applyFont="1" applyFill="1" applyBorder="1" applyAlignment="1">
      <alignment horizontal="center" vertical="center"/>
    </xf>
    <xf numFmtId="3" fontId="30" fillId="0" borderId="13" xfId="0" applyNumberFormat="1" applyFont="1" applyBorder="1" applyAlignment="1">
      <alignment horizontal="center" vertical="center"/>
    </xf>
    <xf numFmtId="9" fontId="28" fillId="11" borderId="53" xfId="0" applyNumberFormat="1" applyFont="1" applyFill="1" applyBorder="1" applyAlignment="1">
      <alignment horizontal="center" vertical="center"/>
    </xf>
    <xf numFmtId="168" fontId="28" fillId="11" borderId="69" xfId="0" applyNumberFormat="1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3" fontId="27" fillId="0" borderId="1" xfId="0" applyNumberFormat="1" applyFont="1" applyBorder="1" applyAlignment="1">
      <alignment horizontal="center" vertical="center"/>
    </xf>
    <xf numFmtId="3" fontId="27" fillId="0" borderId="2" xfId="0" applyNumberFormat="1" applyFont="1" applyBorder="1" applyAlignment="1">
      <alignment horizontal="center" vertical="center"/>
    </xf>
    <xf numFmtId="168" fontId="27" fillId="11" borderId="2" xfId="0" applyNumberFormat="1" applyFont="1" applyFill="1" applyBorder="1" applyAlignment="1">
      <alignment horizontal="center" vertical="center"/>
    </xf>
    <xf numFmtId="9" fontId="27" fillId="11" borderId="2" xfId="0" applyNumberFormat="1" applyFont="1" applyFill="1" applyBorder="1" applyAlignment="1">
      <alignment horizontal="center" vertical="center"/>
    </xf>
    <xf numFmtId="9" fontId="28" fillId="11" borderId="33" xfId="0" applyNumberFormat="1" applyFont="1" applyFill="1" applyBorder="1" applyAlignment="1">
      <alignment horizontal="center" vertical="center"/>
    </xf>
    <xf numFmtId="168" fontId="27" fillId="11" borderId="3" xfId="0" applyNumberFormat="1" applyFont="1" applyFill="1" applyBorder="1" applyAlignment="1">
      <alignment horizontal="center" vertical="center"/>
    </xf>
    <xf numFmtId="2" fontId="16" fillId="0" borderId="18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wrapText="1"/>
    </xf>
    <xf numFmtId="2" fontId="16" fillId="0" borderId="32" xfId="0" applyNumberFormat="1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wrapText="1"/>
    </xf>
    <xf numFmtId="2" fontId="14" fillId="0" borderId="0" xfId="0" applyNumberFormat="1" applyFont="1" applyFill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16" fillId="0" borderId="23" xfId="0" applyNumberFormat="1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wrapText="1"/>
    </xf>
    <xf numFmtId="2" fontId="16" fillId="0" borderId="20" xfId="0" applyNumberFormat="1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wrapText="1"/>
    </xf>
    <xf numFmtId="0" fontId="15" fillId="0" borderId="29" xfId="0" applyFont="1" applyFill="1" applyBorder="1" applyAlignment="1">
      <alignment horizontal="center" vertical="center" wrapText="1"/>
    </xf>
    <xf numFmtId="2" fontId="16" fillId="0" borderId="57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wrapText="1"/>
    </xf>
    <xf numFmtId="0" fontId="21" fillId="0" borderId="0" xfId="0" applyFont="1" applyFill="1" applyAlignment="1">
      <alignment wrapText="1"/>
    </xf>
    <xf numFmtId="0" fontId="21" fillId="0" borderId="0" xfId="0" applyFont="1" applyAlignment="1">
      <alignment wrapText="1"/>
    </xf>
    <xf numFmtId="2" fontId="10" fillId="0" borderId="21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wrapText="1"/>
    </xf>
    <xf numFmtId="0" fontId="1" fillId="0" borderId="0" xfId="0" applyNumberFormat="1" applyFont="1" applyFill="1" applyAlignment="1">
      <alignment horizontal="center" wrapText="1"/>
    </xf>
    <xf numFmtId="0" fontId="1" fillId="0" borderId="0" xfId="0" applyNumberFormat="1" applyFont="1" applyFill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 wrapText="1"/>
    </xf>
    <xf numFmtId="2" fontId="9" fillId="0" borderId="31" xfId="0" applyNumberFormat="1" applyFont="1" applyBorder="1" applyAlignment="1">
      <alignment horizontal="center" vertical="center" wrapText="1"/>
    </xf>
    <xf numFmtId="2" fontId="10" fillId="0" borderId="45" xfId="0" applyNumberFormat="1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wrapText="1"/>
    </xf>
    <xf numFmtId="2" fontId="10" fillId="0" borderId="46" xfId="0" applyNumberFormat="1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wrapText="1"/>
    </xf>
    <xf numFmtId="1" fontId="10" fillId="0" borderId="22" xfId="0" applyNumberFormat="1" applyFont="1" applyFill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2" fontId="0" fillId="0" borderId="43" xfId="0" applyNumberFormat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0" fillId="0" borderId="0" xfId="0" applyAlignment="1">
      <alignment wrapText="1"/>
    </xf>
    <xf numFmtId="14" fontId="1" fillId="0" borderId="0" xfId="0" applyNumberFormat="1" applyFont="1" applyFill="1" applyAlignment="1">
      <alignment horizontal="center" vertical="center"/>
    </xf>
    <xf numFmtId="1" fontId="4" fillId="0" borderId="25" xfId="0" applyNumberFormat="1" applyFont="1" applyFill="1" applyBorder="1" applyAlignment="1">
      <alignment horizontal="center" wrapText="1"/>
    </xf>
    <xf numFmtId="1" fontId="4" fillId="0" borderId="27" xfId="0" applyNumberFormat="1" applyFont="1" applyFill="1" applyBorder="1" applyAlignment="1">
      <alignment horizontal="center" wrapText="1"/>
    </xf>
    <xf numFmtId="1" fontId="5" fillId="0" borderId="27" xfId="0" applyNumberFormat="1" applyFont="1" applyBorder="1" applyAlignment="1">
      <alignment horizontal="center" wrapText="1"/>
    </xf>
    <xf numFmtId="1" fontId="5" fillId="0" borderId="32" xfId="0" applyNumberFormat="1" applyFont="1" applyBorder="1" applyAlignment="1">
      <alignment horizontal="center" wrapText="1"/>
    </xf>
    <xf numFmtId="0" fontId="4" fillId="0" borderId="2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2" xfId="0" applyBorder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2" fontId="4" fillId="0" borderId="45" xfId="0" applyNumberFormat="1" applyFont="1" applyFill="1" applyBorder="1" applyAlignment="1">
      <alignment horizontal="center" vertical="center" wrapText="1"/>
    </xf>
    <xf numFmtId="2" fontId="5" fillId="0" borderId="43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/>
    </xf>
    <xf numFmtId="3" fontId="29" fillId="0" borderId="7" xfId="0" applyNumberFormat="1" applyFont="1" applyFill="1" applyBorder="1" applyAlignment="1">
      <alignment horizontal="center" vertical="center" wrapText="1"/>
    </xf>
    <xf numFmtId="0" fontId="30" fillId="10" borderId="53" xfId="0" applyNumberFormat="1" applyFont="1" applyFill="1" applyBorder="1" applyAlignment="1">
      <alignment horizontal="center" vertical="center" wrapText="1"/>
    </xf>
    <xf numFmtId="0" fontId="28" fillId="10" borderId="60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horizontal="center" vertical="center" wrapText="1"/>
    </xf>
    <xf numFmtId="0" fontId="30" fillId="0" borderId="7" xfId="0" applyNumberFormat="1" applyFont="1" applyBorder="1" applyAlignment="1">
      <alignment horizontal="center" vertical="center" wrapText="1"/>
    </xf>
    <xf numFmtId="0" fontId="30" fillId="0" borderId="13" xfId="0" applyNumberFormat="1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0" fillId="0" borderId="53" xfId="0" applyNumberFormat="1" applyFont="1" applyBorder="1" applyAlignment="1">
      <alignment horizontal="center" vertical="center" wrapText="1"/>
    </xf>
    <xf numFmtId="0" fontId="0" fillId="0" borderId="56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41" xfId="0" applyBorder="1" applyAlignment="1">
      <alignment wrapText="1"/>
    </xf>
    <xf numFmtId="0" fontId="31" fillId="0" borderId="0" xfId="0" applyFont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167" fontId="27" fillId="0" borderId="18" xfId="0" applyNumberFormat="1" applyFont="1" applyBorder="1" applyAlignment="1">
      <alignment horizontal="center" vertical="center"/>
    </xf>
    <xf numFmtId="167" fontId="27" fillId="0" borderId="22" xfId="0" applyNumberFormat="1" applyFont="1" applyBorder="1" applyAlignment="1">
      <alignment horizontal="center" vertical="center"/>
    </xf>
    <xf numFmtId="167" fontId="27" fillId="0" borderId="27" xfId="0" applyNumberFormat="1" applyFont="1" applyBorder="1" applyAlignment="1">
      <alignment horizontal="center" vertical="center"/>
    </xf>
    <xf numFmtId="167" fontId="27" fillId="0" borderId="32" xfId="0" applyNumberFormat="1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167" fontId="27" fillId="0" borderId="23" xfId="0" applyNumberFormat="1" applyFont="1" applyBorder="1" applyAlignment="1">
      <alignment horizontal="center" vertical="center"/>
    </xf>
    <xf numFmtId="167" fontId="27" fillId="0" borderId="66" xfId="0" applyNumberFormat="1" applyFont="1" applyBorder="1" applyAlignment="1">
      <alignment horizontal="center" vertical="center"/>
    </xf>
    <xf numFmtId="167" fontId="27" fillId="0" borderId="67" xfId="0" applyNumberFormat="1" applyFont="1" applyBorder="1" applyAlignment="1">
      <alignment horizontal="center" vertical="center"/>
    </xf>
    <xf numFmtId="167" fontId="27" fillId="0" borderId="46" xfId="0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9" fillId="0" borderId="0" xfId="0" applyFont="1" applyAlignment="1">
      <alignment horizontal="center" wrapText="1"/>
    </xf>
    <xf numFmtId="0" fontId="0" fillId="0" borderId="0" xfId="0" applyAlignment="1"/>
    <xf numFmtId="0" fontId="25" fillId="9" borderId="7" xfId="0" applyFont="1" applyFill="1" applyBorder="1" applyAlignment="1">
      <alignment horizontal="left" vertical="top" wrapText="1" indent="1"/>
    </xf>
    <xf numFmtId="0" fontId="26" fillId="8" borderId="7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FF"/>
      <color rgb="FFFFFFCC"/>
      <color rgb="FFCCCCFF"/>
      <color rgb="FFFFFFFF"/>
      <color rgb="FFCCE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X124"/>
  <sheetViews>
    <sheetView workbookViewId="0">
      <pane xSplit="3" ySplit="5" topLeftCell="D98" activePane="bottomRight" state="frozen"/>
      <selection pane="topRight" activeCell="D1" sqref="D1"/>
      <selection pane="bottomLeft" activeCell="A6" sqref="A6"/>
      <selection pane="bottomRight" activeCell="H105" sqref="H105"/>
    </sheetView>
  </sheetViews>
  <sheetFormatPr defaultColWidth="9.140625" defaultRowHeight="12.75" outlineLevelRow="2" outlineLevelCol="1" x14ac:dyDescent="0.2"/>
  <cols>
    <col min="1" max="1" width="2.42578125" style="45" customWidth="1"/>
    <col min="2" max="2" width="7" style="45" hidden="1" customWidth="1" outlineLevel="1"/>
    <col min="3" max="3" width="23.5703125" style="45" customWidth="1" collapsed="1"/>
    <col min="4" max="6" width="18.7109375" style="45" customWidth="1"/>
    <col min="7" max="8" width="18.7109375" style="45" customWidth="1" outlineLevel="1"/>
    <col min="9" max="9" width="18.7109375" style="45" customWidth="1"/>
    <col min="10" max="10" width="18.7109375" style="45" hidden="1" customWidth="1" outlineLevel="1"/>
    <col min="11" max="11" width="12.7109375" style="45" customWidth="1" collapsed="1"/>
    <col min="12" max="12" width="2.7109375" style="45" customWidth="1"/>
    <col min="13" max="17" width="15.7109375" style="102" hidden="1" customWidth="1" outlineLevel="1"/>
    <col min="18" max="19" width="9.140625" style="102" hidden="1" customWidth="1" outlineLevel="1"/>
    <col min="20" max="20" width="13.7109375" style="102" customWidth="1" collapsed="1"/>
    <col min="21" max="21" width="17" style="45" customWidth="1"/>
    <col min="22" max="16384" width="9.140625" style="45"/>
  </cols>
  <sheetData>
    <row r="1" spans="2:24" ht="15.75" customHeight="1" x14ac:dyDescent="0.25">
      <c r="B1" s="366" t="s">
        <v>30</v>
      </c>
      <c r="C1" s="366"/>
      <c r="D1" s="366"/>
      <c r="E1" s="366"/>
      <c r="F1" s="366"/>
      <c r="G1" s="366"/>
      <c r="H1" s="366"/>
      <c r="I1" s="366"/>
      <c r="J1" s="366"/>
      <c r="K1" s="366"/>
      <c r="L1" s="96"/>
      <c r="M1" s="353" t="s">
        <v>49</v>
      </c>
      <c r="N1" s="354"/>
      <c r="O1" s="354"/>
      <c r="P1" s="354"/>
      <c r="Q1" s="354"/>
      <c r="R1" s="354"/>
      <c r="S1" s="354"/>
      <c r="T1" s="354"/>
      <c r="U1" s="96"/>
      <c r="V1" s="96"/>
      <c r="W1" s="96"/>
      <c r="X1" s="96"/>
    </row>
    <row r="2" spans="2:24" ht="15.75" x14ac:dyDescent="0.2">
      <c r="B2" s="367" t="s">
        <v>37</v>
      </c>
      <c r="C2" s="367"/>
      <c r="D2" s="367"/>
      <c r="E2" s="367"/>
      <c r="F2" s="367"/>
      <c r="G2" s="367"/>
      <c r="H2" s="367"/>
      <c r="I2" s="367"/>
      <c r="J2" s="367"/>
      <c r="K2" s="367"/>
      <c r="O2" s="115"/>
      <c r="P2" s="115"/>
      <c r="Q2" s="115"/>
      <c r="R2" s="115"/>
    </row>
    <row r="3" spans="2:24" ht="13.5" thickBot="1" x14ac:dyDescent="0.25">
      <c r="B3" s="46"/>
      <c r="C3" s="46"/>
      <c r="D3" s="46"/>
      <c r="E3" s="46"/>
      <c r="F3" s="46"/>
      <c r="G3" s="46"/>
      <c r="H3" s="46"/>
      <c r="I3" s="46"/>
      <c r="J3" s="46"/>
      <c r="K3" s="47" t="s">
        <v>31</v>
      </c>
      <c r="M3" s="102" t="s">
        <v>52</v>
      </c>
      <c r="P3" s="103"/>
      <c r="Q3" s="103"/>
      <c r="R3" s="103" t="s">
        <v>48</v>
      </c>
      <c r="S3" s="114">
        <v>1000000</v>
      </c>
    </row>
    <row r="4" spans="2:24" s="48" customFormat="1" x14ac:dyDescent="0.2">
      <c r="B4" s="368" t="s">
        <v>32</v>
      </c>
      <c r="C4" s="368" t="s">
        <v>33</v>
      </c>
      <c r="D4" s="370" t="s">
        <v>40</v>
      </c>
      <c r="E4" s="368" t="s">
        <v>42</v>
      </c>
      <c r="F4" s="373" t="s">
        <v>43</v>
      </c>
      <c r="G4" s="375" t="s">
        <v>34</v>
      </c>
      <c r="H4" s="376"/>
      <c r="I4" s="370" t="s">
        <v>39</v>
      </c>
      <c r="J4" s="370" t="s">
        <v>35</v>
      </c>
      <c r="K4" s="364" t="s">
        <v>14</v>
      </c>
      <c r="M4" s="355" t="s">
        <v>50</v>
      </c>
      <c r="N4" s="357" t="s">
        <v>51</v>
      </c>
      <c r="O4" s="360" t="s">
        <v>44</v>
      </c>
      <c r="P4" s="349" t="s">
        <v>45</v>
      </c>
      <c r="Q4" s="357" t="s">
        <v>39</v>
      </c>
      <c r="R4" s="351" t="s">
        <v>14</v>
      </c>
      <c r="S4" s="103"/>
      <c r="T4" s="110"/>
    </row>
    <row r="5" spans="2:24" s="51" customFormat="1" ht="26.25" thickBot="1" x14ac:dyDescent="0.25">
      <c r="B5" s="369"/>
      <c r="C5" s="369"/>
      <c r="D5" s="371"/>
      <c r="E5" s="372"/>
      <c r="F5" s="374"/>
      <c r="G5" s="49" t="s">
        <v>36</v>
      </c>
      <c r="H5" s="50" t="s">
        <v>56</v>
      </c>
      <c r="I5" s="371"/>
      <c r="J5" s="377"/>
      <c r="K5" s="365"/>
      <c r="M5" s="356"/>
      <c r="N5" s="358"/>
      <c r="O5" s="361"/>
      <c r="P5" s="350"/>
      <c r="Q5" s="359"/>
      <c r="R5" s="352"/>
      <c r="S5" s="111"/>
      <c r="T5" s="111"/>
    </row>
    <row r="6" spans="2:24" ht="18" hidden="1" customHeight="1" x14ac:dyDescent="0.2">
      <c r="B6" s="52">
        <v>2014</v>
      </c>
      <c r="C6" s="97">
        <v>41640</v>
      </c>
      <c r="D6" s="53">
        <v>0</v>
      </c>
      <c r="E6" s="54"/>
      <c r="F6" s="55">
        <f>SUM(G6:H6)</f>
        <v>0</v>
      </c>
      <c r="G6" s="81"/>
      <c r="H6" s="56"/>
      <c r="I6" s="57">
        <f>D6+E6-F6</f>
        <v>0</v>
      </c>
      <c r="J6" s="58">
        <f t="shared" ref="J6:J37" si="0">E6-F6</f>
        <v>0</v>
      </c>
      <c r="K6" s="59" t="str">
        <f t="shared" ref="K6:K37" si="1">IF(E6=0,"",F6/E6)</f>
        <v/>
      </c>
      <c r="M6" s="134">
        <f>E6/$S$3</f>
        <v>0</v>
      </c>
      <c r="N6" s="135">
        <f>F6/$S$3</f>
        <v>0</v>
      </c>
      <c r="O6" s="121">
        <f>E6/$S$3</f>
        <v>0</v>
      </c>
      <c r="P6" s="122">
        <f>F6/$S$3</f>
        <v>0</v>
      </c>
      <c r="Q6" s="123"/>
      <c r="R6" s="124" t="str">
        <f>IF(O6=0,"",P6/O6)</f>
        <v/>
      </c>
    </row>
    <row r="7" spans="2:24" ht="18" hidden="1" customHeight="1" x14ac:dyDescent="0.2">
      <c r="B7" s="60">
        <v>2014</v>
      </c>
      <c r="C7" s="98">
        <v>41671</v>
      </c>
      <c r="D7" s="61">
        <f>I6</f>
        <v>0</v>
      </c>
      <c r="E7" s="62"/>
      <c r="F7" s="55">
        <f>SUM(G7:H7)</f>
        <v>0</v>
      </c>
      <c r="G7" s="82"/>
      <c r="H7" s="56"/>
      <c r="I7" s="57">
        <f>D7+E7-F7</f>
        <v>0</v>
      </c>
      <c r="J7" s="58">
        <f t="shared" si="0"/>
        <v>0</v>
      </c>
      <c r="K7" s="59" t="str">
        <f t="shared" si="1"/>
        <v/>
      </c>
      <c r="M7" s="134">
        <f>E7/$S$3</f>
        <v>0</v>
      </c>
      <c r="N7" s="136">
        <f>F7/$S$3</f>
        <v>0</v>
      </c>
      <c r="O7" s="109">
        <f>O6+E7/$S$3</f>
        <v>0</v>
      </c>
      <c r="P7" s="109">
        <f>P6+F7/$S$3</f>
        <v>0</v>
      </c>
      <c r="Q7" s="117"/>
      <c r="R7" s="105" t="str">
        <f>IF(O7=0,"",P7/O7)</f>
        <v/>
      </c>
    </row>
    <row r="8" spans="2:24" s="69" customFormat="1" ht="18" hidden="1" customHeight="1" outlineLevel="1" x14ac:dyDescent="0.2">
      <c r="B8" s="63">
        <v>2014</v>
      </c>
      <c r="C8" s="63" t="s">
        <v>15</v>
      </c>
      <c r="D8" s="64"/>
      <c r="E8" s="64">
        <f>SUM(E6:E7)</f>
        <v>0</v>
      </c>
      <c r="F8" s="65">
        <f>SUM(F6:F7)</f>
        <v>0</v>
      </c>
      <c r="G8" s="65">
        <f>SUM(G6:G7)</f>
        <v>0</v>
      </c>
      <c r="H8" s="66">
        <f>SUM(H6:H7)</f>
        <v>0</v>
      </c>
      <c r="I8" s="67">
        <f>I7</f>
        <v>0</v>
      </c>
      <c r="J8" s="68">
        <f t="shared" si="0"/>
        <v>0</v>
      </c>
      <c r="K8" s="154" t="str">
        <f t="shared" si="1"/>
        <v/>
      </c>
      <c r="M8" s="137"/>
      <c r="N8" s="138"/>
      <c r="O8" s="108"/>
      <c r="P8" s="108"/>
      <c r="Q8" s="116"/>
      <c r="R8" s="105" t="str">
        <f t="shared" ref="R8:R27" si="2">IF(O8=0,"",P8/O8)</f>
        <v/>
      </c>
      <c r="S8" s="112"/>
      <c r="T8" s="112"/>
    </row>
    <row r="9" spans="2:24" ht="18" hidden="1" customHeight="1" x14ac:dyDescent="0.2">
      <c r="B9" s="60">
        <v>2014</v>
      </c>
      <c r="C9" s="98">
        <v>41699</v>
      </c>
      <c r="D9" s="61">
        <f>I7</f>
        <v>0</v>
      </c>
      <c r="E9" s="62"/>
      <c r="F9" s="55">
        <f>SUM(G9:H9)</f>
        <v>0</v>
      </c>
      <c r="G9" s="82"/>
      <c r="H9" s="56"/>
      <c r="I9" s="57">
        <f>D9+E9-F9</f>
        <v>0</v>
      </c>
      <c r="J9" s="58">
        <f t="shared" si="0"/>
        <v>0</v>
      </c>
      <c r="K9" s="59" t="str">
        <f t="shared" si="1"/>
        <v/>
      </c>
      <c r="M9" s="134">
        <f>E9/$S$3</f>
        <v>0</v>
      </c>
      <c r="N9" s="136">
        <f>F9/$S$3</f>
        <v>0</v>
      </c>
      <c r="O9" s="109">
        <f>O7+E9/$S$3</f>
        <v>0</v>
      </c>
      <c r="P9" s="109">
        <f>P7+F9/$S$3</f>
        <v>0</v>
      </c>
      <c r="Q9" s="117"/>
      <c r="R9" s="105" t="str">
        <f t="shared" si="2"/>
        <v/>
      </c>
    </row>
    <row r="10" spans="2:24" s="69" customFormat="1" ht="18" hidden="1" customHeight="1" outlineLevel="1" x14ac:dyDescent="0.2">
      <c r="B10" s="63">
        <v>2014</v>
      </c>
      <c r="C10" s="63" t="s">
        <v>16</v>
      </c>
      <c r="D10" s="64"/>
      <c r="E10" s="64">
        <f>SUM(E6,E7,E9)</f>
        <v>0</v>
      </c>
      <c r="F10" s="65">
        <f>SUM(F6,F7,F9)</f>
        <v>0</v>
      </c>
      <c r="G10" s="65">
        <f>SUM(G6,G7,G9)</f>
        <v>0</v>
      </c>
      <c r="H10" s="90">
        <f>SUM(H6,H7,H9)</f>
        <v>0</v>
      </c>
      <c r="I10" s="67">
        <f>I9</f>
        <v>0</v>
      </c>
      <c r="J10" s="68">
        <f t="shared" si="0"/>
        <v>0</v>
      </c>
      <c r="K10" s="154" t="str">
        <f t="shared" si="1"/>
        <v/>
      </c>
      <c r="M10" s="137"/>
      <c r="N10" s="138"/>
      <c r="O10" s="108"/>
      <c r="P10" s="108"/>
      <c r="Q10" s="116"/>
      <c r="R10" s="105" t="str">
        <f t="shared" si="2"/>
        <v/>
      </c>
      <c r="S10" s="112"/>
      <c r="T10" s="112"/>
    </row>
    <row r="11" spans="2:24" ht="18" hidden="1" customHeight="1" x14ac:dyDescent="0.2">
      <c r="B11" s="60">
        <v>2014</v>
      </c>
      <c r="C11" s="98">
        <v>41730</v>
      </c>
      <c r="D11" s="61">
        <f>I9</f>
        <v>0</v>
      </c>
      <c r="E11" s="62"/>
      <c r="F11" s="55">
        <f>SUM(G11:H11)</f>
        <v>0</v>
      </c>
      <c r="G11" s="82"/>
      <c r="H11" s="91"/>
      <c r="I11" s="57">
        <f>D11+E11-F11</f>
        <v>0</v>
      </c>
      <c r="J11" s="58">
        <f t="shared" si="0"/>
        <v>0</v>
      </c>
      <c r="K11" s="59" t="str">
        <f t="shared" si="1"/>
        <v/>
      </c>
      <c r="M11" s="134">
        <f>E11/$S$3</f>
        <v>0</v>
      </c>
      <c r="N11" s="136">
        <f>F11/$S$3</f>
        <v>0</v>
      </c>
      <c r="O11" s="109">
        <f>O9+E11/$S$3</f>
        <v>0</v>
      </c>
      <c r="P11" s="109">
        <f>P9+F11/$S$3</f>
        <v>0</v>
      </c>
      <c r="Q11" s="117"/>
      <c r="R11" s="105" t="str">
        <f t="shared" si="2"/>
        <v/>
      </c>
    </row>
    <row r="12" spans="2:24" s="69" customFormat="1" ht="18" hidden="1" customHeight="1" outlineLevel="1" x14ac:dyDescent="0.2">
      <c r="B12" s="63">
        <v>2014</v>
      </c>
      <c r="C12" s="63" t="s">
        <v>17</v>
      </c>
      <c r="D12" s="64"/>
      <c r="E12" s="64">
        <f>SUM(E6,E7,E9,E11)</f>
        <v>0</v>
      </c>
      <c r="F12" s="65">
        <f>SUM(F6,F7,F9,F11)</f>
        <v>0</v>
      </c>
      <c r="G12" s="65">
        <f>SUM(G6,G7,G9,G11)</f>
        <v>0</v>
      </c>
      <c r="H12" s="90">
        <f>SUM(H6,H7,H9,H11)</f>
        <v>0</v>
      </c>
      <c r="I12" s="67">
        <f>I11</f>
        <v>0</v>
      </c>
      <c r="J12" s="68">
        <f t="shared" si="0"/>
        <v>0</v>
      </c>
      <c r="K12" s="154" t="str">
        <f t="shared" si="1"/>
        <v/>
      </c>
      <c r="M12" s="137"/>
      <c r="N12" s="138"/>
      <c r="O12" s="109"/>
      <c r="P12" s="109"/>
      <c r="Q12" s="117"/>
      <c r="R12" s="105" t="str">
        <f t="shared" si="2"/>
        <v/>
      </c>
      <c r="S12" s="112"/>
      <c r="T12" s="112"/>
    </row>
    <row r="13" spans="2:24" ht="18" hidden="1" customHeight="1" x14ac:dyDescent="0.2">
      <c r="B13" s="60">
        <v>2014</v>
      </c>
      <c r="C13" s="98">
        <v>41760</v>
      </c>
      <c r="D13" s="61">
        <f>I11</f>
        <v>0</v>
      </c>
      <c r="E13" s="62"/>
      <c r="F13" s="55">
        <f>SUM(G13:H13)</f>
        <v>0</v>
      </c>
      <c r="G13" s="82"/>
      <c r="H13" s="91"/>
      <c r="I13" s="57">
        <f>D13+E13-F13</f>
        <v>0</v>
      </c>
      <c r="J13" s="58">
        <f t="shared" si="0"/>
        <v>0</v>
      </c>
      <c r="K13" s="59" t="str">
        <f t="shared" si="1"/>
        <v/>
      </c>
      <c r="M13" s="134">
        <f>E13/$S$3</f>
        <v>0</v>
      </c>
      <c r="N13" s="136">
        <f>F13/$S$3</f>
        <v>0</v>
      </c>
      <c r="O13" s="109">
        <f>O11+E13/$S$3</f>
        <v>0</v>
      </c>
      <c r="P13" s="109">
        <f>P11+F13/$S$3</f>
        <v>0</v>
      </c>
      <c r="Q13" s="117"/>
      <c r="R13" s="105" t="str">
        <f t="shared" si="2"/>
        <v/>
      </c>
    </row>
    <row r="14" spans="2:24" s="69" customFormat="1" ht="18" hidden="1" customHeight="1" outlineLevel="1" x14ac:dyDescent="0.2">
      <c r="B14" s="63">
        <v>2014</v>
      </c>
      <c r="C14" s="63" t="s">
        <v>18</v>
      </c>
      <c r="D14" s="64"/>
      <c r="E14" s="64">
        <f>SUM(E6,E7,E9,E11,E13)</f>
        <v>0</v>
      </c>
      <c r="F14" s="65">
        <f>SUM(F6,F7,F9,F11,F13)</f>
        <v>0</v>
      </c>
      <c r="G14" s="65">
        <f>SUM(G6,G7,G9,G11,G13)</f>
        <v>0</v>
      </c>
      <c r="H14" s="90">
        <f>SUM(H6,H7,H9,H11,H13)</f>
        <v>0</v>
      </c>
      <c r="I14" s="67">
        <f>I13</f>
        <v>0</v>
      </c>
      <c r="J14" s="68">
        <f t="shared" si="0"/>
        <v>0</v>
      </c>
      <c r="K14" s="154" t="str">
        <f t="shared" si="1"/>
        <v/>
      </c>
      <c r="M14" s="137"/>
      <c r="N14" s="138"/>
      <c r="O14" s="109"/>
      <c r="P14" s="109"/>
      <c r="Q14" s="117"/>
      <c r="R14" s="105" t="str">
        <f t="shared" si="2"/>
        <v/>
      </c>
      <c r="S14" s="112"/>
      <c r="T14" s="112"/>
    </row>
    <row r="15" spans="2:24" ht="18" hidden="1" customHeight="1" thickBot="1" x14ac:dyDescent="0.25">
      <c r="B15" s="60">
        <v>2014</v>
      </c>
      <c r="C15" s="98">
        <v>41791</v>
      </c>
      <c r="D15" s="61">
        <f>I13</f>
        <v>0</v>
      </c>
      <c r="E15" s="62"/>
      <c r="F15" s="55">
        <f>SUM(G15:H15)</f>
        <v>0</v>
      </c>
      <c r="G15" s="82"/>
      <c r="H15" s="91"/>
      <c r="I15" s="57">
        <f>D15+E15-F15</f>
        <v>0</v>
      </c>
      <c r="J15" s="58">
        <f t="shared" si="0"/>
        <v>0</v>
      </c>
      <c r="K15" s="59" t="str">
        <f t="shared" si="1"/>
        <v/>
      </c>
      <c r="M15" s="134">
        <f>E15/$S$3</f>
        <v>0</v>
      </c>
      <c r="N15" s="136">
        <f>F15/$S$3</f>
        <v>0</v>
      </c>
      <c r="O15" s="109">
        <f>O13+E15/$S$3</f>
        <v>0</v>
      </c>
      <c r="P15" s="109">
        <f>P13+F15/$S$3</f>
        <v>0</v>
      </c>
      <c r="Q15" s="117"/>
      <c r="R15" s="105" t="str">
        <f t="shared" si="2"/>
        <v/>
      </c>
    </row>
    <row r="16" spans="2:24" s="69" customFormat="1" ht="18" hidden="1" customHeight="1" outlineLevel="1" x14ac:dyDescent="0.2">
      <c r="B16" s="63">
        <v>2014</v>
      </c>
      <c r="C16" s="63" t="s">
        <v>19</v>
      </c>
      <c r="D16" s="64"/>
      <c r="E16" s="64">
        <f>SUM(E6,E7,E9,E11,E13,E15)</f>
        <v>0</v>
      </c>
      <c r="F16" s="65">
        <f>SUM(F6,F7,F9,F11,F13,F15)</f>
        <v>0</v>
      </c>
      <c r="G16" s="65">
        <f>SUM(G6,G7,G9,G11,G13,G15)</f>
        <v>0</v>
      </c>
      <c r="H16" s="90">
        <f>SUM(H6,H7,H9,H11,H13,H15)</f>
        <v>0</v>
      </c>
      <c r="I16" s="67">
        <f>I15</f>
        <v>0</v>
      </c>
      <c r="J16" s="68">
        <f t="shared" si="0"/>
        <v>0</v>
      </c>
      <c r="K16" s="154" t="str">
        <f t="shared" si="1"/>
        <v/>
      </c>
      <c r="M16" s="139"/>
      <c r="N16" s="138"/>
      <c r="O16" s="108"/>
      <c r="P16" s="108"/>
      <c r="Q16" s="116"/>
      <c r="R16" s="105" t="str">
        <f t="shared" si="2"/>
        <v/>
      </c>
      <c r="S16" s="112"/>
      <c r="T16" s="112"/>
    </row>
    <row r="17" spans="2:20" ht="18" customHeight="1" outlineLevel="1" collapsed="1" x14ac:dyDescent="0.2">
      <c r="B17" s="60">
        <v>2014</v>
      </c>
      <c r="C17" s="98">
        <v>41821</v>
      </c>
      <c r="D17" s="61">
        <f>I15</f>
        <v>0</v>
      </c>
      <c r="E17" s="62">
        <v>149650862.69999999</v>
      </c>
      <c r="F17" s="55">
        <f>SUM(G17:H17)</f>
        <v>133788702.02000001</v>
      </c>
      <c r="G17" s="82">
        <f>132400305.37+1388396.65</f>
        <v>133788702.02000001</v>
      </c>
      <c r="H17" s="91"/>
      <c r="I17" s="57">
        <f>D17+E17-F17</f>
        <v>15862160.679999977</v>
      </c>
      <c r="J17" s="58">
        <f t="shared" si="0"/>
        <v>15862160.679999977</v>
      </c>
      <c r="K17" s="59">
        <f t="shared" si="1"/>
        <v>0.89400555136258508</v>
      </c>
      <c r="M17" s="140">
        <f>E17/$S$3</f>
        <v>149.65086269999998</v>
      </c>
      <c r="N17" s="136">
        <f>F17/$S$3</f>
        <v>133.78870202000002</v>
      </c>
      <c r="O17" s="109">
        <f>O15+M17</f>
        <v>149.65086269999998</v>
      </c>
      <c r="P17" s="109">
        <f>P15+N17</f>
        <v>133.78870202000002</v>
      </c>
      <c r="Q17" s="117"/>
      <c r="R17" s="105">
        <f t="shared" si="2"/>
        <v>0.89400555136258519</v>
      </c>
    </row>
    <row r="18" spans="2:20" s="69" customFormat="1" ht="18" hidden="1" customHeight="1" outlineLevel="2" x14ac:dyDescent="0.2">
      <c r="B18" s="63">
        <v>2014</v>
      </c>
      <c r="C18" s="63" t="s">
        <v>20</v>
      </c>
      <c r="D18" s="64"/>
      <c r="E18" s="64">
        <f>SUM(E6,E7,E9,E11,E13,E15,E17)</f>
        <v>149650862.69999999</v>
      </c>
      <c r="F18" s="65">
        <f>SUM(F6,F7,F9,F11,F13,F15,F17)</f>
        <v>133788702.02000001</v>
      </c>
      <c r="G18" s="65">
        <f>SUM(G6,G7,G9,G11,G13,G15,G17)</f>
        <v>133788702.02000001</v>
      </c>
      <c r="H18" s="90">
        <f>SUM(H6,H7,H9,H11,H13,H15,H17)</f>
        <v>0</v>
      </c>
      <c r="I18" s="67">
        <f>I17</f>
        <v>15862160.679999977</v>
      </c>
      <c r="J18" s="68">
        <f t="shared" si="0"/>
        <v>15862160.679999977</v>
      </c>
      <c r="K18" s="154">
        <f t="shared" si="1"/>
        <v>0.89400555136258508</v>
      </c>
      <c r="L18" s="45"/>
      <c r="M18" s="140"/>
      <c r="N18" s="136"/>
      <c r="O18" s="108"/>
      <c r="P18" s="108"/>
      <c r="Q18" s="116"/>
      <c r="R18" s="105" t="str">
        <f t="shared" si="2"/>
        <v/>
      </c>
      <c r="S18" s="112"/>
      <c r="T18" s="112"/>
    </row>
    <row r="19" spans="2:20" ht="18" customHeight="1" outlineLevel="1" collapsed="1" x14ac:dyDescent="0.2">
      <c r="B19" s="60">
        <v>2014</v>
      </c>
      <c r="C19" s="98">
        <v>41852</v>
      </c>
      <c r="D19" s="61">
        <f>I17</f>
        <v>15862160.679999977</v>
      </c>
      <c r="E19" s="62">
        <f>135829699.37-1187056.67-201339.98</f>
        <v>134441302.72000003</v>
      </c>
      <c r="F19" s="55">
        <f>SUM(G19:H19)</f>
        <v>77185088.170000002</v>
      </c>
      <c r="G19" s="82">
        <v>77185088.170000002</v>
      </c>
      <c r="H19" s="91"/>
      <c r="I19" s="57">
        <f>D19+E19-F19</f>
        <v>73118375.230000004</v>
      </c>
      <c r="J19" s="58">
        <f t="shared" si="0"/>
        <v>57256214.550000027</v>
      </c>
      <c r="K19" s="59">
        <f t="shared" si="1"/>
        <v>0.57411737768379745</v>
      </c>
      <c r="M19" s="140">
        <f>E19/$S$3</f>
        <v>134.44130272000004</v>
      </c>
      <c r="N19" s="136">
        <f>F19/$S$3</f>
        <v>77.18508817</v>
      </c>
      <c r="O19" s="109">
        <f>O17+M19</f>
        <v>284.09216542000001</v>
      </c>
      <c r="P19" s="109">
        <f>P17+N19</f>
        <v>210.97379019000002</v>
      </c>
      <c r="Q19" s="117"/>
      <c r="R19" s="105">
        <f t="shared" si="2"/>
        <v>0.74262445737670291</v>
      </c>
    </row>
    <row r="20" spans="2:20" s="69" customFormat="1" ht="18" hidden="1" customHeight="1" outlineLevel="2" x14ac:dyDescent="0.2">
      <c r="B20" s="63">
        <v>2014</v>
      </c>
      <c r="C20" s="63" t="s">
        <v>21</v>
      </c>
      <c r="D20" s="64"/>
      <c r="E20" s="64">
        <f>SUM(E6,E7,E9,E11,E13,E15,E17,E19)</f>
        <v>284092165.42000002</v>
      </c>
      <c r="F20" s="65">
        <f>SUM(F6,F7,F9,F11,F13,F15,F17,F19)</f>
        <v>210973790.19</v>
      </c>
      <c r="G20" s="65">
        <f>SUM(G6,G7,G9,G11,G13,G15,G17,G19)</f>
        <v>210973790.19</v>
      </c>
      <c r="H20" s="90">
        <f>SUM(H6,H7,H9,H11,H13,H15,H17,H19)</f>
        <v>0</v>
      </c>
      <c r="I20" s="67">
        <f>I19</f>
        <v>73118375.230000004</v>
      </c>
      <c r="J20" s="68">
        <f t="shared" si="0"/>
        <v>73118375.230000019</v>
      </c>
      <c r="K20" s="154">
        <f t="shared" si="1"/>
        <v>0.7426244573767028</v>
      </c>
      <c r="L20" s="45"/>
      <c r="M20" s="140"/>
      <c r="N20" s="136"/>
      <c r="O20" s="108"/>
      <c r="P20" s="108"/>
      <c r="Q20" s="116"/>
      <c r="R20" s="105" t="str">
        <f t="shared" si="2"/>
        <v/>
      </c>
      <c r="S20" s="112"/>
      <c r="T20" s="112"/>
    </row>
    <row r="21" spans="2:20" ht="18" customHeight="1" outlineLevel="1" collapsed="1" x14ac:dyDescent="0.2">
      <c r="B21" s="60">
        <v>2014</v>
      </c>
      <c r="C21" s="98">
        <v>41883</v>
      </c>
      <c r="D21" s="61">
        <f>I19</f>
        <v>73118375.230000004</v>
      </c>
      <c r="E21" s="62">
        <f>98767719.73+44604947.04</f>
        <v>143372666.77000001</v>
      </c>
      <c r="F21" s="55">
        <f>SUM(G21:H21)</f>
        <v>18000000</v>
      </c>
      <c r="G21" s="82">
        <v>18000000</v>
      </c>
      <c r="H21" s="91"/>
      <c r="I21" s="57">
        <f>D21+E21-F21</f>
        <v>198491042</v>
      </c>
      <c r="J21" s="58">
        <f t="shared" si="0"/>
        <v>125372666.77000001</v>
      </c>
      <c r="K21" s="59">
        <f t="shared" si="1"/>
        <v>0.12554694284145385</v>
      </c>
      <c r="M21" s="140">
        <f>E21/$S$3</f>
        <v>143.37266677000002</v>
      </c>
      <c r="N21" s="136">
        <f>F21/$S$3</f>
        <v>18</v>
      </c>
      <c r="O21" s="109">
        <f>O19+M21</f>
        <v>427.46483219000004</v>
      </c>
      <c r="P21" s="109">
        <f>P19+N21</f>
        <v>228.97379019000002</v>
      </c>
      <c r="Q21" s="117"/>
      <c r="R21" s="105">
        <f t="shared" si="2"/>
        <v>0.53565527020530546</v>
      </c>
    </row>
    <row r="22" spans="2:20" s="69" customFormat="1" ht="18" hidden="1" customHeight="1" outlineLevel="2" x14ac:dyDescent="0.2">
      <c r="B22" s="63">
        <v>2014</v>
      </c>
      <c r="C22" s="63" t="s">
        <v>22</v>
      </c>
      <c r="D22" s="64"/>
      <c r="E22" s="64">
        <f>SUM(E6,E7,E9,E11,E13,E15,E17,E19,E21)</f>
        <v>427464832.19000006</v>
      </c>
      <c r="F22" s="65">
        <f>SUM(F6,F7,F9,F11,F13,F15,F19,F21)</f>
        <v>95185088.170000002</v>
      </c>
      <c r="G22" s="65">
        <f>SUM(G6,G7,G9,G11,G13,G15,G19,G21)</f>
        <v>95185088.170000002</v>
      </c>
      <c r="H22" s="90">
        <f>SUM(H6,H7,H9,H11,H13,H15,H19,H21)</f>
        <v>0</v>
      </c>
      <c r="I22" s="67">
        <f>I21</f>
        <v>198491042</v>
      </c>
      <c r="J22" s="68">
        <f t="shared" si="0"/>
        <v>332279744.02000004</v>
      </c>
      <c r="K22" s="154">
        <f t="shared" si="1"/>
        <v>0.22267349499219627</v>
      </c>
      <c r="L22" s="45"/>
      <c r="M22" s="140"/>
      <c r="N22" s="136"/>
      <c r="O22" s="108"/>
      <c r="P22" s="108"/>
      <c r="Q22" s="116"/>
      <c r="R22" s="105" t="str">
        <f t="shared" si="2"/>
        <v/>
      </c>
      <c r="S22" s="112"/>
      <c r="T22" s="112"/>
    </row>
    <row r="23" spans="2:20" ht="18" customHeight="1" outlineLevel="1" collapsed="1" x14ac:dyDescent="0.2">
      <c r="B23" s="60">
        <v>2014</v>
      </c>
      <c r="C23" s="98">
        <v>41913</v>
      </c>
      <c r="D23" s="61">
        <f>I21</f>
        <v>198491042</v>
      </c>
      <c r="E23" s="62">
        <v>339662561</v>
      </c>
      <c r="F23" s="55">
        <f>SUM(G23:H23)</f>
        <v>55118375.230000004</v>
      </c>
      <c r="G23" s="82">
        <f>23000000+5000000+20118375.23+7000000</f>
        <v>55118375.230000004</v>
      </c>
      <c r="H23" s="91"/>
      <c r="I23" s="57">
        <f>D23+E23-F23</f>
        <v>483035227.76999998</v>
      </c>
      <c r="J23" s="58">
        <f t="shared" si="0"/>
        <v>284544185.76999998</v>
      </c>
      <c r="K23" s="59">
        <f t="shared" si="1"/>
        <v>0.16227391993903031</v>
      </c>
      <c r="M23" s="140">
        <f>E23/$S$3</f>
        <v>339.66256099999998</v>
      </c>
      <c r="N23" s="136">
        <f>F23/$S$3</f>
        <v>55.118375230000005</v>
      </c>
      <c r="O23" s="109">
        <f>O21+M23</f>
        <v>767.12739319000002</v>
      </c>
      <c r="P23" s="109">
        <f>P21+N23</f>
        <v>284.09216542000001</v>
      </c>
      <c r="Q23" s="117"/>
      <c r="R23" s="105">
        <f t="shared" si="2"/>
        <v>0.37033244796361592</v>
      </c>
    </row>
    <row r="24" spans="2:20" s="69" customFormat="1" ht="18" hidden="1" customHeight="1" outlineLevel="2" x14ac:dyDescent="0.2">
      <c r="B24" s="63">
        <v>2014</v>
      </c>
      <c r="C24" s="63" t="s">
        <v>23</v>
      </c>
      <c r="D24" s="64"/>
      <c r="E24" s="64">
        <f>SUM(E6,E7,E9,E11,E13,E15,E17,E19,E21,E23)</f>
        <v>767127393.19000006</v>
      </c>
      <c r="F24" s="65">
        <f>SUM(F6,F7,F9,F11,F13,F15,F17,F19,F21,F23)</f>
        <v>284092165.42000002</v>
      </c>
      <c r="G24" s="65">
        <f>SUM(G6,G7,G9,G11,G13,G15,G17,G19,G21,G23)</f>
        <v>284092165.42000002</v>
      </c>
      <c r="H24" s="90">
        <f>SUM(H6,H7,H9,H11,H13,H15,H17,H19,H21,H23)</f>
        <v>0</v>
      </c>
      <c r="I24" s="67">
        <f>I23</f>
        <v>483035227.76999998</v>
      </c>
      <c r="J24" s="68">
        <f t="shared" si="0"/>
        <v>483035227.77000004</v>
      </c>
      <c r="K24" s="154">
        <f t="shared" si="1"/>
        <v>0.37033244796361592</v>
      </c>
      <c r="M24" s="139"/>
      <c r="N24" s="138"/>
      <c r="O24" s="108"/>
      <c r="P24" s="108"/>
      <c r="Q24" s="116"/>
      <c r="R24" s="105" t="str">
        <f t="shared" si="2"/>
        <v/>
      </c>
      <c r="S24" s="112"/>
      <c r="T24" s="112"/>
    </row>
    <row r="25" spans="2:20" ht="18" customHeight="1" outlineLevel="1" collapsed="1" x14ac:dyDescent="0.2">
      <c r="B25" s="60">
        <v>2014</v>
      </c>
      <c r="C25" s="98">
        <v>41944</v>
      </c>
      <c r="D25" s="61">
        <f>I23</f>
        <v>483035227.76999998</v>
      </c>
      <c r="E25" s="62">
        <f>382487456.31</f>
        <v>382487456.31</v>
      </c>
      <c r="F25" s="55">
        <f>SUM(G25:H25)</f>
        <v>297872666.76999998</v>
      </c>
      <c r="G25" s="82">
        <f>25000000+7000000+8372666.79+24000000+14000000+15999999.98+49000000+10000000+10000000+61500000+6500000+9500000+8300000+23700000+5000000+20000000</f>
        <v>297872666.76999998</v>
      </c>
      <c r="H25" s="56"/>
      <c r="I25" s="57">
        <f>D25+E25-F25</f>
        <v>567650017.30999994</v>
      </c>
      <c r="J25" s="58">
        <f t="shared" si="0"/>
        <v>84614789.540000021</v>
      </c>
      <c r="K25" s="59">
        <f t="shared" si="1"/>
        <v>0.7787776091893035</v>
      </c>
      <c r="M25" s="140">
        <f>E25/$S$3</f>
        <v>382.48745631000003</v>
      </c>
      <c r="N25" s="136">
        <f>F25/$S$3</f>
        <v>297.87266676999997</v>
      </c>
      <c r="O25" s="109">
        <f>O23+M25</f>
        <v>1149.6148495</v>
      </c>
      <c r="P25" s="109">
        <f>P23+N25</f>
        <v>581.96483218999992</v>
      </c>
      <c r="Q25" s="117"/>
      <c r="R25" s="105">
        <f t="shared" si="2"/>
        <v>0.50622591770027403</v>
      </c>
      <c r="T25" s="113"/>
    </row>
    <row r="26" spans="2:20" s="69" customFormat="1" ht="18" hidden="1" customHeight="1" outlineLevel="2" x14ac:dyDescent="0.2">
      <c r="B26" s="63">
        <v>2014</v>
      </c>
      <c r="C26" s="63" t="s">
        <v>24</v>
      </c>
      <c r="D26" s="64"/>
      <c r="E26" s="64">
        <f>SUM(E6,E7,E9,E11,E13,E15,E17,E19,E21,E23,E25)</f>
        <v>1149614849.5</v>
      </c>
      <c r="F26" s="65">
        <f>SUM(F6,F7,F9,F11,F13,F15,F17,F19,F21,F23,F25)</f>
        <v>581964832.19000006</v>
      </c>
      <c r="G26" s="65">
        <f>SUM(G6,G7,G9,G11,G13,G15,G17,G19,G21,G23,G25)</f>
        <v>581964832.19000006</v>
      </c>
      <c r="H26" s="66">
        <f>SUM(H6,H7,H9,H11,H13,H15,H17,H19,H21,H23,H25)</f>
        <v>0</v>
      </c>
      <c r="I26" s="67">
        <f>I25</f>
        <v>567650017.30999994</v>
      </c>
      <c r="J26" s="68">
        <f t="shared" si="0"/>
        <v>567650017.30999994</v>
      </c>
      <c r="K26" s="154">
        <f t="shared" si="1"/>
        <v>0.50622591770027414</v>
      </c>
      <c r="M26" s="139"/>
      <c r="N26" s="138"/>
      <c r="O26" s="108"/>
      <c r="P26" s="108"/>
      <c r="Q26" s="116"/>
      <c r="R26" s="105" t="str">
        <f t="shared" si="2"/>
        <v/>
      </c>
      <c r="S26" s="112"/>
      <c r="T26" s="112"/>
    </row>
    <row r="27" spans="2:20" ht="18" customHeight="1" outlineLevel="1" collapsed="1" thickBot="1" x14ac:dyDescent="0.25">
      <c r="B27" s="92">
        <v>2014</v>
      </c>
      <c r="C27" s="99">
        <v>41974</v>
      </c>
      <c r="D27" s="70">
        <f>I25</f>
        <v>567650017.30999994</v>
      </c>
      <c r="E27" s="71">
        <v>443936278.36000001</v>
      </c>
      <c r="F27" s="72">
        <f>SUM(G27:H27)</f>
        <v>380600000</v>
      </c>
      <c r="G27" s="73">
        <f>10000000+10000000+3000000+2000000+5000000+20000000+70000000+19000000+22000000+25000000+6000000+14000000+55100000+13500000+5000000+13000000+13000000+50000000+25000000</f>
        <v>380600000</v>
      </c>
      <c r="H27" s="74"/>
      <c r="I27" s="75">
        <f>D27+E27-F27</f>
        <v>630986295.66999996</v>
      </c>
      <c r="J27" s="75">
        <f t="shared" si="0"/>
        <v>63336278.360000014</v>
      </c>
      <c r="K27" s="100">
        <f t="shared" si="1"/>
        <v>0.85733024885017639</v>
      </c>
      <c r="M27" s="141">
        <f>E27/$S$3</f>
        <v>443.93627836000002</v>
      </c>
      <c r="N27" s="142">
        <f>F27/$S$3</f>
        <v>380.6</v>
      </c>
      <c r="O27" s="109">
        <f>O25+M27</f>
        <v>1593.55112786</v>
      </c>
      <c r="P27" s="109">
        <f>P25+N27</f>
        <v>962.56483218999995</v>
      </c>
      <c r="Q27" s="125"/>
      <c r="R27" s="164">
        <f t="shared" si="2"/>
        <v>0.60403762098467495</v>
      </c>
    </row>
    <row r="28" spans="2:20" s="69" customFormat="1" ht="25.5" customHeight="1" thickBot="1" x14ac:dyDescent="0.25">
      <c r="B28" s="80">
        <v>2014</v>
      </c>
      <c r="C28" s="80" t="s">
        <v>46</v>
      </c>
      <c r="D28" s="174">
        <f>D6</f>
        <v>0</v>
      </c>
      <c r="E28" s="169">
        <f>E6+E7+E9+E11+E13+E15+E17+E19+E21+E23+E25+E27</f>
        <v>1593551127.8600001</v>
      </c>
      <c r="F28" s="76">
        <f>F6+F7+F9+F11+F13+F15+F17+F19+F21+F23+F25+F27</f>
        <v>962564832.19000006</v>
      </c>
      <c r="G28" s="76">
        <f>G6+G7+G9+G11+G13+G15+G17+G19+G21+G23+G25+G27</f>
        <v>962564832.19000006</v>
      </c>
      <c r="H28" s="77">
        <f>H6+H7+H9+H11+H13+H15+H17+H19+H21+H23+H25+H27</f>
        <v>0</v>
      </c>
      <c r="I28" s="78">
        <f>I27</f>
        <v>630986295.66999996</v>
      </c>
      <c r="J28" s="79">
        <f t="shared" si="0"/>
        <v>630986295.67000008</v>
      </c>
      <c r="K28" s="101">
        <f>IF(E28=0,"",F28/E28)</f>
        <v>0.60403762098467495</v>
      </c>
      <c r="M28" s="147">
        <f>SUM(M6:M27)</f>
        <v>1593.55112786</v>
      </c>
      <c r="N28" s="126">
        <f>SUM(N6:N27)</f>
        <v>962.56483218999995</v>
      </c>
      <c r="O28" s="119">
        <f>O27</f>
        <v>1593.55112786</v>
      </c>
      <c r="P28" s="126">
        <f>P27</f>
        <v>962.56483218999995</v>
      </c>
      <c r="Q28" s="127"/>
      <c r="R28" s="128">
        <f>IF(O28=0,"",P28/O28)</f>
        <v>0.60403762098467495</v>
      </c>
      <c r="S28" s="112"/>
      <c r="T28" s="112"/>
    </row>
    <row r="29" spans="2:20" ht="18" customHeight="1" outlineLevel="1" x14ac:dyDescent="0.2">
      <c r="B29" s="52">
        <v>2015</v>
      </c>
      <c r="C29" s="97">
        <v>42005</v>
      </c>
      <c r="D29" s="57">
        <f>I27</f>
        <v>630986295.66999996</v>
      </c>
      <c r="E29" s="170">
        <v>447301275.81999999</v>
      </c>
      <c r="F29" s="55">
        <f>SUM(G29:H29)</f>
        <v>150000000</v>
      </c>
      <c r="G29" s="81">
        <f>150000000</f>
        <v>150000000</v>
      </c>
      <c r="H29" s="56"/>
      <c r="I29" s="57">
        <f>D29+E29-F29</f>
        <v>928287571.49000001</v>
      </c>
      <c r="J29" s="58">
        <f t="shared" si="0"/>
        <v>297301275.81999999</v>
      </c>
      <c r="K29" s="59">
        <f t="shared" si="1"/>
        <v>0.33534444927530677</v>
      </c>
      <c r="M29" s="143">
        <f t="shared" ref="M29:N32" si="3">E29/$S$3</f>
        <v>447.30127582</v>
      </c>
      <c r="N29" s="144">
        <f t="shared" si="3"/>
        <v>150</v>
      </c>
      <c r="O29" s="109">
        <f>O27+M29</f>
        <v>2040.85240368</v>
      </c>
      <c r="P29" s="109">
        <f>P27+N29</f>
        <v>1112.5648321899998</v>
      </c>
      <c r="Q29" s="123"/>
      <c r="R29" s="124">
        <f>IF(O29=0,"",P29/O29)</f>
        <v>0.54514713076940713</v>
      </c>
    </row>
    <row r="30" spans="2:20" ht="18" customHeight="1" outlineLevel="1" x14ac:dyDescent="0.2">
      <c r="B30" s="60">
        <v>2015</v>
      </c>
      <c r="C30" s="98">
        <v>42036</v>
      </c>
      <c r="D30" s="175">
        <f>I29</f>
        <v>928287571.49000001</v>
      </c>
      <c r="E30" s="171">
        <v>387179972.19</v>
      </c>
      <c r="F30" s="55">
        <f>SUM(G30:H30)</f>
        <v>215000000</v>
      </c>
      <c r="G30" s="82">
        <f>37050017.31+62949982.69+20000000+25000000+20000000+20000000+30000000</f>
        <v>215000000</v>
      </c>
      <c r="H30" s="56"/>
      <c r="I30" s="57">
        <f>D30+E30-F30</f>
        <v>1100467543.6800001</v>
      </c>
      <c r="J30" s="58">
        <f t="shared" si="0"/>
        <v>172179972.19</v>
      </c>
      <c r="K30" s="59">
        <f t="shared" si="1"/>
        <v>0.55529731763732215</v>
      </c>
      <c r="M30" s="140">
        <f t="shared" si="3"/>
        <v>387.17997219</v>
      </c>
      <c r="N30" s="136">
        <f t="shared" si="3"/>
        <v>215</v>
      </c>
      <c r="O30" s="109">
        <f>O29+M30</f>
        <v>2428.0323758700001</v>
      </c>
      <c r="P30" s="109">
        <f>P29+N30</f>
        <v>1327.5648321899998</v>
      </c>
      <c r="Q30" s="117"/>
      <c r="R30" s="105">
        <f>IF(O30=0,"",P30/O30)</f>
        <v>0.54676570435528626</v>
      </c>
    </row>
    <row r="31" spans="2:20" s="69" customFormat="1" ht="18" hidden="1" customHeight="1" outlineLevel="2" x14ac:dyDescent="0.2">
      <c r="B31" s="63">
        <v>2015</v>
      </c>
      <c r="C31" s="166" t="s">
        <v>15</v>
      </c>
      <c r="D31" s="176"/>
      <c r="E31" s="172">
        <f>SUM(E29:E30)</f>
        <v>834481248.00999999</v>
      </c>
      <c r="F31" s="65">
        <f>SUM(F29:F30)</f>
        <v>365000000</v>
      </c>
      <c r="G31" s="65">
        <f>SUM(G29:G30)</f>
        <v>365000000</v>
      </c>
      <c r="H31" s="66">
        <f>SUM(H29:H30)</f>
        <v>0</v>
      </c>
      <c r="I31" s="67">
        <f>I30</f>
        <v>1100467543.6800001</v>
      </c>
      <c r="J31" s="68">
        <f t="shared" si="0"/>
        <v>469481248.00999999</v>
      </c>
      <c r="K31" s="154">
        <f t="shared" si="1"/>
        <v>0.43739748600752981</v>
      </c>
      <c r="M31" s="140">
        <f t="shared" si="3"/>
        <v>834.48124800999994</v>
      </c>
      <c r="N31" s="136">
        <f t="shared" si="3"/>
        <v>365</v>
      </c>
      <c r="O31" s="109"/>
      <c r="P31" s="104"/>
      <c r="Q31" s="104"/>
      <c r="R31" s="105" t="str">
        <f t="shared" ref="R31:R50" si="4">IF(O31=0,"",P31/O31)</f>
        <v/>
      </c>
      <c r="S31" s="112"/>
      <c r="T31" s="112"/>
    </row>
    <row r="32" spans="2:20" ht="18" customHeight="1" outlineLevel="1" collapsed="1" x14ac:dyDescent="0.2">
      <c r="B32" s="60">
        <v>2015</v>
      </c>
      <c r="C32" s="98">
        <v>42064</v>
      </c>
      <c r="D32" s="175">
        <f>I30</f>
        <v>1100467543.6800001</v>
      </c>
      <c r="E32" s="171">
        <v>386440636.39999998</v>
      </c>
      <c r="F32" s="55">
        <f>SUM(G32:H32)</f>
        <v>445986295.67000002</v>
      </c>
      <c r="G32" s="82">
        <f>103000000+22000000+40000000+20000000+40000000+40986295.67+40000000+40000000+100000000</f>
        <v>445986295.67000002</v>
      </c>
      <c r="H32" s="56"/>
      <c r="I32" s="57">
        <f>D32+E32-F32</f>
        <v>1040921884.4099998</v>
      </c>
      <c r="J32" s="58">
        <f t="shared" si="0"/>
        <v>-59545659.270000041</v>
      </c>
      <c r="K32" s="59">
        <f t="shared" si="1"/>
        <v>1.1540874681936013</v>
      </c>
      <c r="M32" s="140">
        <f t="shared" si="3"/>
        <v>386.44063639999996</v>
      </c>
      <c r="N32" s="136">
        <f t="shared" si="3"/>
        <v>445.98629567</v>
      </c>
      <c r="O32" s="109">
        <f>O30+M32</f>
        <v>2814.4730122700003</v>
      </c>
      <c r="P32" s="109">
        <f>P30+N32</f>
        <v>1773.5511278599997</v>
      </c>
      <c r="Q32" s="129"/>
      <c r="R32" s="105">
        <f>IF(O32=0,"",P32/O32)</f>
        <v>0.63015389386503662</v>
      </c>
    </row>
    <row r="33" spans="2:20" s="69" customFormat="1" ht="18" hidden="1" customHeight="1" outlineLevel="2" x14ac:dyDescent="0.2">
      <c r="B33" s="63">
        <v>2015</v>
      </c>
      <c r="C33" s="166" t="s">
        <v>16</v>
      </c>
      <c r="D33" s="176"/>
      <c r="E33" s="172">
        <f>SUM(E29,E30,E32)</f>
        <v>1220921884.4099998</v>
      </c>
      <c r="F33" s="65">
        <f>SUM(F29,F30,F32)</f>
        <v>810986295.67000008</v>
      </c>
      <c r="G33" s="65">
        <f>SUM(G29,G30,G32)</f>
        <v>810986295.67000008</v>
      </c>
      <c r="H33" s="90">
        <f>SUM(H29,H30,H32)</f>
        <v>0</v>
      </c>
      <c r="I33" s="67">
        <f>I32</f>
        <v>1040921884.4099998</v>
      </c>
      <c r="J33" s="68">
        <f t="shared" si="0"/>
        <v>409935588.73999977</v>
      </c>
      <c r="K33" s="154">
        <f t="shared" si="1"/>
        <v>0.6642409363166607</v>
      </c>
      <c r="M33" s="139"/>
      <c r="N33" s="138"/>
      <c r="O33" s="108"/>
      <c r="P33" s="104"/>
      <c r="Q33" s="104"/>
      <c r="R33" s="105" t="str">
        <f t="shared" si="4"/>
        <v/>
      </c>
      <c r="S33" s="112"/>
      <c r="T33" s="112"/>
    </row>
    <row r="34" spans="2:20" ht="18" customHeight="1" outlineLevel="1" collapsed="1" x14ac:dyDescent="0.2">
      <c r="B34" s="60">
        <v>2015</v>
      </c>
      <c r="C34" s="98">
        <v>42095</v>
      </c>
      <c r="D34" s="175">
        <f>I32</f>
        <v>1040921884.4099998</v>
      </c>
      <c r="E34" s="171">
        <v>317874062.44</v>
      </c>
      <c r="F34" s="55">
        <f>SUM(G34:H34)</f>
        <v>240000000</v>
      </c>
      <c r="G34" s="82">
        <f>20000000+60000000+30000000+10000000+40000000+40000000+40000000</f>
        <v>240000000</v>
      </c>
      <c r="H34" s="91"/>
      <c r="I34" s="57">
        <f>D34+E34-F34</f>
        <v>1118795946.8499999</v>
      </c>
      <c r="J34" s="58">
        <f t="shared" si="0"/>
        <v>77874062.439999998</v>
      </c>
      <c r="K34" s="59">
        <f t="shared" si="1"/>
        <v>0.75501599016214471</v>
      </c>
      <c r="M34" s="140"/>
      <c r="N34" s="136"/>
      <c r="O34" s="109"/>
      <c r="P34" s="129"/>
      <c r="Q34" s="129"/>
      <c r="R34" s="105" t="str">
        <f t="shared" si="4"/>
        <v/>
      </c>
    </row>
    <row r="35" spans="2:20" s="69" customFormat="1" ht="18" hidden="1" customHeight="1" outlineLevel="2" x14ac:dyDescent="0.2">
      <c r="B35" s="63">
        <v>2015</v>
      </c>
      <c r="C35" s="166" t="s">
        <v>17</v>
      </c>
      <c r="D35" s="176"/>
      <c r="E35" s="172">
        <f>SUM(E29,E30,E32,E34)</f>
        <v>1538795946.8499999</v>
      </c>
      <c r="F35" s="65">
        <f>SUM(F29,F30,F32,F34)</f>
        <v>1050986295.6700001</v>
      </c>
      <c r="G35" s="65">
        <f>SUM(G29,G30,G32,G34)</f>
        <v>1050986295.6700001</v>
      </c>
      <c r="H35" s="90">
        <f>SUM(H29,H30,H32,H34)</f>
        <v>0</v>
      </c>
      <c r="I35" s="67">
        <f>I34</f>
        <v>1118795946.8499999</v>
      </c>
      <c r="J35" s="68">
        <f t="shared" si="0"/>
        <v>487809651.17999983</v>
      </c>
      <c r="K35" s="59">
        <f t="shared" si="1"/>
        <v>0.68299263318273418</v>
      </c>
      <c r="M35" s="139"/>
      <c r="N35" s="138"/>
      <c r="O35" s="108"/>
      <c r="P35" s="104"/>
      <c r="Q35" s="104"/>
      <c r="R35" s="105" t="str">
        <f t="shared" si="4"/>
        <v/>
      </c>
      <c r="S35" s="112"/>
      <c r="T35" s="112"/>
    </row>
    <row r="36" spans="2:20" ht="18" customHeight="1" outlineLevel="1" collapsed="1" x14ac:dyDescent="0.2">
      <c r="B36" s="60">
        <v>2015</v>
      </c>
      <c r="C36" s="98">
        <v>42125</v>
      </c>
      <c r="D36" s="175">
        <f>I34</f>
        <v>1118795946.8499999</v>
      </c>
      <c r="E36" s="171">
        <v>158152950.78</v>
      </c>
      <c r="F36" s="55">
        <f>SUM(G36:H36)</f>
        <v>80000000</v>
      </c>
      <c r="G36" s="82">
        <f>15000000+2000000+2000000+2000000+2000000+2000000+2000000+301275.82+1698724.18+2000000+2000000+2000000+45000000</f>
        <v>80000000</v>
      </c>
      <c r="H36" s="91"/>
      <c r="I36" s="57">
        <f>D36+E36-F36</f>
        <v>1196948897.6299999</v>
      </c>
      <c r="J36" s="58">
        <f t="shared" si="0"/>
        <v>78152950.780000001</v>
      </c>
      <c r="K36" s="59">
        <f t="shared" si="1"/>
        <v>0.50583943964020417</v>
      </c>
      <c r="M36" s="140"/>
      <c r="N36" s="136"/>
      <c r="O36" s="109"/>
      <c r="P36" s="129"/>
      <c r="Q36" s="129"/>
      <c r="R36" s="105" t="str">
        <f t="shared" si="4"/>
        <v/>
      </c>
    </row>
    <row r="37" spans="2:20" s="69" customFormat="1" ht="18" hidden="1" customHeight="1" outlineLevel="2" x14ac:dyDescent="0.2">
      <c r="B37" s="63">
        <v>2015</v>
      </c>
      <c r="C37" s="166" t="s">
        <v>18</v>
      </c>
      <c r="D37" s="176"/>
      <c r="E37" s="172">
        <f>SUM(E29,E30,E32,E34,E36)</f>
        <v>1696948897.6299999</v>
      </c>
      <c r="F37" s="65">
        <f>SUM(F29,F30,F32,F34,F36)</f>
        <v>1130986295.6700001</v>
      </c>
      <c r="G37" s="65">
        <f>SUM(G29,G30,G32,G34,G36)</f>
        <v>1130986295.6700001</v>
      </c>
      <c r="H37" s="90">
        <f>SUM(H29,H30,H32,H34,H36)</f>
        <v>0</v>
      </c>
      <c r="I37" s="67">
        <f>I36</f>
        <v>1196948897.6299999</v>
      </c>
      <c r="J37" s="68">
        <f t="shared" si="0"/>
        <v>565962601.9599998</v>
      </c>
      <c r="K37" s="59">
        <f t="shared" si="1"/>
        <v>0.66648223599989553</v>
      </c>
      <c r="M37" s="139"/>
      <c r="N37" s="138"/>
      <c r="O37" s="108"/>
      <c r="P37" s="104"/>
      <c r="Q37" s="104"/>
      <c r="R37" s="105" t="str">
        <f t="shared" si="4"/>
        <v/>
      </c>
      <c r="S37" s="112"/>
      <c r="T37" s="112"/>
    </row>
    <row r="38" spans="2:20" ht="18" customHeight="1" outlineLevel="1" collapsed="1" x14ac:dyDescent="0.2">
      <c r="B38" s="60">
        <v>2015</v>
      </c>
      <c r="C38" s="98">
        <v>42156</v>
      </c>
      <c r="D38" s="175">
        <f>I36</f>
        <v>1196948897.6299999</v>
      </c>
      <c r="E38" s="171">
        <v>139907670</v>
      </c>
      <c r="F38" s="55">
        <f>SUM(G38:H38)</f>
        <v>84000000</v>
      </c>
      <c r="G38" s="82">
        <f>2000000*21+42000000</f>
        <v>84000000</v>
      </c>
      <c r="H38" s="91"/>
      <c r="I38" s="57">
        <f>D38+E38-F38</f>
        <v>1252856567.6299999</v>
      </c>
      <c r="J38" s="58">
        <f t="shared" ref="J38:J74" si="5">E38-F38</f>
        <v>55907670</v>
      </c>
      <c r="K38" s="59">
        <f t="shared" ref="K38:K69" si="6">IF(E38=0,"",F38/E38)</f>
        <v>0.60039596113636939</v>
      </c>
      <c r="M38" s="140"/>
      <c r="N38" s="136"/>
      <c r="O38" s="109"/>
      <c r="P38" s="129"/>
      <c r="Q38" s="129"/>
      <c r="R38" s="105" t="str">
        <f t="shared" si="4"/>
        <v/>
      </c>
    </row>
    <row r="39" spans="2:20" s="69" customFormat="1" ht="18" hidden="1" customHeight="1" outlineLevel="2" x14ac:dyDescent="0.2">
      <c r="B39" s="63">
        <v>2015</v>
      </c>
      <c r="C39" s="166" t="s">
        <v>19</v>
      </c>
      <c r="D39" s="176"/>
      <c r="E39" s="172">
        <f>SUM(E29,E30,E32,E34,E36,E38)</f>
        <v>1836856567.6299999</v>
      </c>
      <c r="F39" s="65">
        <f>SUM(F29,F30,F32,F34,F36,F38)</f>
        <v>1214986295.6700001</v>
      </c>
      <c r="G39" s="65">
        <f>SUM(G29,G30,G32,G34,G36,G38)</f>
        <v>1214986295.6700001</v>
      </c>
      <c r="H39" s="90">
        <f>SUM(H29,H30,H32,H34,H36,H38)</f>
        <v>0</v>
      </c>
      <c r="I39" s="67">
        <f>I38</f>
        <v>1252856567.6299999</v>
      </c>
      <c r="J39" s="68">
        <f t="shared" si="5"/>
        <v>621870271.9599998</v>
      </c>
      <c r="K39" s="154">
        <f t="shared" si="6"/>
        <v>0.66144864932901837</v>
      </c>
      <c r="M39" s="139"/>
      <c r="N39" s="138"/>
      <c r="O39" s="108"/>
      <c r="P39" s="104"/>
      <c r="Q39" s="104"/>
      <c r="R39" s="105" t="str">
        <f t="shared" si="4"/>
        <v/>
      </c>
      <c r="S39" s="112"/>
      <c r="T39" s="112"/>
    </row>
    <row r="40" spans="2:20" ht="18" customHeight="1" outlineLevel="1" collapsed="1" x14ac:dyDescent="0.2">
      <c r="B40" s="60">
        <v>2015</v>
      </c>
      <c r="C40" s="98">
        <v>42186</v>
      </c>
      <c r="D40" s="175">
        <f>I38</f>
        <v>1252856567.6299999</v>
      </c>
      <c r="E40" s="171">
        <v>136825351.14379999</v>
      </c>
      <c r="F40" s="55">
        <f>SUM(G40:H40)</f>
        <v>30000000</v>
      </c>
      <c r="G40" s="82">
        <f>4000000+2000000*13</f>
        <v>30000000</v>
      </c>
      <c r="H40" s="91"/>
      <c r="I40" s="57">
        <f>D40+E40-F40</f>
        <v>1359681918.7737999</v>
      </c>
      <c r="J40" s="58">
        <f t="shared" si="5"/>
        <v>106825351.14379999</v>
      </c>
      <c r="K40" s="59">
        <f t="shared" si="6"/>
        <v>0.21925761380630959</v>
      </c>
      <c r="M40" s="140"/>
      <c r="N40" s="136"/>
      <c r="O40" s="109"/>
      <c r="P40" s="129"/>
      <c r="Q40" s="129"/>
      <c r="R40" s="105" t="str">
        <f t="shared" si="4"/>
        <v/>
      </c>
    </row>
    <row r="41" spans="2:20" s="69" customFormat="1" ht="18" hidden="1" customHeight="1" outlineLevel="2" x14ac:dyDescent="0.2">
      <c r="B41" s="63">
        <v>2015</v>
      </c>
      <c r="C41" s="166" t="s">
        <v>20</v>
      </c>
      <c r="D41" s="176"/>
      <c r="E41" s="172">
        <f>SUM(E29,E30,E32,E34,E36,E38,E40)</f>
        <v>1973681918.7737999</v>
      </c>
      <c r="F41" s="65">
        <f>SUM(F29,F30,F32,F34,F36,F38,F40)</f>
        <v>1244986295.6700001</v>
      </c>
      <c r="G41" s="65">
        <f>SUM(G29,G30,G32,G34,G36,G38,G40)</f>
        <v>1244986295.6700001</v>
      </c>
      <c r="H41" s="90">
        <f>SUM(H29,H30,H32,H34,H36,H38,H40)</f>
        <v>0</v>
      </c>
      <c r="I41" s="67">
        <f>I40</f>
        <v>1359681918.7737999</v>
      </c>
      <c r="J41" s="68">
        <f t="shared" si="5"/>
        <v>728695623.10379982</v>
      </c>
      <c r="K41" s="154">
        <f t="shared" si="6"/>
        <v>0.63079378892191473</v>
      </c>
      <c r="L41" s="45"/>
      <c r="M41" s="140"/>
      <c r="N41" s="136"/>
      <c r="O41" s="108"/>
      <c r="P41" s="104"/>
      <c r="Q41" s="104"/>
      <c r="R41" s="105" t="str">
        <f t="shared" si="4"/>
        <v/>
      </c>
      <c r="S41" s="112"/>
      <c r="T41" s="112"/>
    </row>
    <row r="42" spans="2:20" ht="18" customHeight="1" outlineLevel="1" collapsed="1" x14ac:dyDescent="0.2">
      <c r="B42" s="60">
        <v>2015</v>
      </c>
      <c r="C42" s="98">
        <v>42217</v>
      </c>
      <c r="D42" s="175">
        <f>I40</f>
        <v>1359681918.7737999</v>
      </c>
      <c r="E42" s="171">
        <v>122427884.88</v>
      </c>
      <c r="F42" s="55">
        <f>SUM(G42:H42)</f>
        <v>0</v>
      </c>
      <c r="G42" s="82">
        <v>0</v>
      </c>
      <c r="H42" s="91"/>
      <c r="I42" s="57">
        <f>D42+E42-F42</f>
        <v>1482109803.6538</v>
      </c>
      <c r="J42" s="58">
        <f t="shared" si="5"/>
        <v>122427884.88</v>
      </c>
      <c r="K42" s="59">
        <f t="shared" si="6"/>
        <v>0</v>
      </c>
      <c r="M42" s="140"/>
      <c r="N42" s="136"/>
      <c r="O42" s="109"/>
      <c r="P42" s="129"/>
      <c r="Q42" s="129"/>
      <c r="R42" s="105" t="str">
        <f t="shared" si="4"/>
        <v/>
      </c>
    </row>
    <row r="43" spans="2:20" s="69" customFormat="1" ht="18" hidden="1" customHeight="1" outlineLevel="2" x14ac:dyDescent="0.2">
      <c r="B43" s="63">
        <v>2015</v>
      </c>
      <c r="C43" s="166" t="s">
        <v>21</v>
      </c>
      <c r="D43" s="176"/>
      <c r="E43" s="172">
        <f>SUM(E29,E30,E32,E34,E36,E38,E40,E42)</f>
        <v>2096109803.6538</v>
      </c>
      <c r="F43" s="65">
        <f>SUM(F29,F30,F32,F34,F36,F38,F40,F42)</f>
        <v>1244986295.6700001</v>
      </c>
      <c r="G43" s="65">
        <f>SUM(G29,G30,G32,G34,G36,G38,G40,G42)</f>
        <v>1244986295.6700001</v>
      </c>
      <c r="H43" s="90">
        <f>SUM(H29,H30,H32,H34,H36,H38,H40,H42)</f>
        <v>0</v>
      </c>
      <c r="I43" s="67">
        <f>I42</f>
        <v>1482109803.6538</v>
      </c>
      <c r="J43" s="68">
        <f t="shared" si="5"/>
        <v>851123507.98379993</v>
      </c>
      <c r="K43" s="154">
        <f t="shared" si="6"/>
        <v>0.59395089584516148</v>
      </c>
      <c r="L43" s="45"/>
      <c r="M43" s="140"/>
      <c r="N43" s="136"/>
      <c r="O43" s="108"/>
      <c r="P43" s="104"/>
      <c r="Q43" s="104"/>
      <c r="R43" s="105" t="str">
        <f t="shared" si="4"/>
        <v/>
      </c>
      <c r="S43" s="112"/>
      <c r="T43" s="112"/>
    </row>
    <row r="44" spans="2:20" ht="18" customHeight="1" outlineLevel="1" collapsed="1" x14ac:dyDescent="0.2">
      <c r="B44" s="60">
        <v>2015</v>
      </c>
      <c r="C44" s="98">
        <v>42248</v>
      </c>
      <c r="D44" s="175">
        <f>I42</f>
        <v>1482109803.6538</v>
      </c>
      <c r="E44" s="168">
        <f>141655119.43-(3573840.09+14407370.54)-(3190230.72+12681092.64)-(3696658.08+14473271.41)</f>
        <v>89632655.950000018</v>
      </c>
      <c r="F44" s="55">
        <f>SUM(G44:H44)</f>
        <v>20000000</v>
      </c>
      <c r="G44" s="82">
        <v>20000000</v>
      </c>
      <c r="H44" s="91"/>
      <c r="I44" s="57">
        <f>D44+E44-F44</f>
        <v>1551742459.6038001</v>
      </c>
      <c r="J44" s="58">
        <f t="shared" si="5"/>
        <v>69632655.950000018</v>
      </c>
      <c r="K44" s="59">
        <f t="shared" si="6"/>
        <v>0.22313296184324433</v>
      </c>
      <c r="M44" s="140"/>
      <c r="N44" s="136"/>
      <c r="O44" s="130"/>
      <c r="P44" s="129"/>
      <c r="Q44" s="129"/>
      <c r="R44" s="105" t="str">
        <f t="shared" si="4"/>
        <v/>
      </c>
    </row>
    <row r="45" spans="2:20" s="69" customFormat="1" ht="18" hidden="1" customHeight="1" outlineLevel="2" x14ac:dyDescent="0.2">
      <c r="B45" s="63">
        <v>2015</v>
      </c>
      <c r="C45" s="166" t="s">
        <v>22</v>
      </c>
      <c r="D45" s="176"/>
      <c r="E45" s="172">
        <f>SUM(E29,E30,E32,E34,E36,E38,E40,E42,E44)</f>
        <v>2185742459.6037998</v>
      </c>
      <c r="F45" s="65">
        <f>SUM(F29,F30,F32,F34,F36,F38,F42,F44)</f>
        <v>1234986295.6700001</v>
      </c>
      <c r="G45" s="65">
        <f>SUM(G29,G30,G32,G34,G36,G38,G42,G44)</f>
        <v>1234986295.6700001</v>
      </c>
      <c r="H45" s="90">
        <f>SUM(H29,H30,H32,H34,H36,H38,H42,H44)</f>
        <v>0</v>
      </c>
      <c r="I45" s="67">
        <f>I44</f>
        <v>1551742459.6038001</v>
      </c>
      <c r="J45" s="68">
        <f t="shared" si="5"/>
        <v>950756163.93379974</v>
      </c>
      <c r="K45" s="154">
        <f t="shared" si="6"/>
        <v>0.5650191266787491</v>
      </c>
      <c r="L45" s="45"/>
      <c r="M45" s="140"/>
      <c r="N45" s="136"/>
      <c r="O45" s="108"/>
      <c r="P45" s="104"/>
      <c r="Q45" s="104"/>
      <c r="R45" s="105" t="str">
        <f t="shared" si="4"/>
        <v/>
      </c>
      <c r="S45" s="112"/>
      <c r="T45" s="112"/>
    </row>
    <row r="46" spans="2:20" ht="18" customHeight="1" outlineLevel="1" collapsed="1" x14ac:dyDescent="0.2">
      <c r="B46" s="60">
        <v>2015</v>
      </c>
      <c r="C46" s="98">
        <v>42278</v>
      </c>
      <c r="D46" s="175">
        <f>I44</f>
        <v>1551742459.6038001</v>
      </c>
      <c r="E46" s="171">
        <f>(312225466.45-8171335.34)+(14407370.54+12681092.64+14473271.41)</f>
        <v>345615865.70000005</v>
      </c>
      <c r="F46" s="55">
        <f>SUM(G46:H46)</f>
        <v>184762393.15000001</v>
      </c>
      <c r="G46" s="82">
        <f>(310800+1100000+1140000)+36870739.11+(63710124.83+2239730.59)+(12887.14+2755256.84)+(28.36+1327476.57+2912252.34)+(68653.3+51096+1381484.29)+(47875926.35+9695.15+2358204.79)+(654362.53+8920819.9+130000+1378152)+(18224.33+9536478.73)</f>
        <v>184762393.15000001</v>
      </c>
      <c r="H46" s="91"/>
      <c r="I46" s="57">
        <f>D46+E46-F46</f>
        <v>1712595932.1538</v>
      </c>
      <c r="J46" s="58">
        <f t="shared" si="5"/>
        <v>160853472.55000004</v>
      </c>
      <c r="K46" s="59">
        <f t="shared" si="6"/>
        <v>0.53458886436184805</v>
      </c>
      <c r="M46" s="140"/>
      <c r="N46" s="136"/>
      <c r="O46" s="130"/>
      <c r="P46" s="129"/>
      <c r="Q46" s="129"/>
      <c r="R46" s="105" t="str">
        <f t="shared" si="4"/>
        <v/>
      </c>
      <c r="T46" s="206"/>
    </row>
    <row r="47" spans="2:20" s="69" customFormat="1" ht="18" hidden="1" customHeight="1" outlineLevel="2" x14ac:dyDescent="0.2">
      <c r="B47" s="63">
        <v>2015</v>
      </c>
      <c r="C47" s="166" t="s">
        <v>23</v>
      </c>
      <c r="D47" s="176"/>
      <c r="E47" s="172">
        <f>SUM(E29,E30,E32,E34,E36,E38,E40,E42,E44,E46)</f>
        <v>2531358325.3037996</v>
      </c>
      <c r="F47" s="65">
        <f>SUM(F29,F30,F32,F34,F36,F38,F40,F42,F44,F46)</f>
        <v>1449748688.8200002</v>
      </c>
      <c r="G47" s="65">
        <f>SUM(G29,G30,G32,G34,G36,G38,G40,G42,G44,G46)</f>
        <v>1449748688.8200002</v>
      </c>
      <c r="H47" s="90">
        <f>SUM(H29,H30,H32,H34,H36,H38,H40,H42,H44,H46)</f>
        <v>0</v>
      </c>
      <c r="I47" s="67">
        <f>I46</f>
        <v>1712595932.1538</v>
      </c>
      <c r="J47" s="68">
        <f t="shared" si="5"/>
        <v>1081609636.4837995</v>
      </c>
      <c r="K47" s="154">
        <f t="shared" si="6"/>
        <v>0.57271571327066439</v>
      </c>
      <c r="M47" s="139"/>
      <c r="N47" s="138"/>
      <c r="O47" s="108"/>
      <c r="P47" s="104"/>
      <c r="Q47" s="104"/>
      <c r="R47" s="105" t="str">
        <f t="shared" si="4"/>
        <v/>
      </c>
      <c r="S47" s="112"/>
      <c r="T47" s="112"/>
    </row>
    <row r="48" spans="2:20" ht="18" customHeight="1" outlineLevel="1" collapsed="1" x14ac:dyDescent="0.2">
      <c r="B48" s="60">
        <v>2015</v>
      </c>
      <c r="C48" s="98">
        <v>42309</v>
      </c>
      <c r="D48" s="175">
        <f>I46</f>
        <v>1712595932.1538</v>
      </c>
      <c r="E48" s="171">
        <f>(399823228.19-10514535.28)</f>
        <v>389308692.91000003</v>
      </c>
      <c r="F48" s="55">
        <f>SUM(G48:H48)</f>
        <v>37289601.689999998</v>
      </c>
      <c r="G48" s="82">
        <f>(2078.76+50000+2880153.55)+(509.54+100000+3559230.87)+(93917.82+7266427.33)+(26875.2+1106.21+6158326.68)+(95016.13+5485212.77)+11570746.83</f>
        <v>37289601.689999998</v>
      </c>
      <c r="H48" s="56"/>
      <c r="I48" s="57">
        <f>D48+E48-F48</f>
        <v>2064615023.3738</v>
      </c>
      <c r="J48" s="58">
        <f t="shared" si="5"/>
        <v>352019091.22000003</v>
      </c>
      <c r="K48" s="59">
        <f t="shared" si="6"/>
        <v>9.5784148592388527E-2</v>
      </c>
      <c r="M48" s="140"/>
      <c r="N48" s="136"/>
      <c r="O48" s="130"/>
      <c r="P48" s="129"/>
      <c r="Q48" s="129"/>
      <c r="R48" s="105" t="str">
        <f t="shared" si="4"/>
        <v/>
      </c>
    </row>
    <row r="49" spans="2:21" s="69" customFormat="1" ht="18" hidden="1" customHeight="1" outlineLevel="2" x14ac:dyDescent="0.2">
      <c r="B49" s="63">
        <v>2015</v>
      </c>
      <c r="C49" s="166" t="s">
        <v>24</v>
      </c>
      <c r="D49" s="176"/>
      <c r="E49" s="172">
        <f>SUM(E29,E30,E32,E34,E36,E38,E40,E42,E44,E46,E48)</f>
        <v>2920667018.2137995</v>
      </c>
      <c r="F49" s="65">
        <f>SUM(F29,F30,F32,F34,F36,F38,F40,F42,F44,F46,F48)</f>
        <v>1487038290.5100002</v>
      </c>
      <c r="G49" s="65">
        <f>SUM(G29,G30,G32,G34,G36,G38,G40,G42,G44,G46,G48)</f>
        <v>1487038290.5100002</v>
      </c>
      <c r="H49" s="66">
        <f>SUM(H29,H30,H32,H34,H36,H38,H40,H42,H44,H46,H48)</f>
        <v>0</v>
      </c>
      <c r="I49" s="67">
        <f>I48</f>
        <v>2064615023.3738</v>
      </c>
      <c r="J49" s="68">
        <f t="shared" si="5"/>
        <v>1433628727.7037992</v>
      </c>
      <c r="K49" s="154">
        <f t="shared" si="6"/>
        <v>0.50914338445175866</v>
      </c>
      <c r="M49" s="139"/>
      <c r="N49" s="138"/>
      <c r="O49" s="108"/>
      <c r="P49" s="104"/>
      <c r="Q49" s="104"/>
      <c r="R49" s="105" t="str">
        <f t="shared" si="4"/>
        <v/>
      </c>
      <c r="S49" s="112"/>
      <c r="T49" s="112"/>
    </row>
    <row r="50" spans="2:21" ht="18" customHeight="1" outlineLevel="1" collapsed="1" thickBot="1" x14ac:dyDescent="0.25">
      <c r="B50" s="60">
        <v>2015</v>
      </c>
      <c r="C50" s="99">
        <v>42339</v>
      </c>
      <c r="D50" s="75">
        <f>I48</f>
        <v>2064615023.3738</v>
      </c>
      <c r="E50" s="180">
        <f>434827470.63+(3573840.09+3190230.72+3696658.08+8171335.34+10514535.28)-(10159.27+59729.84)-(41364.29+352249.03)-(1037.17+8992.86)</f>
        <v>463500537.68000001</v>
      </c>
      <c r="F50" s="72">
        <f>SUM(G50:H50)</f>
        <v>77060746.829999998</v>
      </c>
      <c r="G50" s="73">
        <f>11570746.83+(1000000+9000000)+(1000000+9000000)+(1000000+9000000)+(1000000+5490000+9000000)+(1400000+8600000)+(5000000+5000000)</f>
        <v>77060746.829999998</v>
      </c>
      <c r="H50" s="74"/>
      <c r="I50" s="75">
        <f>D50+E50-F50</f>
        <v>2451054814.2238002</v>
      </c>
      <c r="J50" s="75">
        <f t="shared" si="5"/>
        <v>386439790.85000002</v>
      </c>
      <c r="K50" s="100">
        <f t="shared" si="6"/>
        <v>0.16625816059614285</v>
      </c>
      <c r="M50" s="141"/>
      <c r="N50" s="142"/>
      <c r="O50" s="131"/>
      <c r="P50" s="132"/>
      <c r="Q50" s="132"/>
      <c r="R50" s="164" t="str">
        <f t="shared" si="4"/>
        <v/>
      </c>
    </row>
    <row r="51" spans="2:21" s="69" customFormat="1" ht="25.5" customHeight="1" thickBot="1" x14ac:dyDescent="0.25">
      <c r="B51" s="80">
        <v>2015</v>
      </c>
      <c r="C51" s="80" t="s">
        <v>47</v>
      </c>
      <c r="D51" s="78">
        <f>I28</f>
        <v>630986295.66999996</v>
      </c>
      <c r="E51" s="169">
        <f>E29+E30+E32+E34+E36+E38+E40+E42+E44+E46+E48+E50</f>
        <v>3384167555.8937993</v>
      </c>
      <c r="F51" s="76">
        <f>F29+F30+F32+F34+F36+F38+F40+F42+F44+F46+F48+F50</f>
        <v>1564099037.3400002</v>
      </c>
      <c r="G51" s="76">
        <f>G29+G30+G32+G34+G36+G38+G40+G42+G44+G46+G48+G50</f>
        <v>1564099037.3400002</v>
      </c>
      <c r="H51" s="77">
        <f>H29+H30+H32+H34+H36+H38+H40+H42+H44+H46+H48+H50</f>
        <v>0</v>
      </c>
      <c r="I51" s="78">
        <f>I50</f>
        <v>2451054814.2238002</v>
      </c>
      <c r="J51" s="79">
        <f t="shared" si="5"/>
        <v>1820068518.5537992</v>
      </c>
      <c r="K51" s="101">
        <f t="shared" si="6"/>
        <v>0.46218132273503898</v>
      </c>
      <c r="M51" s="147">
        <f>SUM(M29:M50)</f>
        <v>2055.40313242</v>
      </c>
      <c r="N51" s="126">
        <f>SUM(N29:N50)</f>
        <v>1175.9862956699999</v>
      </c>
      <c r="O51" s="120">
        <f>O50</f>
        <v>0</v>
      </c>
      <c r="P51" s="133">
        <f>P50</f>
        <v>0</v>
      </c>
      <c r="Q51" s="133"/>
      <c r="R51" s="128" t="str">
        <f>IF(O51=0,"",P51/O51)</f>
        <v/>
      </c>
      <c r="S51" s="112"/>
      <c r="T51" s="112"/>
      <c r="U51" s="185"/>
    </row>
    <row r="52" spans="2:21" ht="18" customHeight="1" outlineLevel="1" x14ac:dyDescent="0.2">
      <c r="B52" s="52">
        <v>2015</v>
      </c>
      <c r="C52" s="97">
        <v>42370</v>
      </c>
      <c r="D52" s="57">
        <f>I50</f>
        <v>2451054814.2238002</v>
      </c>
      <c r="E52" s="170">
        <v>567278877.03999996</v>
      </c>
      <c r="F52" s="55">
        <f>SUM(G52:H52)</f>
        <v>301727921.19</v>
      </c>
      <c r="G52" s="81">
        <v>301727921.19</v>
      </c>
      <c r="H52" s="56"/>
      <c r="I52" s="57">
        <f>D52+E52-F52</f>
        <v>2716605770.0738001</v>
      </c>
      <c r="J52" s="58">
        <f t="shared" si="5"/>
        <v>265550955.84999996</v>
      </c>
      <c r="K52" s="59">
        <f t="shared" si="6"/>
        <v>0.53188640261802755</v>
      </c>
      <c r="M52" s="143">
        <f t="shared" ref="M52:N55" si="7">E52/$S$3</f>
        <v>567.27887704</v>
      </c>
      <c r="N52" s="144">
        <f t="shared" si="7"/>
        <v>301.72792119000002</v>
      </c>
      <c r="O52" s="109">
        <f>O50+M52</f>
        <v>567.27887704</v>
      </c>
      <c r="P52" s="109">
        <f>P50+N52</f>
        <v>301.72792119000002</v>
      </c>
      <c r="Q52" s="123"/>
      <c r="R52" s="124">
        <f>IF(O52=0,"",P52/O52)</f>
        <v>0.53188640261802766</v>
      </c>
      <c r="U52" s="167"/>
    </row>
    <row r="53" spans="2:21" ht="18" customHeight="1" outlineLevel="1" x14ac:dyDescent="0.2">
      <c r="B53" s="60">
        <v>2015</v>
      </c>
      <c r="C53" s="98">
        <v>42401</v>
      </c>
      <c r="D53" s="175">
        <f>I52</f>
        <v>2716605770.0738001</v>
      </c>
      <c r="E53" s="171">
        <v>422315525.80000001</v>
      </c>
      <c r="F53" s="55">
        <f>SUM(G53:H53)</f>
        <v>303917050.31</v>
      </c>
      <c r="G53" s="82">
        <v>450917050.31</v>
      </c>
      <c r="H53" s="181">
        <v>-147000000</v>
      </c>
      <c r="I53" s="57">
        <f>D53+E53-F53</f>
        <v>2835004245.5638003</v>
      </c>
      <c r="J53" s="58">
        <f t="shared" si="5"/>
        <v>118398475.49000001</v>
      </c>
      <c r="K53" s="59">
        <f t="shared" si="6"/>
        <v>0.7196445116108019</v>
      </c>
      <c r="M53" s="140">
        <f t="shared" si="7"/>
        <v>422.31552579999999</v>
      </c>
      <c r="N53" s="136">
        <f t="shared" si="7"/>
        <v>303.91705030999998</v>
      </c>
      <c r="O53" s="109">
        <f>O52+M53</f>
        <v>989.59440283999993</v>
      </c>
      <c r="P53" s="109">
        <f>P52+N53</f>
        <v>605.6449715</v>
      </c>
      <c r="Q53" s="117"/>
      <c r="R53" s="105">
        <f>IF(O53=0,"",P53/O53)</f>
        <v>0.61201333572813488</v>
      </c>
      <c r="U53" s="167"/>
    </row>
    <row r="54" spans="2:21" s="69" customFormat="1" ht="18" hidden="1" customHeight="1" outlineLevel="2" x14ac:dyDescent="0.2">
      <c r="B54" s="63">
        <v>2015</v>
      </c>
      <c r="C54" s="166" t="s">
        <v>15</v>
      </c>
      <c r="D54" s="176"/>
      <c r="E54" s="172">
        <f>SUM(E52:E53)</f>
        <v>989594402.83999991</v>
      </c>
      <c r="F54" s="65">
        <f>SUM(F52:F53)</f>
        <v>605644971.5</v>
      </c>
      <c r="G54" s="65">
        <f>SUM(G52:G53)</f>
        <v>752644971.5</v>
      </c>
      <c r="H54" s="66">
        <f>SUM(H52:H53)</f>
        <v>-147000000</v>
      </c>
      <c r="I54" s="67">
        <f>I53</f>
        <v>2835004245.5638003</v>
      </c>
      <c r="J54" s="68">
        <f t="shared" si="5"/>
        <v>383949431.33999991</v>
      </c>
      <c r="K54" s="154">
        <f t="shared" si="6"/>
        <v>0.61201333572813488</v>
      </c>
      <c r="M54" s="140">
        <f t="shared" si="7"/>
        <v>989.59440283999993</v>
      </c>
      <c r="N54" s="136">
        <f t="shared" si="7"/>
        <v>605.6449715</v>
      </c>
      <c r="O54" s="109"/>
      <c r="P54" s="104"/>
      <c r="Q54" s="104"/>
      <c r="R54" s="105" t="str">
        <f>IF(O54=0,"",P54/O54)</f>
        <v/>
      </c>
      <c r="S54" s="112"/>
      <c r="T54" s="112"/>
      <c r="U54" s="185"/>
    </row>
    <row r="55" spans="2:21" ht="18" customHeight="1" outlineLevel="1" collapsed="1" x14ac:dyDescent="0.2">
      <c r="B55" s="60">
        <v>2015</v>
      </c>
      <c r="C55" s="98">
        <v>42430</v>
      </c>
      <c r="D55" s="175">
        <f>I53</f>
        <v>2835004245.5638003</v>
      </c>
      <c r="E55" s="171">
        <v>439898829.88999999</v>
      </c>
      <c r="F55" s="55">
        <f>SUM(G55:H55)</f>
        <v>807717329.07000005</v>
      </c>
      <c r="G55" s="82">
        <v>807717329.07000005</v>
      </c>
      <c r="H55" s="56"/>
      <c r="I55" s="57">
        <f>D55+E55-F55</f>
        <v>2467185746.3838</v>
      </c>
      <c r="J55" s="58">
        <f t="shared" si="5"/>
        <v>-367818499.18000007</v>
      </c>
      <c r="K55" s="59">
        <f t="shared" si="6"/>
        <v>1.8361433906791156</v>
      </c>
      <c r="M55" s="140">
        <f t="shared" si="7"/>
        <v>439.89882989</v>
      </c>
      <c r="N55" s="136">
        <f t="shared" si="7"/>
        <v>807.71732907000001</v>
      </c>
      <c r="O55" s="109">
        <f>O53+M55</f>
        <v>1429.4932327299998</v>
      </c>
      <c r="P55" s="109">
        <f>P53+N55</f>
        <v>1413.3623005700001</v>
      </c>
      <c r="Q55" s="129"/>
      <c r="R55" s="105">
        <f>IF(O55=0,"",P55/O55)</f>
        <v>0.98871562887416165</v>
      </c>
      <c r="U55" s="167"/>
    </row>
    <row r="56" spans="2:21" s="69" customFormat="1" ht="18" hidden="1" customHeight="1" outlineLevel="2" x14ac:dyDescent="0.2">
      <c r="B56" s="63">
        <v>2015</v>
      </c>
      <c r="C56" s="166" t="s">
        <v>16</v>
      </c>
      <c r="D56" s="176"/>
      <c r="E56" s="172">
        <f>SUM(E52,E53,E55)</f>
        <v>1429493232.73</v>
      </c>
      <c r="F56" s="65">
        <f>SUM(F52,F53,F55)</f>
        <v>1413362300.5700002</v>
      </c>
      <c r="G56" s="65">
        <f>SUM(G52,G53,G55)</f>
        <v>1560362300.5700002</v>
      </c>
      <c r="H56" s="90">
        <f>SUM(H52,H53,H55)</f>
        <v>-147000000</v>
      </c>
      <c r="I56" s="67">
        <f>I55</f>
        <v>2467185746.3838</v>
      </c>
      <c r="J56" s="68">
        <f t="shared" si="5"/>
        <v>16130932.159999847</v>
      </c>
      <c r="K56" s="154">
        <f t="shared" si="6"/>
        <v>0.98871562887416153</v>
      </c>
      <c r="M56" s="139"/>
      <c r="N56" s="138"/>
      <c r="O56" s="108"/>
      <c r="P56" s="104"/>
      <c r="Q56" s="104"/>
      <c r="R56" s="105" t="str">
        <f t="shared" ref="R56:R73" si="8">IF(O56=0,"",P56/O56)</f>
        <v/>
      </c>
      <c r="S56" s="112"/>
      <c r="T56" s="112"/>
      <c r="U56" s="185"/>
    </row>
    <row r="57" spans="2:21" ht="18" customHeight="1" outlineLevel="1" collapsed="1" x14ac:dyDescent="0.2">
      <c r="B57" s="60">
        <v>2015</v>
      </c>
      <c r="C57" s="98">
        <v>42461</v>
      </c>
      <c r="D57" s="175">
        <f>I55</f>
        <v>2467185746.3838</v>
      </c>
      <c r="E57" s="171">
        <v>338985869.31999999</v>
      </c>
      <c r="F57" s="55">
        <f>SUM(G57:H57)</f>
        <v>180483238.13</v>
      </c>
      <c r="G57" s="82">
        <v>180483238.13</v>
      </c>
      <c r="H57" s="91"/>
      <c r="I57" s="57">
        <f>D57+E57-F57</f>
        <v>2625688377.5738001</v>
      </c>
      <c r="J57" s="58">
        <f t="shared" si="5"/>
        <v>158502631.19</v>
      </c>
      <c r="K57" s="59">
        <f t="shared" si="6"/>
        <v>0.53242112567124511</v>
      </c>
      <c r="M57" s="140"/>
      <c r="N57" s="136"/>
      <c r="O57" s="109"/>
      <c r="P57" s="129"/>
      <c r="Q57" s="129"/>
      <c r="R57" s="105" t="str">
        <f t="shared" si="8"/>
        <v/>
      </c>
      <c r="U57" s="167"/>
    </row>
    <row r="58" spans="2:21" s="69" customFormat="1" ht="18" hidden="1" customHeight="1" outlineLevel="2" x14ac:dyDescent="0.2">
      <c r="B58" s="63">
        <v>2015</v>
      </c>
      <c r="C58" s="166" t="s">
        <v>17</v>
      </c>
      <c r="D58" s="176"/>
      <c r="E58" s="172">
        <f>SUM(E52,E53,E55,E57)</f>
        <v>1768479102.05</v>
      </c>
      <c r="F58" s="65">
        <f>SUM(F52,F53,F55,F57)</f>
        <v>1593845538.7000003</v>
      </c>
      <c r="G58" s="65">
        <f>SUM(G52,G53,G55,G57)</f>
        <v>1740845538.7000003</v>
      </c>
      <c r="H58" s="90">
        <f>SUM(H52,H53,H55,H57)</f>
        <v>-147000000</v>
      </c>
      <c r="I58" s="67">
        <f>I57</f>
        <v>2625688377.5738001</v>
      </c>
      <c r="J58" s="68">
        <f t="shared" si="5"/>
        <v>174633563.34999967</v>
      </c>
      <c r="K58" s="59">
        <f t="shared" si="6"/>
        <v>0.90125211932243554</v>
      </c>
      <c r="M58" s="139"/>
      <c r="N58" s="138"/>
      <c r="O58" s="108"/>
      <c r="P58" s="104"/>
      <c r="Q58" s="104"/>
      <c r="R58" s="105" t="str">
        <f t="shared" si="8"/>
        <v/>
      </c>
      <c r="S58" s="112"/>
      <c r="T58" s="112"/>
      <c r="U58" s="185"/>
    </row>
    <row r="59" spans="2:21" ht="18" customHeight="1" outlineLevel="1" collapsed="1" x14ac:dyDescent="0.2">
      <c r="B59" s="60">
        <v>2015</v>
      </c>
      <c r="C59" s="98">
        <v>42491</v>
      </c>
      <c r="D59" s="175">
        <f>I57</f>
        <v>2625688377.5738001</v>
      </c>
      <c r="E59" s="171">
        <v>148357394.22</v>
      </c>
      <c r="F59" s="55">
        <f>SUM(G59:H59)</f>
        <v>292405712.27999997</v>
      </c>
      <c r="G59" s="82">
        <v>292405712.27999997</v>
      </c>
      <c r="H59" s="91"/>
      <c r="I59" s="57">
        <f>D59+E59-F59</f>
        <v>2481640059.5137997</v>
      </c>
      <c r="J59" s="58">
        <f t="shared" si="5"/>
        <v>-144048318.05999997</v>
      </c>
      <c r="K59" s="59">
        <f t="shared" si="6"/>
        <v>1.9709547597364101</v>
      </c>
      <c r="M59" s="140"/>
      <c r="N59" s="136"/>
      <c r="O59" s="109"/>
      <c r="P59" s="129"/>
      <c r="Q59" s="129"/>
      <c r="R59" s="105" t="str">
        <f t="shared" si="8"/>
        <v/>
      </c>
      <c r="U59" s="188"/>
    </row>
    <row r="60" spans="2:21" s="69" customFormat="1" ht="18" hidden="1" customHeight="1" outlineLevel="2" x14ac:dyDescent="0.2">
      <c r="B60" s="63">
        <v>2015</v>
      </c>
      <c r="C60" s="166" t="s">
        <v>18</v>
      </c>
      <c r="D60" s="176"/>
      <c r="E60" s="172">
        <f>SUM(E52,E53,E55,E57,E59)</f>
        <v>1916836496.27</v>
      </c>
      <c r="F60" s="65">
        <f>SUM(F52,F53,F55,F57,F59)</f>
        <v>1886251250.9800003</v>
      </c>
      <c r="G60" s="65">
        <v>2306039.37</v>
      </c>
      <c r="H60" s="90">
        <f>SUM(H52,H53,H55,H57,H59)</f>
        <v>-147000000</v>
      </c>
      <c r="I60" s="67">
        <f>I59</f>
        <v>2481640059.5137997</v>
      </c>
      <c r="J60" s="68">
        <f t="shared" si="5"/>
        <v>30585245.289999723</v>
      </c>
      <c r="K60" s="59">
        <f t="shared" si="6"/>
        <v>0.98404389453690178</v>
      </c>
      <c r="M60" s="139"/>
      <c r="N60" s="138"/>
      <c r="O60" s="108"/>
      <c r="P60" s="104"/>
      <c r="Q60" s="104"/>
      <c r="R60" s="105" t="str">
        <f t="shared" si="8"/>
        <v/>
      </c>
      <c r="S60" s="112"/>
      <c r="T60" s="112"/>
      <c r="U60" s="185"/>
    </row>
    <row r="61" spans="2:21" ht="18" customHeight="1" outlineLevel="1" collapsed="1" x14ac:dyDescent="0.2">
      <c r="B61" s="60">
        <v>2015</v>
      </c>
      <c r="C61" s="98">
        <v>42522</v>
      </c>
      <c r="D61" s="175">
        <f>I59</f>
        <v>2481640059.5137997</v>
      </c>
      <c r="E61" s="171">
        <v>107801653.98</v>
      </c>
      <c r="F61" s="55">
        <f>SUM(G61:H61)</f>
        <v>6722170.6799999997</v>
      </c>
      <c r="G61" s="82">
        <f>2306039.37+4416131.31</f>
        <v>6722170.6799999997</v>
      </c>
      <c r="H61" s="91"/>
      <c r="I61" s="57">
        <f>D61+E61-F61</f>
        <v>2582719542.8137999</v>
      </c>
      <c r="J61" s="58">
        <f t="shared" si="5"/>
        <v>101079483.30000001</v>
      </c>
      <c r="K61" s="59">
        <f t="shared" si="6"/>
        <v>6.235684177208576E-2</v>
      </c>
      <c r="M61" s="140"/>
      <c r="N61" s="136"/>
      <c r="O61" s="109"/>
      <c r="P61" s="129"/>
      <c r="Q61" s="129"/>
      <c r="R61" s="105" t="str">
        <f t="shared" si="8"/>
        <v/>
      </c>
      <c r="U61" s="167"/>
    </row>
    <row r="62" spans="2:21" s="69" customFormat="1" ht="18" hidden="1" customHeight="1" outlineLevel="2" x14ac:dyDescent="0.2">
      <c r="B62" s="63">
        <v>2015</v>
      </c>
      <c r="C62" s="166" t="s">
        <v>19</v>
      </c>
      <c r="D62" s="176"/>
      <c r="E62" s="172">
        <f>SUM(E52,E53,E55,E57,E59,E61)</f>
        <v>2024638150.25</v>
      </c>
      <c r="F62" s="65">
        <f>SUM(F52,F53,F55,F57,F59,F61)</f>
        <v>1892973421.6600003</v>
      </c>
      <c r="G62" s="65">
        <f>SUM(G52,G53,G55,G57,G59,G61)</f>
        <v>2039973421.6600003</v>
      </c>
      <c r="H62" s="90">
        <f>SUM(H52,H53,H55,H57,H59,H61)</f>
        <v>-147000000</v>
      </c>
      <c r="I62" s="67">
        <f>I61</f>
        <v>2582719542.8137999</v>
      </c>
      <c r="J62" s="68">
        <f t="shared" si="5"/>
        <v>131664728.58999968</v>
      </c>
      <c r="K62" s="154">
        <f t="shared" si="6"/>
        <v>0.93496876043072596</v>
      </c>
      <c r="M62" s="139"/>
      <c r="N62" s="138"/>
      <c r="O62" s="108"/>
      <c r="P62" s="104"/>
      <c r="Q62" s="104"/>
      <c r="R62" s="105" t="str">
        <f t="shared" si="8"/>
        <v/>
      </c>
      <c r="S62" s="112"/>
      <c r="T62" s="112"/>
      <c r="U62" s="185"/>
    </row>
    <row r="63" spans="2:21" ht="18" customHeight="1" outlineLevel="1" collapsed="1" x14ac:dyDescent="0.2">
      <c r="B63" s="60">
        <v>2015</v>
      </c>
      <c r="C63" s="98">
        <v>42552</v>
      </c>
      <c r="D63" s="175">
        <f>I61</f>
        <v>2582719542.8137999</v>
      </c>
      <c r="E63" s="171">
        <f>121287951.98+33402.23</f>
        <v>121321354.21000001</v>
      </c>
      <c r="F63" s="55">
        <f>SUM(G63:H63)</f>
        <v>243172920.44</v>
      </c>
      <c r="G63" s="82">
        <f>(63888038.93-206000)+179282937.03+0.08+46449.19+20584.17+140911.04</f>
        <v>243172920.44</v>
      </c>
      <c r="H63" s="91"/>
      <c r="I63" s="57">
        <f>D63+E63-F63</f>
        <v>2460867976.5837998</v>
      </c>
      <c r="J63" s="58">
        <f t="shared" si="5"/>
        <v>-121851566.22999999</v>
      </c>
      <c r="K63" s="59">
        <f t="shared" si="6"/>
        <v>2.0043703107622934</v>
      </c>
      <c r="M63" s="140"/>
      <c r="N63" s="136"/>
      <c r="O63" s="109"/>
      <c r="P63" s="129"/>
      <c r="Q63" s="129"/>
      <c r="R63" s="105" t="str">
        <f t="shared" si="8"/>
        <v/>
      </c>
      <c r="U63" s="167"/>
    </row>
    <row r="64" spans="2:21" s="69" customFormat="1" ht="18" hidden="1" customHeight="1" outlineLevel="2" x14ac:dyDescent="0.2">
      <c r="B64" s="63">
        <v>2015</v>
      </c>
      <c r="C64" s="166" t="s">
        <v>20</v>
      </c>
      <c r="D64" s="176"/>
      <c r="E64" s="172">
        <f>SUM(E52,E53,E55,E57,E59,E61,E63)</f>
        <v>2145959504.46</v>
      </c>
      <c r="F64" s="65">
        <f>SUM(F52,F53,F55,F57,F59,F61,F63)</f>
        <v>2136146342.1000004</v>
      </c>
      <c r="G64" s="65">
        <f>SUM(G52,G53,G55,G57,G59,G61,G63)</f>
        <v>2283146342.1000004</v>
      </c>
      <c r="H64" s="90">
        <f>SUM(H52,H53,H55,H57,H59,H61,H63)</f>
        <v>-147000000</v>
      </c>
      <c r="I64" s="67">
        <f>I63</f>
        <v>2460867976.5837998</v>
      </c>
      <c r="J64" s="68">
        <f t="shared" si="5"/>
        <v>9813162.3599996567</v>
      </c>
      <c r="K64" s="154">
        <f t="shared" si="6"/>
        <v>0.99542714466903748</v>
      </c>
      <c r="L64" s="45"/>
      <c r="M64" s="140"/>
      <c r="N64" s="136"/>
      <c r="O64" s="108"/>
      <c r="P64" s="104"/>
      <c r="Q64" s="104"/>
      <c r="R64" s="105" t="str">
        <f t="shared" si="8"/>
        <v/>
      </c>
      <c r="S64" s="112"/>
      <c r="T64" s="112"/>
      <c r="U64" s="185"/>
    </row>
    <row r="65" spans="2:21" ht="18" customHeight="1" outlineLevel="1" collapsed="1" x14ac:dyDescent="0.2">
      <c r="B65" s="60">
        <v>2015</v>
      </c>
      <c r="C65" s="98">
        <v>42583</v>
      </c>
      <c r="D65" s="175">
        <f>I63</f>
        <v>2460867976.5837998</v>
      </c>
      <c r="E65" s="171">
        <v>121646578.47</v>
      </c>
      <c r="F65" s="55">
        <f>SUM(G65:H65)</f>
        <v>66693547.680000007</v>
      </c>
      <c r="G65" s="82">
        <f>66693547.68-147000000</f>
        <v>-80306452.319999993</v>
      </c>
      <c r="H65" s="182">
        <v>147000000</v>
      </c>
      <c r="I65" s="57">
        <f>D65+E65-F65</f>
        <v>2515821007.3737998</v>
      </c>
      <c r="J65" s="58">
        <f t="shared" si="5"/>
        <v>54953030.789999992</v>
      </c>
      <c r="K65" s="59">
        <f t="shared" si="6"/>
        <v>0.54825666713221788</v>
      </c>
      <c r="M65" s="140"/>
      <c r="N65" s="136"/>
      <c r="O65" s="109"/>
      <c r="P65" s="129"/>
      <c r="Q65" s="129"/>
      <c r="R65" s="105" t="str">
        <f t="shared" si="8"/>
        <v/>
      </c>
      <c r="U65" s="167"/>
    </row>
    <row r="66" spans="2:21" s="69" customFormat="1" ht="18" hidden="1" customHeight="1" outlineLevel="2" x14ac:dyDescent="0.2">
      <c r="B66" s="63">
        <v>2015</v>
      </c>
      <c r="C66" s="166" t="s">
        <v>21</v>
      </c>
      <c r="D66" s="176"/>
      <c r="E66" s="172">
        <f>SUM(E52,E53,E55,E57,E59,E61,E63,E65)</f>
        <v>2267606082.9299998</v>
      </c>
      <c r="F66" s="65">
        <f>SUM(F52,F53,F55,F57,F59,F61,F63,F65)</f>
        <v>2202839889.7800002</v>
      </c>
      <c r="G66" s="65">
        <f>SUM(G52,G53,G55,G57,G59,G61,G63,G65)</f>
        <v>2202839889.7800002</v>
      </c>
      <c r="H66" s="90">
        <f>SUM(H52,H53,H55,H57,H59,H61,H63,H65)</f>
        <v>0</v>
      </c>
      <c r="I66" s="67">
        <f>I65</f>
        <v>2515821007.3737998</v>
      </c>
      <c r="J66" s="68">
        <f t="shared" si="5"/>
        <v>64766193.149999619</v>
      </c>
      <c r="K66" s="154">
        <f t="shared" si="6"/>
        <v>0.97143851675229476</v>
      </c>
      <c r="L66" s="45"/>
      <c r="M66" s="140"/>
      <c r="N66" s="136"/>
      <c r="O66" s="108"/>
      <c r="P66" s="104"/>
      <c r="Q66" s="104"/>
      <c r="R66" s="105" t="str">
        <f t="shared" si="8"/>
        <v/>
      </c>
      <c r="S66" s="112"/>
      <c r="T66" s="112"/>
      <c r="U66" s="185"/>
    </row>
    <row r="67" spans="2:21" ht="18" customHeight="1" outlineLevel="1" collapsed="1" x14ac:dyDescent="0.2">
      <c r="B67" s="60">
        <v>2015</v>
      </c>
      <c r="C67" s="98">
        <v>42614</v>
      </c>
      <c r="D67" s="175">
        <f>I65</f>
        <v>2515821007.3737998</v>
      </c>
      <c r="E67" s="168">
        <v>164963414.56999999</v>
      </c>
      <c r="F67" s="55">
        <f>SUM(G67:H67)</f>
        <v>455976757.40000004</v>
      </c>
      <c r="G67" s="82">
        <f>(374747257.78-200000)+1647.16+6787648.05+34646070.04+39434751.18+559383.19</f>
        <v>455976757.40000004</v>
      </c>
      <c r="H67" s="91"/>
      <c r="I67" s="57">
        <f>D67+E67-F67</f>
        <v>2224807664.5437999</v>
      </c>
      <c r="J67" s="58">
        <f t="shared" si="5"/>
        <v>-291013342.83000004</v>
      </c>
      <c r="K67" s="59">
        <f t="shared" si="6"/>
        <v>2.7641083848110606</v>
      </c>
      <c r="M67" s="140"/>
      <c r="N67" s="136"/>
      <c r="O67" s="130"/>
      <c r="P67" s="129"/>
      <c r="Q67" s="129"/>
      <c r="R67" s="105" t="str">
        <f t="shared" si="8"/>
        <v/>
      </c>
      <c r="U67" s="167"/>
    </row>
    <row r="68" spans="2:21" s="69" customFormat="1" ht="18" hidden="1" customHeight="1" outlineLevel="2" x14ac:dyDescent="0.2">
      <c r="B68" s="63">
        <v>2015</v>
      </c>
      <c r="C68" s="166" t="s">
        <v>22</v>
      </c>
      <c r="D68" s="176"/>
      <c r="E68" s="172">
        <f>SUM(E52,E53,E55,E57,E59,E61,E63,E65,E67)</f>
        <v>2432569497.5</v>
      </c>
      <c r="F68" s="65">
        <f>SUM(F52,F53,F55,F57,F59,F61,F65,F67)</f>
        <v>2415643726.7400002</v>
      </c>
      <c r="G68" s="65">
        <f>SUM(G52,G53,G55,G57,G59,G61,G65,G67)</f>
        <v>2415643726.7400002</v>
      </c>
      <c r="H68" s="90">
        <f>SUM(H52,H53,H55,H57,H59,H61,H65,H67)</f>
        <v>0</v>
      </c>
      <c r="I68" s="67">
        <f>I67</f>
        <v>2224807664.5437999</v>
      </c>
      <c r="J68" s="68">
        <f t="shared" si="5"/>
        <v>16925770.759999752</v>
      </c>
      <c r="K68" s="154">
        <f t="shared" si="6"/>
        <v>0.99304201965148597</v>
      </c>
      <c r="L68" s="45"/>
      <c r="M68" s="140"/>
      <c r="N68" s="136"/>
      <c r="O68" s="108"/>
      <c r="P68" s="104"/>
      <c r="Q68" s="104"/>
      <c r="R68" s="105" t="str">
        <f t="shared" si="8"/>
        <v/>
      </c>
      <c r="S68" s="112"/>
      <c r="T68" s="112"/>
      <c r="U68" s="185"/>
    </row>
    <row r="69" spans="2:21" ht="18" customHeight="1" outlineLevel="1" collapsed="1" x14ac:dyDescent="0.2">
      <c r="B69" s="60">
        <v>2015</v>
      </c>
      <c r="C69" s="98">
        <v>42644</v>
      </c>
      <c r="D69" s="175">
        <f>I67</f>
        <v>2224807664.5437999</v>
      </c>
      <c r="E69" s="171">
        <v>350749557</v>
      </c>
      <c r="F69" s="55">
        <f>SUM(G69:H69)</f>
        <v>55392157.359999999</v>
      </c>
      <c r="G69" s="82">
        <f>55392157.36</f>
        <v>55392157.359999999</v>
      </c>
      <c r="H69" s="183"/>
      <c r="I69" s="57">
        <f>D69+E69-F69</f>
        <v>2520165064.1837997</v>
      </c>
      <c r="J69" s="58">
        <f t="shared" si="5"/>
        <v>295357399.63999999</v>
      </c>
      <c r="K69" s="59">
        <f t="shared" si="6"/>
        <v>0.15792509571152502</v>
      </c>
      <c r="M69" s="140"/>
      <c r="N69" s="136"/>
      <c r="O69" s="130"/>
      <c r="P69" s="129"/>
      <c r="Q69" s="129"/>
      <c r="R69" s="105" t="str">
        <f t="shared" si="8"/>
        <v/>
      </c>
      <c r="U69" s="186"/>
    </row>
    <row r="70" spans="2:21" s="69" customFormat="1" ht="18" hidden="1" customHeight="1" outlineLevel="2" x14ac:dyDescent="0.2">
      <c r="B70" s="63">
        <v>2015</v>
      </c>
      <c r="C70" s="166" t="s">
        <v>23</v>
      </c>
      <c r="D70" s="176"/>
      <c r="E70" s="172">
        <f>SUM(E52,E53,E55,E57,E59,E61,E63,E65,E67,E69)</f>
        <v>2783319054.5</v>
      </c>
      <c r="F70" s="65">
        <f>SUM(F52,F53,F55,F57,F59,F61,F63,F65,F67,F69)</f>
        <v>2714208804.5400004</v>
      </c>
      <c r="G70" s="65">
        <f>SUM(G52,G53,G55,G57,G59,G61,G63,G65,G67,G69)</f>
        <v>2714208804.5400004</v>
      </c>
      <c r="H70" s="90">
        <f>SUM(H52,H53,H55,H57,H59,H61,H63,H65,H67,H69)</f>
        <v>0</v>
      </c>
      <c r="I70" s="57">
        <f>D70+E70-F70</f>
        <v>69110249.959999561</v>
      </c>
      <c r="J70" s="68">
        <f t="shared" si="5"/>
        <v>69110249.959999561</v>
      </c>
      <c r="K70" s="154">
        <f t="shared" ref="K70:K92" si="9">IF(E70=0,"",F70/E70)</f>
        <v>0.97516984269257101</v>
      </c>
      <c r="M70" s="139"/>
      <c r="N70" s="138"/>
      <c r="O70" s="108"/>
      <c r="P70" s="104"/>
      <c r="Q70" s="104"/>
      <c r="R70" s="105" t="str">
        <f t="shared" si="8"/>
        <v/>
      </c>
      <c r="S70" s="112"/>
      <c r="T70" s="112"/>
      <c r="U70" s="187"/>
    </row>
    <row r="71" spans="2:21" ht="18" customHeight="1" outlineLevel="1" collapsed="1" x14ac:dyDescent="0.2">
      <c r="B71" s="60">
        <v>2015</v>
      </c>
      <c r="C71" s="98">
        <v>42675</v>
      </c>
      <c r="D71" s="175">
        <f>I69</f>
        <v>2520165064.1837997</v>
      </c>
      <c r="E71" s="171">
        <v>433645241.44</v>
      </c>
      <c r="F71" s="55">
        <f>SUM(G71:H71)</f>
        <v>486062647.06</v>
      </c>
      <c r="G71" s="82">
        <f>(23494562.02-200000+35460908.3-200000)+(1171.24+1604992.92)+6892.73+9162070.44+(2922635.44+7825.72)+(10896888.89+0.66)+13992452.61+(5790561.48+19256568.31)+18845407.79+(341938.35+107290034.08)+5923987.58+9925356.09+4582381.44+4233615.62+3398434.31+2868237.63+5905008.23</f>
        <v>285511931.88</v>
      </c>
      <c r="H71" s="184">
        <f>486062647.06-285511931.88</f>
        <v>200550715.18000001</v>
      </c>
      <c r="I71" s="57">
        <f>D71+E71-F71</f>
        <v>2467747658.5637999</v>
      </c>
      <c r="J71" s="58">
        <f t="shared" si="5"/>
        <v>-52417405.620000005</v>
      </c>
      <c r="K71" s="59">
        <f t="shared" si="9"/>
        <v>1.1208762384799571</v>
      </c>
      <c r="M71" s="140"/>
      <c r="N71" s="136"/>
      <c r="O71" s="130"/>
      <c r="P71" s="129"/>
      <c r="Q71" s="129"/>
      <c r="R71" s="105" t="str">
        <f t="shared" si="8"/>
        <v/>
      </c>
      <c r="T71" s="206">
        <f>433533664.63-E71</f>
        <v>-111576.81000000238</v>
      </c>
      <c r="U71" s="186"/>
    </row>
    <row r="72" spans="2:21" s="69" customFormat="1" ht="18" hidden="1" customHeight="1" outlineLevel="2" x14ac:dyDescent="0.2">
      <c r="B72" s="63">
        <v>2015</v>
      </c>
      <c r="C72" s="166" t="s">
        <v>24</v>
      </c>
      <c r="D72" s="176"/>
      <c r="E72" s="172">
        <f>SUM(E52,E53,E55,E57,E59,E61,E63,E65,E67,E69,E71)</f>
        <v>3216964295.9400001</v>
      </c>
      <c r="F72" s="65">
        <f>SUM(F52,F53,F55,F57,F59,F61,F63,F65,F67,F69,F71)</f>
        <v>3200271451.6000004</v>
      </c>
      <c r="G72" s="65">
        <f>SUM(G52,G53,G55,G57,G59,G61,G63,G65,G67,G69,G71)</f>
        <v>2999720736.4200006</v>
      </c>
      <c r="H72" s="66">
        <f>SUM(H52,H53,H55,H57,H59,H61,H63,H65,H67,H69,H71)</f>
        <v>200550715.18000001</v>
      </c>
      <c r="I72" s="67">
        <f>I71</f>
        <v>2467747658.5637999</v>
      </c>
      <c r="J72" s="68">
        <f t="shared" si="5"/>
        <v>16692844.339999676</v>
      </c>
      <c r="K72" s="154">
        <f t="shared" si="9"/>
        <v>0.99481099483725477</v>
      </c>
      <c r="M72" s="139"/>
      <c r="N72" s="138"/>
      <c r="O72" s="108"/>
      <c r="P72" s="104"/>
      <c r="Q72" s="104"/>
      <c r="R72" s="105" t="str">
        <f t="shared" si="8"/>
        <v/>
      </c>
      <c r="S72" s="112"/>
      <c r="T72" s="112"/>
    </row>
    <row r="73" spans="2:21" ht="18" customHeight="1" outlineLevel="1" collapsed="1" thickBot="1" x14ac:dyDescent="0.25">
      <c r="B73" s="60">
        <v>2015</v>
      </c>
      <c r="C73" s="99">
        <v>42705</v>
      </c>
      <c r="D73" s="75">
        <f>I71</f>
        <v>2467747658.5637999</v>
      </c>
      <c r="E73" s="173">
        <v>461513506.33999997</v>
      </c>
      <c r="F73" s="72">
        <f>SUM(G73:H73)</f>
        <v>314027193.13</v>
      </c>
      <c r="G73" s="73">
        <f>6008525.25+17144305.52+26662277.74+17670487.06+4045625.26+9669446.69+44320431.72+5745982.69+8627300.49+(7963356.19+554124.5)+(17009851.9+847379.25)+(9936675.75+528282.68)+(10464279.64+725443.21)+(20548798.5+326936.66)</f>
        <v>208799510.69999999</v>
      </c>
      <c r="H73" s="189">
        <f>314027193.13-208799510.7</f>
        <v>105227682.43000001</v>
      </c>
      <c r="I73" s="75">
        <f>D73+E73-F73</f>
        <v>2615233971.7737999</v>
      </c>
      <c r="J73" s="75">
        <f t="shared" si="5"/>
        <v>147486313.20999998</v>
      </c>
      <c r="K73" s="100">
        <f t="shared" si="9"/>
        <v>0.68042904230554446</v>
      </c>
      <c r="M73" s="141"/>
      <c r="N73" s="142"/>
      <c r="O73" s="131"/>
      <c r="P73" s="132"/>
      <c r="Q73" s="132"/>
      <c r="R73" s="164" t="str">
        <f t="shared" si="8"/>
        <v/>
      </c>
    </row>
    <row r="74" spans="2:21" s="69" customFormat="1" ht="25.5" customHeight="1" thickBot="1" x14ac:dyDescent="0.25">
      <c r="B74" s="80">
        <v>2015</v>
      </c>
      <c r="C74" s="80" t="s">
        <v>54</v>
      </c>
      <c r="D74" s="78">
        <f>I51</f>
        <v>2451054814.2238002</v>
      </c>
      <c r="E74" s="169">
        <f>E52+E53+E55+E57+E59+E61+E63+E65+E67+E69+E71+E73</f>
        <v>3678477802.2800002</v>
      </c>
      <c r="F74" s="76">
        <f>F52+F53+F55+F57+F59+F61+F63+F65+F67+F69+F71+F73</f>
        <v>3514298644.7300005</v>
      </c>
      <c r="G74" s="76">
        <f>G52+G53+G55+G57+G59+G61+G63+G65+G67+G69+G71+G73</f>
        <v>3208520247.1200004</v>
      </c>
      <c r="H74" s="77">
        <f>H52+H53+H55+H57+H59+H61+H63+H65+H67+H69+H71+H73</f>
        <v>305778397.61000001</v>
      </c>
      <c r="I74" s="78">
        <f>I73</f>
        <v>2615233971.7737999</v>
      </c>
      <c r="J74" s="79">
        <f t="shared" si="5"/>
        <v>164179157.54999971</v>
      </c>
      <c r="K74" s="101">
        <f>IF(E74=0,"",F74/E74)</f>
        <v>0.9553676367305417</v>
      </c>
      <c r="M74" s="147">
        <f>SUM(M52:M73)</f>
        <v>2419.0876355699997</v>
      </c>
      <c r="N74" s="126">
        <f>SUM(N52:N73)</f>
        <v>2019.00727207</v>
      </c>
      <c r="O74" s="120">
        <f>O73</f>
        <v>0</v>
      </c>
      <c r="P74" s="133">
        <f>P73</f>
        <v>0</v>
      </c>
      <c r="Q74" s="133"/>
      <c r="R74" s="128" t="str">
        <f>IF(O74=0,"",P74/O74)</f>
        <v/>
      </c>
      <c r="S74" s="112"/>
      <c r="T74" s="112"/>
    </row>
    <row r="75" spans="2:21" ht="18" customHeight="1" outlineLevel="1" x14ac:dyDescent="0.2">
      <c r="B75" s="52">
        <v>2015</v>
      </c>
      <c r="C75" s="97">
        <v>42736</v>
      </c>
      <c r="D75" s="57">
        <f>I73</f>
        <v>2615233971.7737999</v>
      </c>
      <c r="E75" s="170">
        <v>482135645.81</v>
      </c>
      <c r="F75" s="55">
        <f>SUM(G75:H75)</f>
        <v>390154666.05000001</v>
      </c>
      <c r="G75" s="81">
        <f>(7340269.41+285870.06)+(3660217.4+449557.99)+(2907780.13+400586.93)+(8600251.74+221633.05)+11325632.97+6500267.28+1238319.22+173646454.7+1203149.65+4206011.46+404255.63+234021.06+196170.12</f>
        <v>222820448.80000001</v>
      </c>
      <c r="H75" s="56">
        <f>390154666.05-222820448.8</f>
        <v>167334217.25</v>
      </c>
      <c r="I75" s="57">
        <f>D75+E75-F75</f>
        <v>2707214951.5337996</v>
      </c>
      <c r="J75" s="58">
        <f t="shared" ref="J75:J97" si="10">E75-F75</f>
        <v>91980979.75999999</v>
      </c>
      <c r="K75" s="59">
        <f t="shared" si="9"/>
        <v>0.80922178113283938</v>
      </c>
      <c r="M75" s="143">
        <f t="shared" ref="M75:N78" si="11">E75/$S$3</f>
        <v>482.13564581000003</v>
      </c>
      <c r="N75" s="144">
        <f t="shared" si="11"/>
        <v>390.15466605</v>
      </c>
      <c r="O75" s="109">
        <f>O73+M75</f>
        <v>482.13564581000003</v>
      </c>
      <c r="P75" s="109">
        <f>P73+N75</f>
        <v>390.15466605</v>
      </c>
      <c r="Q75" s="123"/>
      <c r="R75" s="124">
        <f>IF(O75=0,"",P75/O75)</f>
        <v>0.80922178113283938</v>
      </c>
      <c r="T75" s="102" t="s">
        <v>58</v>
      </c>
      <c r="U75" s="167">
        <v>43031585.799999997</v>
      </c>
    </row>
    <row r="76" spans="2:21" ht="18" customHeight="1" outlineLevel="1" x14ac:dyDescent="0.2">
      <c r="B76" s="60">
        <v>2015</v>
      </c>
      <c r="C76" s="98">
        <v>42767</v>
      </c>
      <c r="D76" s="175">
        <f>I75</f>
        <v>2707214951.5337996</v>
      </c>
      <c r="E76" s="171">
        <v>456098977.68000001</v>
      </c>
      <c r="F76" s="55">
        <f>SUM(G76:H76)</f>
        <v>349864168.87</v>
      </c>
      <c r="G76" s="82">
        <f>876.4+393.53+0.03+323.28+0.89+0.47+94336.87+27061597.03-200000+108064544.53+1327453.76+3966.2+152464.01</f>
        <v>136505956.99999997</v>
      </c>
      <c r="H76" s="56">
        <f>349864168.87-136505957</f>
        <v>213358211.87</v>
      </c>
      <c r="I76" s="57">
        <f>D76+E76-F76</f>
        <v>2813449760.3437996</v>
      </c>
      <c r="J76" s="58">
        <f t="shared" si="10"/>
        <v>106234808.81</v>
      </c>
      <c r="K76" s="59">
        <f t="shared" si="9"/>
        <v>0.7670794849171213</v>
      </c>
      <c r="M76" s="140">
        <f t="shared" si="11"/>
        <v>456.09897768000002</v>
      </c>
      <c r="N76" s="136">
        <f t="shared" si="11"/>
        <v>349.86416887000001</v>
      </c>
      <c r="O76" s="109">
        <f>O75+M76</f>
        <v>938.2346234900001</v>
      </c>
      <c r="P76" s="109">
        <f>P75+N76</f>
        <v>740.01883492000002</v>
      </c>
      <c r="Q76" s="117"/>
      <c r="R76" s="105">
        <f>IF(O76=0,"",P76/O76)</f>
        <v>0.7887353721474416</v>
      </c>
      <c r="U76" s="167"/>
    </row>
    <row r="77" spans="2:21" s="69" customFormat="1" ht="18" hidden="1" customHeight="1" outlineLevel="2" x14ac:dyDescent="0.2">
      <c r="B77" s="63">
        <v>2015</v>
      </c>
      <c r="C77" s="166" t="s">
        <v>15</v>
      </c>
      <c r="D77" s="176"/>
      <c r="E77" s="172"/>
      <c r="F77" s="65">
        <f>SUM(F75:F76)</f>
        <v>740018834.92000008</v>
      </c>
      <c r="G77" s="65"/>
      <c r="H77" s="66"/>
      <c r="I77" s="67">
        <f>I76</f>
        <v>2813449760.3437996</v>
      </c>
      <c r="J77" s="68">
        <f t="shared" si="10"/>
        <v>-740018834.92000008</v>
      </c>
      <c r="K77" s="154" t="str">
        <f t="shared" si="9"/>
        <v/>
      </c>
      <c r="M77" s="140">
        <f t="shared" si="11"/>
        <v>0</v>
      </c>
      <c r="N77" s="136">
        <f t="shared" si="11"/>
        <v>740.01883492000013</v>
      </c>
      <c r="O77" s="109"/>
      <c r="P77" s="104"/>
      <c r="Q77" s="104"/>
      <c r="R77" s="105" t="str">
        <f>IF(O77=0,"",P77/O77)</f>
        <v/>
      </c>
      <c r="S77" s="112"/>
      <c r="T77" s="112"/>
      <c r="U77" s="185"/>
    </row>
    <row r="78" spans="2:21" ht="18" customHeight="1" outlineLevel="1" collapsed="1" x14ac:dyDescent="0.2">
      <c r="B78" s="60">
        <v>2015</v>
      </c>
      <c r="C78" s="98">
        <v>42795</v>
      </c>
      <c r="D78" s="175">
        <f>I76</f>
        <v>2813449760.3437996</v>
      </c>
      <c r="E78" s="171">
        <v>414476421.24000001</v>
      </c>
      <c r="F78" s="55">
        <f>SUM(G78:H78)</f>
        <v>484982141.37000006</v>
      </c>
      <c r="G78" s="82">
        <f>468630.53+15647.36+517.76+455178.4-200000+(54675012.02+121846578.47)</f>
        <v>177261564.54000002</v>
      </c>
      <c r="H78" s="56">
        <f>484982141.37-177261564.54</f>
        <v>307720576.83000004</v>
      </c>
      <c r="I78" s="57">
        <f>D78+E78-F78</f>
        <v>2742944040.2137995</v>
      </c>
      <c r="J78" s="58">
        <f t="shared" si="10"/>
        <v>-70505720.130000055</v>
      </c>
      <c r="K78" s="59">
        <f t="shared" si="9"/>
        <v>1.1701079157146412</v>
      </c>
      <c r="M78" s="140">
        <f t="shared" si="11"/>
        <v>414.47642124000004</v>
      </c>
      <c r="N78" s="136">
        <f t="shared" si="11"/>
        <v>484.98214137000008</v>
      </c>
      <c r="O78" s="109">
        <f>O76+M78</f>
        <v>1352.7110447300001</v>
      </c>
      <c r="P78" s="109">
        <f>P76+N78</f>
        <v>1225.0009762900002</v>
      </c>
      <c r="Q78" s="129"/>
      <c r="R78" s="105">
        <f>IF(O78=0,"",P78/O78)</f>
        <v>0.90558954261699642</v>
      </c>
      <c r="T78" s="206"/>
      <c r="U78" s="167"/>
    </row>
    <row r="79" spans="2:21" s="69" customFormat="1" ht="18" hidden="1" customHeight="1" outlineLevel="2" x14ac:dyDescent="0.2">
      <c r="B79" s="63">
        <v>2015</v>
      </c>
      <c r="C79" s="166" t="s">
        <v>16</v>
      </c>
      <c r="D79" s="176"/>
      <c r="E79" s="172"/>
      <c r="F79" s="65">
        <f>SUM(F75,F76,F78)</f>
        <v>1225000976.2900002</v>
      </c>
      <c r="G79" s="65"/>
      <c r="H79" s="90"/>
      <c r="I79" s="67">
        <f>I78</f>
        <v>2742944040.2137995</v>
      </c>
      <c r="J79" s="68">
        <f t="shared" si="10"/>
        <v>-1225000976.2900002</v>
      </c>
      <c r="K79" s="154" t="str">
        <f t="shared" si="9"/>
        <v/>
      </c>
      <c r="M79" s="139"/>
      <c r="N79" s="138"/>
      <c r="O79" s="108"/>
      <c r="P79" s="104"/>
      <c r="Q79" s="104"/>
      <c r="R79" s="105" t="str">
        <f t="shared" ref="R79:R96" si="12">IF(O79=0,"",P79/O79)</f>
        <v/>
      </c>
      <c r="S79" s="112"/>
      <c r="T79" s="112"/>
      <c r="U79" s="185"/>
    </row>
    <row r="80" spans="2:21" ht="18" customHeight="1" outlineLevel="1" collapsed="1" x14ac:dyDescent="0.2">
      <c r="B80" s="60">
        <v>2015</v>
      </c>
      <c r="C80" s="98">
        <v>42826</v>
      </c>
      <c r="D80" s="175">
        <f>I78</f>
        <v>2742944040.2137995</v>
      </c>
      <c r="E80" s="171">
        <f>359016561.02+29415.35</f>
        <v>359045976.37</v>
      </c>
      <c r="F80" s="55">
        <f>SUM(G80:H80)</f>
        <v>372804814.83999997</v>
      </c>
      <c r="G80" s="82">
        <v>112870327.16</v>
      </c>
      <c r="H80" s="91">
        <f>372804814.84-112870327.16</f>
        <v>259934487.67999998</v>
      </c>
      <c r="I80" s="57">
        <f>D80+E80-F80</f>
        <v>2729185201.7437992</v>
      </c>
      <c r="J80" s="58">
        <f t="shared" si="10"/>
        <v>-13758838.469999969</v>
      </c>
      <c r="K80" s="59">
        <f t="shared" si="9"/>
        <v>1.0383205477167676</v>
      </c>
      <c r="M80" s="140"/>
      <c r="N80" s="136"/>
      <c r="O80" s="109"/>
      <c r="P80" s="129"/>
      <c r="Q80" s="129"/>
      <c r="R80" s="105" t="str">
        <f t="shared" si="12"/>
        <v/>
      </c>
      <c r="T80" s="206"/>
      <c r="U80" s="167"/>
    </row>
    <row r="81" spans="2:21" s="69" customFormat="1" ht="18" hidden="1" customHeight="1" outlineLevel="2" x14ac:dyDescent="0.2">
      <c r="B81" s="63">
        <v>2015</v>
      </c>
      <c r="C81" s="166" t="s">
        <v>17</v>
      </c>
      <c r="D81" s="176"/>
      <c r="E81" s="172"/>
      <c r="F81" s="65">
        <f>SUM(F75,F76,F78,F80)</f>
        <v>1597805791.1300001</v>
      </c>
      <c r="G81" s="65"/>
      <c r="H81" s="90"/>
      <c r="I81" s="67">
        <f>I80</f>
        <v>2729185201.7437992</v>
      </c>
      <c r="J81" s="68">
        <f t="shared" si="10"/>
        <v>-1597805791.1300001</v>
      </c>
      <c r="K81" s="59" t="str">
        <f t="shared" si="9"/>
        <v/>
      </c>
      <c r="M81" s="139"/>
      <c r="N81" s="138"/>
      <c r="O81" s="108"/>
      <c r="P81" s="104"/>
      <c r="Q81" s="104"/>
      <c r="R81" s="105" t="str">
        <f t="shared" si="12"/>
        <v/>
      </c>
      <c r="S81" s="112"/>
      <c r="T81" s="112"/>
      <c r="U81" s="185"/>
    </row>
    <row r="82" spans="2:21" ht="18" customHeight="1" outlineLevel="1" collapsed="1" x14ac:dyDescent="0.2">
      <c r="B82" s="60">
        <v>2015</v>
      </c>
      <c r="C82" s="98">
        <v>42856</v>
      </c>
      <c r="D82" s="175">
        <f>I80</f>
        <v>2729185201.7437992</v>
      </c>
      <c r="E82" s="171">
        <f>227941140.3+1141012.73</f>
        <v>229082153.03</v>
      </c>
      <c r="F82" s="55">
        <f>SUM(G82:H82)</f>
        <v>142357482.33000001</v>
      </c>
      <c r="G82" s="82">
        <f>24228276.09-200000+481766.35+255510.48+555.59</f>
        <v>24766108.510000002</v>
      </c>
      <c r="H82" s="91">
        <f>142357482.33-24766108.51</f>
        <v>117591373.82000001</v>
      </c>
      <c r="I82" s="57">
        <f>D82+E82-F82</f>
        <v>2815909872.4437995</v>
      </c>
      <c r="J82" s="58">
        <f t="shared" si="10"/>
        <v>86724670.699999988</v>
      </c>
      <c r="K82" s="59">
        <f t="shared" si="9"/>
        <v>0.62142546002419163</v>
      </c>
      <c r="M82" s="140"/>
      <c r="N82" s="136"/>
      <c r="O82" s="109"/>
      <c r="P82" s="129"/>
      <c r="Q82" s="129"/>
      <c r="R82" s="105" t="str">
        <f t="shared" si="12"/>
        <v/>
      </c>
      <c r="U82" s="167"/>
    </row>
    <row r="83" spans="2:21" s="69" customFormat="1" ht="18" hidden="1" customHeight="1" outlineLevel="2" x14ac:dyDescent="0.2">
      <c r="B83" s="63">
        <v>2015</v>
      </c>
      <c r="C83" s="166" t="s">
        <v>18</v>
      </c>
      <c r="D83" s="176"/>
      <c r="E83" s="172"/>
      <c r="F83" s="65">
        <f>SUM(F75,F76,F78,F80,F82)</f>
        <v>1740163273.46</v>
      </c>
      <c r="G83" s="65"/>
      <c r="H83" s="90"/>
      <c r="I83" s="67">
        <f>I82</f>
        <v>2815909872.4437995</v>
      </c>
      <c r="J83" s="68">
        <f t="shared" si="10"/>
        <v>-1740163273.46</v>
      </c>
      <c r="K83" s="59" t="str">
        <f t="shared" si="9"/>
        <v/>
      </c>
      <c r="M83" s="139"/>
      <c r="N83" s="138"/>
      <c r="O83" s="108"/>
      <c r="P83" s="104"/>
      <c r="Q83" s="104"/>
      <c r="R83" s="105" t="str">
        <f t="shared" si="12"/>
        <v/>
      </c>
      <c r="S83" s="112"/>
      <c r="T83" s="112"/>
      <c r="U83" s="185"/>
    </row>
    <row r="84" spans="2:21" ht="18" customHeight="1" outlineLevel="1" collapsed="1" x14ac:dyDescent="0.2">
      <c r="B84" s="60">
        <v>2015</v>
      </c>
      <c r="C84" s="98">
        <v>42887</v>
      </c>
      <c r="D84" s="175">
        <f>I82</f>
        <v>2815909872.4437995</v>
      </c>
      <c r="E84" s="171">
        <v>135418615.55000001</v>
      </c>
      <c r="F84" s="55">
        <f>SUM(G84:H84)</f>
        <v>249633687.08000001</v>
      </c>
      <c r="G84" s="82">
        <f>11399796.6+114641569.5+957938.83+888.51</f>
        <v>127000193.44</v>
      </c>
      <c r="H84" s="91">
        <f>249633687.08-127000193.44</f>
        <v>122633493.64000002</v>
      </c>
      <c r="I84" s="57">
        <f>D84+E84-F84</f>
        <v>2701694800.9137998</v>
      </c>
      <c r="J84" s="58">
        <f t="shared" si="10"/>
        <v>-114215071.53</v>
      </c>
      <c r="K84" s="59">
        <f t="shared" si="9"/>
        <v>1.8434222360501749</v>
      </c>
      <c r="M84" s="140"/>
      <c r="N84" s="136"/>
      <c r="O84" s="109"/>
      <c r="P84" s="129"/>
      <c r="Q84" s="129"/>
      <c r="R84" s="105" t="str">
        <f t="shared" si="12"/>
        <v/>
      </c>
      <c r="U84" s="167"/>
    </row>
    <row r="85" spans="2:21" s="69" customFormat="1" ht="18" hidden="1" customHeight="1" outlineLevel="2" x14ac:dyDescent="0.2">
      <c r="B85" s="63">
        <v>2015</v>
      </c>
      <c r="C85" s="166" t="s">
        <v>19</v>
      </c>
      <c r="D85" s="176"/>
      <c r="E85" s="172"/>
      <c r="F85" s="65">
        <f>SUM(F75,F76,F78,F80,F82,F84)</f>
        <v>1989796960.54</v>
      </c>
      <c r="G85" s="65"/>
      <c r="H85" s="90"/>
      <c r="I85" s="67">
        <f>I84</f>
        <v>2701694800.9137998</v>
      </c>
      <c r="J85" s="68">
        <f t="shared" si="10"/>
        <v>-1989796960.54</v>
      </c>
      <c r="K85" s="154" t="str">
        <f t="shared" si="9"/>
        <v/>
      </c>
      <c r="M85" s="139"/>
      <c r="N85" s="138"/>
      <c r="O85" s="108"/>
      <c r="P85" s="104"/>
      <c r="Q85" s="104"/>
      <c r="R85" s="105" t="str">
        <f t="shared" si="12"/>
        <v/>
      </c>
      <c r="S85" s="112"/>
      <c r="T85" s="112"/>
      <c r="U85" s="185"/>
    </row>
    <row r="86" spans="2:21" ht="18" customHeight="1" outlineLevel="1" collapsed="1" x14ac:dyDescent="0.2">
      <c r="B86" s="60">
        <v>2015</v>
      </c>
      <c r="C86" s="98">
        <v>42917</v>
      </c>
      <c r="D86" s="175">
        <f>I84</f>
        <v>2701694800.9137998</v>
      </c>
      <c r="E86" s="171">
        <v>148423978.75</v>
      </c>
      <c r="F86" s="55">
        <f>SUM(G86:H86)</f>
        <v>107120485.78</v>
      </c>
      <c r="G86" s="82">
        <f>58636340.79+4566907.14+408.9</f>
        <v>63203656.829999998</v>
      </c>
      <c r="H86" s="91">
        <f>107520485.78-63203656.83-200000*2</f>
        <v>43916828.950000003</v>
      </c>
      <c r="I86" s="57">
        <f>D86+E86-F86</f>
        <v>2742998293.8837996</v>
      </c>
      <c r="J86" s="58">
        <f t="shared" si="10"/>
        <v>41303492.969999999</v>
      </c>
      <c r="K86" s="59">
        <f t="shared" si="9"/>
        <v>0.72171954075176681</v>
      </c>
      <c r="M86" s="140"/>
      <c r="N86" s="136"/>
      <c r="O86" s="109"/>
      <c r="P86" s="129"/>
      <c r="Q86" s="129"/>
      <c r="R86" s="105" t="str">
        <f t="shared" si="12"/>
        <v/>
      </c>
      <c r="U86" s="167"/>
    </row>
    <row r="87" spans="2:21" s="69" customFormat="1" ht="18" hidden="1" customHeight="1" outlineLevel="2" x14ac:dyDescent="0.2">
      <c r="B87" s="63">
        <v>2015</v>
      </c>
      <c r="C87" s="166" t="s">
        <v>20</v>
      </c>
      <c r="D87" s="176"/>
      <c r="E87" s="172"/>
      <c r="F87" s="65">
        <f>SUM(F75,F76,F78,F80,F82,F84,F86)</f>
        <v>2096917446.3199999</v>
      </c>
      <c r="G87" s="65"/>
      <c r="H87" s="90"/>
      <c r="I87" s="67">
        <f>I86</f>
        <v>2742998293.8837996</v>
      </c>
      <c r="J87" s="68">
        <f t="shared" si="10"/>
        <v>-2096917446.3199999</v>
      </c>
      <c r="K87" s="59" t="str">
        <f t="shared" si="9"/>
        <v/>
      </c>
      <c r="L87" s="45"/>
      <c r="M87" s="140"/>
      <c r="N87" s="136"/>
      <c r="O87" s="108"/>
      <c r="P87" s="104"/>
      <c r="Q87" s="104"/>
      <c r="R87" s="105" t="str">
        <f t="shared" si="12"/>
        <v/>
      </c>
      <c r="S87" s="112"/>
      <c r="T87" s="112"/>
      <c r="U87" s="185"/>
    </row>
    <row r="88" spans="2:21" ht="18" customHeight="1" outlineLevel="1" collapsed="1" x14ac:dyDescent="0.2">
      <c r="B88" s="60">
        <v>2015</v>
      </c>
      <c r="C88" s="98">
        <v>42948</v>
      </c>
      <c r="D88" s="175">
        <f>I86</f>
        <v>2742998293.8837996</v>
      </c>
      <c r="E88" s="171">
        <v>164368150.13999999</v>
      </c>
      <c r="F88" s="55">
        <f>SUM(G88:H88)</f>
        <v>76837195.879999995</v>
      </c>
      <c r="G88" s="82">
        <f>53702564.42+545280.7+50197.18+3941.89+600035.1+652978.38+82670.79</f>
        <v>55637668.460000008</v>
      </c>
      <c r="H88" s="91">
        <f>76837195.88-55637668.46</f>
        <v>21199527.419999994</v>
      </c>
      <c r="I88" s="57">
        <f>D88+E88-F88</f>
        <v>2830529248.1437993</v>
      </c>
      <c r="J88" s="58">
        <f t="shared" si="10"/>
        <v>87530954.25999999</v>
      </c>
      <c r="K88" s="59">
        <f t="shared" si="9"/>
        <v>0.46747010180837462</v>
      </c>
      <c r="M88" s="140"/>
      <c r="N88" s="136"/>
      <c r="O88" s="109"/>
      <c r="P88" s="129"/>
      <c r="Q88" s="129"/>
      <c r="R88" s="105" t="str">
        <f t="shared" si="12"/>
        <v/>
      </c>
      <c r="U88" s="167"/>
    </row>
    <row r="89" spans="2:21" s="69" customFormat="1" ht="18" hidden="1" customHeight="1" outlineLevel="2" x14ac:dyDescent="0.2">
      <c r="B89" s="63">
        <v>2015</v>
      </c>
      <c r="C89" s="166" t="s">
        <v>21</v>
      </c>
      <c r="D89" s="176"/>
      <c r="E89" s="172"/>
      <c r="F89" s="65">
        <f>SUM(F75,F76,F78,F80,F82,F84,F86,F88)</f>
        <v>2173754642.1999998</v>
      </c>
      <c r="G89" s="207"/>
      <c r="H89" s="208"/>
      <c r="I89" s="67">
        <f>I88</f>
        <v>2830529248.1437993</v>
      </c>
      <c r="J89" s="68">
        <f t="shared" si="10"/>
        <v>-2173754642.1999998</v>
      </c>
      <c r="K89" s="154" t="str">
        <f t="shared" si="9"/>
        <v/>
      </c>
      <c r="L89" s="45"/>
      <c r="M89" s="140"/>
      <c r="N89" s="136"/>
      <c r="O89" s="108"/>
      <c r="P89" s="104"/>
      <c r="Q89" s="104"/>
      <c r="R89" s="105" t="str">
        <f t="shared" si="12"/>
        <v/>
      </c>
      <c r="S89" s="112"/>
      <c r="T89" s="112"/>
      <c r="U89" s="185"/>
    </row>
    <row r="90" spans="2:21" ht="18" customHeight="1" outlineLevel="1" collapsed="1" x14ac:dyDescent="0.2">
      <c r="B90" s="60">
        <v>2015</v>
      </c>
      <c r="C90" s="98">
        <v>42979</v>
      </c>
      <c r="D90" s="175">
        <f>I88</f>
        <v>2830529248.1437993</v>
      </c>
      <c r="E90" s="168">
        <v>188998488.68000001</v>
      </c>
      <c r="F90" s="55">
        <f>SUM(G90:H90)</f>
        <v>71125339.349999994</v>
      </c>
      <c r="G90" s="82">
        <f>246346.8+4066.6+33783452.26+567307.82+765532.76</f>
        <v>35366706.239999995</v>
      </c>
      <c r="H90" s="91">
        <f>71125339.35-35366706.24</f>
        <v>35758633.109999992</v>
      </c>
      <c r="I90" s="57">
        <f>D90+E90-F90</f>
        <v>2948402397.4737992</v>
      </c>
      <c r="J90" s="58">
        <f t="shared" si="10"/>
        <v>117873149.33000001</v>
      </c>
      <c r="K90" s="59">
        <f t="shared" si="9"/>
        <v>0.37632755609186275</v>
      </c>
      <c r="M90" s="140"/>
      <c r="N90" s="136"/>
      <c r="O90" s="130"/>
      <c r="P90" s="129"/>
      <c r="Q90" s="129"/>
      <c r="R90" s="105" t="str">
        <f t="shared" si="12"/>
        <v/>
      </c>
      <c r="U90" s="167"/>
    </row>
    <row r="91" spans="2:21" s="69" customFormat="1" ht="18" hidden="1" customHeight="1" outlineLevel="2" x14ac:dyDescent="0.2">
      <c r="B91" s="63">
        <v>2015</v>
      </c>
      <c r="C91" s="166" t="s">
        <v>22</v>
      </c>
      <c r="D91" s="176"/>
      <c r="E91" s="172"/>
      <c r="F91" s="65">
        <f>SUM(F75,F76,F78,F80,F82,F84,F88,F90)</f>
        <v>2137759495.77</v>
      </c>
      <c r="G91" s="65"/>
      <c r="H91" s="90"/>
      <c r="I91" s="67">
        <f>I90</f>
        <v>2948402397.4737992</v>
      </c>
      <c r="J91" s="68">
        <f t="shared" si="10"/>
        <v>-2137759495.77</v>
      </c>
      <c r="K91" s="154" t="str">
        <f t="shared" si="9"/>
        <v/>
      </c>
      <c r="L91" s="45"/>
      <c r="M91" s="140"/>
      <c r="N91" s="136"/>
      <c r="O91" s="108"/>
      <c r="P91" s="104"/>
      <c r="Q91" s="104"/>
      <c r="R91" s="105" t="str">
        <f t="shared" si="12"/>
        <v/>
      </c>
      <c r="S91" s="112"/>
      <c r="T91" s="112"/>
      <c r="U91" s="185"/>
    </row>
    <row r="92" spans="2:21" ht="18" customHeight="1" outlineLevel="1" collapsed="1" x14ac:dyDescent="0.2">
      <c r="B92" s="60">
        <v>2015</v>
      </c>
      <c r="C92" s="98">
        <v>43009</v>
      </c>
      <c r="D92" s="175">
        <f>I90</f>
        <v>2948402397.4737992</v>
      </c>
      <c r="E92" s="171">
        <v>379570887.68000001</v>
      </c>
      <c r="F92" s="55">
        <f>SUM(G92:H92)</f>
        <v>98945989.75</v>
      </c>
      <c r="G92" s="82">
        <f>4412.89+457709.3+32388.51+694547.15+7696716.46+14800.96+57943213.06+1209626.29+85.71+477038.67</f>
        <v>68530539</v>
      </c>
      <c r="H92" s="91">
        <f>98945989.75-68530539</f>
        <v>30415450.75</v>
      </c>
      <c r="I92" s="57">
        <f>D92+E92-F92</f>
        <v>3229027295.4037991</v>
      </c>
      <c r="J92" s="58">
        <f t="shared" si="10"/>
        <v>280624897.93000001</v>
      </c>
      <c r="K92" s="59">
        <f t="shared" si="9"/>
        <v>0.26067855297010328</v>
      </c>
      <c r="M92" s="140"/>
      <c r="N92" s="136"/>
      <c r="O92" s="130"/>
      <c r="P92" s="129"/>
      <c r="Q92" s="129"/>
      <c r="R92" s="105" t="str">
        <f t="shared" si="12"/>
        <v/>
      </c>
      <c r="U92" s="186"/>
    </row>
    <row r="93" spans="2:21" s="69" customFormat="1" ht="18" hidden="1" customHeight="1" outlineLevel="2" x14ac:dyDescent="0.2">
      <c r="B93" s="63">
        <v>2015</v>
      </c>
      <c r="C93" s="166" t="s">
        <v>23</v>
      </c>
      <c r="D93" s="176"/>
      <c r="E93" s="172"/>
      <c r="F93" s="65">
        <f>SUM(F75,F76,F78,F80,F82,F84,F86,F88,F90,F92)</f>
        <v>2343825971.2999997</v>
      </c>
      <c r="G93" s="65"/>
      <c r="H93" s="90"/>
      <c r="I93" s="57">
        <f>D93+E93-F93</f>
        <v>-2343825971.2999997</v>
      </c>
      <c r="J93" s="68">
        <f t="shared" si="10"/>
        <v>-2343825971.2999997</v>
      </c>
      <c r="K93" s="154" t="str">
        <f t="shared" ref="K93:K115" si="13">IF(E93=0,"",F93/E93)</f>
        <v/>
      </c>
      <c r="M93" s="139"/>
      <c r="N93" s="138"/>
      <c r="O93" s="108"/>
      <c r="P93" s="104"/>
      <c r="Q93" s="104"/>
      <c r="R93" s="105" t="str">
        <f t="shared" si="12"/>
        <v/>
      </c>
      <c r="S93" s="112"/>
      <c r="T93" s="112"/>
      <c r="U93" s="187"/>
    </row>
    <row r="94" spans="2:21" ht="18" customHeight="1" outlineLevel="1" collapsed="1" x14ac:dyDescent="0.2">
      <c r="B94" s="60">
        <v>2015</v>
      </c>
      <c r="C94" s="98">
        <v>43040</v>
      </c>
      <c r="D94" s="175">
        <f>I92</f>
        <v>3229027295.4037991</v>
      </c>
      <c r="E94" s="171">
        <v>463415645.47000003</v>
      </c>
      <c r="F94" s="55">
        <f>SUM(G94:H94)</f>
        <v>160575439.41999999</v>
      </c>
      <c r="G94" s="82">
        <f>8787392.04+(23194833.22+776276.78-200000)</f>
        <v>32558502.039999999</v>
      </c>
      <c r="H94" s="56">
        <f>160575439.42-32558502.04</f>
        <v>128016937.38</v>
      </c>
      <c r="I94" s="57">
        <f>D94+E94-F94</f>
        <v>3531867501.4537992</v>
      </c>
      <c r="J94" s="58">
        <f t="shared" si="10"/>
        <v>302840206.05000007</v>
      </c>
      <c r="K94" s="59">
        <f t="shared" si="13"/>
        <v>0.3465041394041477</v>
      </c>
      <c r="M94" s="140"/>
      <c r="N94" s="136"/>
      <c r="O94" s="130"/>
      <c r="P94" s="129"/>
      <c r="Q94" s="129"/>
      <c r="R94" s="105" t="str">
        <f t="shared" si="12"/>
        <v/>
      </c>
      <c r="U94" s="186"/>
    </row>
    <row r="95" spans="2:21" s="69" customFormat="1" ht="18" hidden="1" customHeight="1" outlineLevel="2" x14ac:dyDescent="0.2">
      <c r="B95" s="63">
        <v>2015</v>
      </c>
      <c r="C95" s="166" t="s">
        <v>24</v>
      </c>
      <c r="D95" s="176"/>
      <c r="E95" s="172"/>
      <c r="F95" s="65">
        <f>SUM(F75,F76,F78,F80,F82,F84,F86,F88,F90,F92,F94)</f>
        <v>2504401410.7199998</v>
      </c>
      <c r="G95" s="65"/>
      <c r="H95" s="66"/>
      <c r="I95" s="67">
        <f>I94</f>
        <v>3531867501.4537992</v>
      </c>
      <c r="J95" s="68">
        <f t="shared" si="10"/>
        <v>-2504401410.7199998</v>
      </c>
      <c r="K95" s="154" t="str">
        <f t="shared" si="13"/>
        <v/>
      </c>
      <c r="M95" s="139"/>
      <c r="N95" s="138"/>
      <c r="O95" s="108"/>
      <c r="P95" s="104"/>
      <c r="Q95" s="104"/>
      <c r="R95" s="105" t="str">
        <f t="shared" si="12"/>
        <v/>
      </c>
      <c r="S95" s="112"/>
      <c r="T95" s="112"/>
    </row>
    <row r="96" spans="2:21" ht="18" customHeight="1" outlineLevel="1" collapsed="1" thickBot="1" x14ac:dyDescent="0.25">
      <c r="B96" s="60">
        <v>2015</v>
      </c>
      <c r="C96" s="99">
        <v>43070</v>
      </c>
      <c r="D96" s="75">
        <f>I94</f>
        <v>3531867501.4537992</v>
      </c>
      <c r="E96" s="173">
        <v>531353052.67000002</v>
      </c>
      <c r="F96" s="72">
        <f>SUM(G96:H96)</f>
        <v>418868235.38</v>
      </c>
      <c r="G96" s="73">
        <f>170835353.57+1022654.46+742.95+0.06+732061.92+919548.88+361111.69</f>
        <v>173871473.52999997</v>
      </c>
      <c r="H96" s="74">
        <f>418868235.38-173871473.53</f>
        <v>244996761.84999999</v>
      </c>
      <c r="I96" s="75">
        <f>D96+E96-F96</f>
        <v>3644352318.7437992</v>
      </c>
      <c r="J96" s="75">
        <f t="shared" si="10"/>
        <v>112484817.29000002</v>
      </c>
      <c r="K96" s="100">
        <f t="shared" si="13"/>
        <v>0.78830493826134207</v>
      </c>
      <c r="M96" s="141"/>
      <c r="N96" s="142"/>
      <c r="O96" s="131"/>
      <c r="P96" s="132"/>
      <c r="Q96" s="132"/>
      <c r="R96" s="164" t="str">
        <f t="shared" si="12"/>
        <v/>
      </c>
    </row>
    <row r="97" spans="2:21" s="69" customFormat="1" ht="25.15" customHeight="1" thickBot="1" x14ac:dyDescent="0.25">
      <c r="B97" s="80">
        <v>2015</v>
      </c>
      <c r="C97" s="80" t="s">
        <v>57</v>
      </c>
      <c r="D97" s="78">
        <f>I74</f>
        <v>2615233971.7737999</v>
      </c>
      <c r="E97" s="169">
        <f>E75+E76+E78+E80+E82+E84+E86+E88+E90+E92+E94+E96</f>
        <v>3952387993.0699997</v>
      </c>
      <c r="F97" s="76">
        <f>F75+F76+F78+F80+F82+F84+F86+F88+F90+F92+F94+F96</f>
        <v>2923269646.0999999</v>
      </c>
      <c r="G97" s="76">
        <f>G75+G76+G78+G80+G82+G84+G86+G88+G90+G92+G94+G96</f>
        <v>1230393145.5500002</v>
      </c>
      <c r="H97" s="77">
        <f>H75+H76+H78+H80+H82+H84+H86+H88+H90+H92+H94+H96</f>
        <v>1692876500.5500002</v>
      </c>
      <c r="I97" s="78">
        <f>I96</f>
        <v>3644352318.7437992</v>
      </c>
      <c r="J97" s="79">
        <f t="shared" si="10"/>
        <v>1029118346.9699998</v>
      </c>
      <c r="K97" s="101">
        <f>IF(E97=0,"",F97/E97)</f>
        <v>0.73962112303386573</v>
      </c>
      <c r="M97" s="147">
        <f>SUM(M75:M96)</f>
        <v>1352.7110447300001</v>
      </c>
      <c r="N97" s="126">
        <f>SUM(N75:N96)</f>
        <v>1965.0198112100002</v>
      </c>
      <c r="O97" s="120">
        <f>O96</f>
        <v>0</v>
      </c>
      <c r="P97" s="133">
        <f>P96</f>
        <v>0</v>
      </c>
      <c r="Q97" s="133"/>
      <c r="R97" s="128" t="str">
        <f>IF(O97=0,"",P97/O97)</f>
        <v/>
      </c>
      <c r="S97" s="112"/>
      <c r="T97" s="112"/>
      <c r="U97" s="69">
        <f>(K97*E97+K74*E74)/(E74+E97)</f>
        <v>0.8436222656088177</v>
      </c>
    </row>
    <row r="98" spans="2:21" ht="18" customHeight="1" outlineLevel="1" x14ac:dyDescent="0.2">
      <c r="B98" s="52">
        <v>2015</v>
      </c>
      <c r="C98" s="97">
        <v>43101</v>
      </c>
      <c r="D98" s="57">
        <f>I96</f>
        <v>3644352318.7437992</v>
      </c>
      <c r="E98" s="170">
        <v>588245867.64999998</v>
      </c>
      <c r="F98" s="55">
        <f>SUM(G98:H98)</f>
        <v>516876689.87999994</v>
      </c>
      <c r="G98" s="81">
        <f>9649837.35+8206.65+202.41+2906.38+101.36+360167.81+24636.99+206787778.76</f>
        <v>216833837.70999998</v>
      </c>
      <c r="H98" s="56">
        <f>516876689.88-216833837.71</f>
        <v>300042852.16999996</v>
      </c>
      <c r="I98" s="57">
        <f>D98+E98-F98</f>
        <v>3715721496.5137992</v>
      </c>
      <c r="J98" s="58">
        <f t="shared" ref="J98:J120" si="14">E98-F98</f>
        <v>71369177.770000041</v>
      </c>
      <c r="K98" s="59">
        <f t="shared" si="13"/>
        <v>0.87867457861605591</v>
      </c>
      <c r="M98" s="143">
        <f t="shared" ref="M98:N101" si="15">E98/$S$3</f>
        <v>588.24586764999992</v>
      </c>
      <c r="N98" s="144">
        <f t="shared" si="15"/>
        <v>516.87668987999996</v>
      </c>
      <c r="O98" s="109">
        <f>O96+M98</f>
        <v>588.24586764999992</v>
      </c>
      <c r="P98" s="109">
        <f>P96+N98</f>
        <v>516.87668987999996</v>
      </c>
      <c r="Q98" s="123"/>
      <c r="R98" s="124">
        <f>IF(O98=0,"",P98/O98)</f>
        <v>0.87867457861605602</v>
      </c>
      <c r="T98" s="102" t="s">
        <v>58</v>
      </c>
      <c r="U98" s="167">
        <f>(F74+F97)/(E74+E97)</f>
        <v>0.8436222656088177</v>
      </c>
    </row>
    <row r="99" spans="2:21" ht="18" customHeight="1" outlineLevel="1" x14ac:dyDescent="0.2">
      <c r="B99" s="60">
        <v>2015</v>
      </c>
      <c r="C99" s="98">
        <v>43132</v>
      </c>
      <c r="D99" s="175">
        <f>I98</f>
        <v>3715721496.5137992</v>
      </c>
      <c r="E99" s="171">
        <v>588877342.00999999</v>
      </c>
      <c r="F99" s="55">
        <f>SUM(G99:H99)</f>
        <v>356382727.94999999</v>
      </c>
      <c r="G99" s="82">
        <f>99901158.5+830294.44+15390.12+438521.46+4712554.91</f>
        <v>105897919.42999999</v>
      </c>
      <c r="H99" s="56">
        <f>356382727.95-105897919.43</f>
        <v>250484808.51999998</v>
      </c>
      <c r="I99" s="57">
        <f>D99+E99-F99</f>
        <v>3948216110.5737991</v>
      </c>
      <c r="J99" s="58">
        <f t="shared" si="14"/>
        <v>232494614.06</v>
      </c>
      <c r="K99" s="59">
        <f t="shared" si="13"/>
        <v>0.60519008378479622</v>
      </c>
      <c r="M99" s="140">
        <f t="shared" si="15"/>
        <v>588.87734201000001</v>
      </c>
      <c r="N99" s="136">
        <f t="shared" si="15"/>
        <v>356.38272795</v>
      </c>
      <c r="O99" s="109">
        <f>O98+M99</f>
        <v>1177.1232096599999</v>
      </c>
      <c r="P99" s="109">
        <f>P98+N99</f>
        <v>873.25941782999996</v>
      </c>
      <c r="Q99" s="117"/>
      <c r="R99" s="105">
        <f>IF(O99=0,"",P99/O99)</f>
        <v>0.74185897505345433</v>
      </c>
      <c r="U99" s="167"/>
    </row>
    <row r="100" spans="2:21" s="69" customFormat="1" ht="18" hidden="1" customHeight="1" outlineLevel="2" x14ac:dyDescent="0.2">
      <c r="B100" s="63">
        <v>2015</v>
      </c>
      <c r="C100" s="166" t="s">
        <v>15</v>
      </c>
      <c r="D100" s="176"/>
      <c r="E100" s="65">
        <f>SUM(E98:E99)</f>
        <v>1177123209.6599998</v>
      </c>
      <c r="F100" s="65">
        <f>SUM(F98:F99)</f>
        <v>873259417.82999992</v>
      </c>
      <c r="G100" s="65"/>
      <c r="H100" s="66"/>
      <c r="I100" s="67">
        <f>I99</f>
        <v>3948216110.5737991</v>
      </c>
      <c r="J100" s="68">
        <f t="shared" si="14"/>
        <v>303863791.82999992</v>
      </c>
      <c r="K100" s="154">
        <f t="shared" si="13"/>
        <v>0.74185897505345433</v>
      </c>
      <c r="M100" s="140">
        <f t="shared" si="15"/>
        <v>1177.1232096599999</v>
      </c>
      <c r="N100" s="136">
        <f t="shared" si="15"/>
        <v>873.25941782999996</v>
      </c>
      <c r="O100" s="109"/>
      <c r="P100" s="104"/>
      <c r="Q100" s="104"/>
      <c r="R100" s="105" t="str">
        <f>IF(O100=0,"",P100/O100)</f>
        <v/>
      </c>
      <c r="S100" s="112"/>
      <c r="T100" s="112"/>
      <c r="U100" s="185"/>
    </row>
    <row r="101" spans="2:21" ht="18" customHeight="1" outlineLevel="1" collapsed="1" x14ac:dyDescent="0.2">
      <c r="B101" s="60">
        <v>2015</v>
      </c>
      <c r="C101" s="98">
        <v>43160</v>
      </c>
      <c r="D101" s="175">
        <f>I99</f>
        <v>3948216110.5737991</v>
      </c>
      <c r="E101" s="171">
        <v>578541415.95000005</v>
      </c>
      <c r="F101" s="55">
        <f>SUM(G101:H101)</f>
        <v>398312687.25999993</v>
      </c>
      <c r="G101" s="82">
        <f>(1613.75+41806984.11)+26601637.94+1173205.97+6846.32+0.8+532572.58+174.38</f>
        <v>70123035.849999979</v>
      </c>
      <c r="H101" s="56">
        <f>398312687.26-70123035.85</f>
        <v>328189651.40999997</v>
      </c>
      <c r="I101" s="57">
        <f>D101+E101-F101</f>
        <v>4128444839.2637992</v>
      </c>
      <c r="J101" s="58">
        <f t="shared" si="14"/>
        <v>180228728.69000012</v>
      </c>
      <c r="K101" s="59">
        <f t="shared" si="13"/>
        <v>0.68847739553087373</v>
      </c>
      <c r="M101" s="140">
        <f t="shared" si="15"/>
        <v>578.5414159500001</v>
      </c>
      <c r="N101" s="136">
        <f t="shared" si="15"/>
        <v>398.3126872599999</v>
      </c>
      <c r="O101" s="109">
        <f>O99+M101</f>
        <v>1755.66462561</v>
      </c>
      <c r="P101" s="109">
        <f>P99+N101</f>
        <v>1271.5721050899999</v>
      </c>
      <c r="Q101" s="129"/>
      <c r="R101" s="105">
        <f>IF(O101=0,"",P101/O101)</f>
        <v>0.72426822671112157</v>
      </c>
      <c r="T101" s="206"/>
      <c r="U101" s="167"/>
    </row>
    <row r="102" spans="2:21" s="69" customFormat="1" ht="18" hidden="1" customHeight="1" outlineLevel="2" x14ac:dyDescent="0.2">
      <c r="B102" s="63">
        <v>2015</v>
      </c>
      <c r="C102" s="166" t="s">
        <v>16</v>
      </c>
      <c r="D102" s="176"/>
      <c r="E102" s="65">
        <f>SUM(E98,E99,E101)</f>
        <v>1755664625.6099999</v>
      </c>
      <c r="F102" s="65">
        <f>SUM(F98,F99,F101)</f>
        <v>1271572105.0899999</v>
      </c>
      <c r="G102" s="65"/>
      <c r="H102" s="90"/>
      <c r="I102" s="67">
        <f>I101</f>
        <v>4128444839.2637992</v>
      </c>
      <c r="J102" s="68">
        <f t="shared" si="14"/>
        <v>484092520.51999998</v>
      </c>
      <c r="K102" s="154">
        <f t="shared" si="13"/>
        <v>0.72426822671112168</v>
      </c>
      <c r="M102" s="139"/>
      <c r="N102" s="138"/>
      <c r="O102" s="108"/>
      <c r="P102" s="104"/>
      <c r="Q102" s="104"/>
      <c r="R102" s="105" t="str">
        <f t="shared" ref="R102:R119" si="16">IF(O102=0,"",P102/O102)</f>
        <v/>
      </c>
      <c r="S102" s="112"/>
      <c r="T102" s="112"/>
      <c r="U102" s="185"/>
    </row>
    <row r="103" spans="2:21" ht="18" customHeight="1" outlineLevel="1" collapsed="1" x14ac:dyDescent="0.2">
      <c r="B103" s="60">
        <v>2015</v>
      </c>
      <c r="C103" s="98">
        <v>43191</v>
      </c>
      <c r="D103" s="175">
        <f>I101</f>
        <v>4128444839.2637992</v>
      </c>
      <c r="E103" s="171">
        <f>331561844.97*1.18</f>
        <v>391242977.06459999</v>
      </c>
      <c r="F103" s="55">
        <f>SUM(G103:H103)</f>
        <v>556907451.30999994</v>
      </c>
      <c r="G103" s="82">
        <f>518524.34+159121015.9+5916498.44+10887229.4+270183.07</f>
        <v>176713451.15000001</v>
      </c>
      <c r="H103" s="91">
        <f>(6961541.84+5623658.92+8517058.81+694785.51+5832050.69+11722292.86+11165765.49+15106522.37+13994596.63+19576806.58+29965862.1+10917205.84+14382733.95+5684652.16+14928953.35+265990312.54+16822838.84+17354861.72)*0.8</f>
        <v>380194000.15999997</v>
      </c>
      <c r="I103" s="57">
        <f>D103+E103-F103</f>
        <v>3962780365.0183997</v>
      </c>
      <c r="J103" s="58">
        <f t="shared" si="14"/>
        <v>-165664474.24539995</v>
      </c>
      <c r="K103" s="59">
        <f t="shared" si="13"/>
        <v>1.4234311769334234</v>
      </c>
      <c r="M103" s="140"/>
      <c r="N103" s="136"/>
      <c r="O103" s="109"/>
      <c r="P103" s="129"/>
      <c r="Q103" s="129"/>
      <c r="R103" s="105" t="str">
        <f t="shared" si="16"/>
        <v/>
      </c>
      <c r="T103" s="206"/>
      <c r="U103" s="167"/>
    </row>
    <row r="104" spans="2:21" s="69" customFormat="1" ht="18" hidden="1" customHeight="1" outlineLevel="2" x14ac:dyDescent="0.2">
      <c r="B104" s="63">
        <v>2015</v>
      </c>
      <c r="C104" s="166" t="s">
        <v>17</v>
      </c>
      <c r="D104" s="176"/>
      <c r="E104" s="65">
        <f>SUM(E98,E99,E101,E103)</f>
        <v>2146907602.6745999</v>
      </c>
      <c r="F104" s="65">
        <f>SUM(F98,F99,F101,F103)</f>
        <v>1828479556.3999999</v>
      </c>
      <c r="G104" s="65"/>
      <c r="H104" s="90"/>
      <c r="I104" s="67">
        <f>I103</f>
        <v>3962780365.0183997</v>
      </c>
      <c r="J104" s="68">
        <f t="shared" si="14"/>
        <v>318428046.27460003</v>
      </c>
      <c r="K104" s="59">
        <f t="shared" si="13"/>
        <v>0.85168060056338479</v>
      </c>
      <c r="M104" s="139"/>
      <c r="N104" s="138"/>
      <c r="O104" s="108"/>
      <c r="P104" s="104"/>
      <c r="Q104" s="104"/>
      <c r="R104" s="105" t="str">
        <f t="shared" si="16"/>
        <v/>
      </c>
      <c r="S104" s="112"/>
      <c r="T104" s="112"/>
      <c r="U104" s="185"/>
    </row>
    <row r="105" spans="2:21" ht="18" customHeight="1" outlineLevel="1" collapsed="1" x14ac:dyDescent="0.2">
      <c r="B105" s="60">
        <v>2015</v>
      </c>
      <c r="C105" s="98">
        <v>43221</v>
      </c>
      <c r="D105" s="175">
        <f>I103</f>
        <v>3962780365.0183997</v>
      </c>
      <c r="E105" s="171"/>
      <c r="F105" s="55">
        <f>SUM(G105:H105)</f>
        <v>72390360.859999999</v>
      </c>
      <c r="G105" s="82">
        <v>0.92</v>
      </c>
      <c r="H105" s="91">
        <v>72390359.939999998</v>
      </c>
      <c r="I105" s="57">
        <f>D105+E105-F105</f>
        <v>3890390004.1583996</v>
      </c>
      <c r="J105" s="58">
        <f t="shared" si="14"/>
        <v>-72390360.859999999</v>
      </c>
      <c r="K105" s="59" t="str">
        <f t="shared" si="13"/>
        <v/>
      </c>
      <c r="M105" s="140"/>
      <c r="N105" s="136"/>
      <c r="O105" s="109"/>
      <c r="P105" s="129"/>
      <c r="Q105" s="129"/>
      <c r="R105" s="105" t="str">
        <f t="shared" si="16"/>
        <v/>
      </c>
      <c r="U105" s="167"/>
    </row>
    <row r="106" spans="2:21" s="69" customFormat="1" ht="18" hidden="1" customHeight="1" outlineLevel="2" x14ac:dyDescent="0.2">
      <c r="B106" s="63">
        <v>2015</v>
      </c>
      <c r="C106" s="166" t="s">
        <v>18</v>
      </c>
      <c r="D106" s="176"/>
      <c r="E106" s="65">
        <f>SUM(E98,E99,E101,E103,E105)</f>
        <v>2146907602.6745999</v>
      </c>
      <c r="F106" s="65">
        <f>SUM(F98,F99,F101,F103,F105)</f>
        <v>1900869917.2599998</v>
      </c>
      <c r="G106" s="65"/>
      <c r="H106" s="90"/>
      <c r="I106" s="67">
        <f>I105</f>
        <v>3890390004.1583996</v>
      </c>
      <c r="J106" s="68">
        <f t="shared" si="14"/>
        <v>246037685.41460013</v>
      </c>
      <c r="K106" s="59">
        <f t="shared" si="13"/>
        <v>0.88539903389037866</v>
      </c>
      <c r="M106" s="139"/>
      <c r="N106" s="138"/>
      <c r="O106" s="108"/>
      <c r="P106" s="104"/>
      <c r="Q106" s="104"/>
      <c r="R106" s="105" t="str">
        <f t="shared" si="16"/>
        <v/>
      </c>
      <c r="S106" s="112"/>
      <c r="T106" s="112"/>
      <c r="U106" s="185"/>
    </row>
    <row r="107" spans="2:21" ht="18" customHeight="1" outlineLevel="1" collapsed="1" x14ac:dyDescent="0.2">
      <c r="B107" s="60">
        <v>2015</v>
      </c>
      <c r="C107" s="98">
        <v>43252</v>
      </c>
      <c r="D107" s="175">
        <f>I105</f>
        <v>3890390004.1583996</v>
      </c>
      <c r="E107" s="171"/>
      <c r="F107" s="55">
        <f>SUM(G107:H107)</f>
        <v>0</v>
      </c>
      <c r="G107" s="82"/>
      <c r="H107" s="91"/>
      <c r="I107" s="57">
        <f>D107+E107-F107</f>
        <v>3890390004.1583996</v>
      </c>
      <c r="J107" s="58">
        <f t="shared" si="14"/>
        <v>0</v>
      </c>
      <c r="K107" s="59" t="str">
        <f t="shared" si="13"/>
        <v/>
      </c>
      <c r="M107" s="140"/>
      <c r="N107" s="136"/>
      <c r="O107" s="109"/>
      <c r="P107" s="129"/>
      <c r="Q107" s="129"/>
      <c r="R107" s="105" t="str">
        <f t="shared" si="16"/>
        <v/>
      </c>
      <c r="U107" s="167"/>
    </row>
    <row r="108" spans="2:21" s="69" customFormat="1" ht="18" hidden="1" customHeight="1" outlineLevel="2" x14ac:dyDescent="0.2">
      <c r="B108" s="63">
        <v>2015</v>
      </c>
      <c r="C108" s="166" t="s">
        <v>19</v>
      </c>
      <c r="D108" s="176"/>
      <c r="E108" s="65">
        <f>SUM(E98,E99,E101,E103,E105,E107)</f>
        <v>2146907602.6745999</v>
      </c>
      <c r="F108" s="65">
        <f>SUM(F98,F99,F101,F103,F105,F107)</f>
        <v>1900869917.2599998</v>
      </c>
      <c r="G108" s="65"/>
      <c r="H108" s="90"/>
      <c r="I108" s="67">
        <f>I107</f>
        <v>3890390004.1583996</v>
      </c>
      <c r="J108" s="68">
        <f t="shared" si="14"/>
        <v>246037685.41460013</v>
      </c>
      <c r="K108" s="154">
        <f t="shared" si="13"/>
        <v>0.88539903389037866</v>
      </c>
      <c r="M108" s="139"/>
      <c r="N108" s="138"/>
      <c r="O108" s="108"/>
      <c r="P108" s="104"/>
      <c r="Q108" s="104"/>
      <c r="R108" s="105" t="str">
        <f t="shared" si="16"/>
        <v/>
      </c>
      <c r="S108" s="112"/>
      <c r="T108" s="112"/>
      <c r="U108" s="185"/>
    </row>
    <row r="109" spans="2:21" ht="18" customHeight="1" outlineLevel="1" collapsed="1" x14ac:dyDescent="0.2">
      <c r="B109" s="60">
        <v>2015</v>
      </c>
      <c r="C109" s="98">
        <v>43282</v>
      </c>
      <c r="D109" s="175">
        <f>I107</f>
        <v>3890390004.1583996</v>
      </c>
      <c r="E109" s="171"/>
      <c r="F109" s="55">
        <f>SUM(G109:H109)</f>
        <v>0</v>
      </c>
      <c r="G109" s="82"/>
      <c r="H109" s="91"/>
      <c r="I109" s="57">
        <f>D109+E109-F109</f>
        <v>3890390004.1583996</v>
      </c>
      <c r="J109" s="58">
        <f t="shared" si="14"/>
        <v>0</v>
      </c>
      <c r="K109" s="59" t="str">
        <f t="shared" si="13"/>
        <v/>
      </c>
      <c r="M109" s="140"/>
      <c r="N109" s="136"/>
      <c r="O109" s="109"/>
      <c r="P109" s="129"/>
      <c r="Q109" s="129"/>
      <c r="R109" s="105" t="str">
        <f t="shared" si="16"/>
        <v/>
      </c>
      <c r="U109" s="167"/>
    </row>
    <row r="110" spans="2:21" s="69" customFormat="1" ht="18" hidden="1" customHeight="1" outlineLevel="2" x14ac:dyDescent="0.2">
      <c r="B110" s="63">
        <v>2015</v>
      </c>
      <c r="C110" s="166" t="s">
        <v>20</v>
      </c>
      <c r="D110" s="176"/>
      <c r="E110" s="65">
        <f>SUM(E98,E99,E101,E103,E105,E107,E109)</f>
        <v>2146907602.6745999</v>
      </c>
      <c r="F110" s="65">
        <f>SUM(F98,F99,F101,F103,F105,F107,F109)</f>
        <v>1900869917.2599998</v>
      </c>
      <c r="G110" s="65"/>
      <c r="H110" s="90"/>
      <c r="I110" s="67">
        <f>I109</f>
        <v>3890390004.1583996</v>
      </c>
      <c r="J110" s="68">
        <f t="shared" si="14"/>
        <v>246037685.41460013</v>
      </c>
      <c r="K110" s="59">
        <f t="shared" si="13"/>
        <v>0.88539903389037866</v>
      </c>
      <c r="L110" s="45"/>
      <c r="M110" s="140"/>
      <c r="N110" s="136"/>
      <c r="O110" s="108"/>
      <c r="P110" s="104"/>
      <c r="Q110" s="104"/>
      <c r="R110" s="105" t="str">
        <f t="shared" si="16"/>
        <v/>
      </c>
      <c r="S110" s="112"/>
      <c r="T110" s="112"/>
      <c r="U110" s="185"/>
    </row>
    <row r="111" spans="2:21" ht="18" customHeight="1" outlineLevel="1" collapsed="1" x14ac:dyDescent="0.2">
      <c r="B111" s="60">
        <v>2015</v>
      </c>
      <c r="C111" s="98">
        <v>43313</v>
      </c>
      <c r="D111" s="175">
        <f>I109</f>
        <v>3890390004.1583996</v>
      </c>
      <c r="E111" s="171"/>
      <c r="F111" s="55">
        <f>SUM(G111:H111)</f>
        <v>0</v>
      </c>
      <c r="G111" s="82"/>
      <c r="H111" s="91"/>
      <c r="I111" s="57">
        <f>D111+E111-F111</f>
        <v>3890390004.1583996</v>
      </c>
      <c r="J111" s="58">
        <f t="shared" si="14"/>
        <v>0</v>
      </c>
      <c r="K111" s="59" t="str">
        <f t="shared" si="13"/>
        <v/>
      </c>
      <c r="M111" s="140"/>
      <c r="N111" s="136"/>
      <c r="O111" s="109"/>
      <c r="P111" s="129"/>
      <c r="Q111" s="129"/>
      <c r="R111" s="105" t="str">
        <f t="shared" si="16"/>
        <v/>
      </c>
      <c r="U111" s="167"/>
    </row>
    <row r="112" spans="2:21" s="69" customFormat="1" ht="18" hidden="1" customHeight="1" outlineLevel="2" x14ac:dyDescent="0.2">
      <c r="B112" s="63">
        <v>2015</v>
      </c>
      <c r="C112" s="166" t="s">
        <v>21</v>
      </c>
      <c r="D112" s="176"/>
      <c r="E112" s="65">
        <f>SUM(E98,E99,E101,E103,E105,E107,E109,E111)</f>
        <v>2146907602.6745999</v>
      </c>
      <c r="F112" s="65">
        <f>SUM(F98,F99,F101,F103,F105,F107,F109,F111)</f>
        <v>1900869917.2599998</v>
      </c>
      <c r="G112" s="207"/>
      <c r="H112" s="208"/>
      <c r="I112" s="67">
        <f>I111</f>
        <v>3890390004.1583996</v>
      </c>
      <c r="J112" s="68">
        <f t="shared" si="14"/>
        <v>246037685.41460013</v>
      </c>
      <c r="K112" s="154">
        <f t="shared" si="13"/>
        <v>0.88539903389037866</v>
      </c>
      <c r="L112" s="45"/>
      <c r="M112" s="140"/>
      <c r="N112" s="136"/>
      <c r="O112" s="108"/>
      <c r="P112" s="104"/>
      <c r="Q112" s="104"/>
      <c r="R112" s="105" t="str">
        <f t="shared" si="16"/>
        <v/>
      </c>
      <c r="S112" s="112"/>
      <c r="T112" s="112"/>
      <c r="U112" s="185"/>
    </row>
    <row r="113" spans="2:21" ht="18" customHeight="1" outlineLevel="1" collapsed="1" x14ac:dyDescent="0.2">
      <c r="B113" s="60">
        <v>2015</v>
      </c>
      <c r="C113" s="98">
        <v>43344</v>
      </c>
      <c r="D113" s="175">
        <f>I111</f>
        <v>3890390004.1583996</v>
      </c>
      <c r="E113" s="168"/>
      <c r="F113" s="55">
        <f>SUM(G113:H113)</f>
        <v>0</v>
      </c>
      <c r="G113" s="82"/>
      <c r="H113" s="91"/>
      <c r="I113" s="57">
        <f>D113+E113-F113</f>
        <v>3890390004.1583996</v>
      </c>
      <c r="J113" s="58">
        <f t="shared" si="14"/>
        <v>0</v>
      </c>
      <c r="K113" s="59" t="str">
        <f t="shared" si="13"/>
        <v/>
      </c>
      <c r="M113" s="140"/>
      <c r="N113" s="136"/>
      <c r="O113" s="130"/>
      <c r="P113" s="129"/>
      <c r="Q113" s="129"/>
      <c r="R113" s="105" t="str">
        <f t="shared" si="16"/>
        <v/>
      </c>
      <c r="U113" s="167"/>
    </row>
    <row r="114" spans="2:21" s="69" customFormat="1" ht="18" hidden="1" customHeight="1" outlineLevel="2" x14ac:dyDescent="0.2">
      <c r="B114" s="63">
        <v>2015</v>
      </c>
      <c r="C114" s="166" t="s">
        <v>22</v>
      </c>
      <c r="D114" s="176"/>
      <c r="E114" s="65">
        <f>SUM(E98,E99,E101,E103,E105,E107,E111,E113)</f>
        <v>2146907602.6745999</v>
      </c>
      <c r="F114" s="65">
        <f>SUM(F98,F99,F101,F103,F105,F107,F111,F113)</f>
        <v>1900869917.2599998</v>
      </c>
      <c r="G114" s="65"/>
      <c r="H114" s="90"/>
      <c r="I114" s="67">
        <f>I113</f>
        <v>3890390004.1583996</v>
      </c>
      <c r="J114" s="68">
        <f t="shared" si="14"/>
        <v>246037685.41460013</v>
      </c>
      <c r="K114" s="154">
        <f t="shared" si="13"/>
        <v>0.88539903389037866</v>
      </c>
      <c r="L114" s="45"/>
      <c r="M114" s="140"/>
      <c r="N114" s="136"/>
      <c r="O114" s="108"/>
      <c r="P114" s="104"/>
      <c r="Q114" s="104"/>
      <c r="R114" s="105" t="str">
        <f t="shared" si="16"/>
        <v/>
      </c>
      <c r="S114" s="112"/>
      <c r="T114" s="112"/>
      <c r="U114" s="185"/>
    </row>
    <row r="115" spans="2:21" ht="18" customHeight="1" outlineLevel="1" collapsed="1" x14ac:dyDescent="0.2">
      <c r="B115" s="60">
        <v>2015</v>
      </c>
      <c r="C115" s="98">
        <v>43374</v>
      </c>
      <c r="D115" s="175">
        <f>I113</f>
        <v>3890390004.1583996</v>
      </c>
      <c r="E115" s="209"/>
      <c r="F115" s="55">
        <f>SUM(G115:H115)</f>
        <v>0</v>
      </c>
      <c r="G115" s="82"/>
      <c r="H115" s="91"/>
      <c r="I115" s="57">
        <f>D115+E115-F115</f>
        <v>3890390004.1583996</v>
      </c>
      <c r="J115" s="58">
        <f t="shared" si="14"/>
        <v>0</v>
      </c>
      <c r="K115" s="59" t="str">
        <f t="shared" si="13"/>
        <v/>
      </c>
      <c r="M115" s="140"/>
      <c r="N115" s="136"/>
      <c r="O115" s="130"/>
      <c r="P115" s="129"/>
      <c r="Q115" s="129"/>
      <c r="R115" s="105" t="str">
        <f t="shared" si="16"/>
        <v/>
      </c>
      <c r="U115" s="186"/>
    </row>
    <row r="116" spans="2:21" s="69" customFormat="1" ht="18" hidden="1" customHeight="1" outlineLevel="2" x14ac:dyDescent="0.2">
      <c r="B116" s="63">
        <v>2015</v>
      </c>
      <c r="C116" s="166" t="s">
        <v>23</v>
      </c>
      <c r="D116" s="176"/>
      <c r="E116" s="65">
        <f>SUM(E98,E99,E101,E103,E105,E107,E109,E111,E113,E115)</f>
        <v>2146907602.6745999</v>
      </c>
      <c r="F116" s="65">
        <f>SUM(F98,F99,F101,F103,F105,F107,F109,F111,F113,F115)</f>
        <v>1900869917.2599998</v>
      </c>
      <c r="G116" s="65"/>
      <c r="H116" s="90"/>
      <c r="I116" s="57">
        <f>D116+E116-F116</f>
        <v>246037685.41460013</v>
      </c>
      <c r="J116" s="68">
        <f t="shared" si="14"/>
        <v>246037685.41460013</v>
      </c>
      <c r="K116" s="154">
        <f t="shared" ref="K116:K121" si="17">IF(E116=0,"",F116/E116)</f>
        <v>0.88539903389037866</v>
      </c>
      <c r="M116" s="139"/>
      <c r="N116" s="138"/>
      <c r="O116" s="108"/>
      <c r="P116" s="104"/>
      <c r="Q116" s="104"/>
      <c r="R116" s="105" t="str">
        <f t="shared" si="16"/>
        <v/>
      </c>
      <c r="S116" s="112"/>
      <c r="T116" s="112"/>
      <c r="U116" s="187"/>
    </row>
    <row r="117" spans="2:21" ht="18" customHeight="1" outlineLevel="1" collapsed="1" x14ac:dyDescent="0.2">
      <c r="B117" s="60">
        <v>2015</v>
      </c>
      <c r="C117" s="98">
        <v>43405</v>
      </c>
      <c r="D117" s="175">
        <f>I115</f>
        <v>3890390004.1583996</v>
      </c>
      <c r="E117" s="171"/>
      <c r="F117" s="55">
        <f>SUM(G117:H117)</f>
        <v>0</v>
      </c>
      <c r="G117" s="82"/>
      <c r="H117" s="56"/>
      <c r="I117" s="57">
        <f>D117+E117-F117</f>
        <v>3890390004.1583996</v>
      </c>
      <c r="J117" s="58">
        <f t="shared" si="14"/>
        <v>0</v>
      </c>
      <c r="K117" s="59" t="str">
        <f t="shared" si="17"/>
        <v/>
      </c>
      <c r="M117" s="140"/>
      <c r="N117" s="136"/>
      <c r="O117" s="130"/>
      <c r="P117" s="129"/>
      <c r="Q117" s="129"/>
      <c r="R117" s="105" t="str">
        <f t="shared" si="16"/>
        <v/>
      </c>
      <c r="U117" s="186"/>
    </row>
    <row r="118" spans="2:21" s="69" customFormat="1" ht="18" hidden="1" customHeight="1" outlineLevel="2" x14ac:dyDescent="0.2">
      <c r="B118" s="63">
        <v>2015</v>
      </c>
      <c r="C118" s="166" t="s">
        <v>24</v>
      </c>
      <c r="D118" s="176"/>
      <c r="E118" s="65">
        <f>SUM(E98,E99,E101,E103,E105,E107,E109,E111,E113,E115,E117)</f>
        <v>2146907602.6745999</v>
      </c>
      <c r="F118" s="65">
        <f>SUM(F98,F99,F101,F103,F105,F107,F109,F111,F113,F115,F117)</f>
        <v>1900869917.2599998</v>
      </c>
      <c r="G118" s="65"/>
      <c r="H118" s="66"/>
      <c r="I118" s="67">
        <f>I117</f>
        <v>3890390004.1583996</v>
      </c>
      <c r="J118" s="68">
        <f t="shared" si="14"/>
        <v>246037685.41460013</v>
      </c>
      <c r="K118" s="154">
        <f t="shared" si="17"/>
        <v>0.88539903389037866</v>
      </c>
      <c r="M118" s="139"/>
      <c r="N118" s="138"/>
      <c r="O118" s="108"/>
      <c r="P118" s="104"/>
      <c r="Q118" s="104"/>
      <c r="R118" s="105" t="str">
        <f t="shared" si="16"/>
        <v/>
      </c>
      <c r="S118" s="112"/>
      <c r="T118" s="112"/>
    </row>
    <row r="119" spans="2:21" ht="18" customHeight="1" outlineLevel="1" collapsed="1" thickBot="1" x14ac:dyDescent="0.25">
      <c r="B119" s="60">
        <v>2015</v>
      </c>
      <c r="C119" s="99">
        <v>43435</v>
      </c>
      <c r="D119" s="75">
        <f>I117</f>
        <v>3890390004.1583996</v>
      </c>
      <c r="E119" s="173"/>
      <c r="F119" s="72">
        <f>SUM(G119:H119)</f>
        <v>0</v>
      </c>
      <c r="G119" s="73"/>
      <c r="H119" s="74"/>
      <c r="I119" s="75">
        <f>D119+E119-F119</f>
        <v>3890390004.1583996</v>
      </c>
      <c r="J119" s="75">
        <f t="shared" si="14"/>
        <v>0</v>
      </c>
      <c r="K119" s="100" t="str">
        <f t="shared" si="17"/>
        <v/>
      </c>
      <c r="M119" s="141"/>
      <c r="N119" s="142"/>
      <c r="O119" s="131"/>
      <c r="P119" s="132"/>
      <c r="Q119" s="132"/>
      <c r="R119" s="164" t="str">
        <f t="shared" si="16"/>
        <v/>
      </c>
    </row>
    <row r="120" spans="2:21" s="69" customFormat="1" ht="15" thickBot="1" x14ac:dyDescent="0.25">
      <c r="B120" s="80">
        <v>2015</v>
      </c>
      <c r="C120" s="80" t="s">
        <v>59</v>
      </c>
      <c r="D120" s="78">
        <f>I97</f>
        <v>3644352318.7437992</v>
      </c>
      <c r="E120" s="169">
        <f>E98+E99+E101+E103+E105+E107+E109+E111+E113+E115+E117+E119</f>
        <v>2146907602.6745999</v>
      </c>
      <c r="F120" s="76">
        <f>F98+F99+F101+F103+F105+F107+F109+F111+F113+F115+F117+F119</f>
        <v>1900869917.2599998</v>
      </c>
      <c r="G120" s="76">
        <f>G98+G99+G101+G103+G105+G107+G109+G111+G113+G115+G117+G119</f>
        <v>569568245.05999994</v>
      </c>
      <c r="H120" s="77">
        <f>H98+H99+H101+H103+H105+H107+H109+H111+H113+H115+H117+H119</f>
        <v>1331301672.1999998</v>
      </c>
      <c r="I120" s="78">
        <f>I119</f>
        <v>3890390004.1583996</v>
      </c>
      <c r="J120" s="79">
        <f t="shared" si="14"/>
        <v>246037685.41460013</v>
      </c>
      <c r="K120" s="101">
        <f t="shared" si="17"/>
        <v>0.88539903389037866</v>
      </c>
      <c r="M120" s="147">
        <f>SUM(M98:M119)</f>
        <v>2932.78783527</v>
      </c>
      <c r="N120" s="126">
        <f>SUM(N98:N119)</f>
        <v>2144.8315229199998</v>
      </c>
      <c r="O120" s="120">
        <f>O119</f>
        <v>0</v>
      </c>
      <c r="P120" s="133">
        <f>P119</f>
        <v>0</v>
      </c>
      <c r="Q120" s="133"/>
      <c r="R120" s="128" t="str">
        <f>IF(O120=0,"",P120/O120)</f>
        <v/>
      </c>
      <c r="S120" s="112"/>
      <c r="T120" s="112"/>
    </row>
    <row r="121" spans="2:21" s="69" customFormat="1" ht="13.5" thickBot="1" x14ac:dyDescent="0.25">
      <c r="B121" s="93"/>
      <c r="C121" s="93" t="s">
        <v>41</v>
      </c>
      <c r="D121" s="94"/>
      <c r="E121" s="95">
        <f>E28+E51+E74+E97+E120</f>
        <v>14755492081.7784</v>
      </c>
      <c r="F121" s="95">
        <f>F28+F51+F74+F97+F120</f>
        <v>10865102077.620001</v>
      </c>
      <c r="G121" s="95">
        <f>G28+G51+G74+G97+G120</f>
        <v>7535145507.2600002</v>
      </c>
      <c r="H121" s="95">
        <f>H28+H51+H74+H97+H120</f>
        <v>3329956570.3600001</v>
      </c>
      <c r="I121" s="95"/>
      <c r="J121" s="94"/>
      <c r="K121" s="165">
        <f t="shared" si="17"/>
        <v>0.73634291675283037</v>
      </c>
      <c r="M121" s="145"/>
      <c r="N121" s="146"/>
      <c r="O121" s="118"/>
      <c r="P121" s="106"/>
      <c r="Q121" s="106"/>
      <c r="R121" s="107">
        <f>IF(O121=0,0,P121/O121)</f>
        <v>0</v>
      </c>
      <c r="S121" s="112"/>
      <c r="T121" s="112"/>
    </row>
    <row r="123" spans="2:21" ht="50.25" hidden="1" customHeight="1" outlineLevel="1" x14ac:dyDescent="0.2">
      <c r="C123" s="362" t="s">
        <v>60</v>
      </c>
      <c r="D123" s="363"/>
      <c r="E123" s="363"/>
      <c r="F123" s="363"/>
      <c r="G123" s="363"/>
      <c r="H123" s="363"/>
      <c r="I123" s="363"/>
      <c r="J123" s="363"/>
      <c r="K123" s="363"/>
    </row>
    <row r="124" spans="2:21" collapsed="1" x14ac:dyDescent="0.2">
      <c r="G124" s="167"/>
    </row>
  </sheetData>
  <mergeCells count="19">
    <mergeCell ref="C123:K123"/>
    <mergeCell ref="K4:K5"/>
    <mergeCell ref="B1:K1"/>
    <mergeCell ref="B2:K2"/>
    <mergeCell ref="B4:B5"/>
    <mergeCell ref="C4:C5"/>
    <mergeCell ref="D4:D5"/>
    <mergeCell ref="E4:E5"/>
    <mergeCell ref="F4:F5"/>
    <mergeCell ref="G4:H4"/>
    <mergeCell ref="I4:I5"/>
    <mergeCell ref="J4:J5"/>
    <mergeCell ref="P4:P5"/>
    <mergeCell ref="R4:R5"/>
    <mergeCell ref="M1:T1"/>
    <mergeCell ref="M4:M5"/>
    <mergeCell ref="N4:N5"/>
    <mergeCell ref="Q4:Q5"/>
    <mergeCell ref="O4:O5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N73"/>
  <sheetViews>
    <sheetView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F72" sqref="F72"/>
    </sheetView>
  </sheetViews>
  <sheetFormatPr defaultColWidth="9.140625" defaultRowHeight="12.75" outlineLevelRow="1" outlineLevelCol="1" x14ac:dyDescent="0.2"/>
  <cols>
    <col min="1" max="1" width="2.42578125" style="45" customWidth="1"/>
    <col min="2" max="2" width="7" style="45" hidden="1" customWidth="1" outlineLevel="1"/>
    <col min="3" max="3" width="25.28515625" style="45" customWidth="1" collapsed="1"/>
    <col min="4" max="6" width="18.7109375" style="45" customWidth="1"/>
    <col min="7" max="8" width="18.7109375" style="45" hidden="1" customWidth="1" outlineLevel="1"/>
    <col min="9" max="9" width="18.7109375" style="45" customWidth="1" collapsed="1"/>
    <col min="10" max="10" width="14.42578125" style="45" customWidth="1" outlineLevel="1"/>
    <col min="11" max="11" width="18.7109375" style="45" customWidth="1"/>
    <col min="12" max="16384" width="9.140625" style="45"/>
  </cols>
  <sheetData>
    <row r="1" spans="2:14" ht="15.75" customHeight="1" x14ac:dyDescent="0.25">
      <c r="B1" s="366" t="s">
        <v>30</v>
      </c>
      <c r="C1" s="366"/>
      <c r="D1" s="366"/>
      <c r="E1" s="366"/>
      <c r="F1" s="366"/>
      <c r="G1" s="366"/>
      <c r="H1" s="366"/>
      <c r="I1" s="366"/>
      <c r="J1" s="366"/>
      <c r="K1" s="366"/>
    </row>
    <row r="2" spans="2:14" ht="15.75" x14ac:dyDescent="0.2">
      <c r="B2" s="380" t="s">
        <v>64</v>
      </c>
      <c r="C2" s="367"/>
      <c r="D2" s="367"/>
      <c r="E2" s="367"/>
      <c r="F2" s="367"/>
      <c r="G2" s="367"/>
      <c r="H2" s="367"/>
      <c r="I2" s="367"/>
      <c r="J2" s="367"/>
      <c r="K2" s="367"/>
    </row>
    <row r="3" spans="2:14" ht="13.5" thickBot="1" x14ac:dyDescent="0.25">
      <c r="B3" s="46"/>
      <c r="C3" s="46"/>
      <c r="D3" s="46"/>
      <c r="E3" s="46"/>
      <c r="F3" s="46"/>
      <c r="G3" s="46"/>
      <c r="H3" s="46"/>
      <c r="I3" s="46"/>
      <c r="J3" s="46"/>
      <c r="K3" s="47" t="s">
        <v>61</v>
      </c>
    </row>
    <row r="4" spans="2:14" s="48" customFormat="1" ht="12.75" customHeight="1" x14ac:dyDescent="0.2">
      <c r="B4" s="368" t="s">
        <v>32</v>
      </c>
      <c r="C4" s="368" t="s">
        <v>33</v>
      </c>
      <c r="D4" s="370" t="s">
        <v>40</v>
      </c>
      <c r="E4" s="368" t="s">
        <v>42</v>
      </c>
      <c r="F4" s="373" t="s">
        <v>43</v>
      </c>
      <c r="G4" s="375" t="s">
        <v>34</v>
      </c>
      <c r="H4" s="376"/>
      <c r="I4" s="370" t="s">
        <v>39</v>
      </c>
      <c r="J4" s="370" t="s">
        <v>35</v>
      </c>
      <c r="K4" s="364" t="s">
        <v>14</v>
      </c>
    </row>
    <row r="5" spans="2:14" s="51" customFormat="1" ht="26.25" thickBot="1" x14ac:dyDescent="0.25">
      <c r="B5" s="369"/>
      <c r="C5" s="369"/>
      <c r="D5" s="371"/>
      <c r="E5" s="372"/>
      <c r="F5" s="374"/>
      <c r="G5" s="49" t="s">
        <v>36</v>
      </c>
      <c r="H5" s="50" t="s">
        <v>56</v>
      </c>
      <c r="I5" s="371"/>
      <c r="J5" s="377"/>
      <c r="K5" s="365"/>
    </row>
    <row r="6" spans="2:14" ht="18" hidden="1" customHeight="1" outlineLevel="1" x14ac:dyDescent="0.2">
      <c r="B6" s="148">
        <v>2014</v>
      </c>
      <c r="C6" s="149">
        <v>41640</v>
      </c>
      <c r="D6" s="150">
        <v>0</v>
      </c>
      <c r="E6" s="150">
        <v>0</v>
      </c>
      <c r="F6" s="151">
        <f t="shared" ref="F6:F17" si="0">SUM(G6:H6)</f>
        <v>0</v>
      </c>
      <c r="G6" s="81">
        <v>0</v>
      </c>
      <c r="H6" s="56"/>
      <c r="I6" s="152">
        <f t="shared" ref="I6:I17" si="1">D6+E6-F6</f>
        <v>0</v>
      </c>
      <c r="J6" s="153">
        <f t="shared" ref="J6:J44" si="2">E6-F6</f>
        <v>0</v>
      </c>
      <c r="K6" s="154" t="str">
        <f t="shared" ref="K6:K44" si="3">IF(E6=0,"",F6/E6)</f>
        <v/>
      </c>
    </row>
    <row r="7" spans="2:14" ht="18" hidden="1" customHeight="1" outlineLevel="1" x14ac:dyDescent="0.2">
      <c r="B7" s="155">
        <v>2014</v>
      </c>
      <c r="C7" s="156">
        <v>41671</v>
      </c>
      <c r="D7" s="157">
        <f t="shared" ref="D7:D17" si="4">I6</f>
        <v>0</v>
      </c>
      <c r="E7" s="157">
        <v>0</v>
      </c>
      <c r="F7" s="151">
        <f t="shared" si="0"/>
        <v>0</v>
      </c>
      <c r="G7" s="82">
        <v>0</v>
      </c>
      <c r="H7" s="56"/>
      <c r="I7" s="152">
        <f t="shared" si="1"/>
        <v>0</v>
      </c>
      <c r="J7" s="153">
        <f t="shared" si="2"/>
        <v>0</v>
      </c>
      <c r="K7" s="154" t="str">
        <f t="shared" si="3"/>
        <v/>
      </c>
      <c r="N7" s="45">
        <v>1000</v>
      </c>
    </row>
    <row r="8" spans="2:14" ht="18" hidden="1" customHeight="1" outlineLevel="1" x14ac:dyDescent="0.2">
      <c r="B8" s="155">
        <v>2014</v>
      </c>
      <c r="C8" s="156">
        <v>41699</v>
      </c>
      <c r="D8" s="157">
        <f t="shared" si="4"/>
        <v>0</v>
      </c>
      <c r="E8" s="157">
        <v>0</v>
      </c>
      <c r="F8" s="151">
        <f t="shared" si="0"/>
        <v>0</v>
      </c>
      <c r="G8" s="82">
        <v>0</v>
      </c>
      <c r="H8" s="56"/>
      <c r="I8" s="152">
        <f t="shared" si="1"/>
        <v>0</v>
      </c>
      <c r="J8" s="153">
        <f t="shared" si="2"/>
        <v>0</v>
      </c>
      <c r="K8" s="154" t="str">
        <f t="shared" si="3"/>
        <v/>
      </c>
    </row>
    <row r="9" spans="2:14" ht="18" hidden="1" customHeight="1" outlineLevel="1" x14ac:dyDescent="0.2">
      <c r="B9" s="155">
        <v>2014</v>
      </c>
      <c r="C9" s="156">
        <v>41730</v>
      </c>
      <c r="D9" s="157">
        <f t="shared" si="4"/>
        <v>0</v>
      </c>
      <c r="E9" s="157">
        <v>0</v>
      </c>
      <c r="F9" s="151">
        <f t="shared" si="0"/>
        <v>0</v>
      </c>
      <c r="G9" s="82">
        <v>0</v>
      </c>
      <c r="H9" s="91"/>
      <c r="I9" s="152">
        <f t="shared" si="1"/>
        <v>0</v>
      </c>
      <c r="J9" s="153">
        <f t="shared" si="2"/>
        <v>0</v>
      </c>
      <c r="K9" s="154" t="str">
        <f t="shared" si="3"/>
        <v/>
      </c>
    </row>
    <row r="10" spans="2:14" ht="18" hidden="1" customHeight="1" outlineLevel="1" x14ac:dyDescent="0.2">
      <c r="B10" s="155">
        <v>2014</v>
      </c>
      <c r="C10" s="156">
        <v>41760</v>
      </c>
      <c r="D10" s="157">
        <f t="shared" si="4"/>
        <v>0</v>
      </c>
      <c r="E10" s="157">
        <v>0</v>
      </c>
      <c r="F10" s="151">
        <f t="shared" si="0"/>
        <v>0</v>
      </c>
      <c r="G10" s="82">
        <v>0</v>
      </c>
      <c r="H10" s="91"/>
      <c r="I10" s="152">
        <f t="shared" si="1"/>
        <v>0</v>
      </c>
      <c r="J10" s="153">
        <f t="shared" si="2"/>
        <v>0</v>
      </c>
      <c r="K10" s="154" t="str">
        <f t="shared" si="3"/>
        <v/>
      </c>
    </row>
    <row r="11" spans="2:14" ht="18" hidden="1" customHeight="1" outlineLevel="1" x14ac:dyDescent="0.2">
      <c r="B11" s="155">
        <v>2014</v>
      </c>
      <c r="C11" s="156">
        <v>41791</v>
      </c>
      <c r="D11" s="157">
        <f t="shared" si="4"/>
        <v>0</v>
      </c>
      <c r="E11" s="157">
        <v>0</v>
      </c>
      <c r="F11" s="151">
        <f t="shared" si="0"/>
        <v>0</v>
      </c>
      <c r="G11" s="82">
        <v>0</v>
      </c>
      <c r="H11" s="91"/>
      <c r="I11" s="152">
        <f t="shared" si="1"/>
        <v>0</v>
      </c>
      <c r="J11" s="153">
        <f t="shared" si="2"/>
        <v>0</v>
      </c>
      <c r="K11" s="154" t="str">
        <f t="shared" si="3"/>
        <v/>
      </c>
    </row>
    <row r="12" spans="2:14" ht="18" hidden="1" customHeight="1" outlineLevel="1" x14ac:dyDescent="0.2">
      <c r="B12" s="155">
        <v>2014</v>
      </c>
      <c r="C12" s="156">
        <v>41821</v>
      </c>
      <c r="D12" s="157">
        <f t="shared" si="4"/>
        <v>0</v>
      </c>
      <c r="E12" s="157">
        <v>149650.8627</v>
      </c>
      <c r="F12" s="151">
        <f t="shared" si="0"/>
        <v>133788.70202</v>
      </c>
      <c r="G12" s="82">
        <f>(132400305.37+1388396.65)/1000</f>
        <v>133788.70202</v>
      </c>
      <c r="H12" s="91"/>
      <c r="I12" s="152">
        <f t="shared" si="1"/>
        <v>15862.160680000001</v>
      </c>
      <c r="J12" s="153">
        <f t="shared" si="2"/>
        <v>15862.160680000001</v>
      </c>
      <c r="K12" s="154">
        <f t="shared" si="3"/>
        <v>0.89400555136258497</v>
      </c>
    </row>
    <row r="13" spans="2:14" ht="18" hidden="1" customHeight="1" outlineLevel="1" x14ac:dyDescent="0.2">
      <c r="B13" s="155">
        <v>2014</v>
      </c>
      <c r="C13" s="156">
        <v>41852</v>
      </c>
      <c r="D13" s="157">
        <f t="shared" si="4"/>
        <v>15862.160680000001</v>
      </c>
      <c r="E13" s="157">
        <f>(135829699.37-1187056.67-201339.98)/1000</f>
        <v>134441.30272000004</v>
      </c>
      <c r="F13" s="151">
        <f t="shared" si="0"/>
        <v>77185.088170000003</v>
      </c>
      <c r="G13" s="82">
        <v>77185.088170000003</v>
      </c>
      <c r="H13" s="91"/>
      <c r="I13" s="152">
        <f t="shared" si="1"/>
        <v>73118.375230000034</v>
      </c>
      <c r="J13" s="153">
        <f t="shared" si="2"/>
        <v>57256.214550000033</v>
      </c>
      <c r="K13" s="154">
        <f t="shared" si="3"/>
        <v>0.57411737768379745</v>
      </c>
    </row>
    <row r="14" spans="2:14" ht="18" hidden="1" customHeight="1" outlineLevel="1" x14ac:dyDescent="0.2">
      <c r="B14" s="155">
        <v>2014</v>
      </c>
      <c r="C14" s="156">
        <v>41883</v>
      </c>
      <c r="D14" s="157">
        <f t="shared" si="4"/>
        <v>73118.375230000034</v>
      </c>
      <c r="E14" s="157">
        <f>(98767719.73+44604947.04)/1000</f>
        <v>143372.66677000001</v>
      </c>
      <c r="F14" s="151">
        <f t="shared" si="0"/>
        <v>18000</v>
      </c>
      <c r="G14" s="82">
        <v>18000</v>
      </c>
      <c r="H14" s="91"/>
      <c r="I14" s="152">
        <f t="shared" si="1"/>
        <v>198491.04200000004</v>
      </c>
      <c r="J14" s="153">
        <f t="shared" si="2"/>
        <v>125372.66677000001</v>
      </c>
      <c r="K14" s="154">
        <f t="shared" si="3"/>
        <v>0.12554694284145385</v>
      </c>
    </row>
    <row r="15" spans="2:14" ht="18" hidden="1" customHeight="1" outlineLevel="1" x14ac:dyDescent="0.2">
      <c r="B15" s="155">
        <v>2014</v>
      </c>
      <c r="C15" s="156">
        <v>41913</v>
      </c>
      <c r="D15" s="157">
        <f t="shared" si="4"/>
        <v>198491.04200000004</v>
      </c>
      <c r="E15" s="157">
        <v>339662.56099999999</v>
      </c>
      <c r="F15" s="151">
        <f t="shared" si="0"/>
        <v>55118.375230000005</v>
      </c>
      <c r="G15" s="82">
        <f>(23000000+5000000+20118375.23+7000000)/1000</f>
        <v>55118.375230000005</v>
      </c>
      <c r="H15" s="91"/>
      <c r="I15" s="152">
        <f t="shared" si="1"/>
        <v>483035.22777</v>
      </c>
      <c r="J15" s="153">
        <f t="shared" si="2"/>
        <v>284544.18576999998</v>
      </c>
      <c r="K15" s="154">
        <f t="shared" si="3"/>
        <v>0.16227391993903034</v>
      </c>
    </row>
    <row r="16" spans="2:14" ht="18" hidden="1" customHeight="1" outlineLevel="1" x14ac:dyDescent="0.2">
      <c r="B16" s="155">
        <v>2014</v>
      </c>
      <c r="C16" s="156">
        <v>41944</v>
      </c>
      <c r="D16" s="157">
        <f t="shared" si="4"/>
        <v>483035.22777</v>
      </c>
      <c r="E16" s="157">
        <f>(382487456.31)/1000</f>
        <v>382487.45630999998</v>
      </c>
      <c r="F16" s="151">
        <f t="shared" si="0"/>
        <v>297872.66676999995</v>
      </c>
      <c r="G16" s="82">
        <f>(25000000+7000000+8372666.79+24000000+14000000+15999999.98+49000000+10000000+10000000+61500000+6500000+9500000+8300000+23700000+5000000+20000000)/1000</f>
        <v>297872.66676999995</v>
      </c>
      <c r="H16" s="56"/>
      <c r="I16" s="152">
        <f t="shared" si="1"/>
        <v>567650.01731000002</v>
      </c>
      <c r="J16" s="153">
        <f t="shared" si="2"/>
        <v>84614.789540000027</v>
      </c>
      <c r="K16" s="154">
        <f t="shared" si="3"/>
        <v>0.7787776091893035</v>
      </c>
    </row>
    <row r="17" spans="2:11" ht="18" hidden="1" customHeight="1" outlineLevel="1" thickBot="1" x14ac:dyDescent="0.25">
      <c r="B17" s="163">
        <v>2014</v>
      </c>
      <c r="C17" s="158">
        <v>41974</v>
      </c>
      <c r="D17" s="159">
        <f t="shared" si="4"/>
        <v>567650.01731000002</v>
      </c>
      <c r="E17" s="159">
        <v>443936.27836</v>
      </c>
      <c r="F17" s="160">
        <f t="shared" si="0"/>
        <v>380600</v>
      </c>
      <c r="G17" s="73">
        <f>(10000000+10000000+3000000+2000000+5000000+20000000+70000000+19000000+22000000+25000000+6000000+14000000+55100000+13500000+5000000+13000000+13000000+50000000+25000000)/1000</f>
        <v>380600</v>
      </c>
      <c r="H17" s="74"/>
      <c r="I17" s="161">
        <f t="shared" si="1"/>
        <v>630986.29567000002</v>
      </c>
      <c r="J17" s="161">
        <f t="shared" si="2"/>
        <v>63336.278359999997</v>
      </c>
      <c r="K17" s="162">
        <f t="shared" si="3"/>
        <v>0.8573302488501765</v>
      </c>
    </row>
    <row r="18" spans="2:11" s="69" customFormat="1" ht="18" hidden="1" customHeight="1" collapsed="1" thickBot="1" x14ac:dyDescent="0.25">
      <c r="B18" s="80">
        <v>2014</v>
      </c>
      <c r="C18" s="198" t="s">
        <v>46</v>
      </c>
      <c r="D18" s="199">
        <f>D6</f>
        <v>0</v>
      </c>
      <c r="E18" s="200">
        <f>E6+E7+E8+E9+E10+E11+E12+E13+E14+E15+E16+E17</f>
        <v>1593551.1278599999</v>
      </c>
      <c r="F18" s="201">
        <f>F6+F7+F8+F9+F10+F11+F12+F13+F14+F15+F16+F17</f>
        <v>962564.83218999999</v>
      </c>
      <c r="G18" s="201">
        <f>G6+G7+G8+G9+G10+G11+G12+G13+G14+G15+G16+G17</f>
        <v>962564.83218999999</v>
      </c>
      <c r="H18" s="202">
        <f>H6+H7+H8+H9+H10+H11+H12+H13+H14+H15+H16+H17</f>
        <v>0</v>
      </c>
      <c r="I18" s="203">
        <f>I17</f>
        <v>630986.29567000002</v>
      </c>
      <c r="J18" s="204">
        <f t="shared" si="2"/>
        <v>630986.2956699999</v>
      </c>
      <c r="K18" s="205">
        <f t="shared" si="3"/>
        <v>0.60403762098467495</v>
      </c>
    </row>
    <row r="19" spans="2:11" ht="18" hidden="1" customHeight="1" outlineLevel="1" x14ac:dyDescent="0.2">
      <c r="B19" s="148">
        <v>2015</v>
      </c>
      <c r="C19" s="149">
        <v>42005</v>
      </c>
      <c r="D19" s="152">
        <f>I17</f>
        <v>630986.29567000002</v>
      </c>
      <c r="E19" s="178">
        <v>447301.27581999998</v>
      </c>
      <c r="F19" s="151">
        <f t="shared" ref="F19:F30" si="5">SUM(G19:H19)</f>
        <v>150000</v>
      </c>
      <c r="G19" s="81">
        <f>(150000000)/1000</f>
        <v>150000</v>
      </c>
      <c r="H19" s="56"/>
      <c r="I19" s="152">
        <f t="shared" ref="I19:I30" si="6">D19+E19-F19</f>
        <v>928287.57149</v>
      </c>
      <c r="J19" s="153">
        <f t="shared" si="2"/>
        <v>297301.27581999998</v>
      </c>
      <c r="K19" s="154">
        <f t="shared" si="3"/>
        <v>0.33534444927530682</v>
      </c>
    </row>
    <row r="20" spans="2:11" ht="18" hidden="1" customHeight="1" outlineLevel="1" x14ac:dyDescent="0.2">
      <c r="B20" s="155">
        <v>2015</v>
      </c>
      <c r="C20" s="156">
        <v>42036</v>
      </c>
      <c r="D20" s="191">
        <f t="shared" ref="D20:D30" si="7">I19</f>
        <v>928287.57149</v>
      </c>
      <c r="E20" s="177">
        <v>387179.97219</v>
      </c>
      <c r="F20" s="151">
        <f t="shared" si="5"/>
        <v>215000</v>
      </c>
      <c r="G20" s="82">
        <f>(37050017.31+62949982.69+20000000+25000000+20000000+20000000+30000000)/1000</f>
        <v>215000</v>
      </c>
      <c r="H20" s="56"/>
      <c r="I20" s="152">
        <f t="shared" si="6"/>
        <v>1100467.5436800001</v>
      </c>
      <c r="J20" s="153">
        <f t="shared" si="2"/>
        <v>172179.97219</v>
      </c>
      <c r="K20" s="154">
        <f t="shared" si="3"/>
        <v>0.55529731763732215</v>
      </c>
    </row>
    <row r="21" spans="2:11" ht="18" hidden="1" customHeight="1" outlineLevel="1" x14ac:dyDescent="0.2">
      <c r="B21" s="155">
        <v>2015</v>
      </c>
      <c r="C21" s="156">
        <v>42064</v>
      </c>
      <c r="D21" s="191">
        <f t="shared" si="7"/>
        <v>1100467.5436800001</v>
      </c>
      <c r="E21" s="177">
        <v>386440.63639999996</v>
      </c>
      <c r="F21" s="151">
        <f t="shared" si="5"/>
        <v>445986.29567000002</v>
      </c>
      <c r="G21" s="82">
        <f>(103000000+22000000+40000000+20000000+40000000+40986295.67+40000000+40000000+100000000)/1000</f>
        <v>445986.29567000002</v>
      </c>
      <c r="H21" s="56"/>
      <c r="I21" s="152">
        <f t="shared" si="6"/>
        <v>1040921.8844100001</v>
      </c>
      <c r="J21" s="153">
        <f t="shared" si="2"/>
        <v>-59545.659270000062</v>
      </c>
      <c r="K21" s="154">
        <f t="shared" si="3"/>
        <v>1.1540874681936013</v>
      </c>
    </row>
    <row r="22" spans="2:11" ht="18" hidden="1" customHeight="1" outlineLevel="1" x14ac:dyDescent="0.2">
      <c r="B22" s="155">
        <v>2015</v>
      </c>
      <c r="C22" s="156">
        <v>42095</v>
      </c>
      <c r="D22" s="191">
        <f t="shared" si="7"/>
        <v>1040921.8844100001</v>
      </c>
      <c r="E22" s="177">
        <v>317874.06244000001</v>
      </c>
      <c r="F22" s="151">
        <f t="shared" si="5"/>
        <v>240000</v>
      </c>
      <c r="G22" s="82">
        <f>(20000000+60000000+30000000+10000000+40000000+40000000+40000000)/1000</f>
        <v>240000</v>
      </c>
      <c r="H22" s="91"/>
      <c r="I22" s="152">
        <f t="shared" si="6"/>
        <v>1118795.9468499999</v>
      </c>
      <c r="J22" s="153">
        <f t="shared" si="2"/>
        <v>77874.062440000009</v>
      </c>
      <c r="K22" s="154">
        <f t="shared" si="3"/>
        <v>0.7550159901621446</v>
      </c>
    </row>
    <row r="23" spans="2:11" ht="18" hidden="1" customHeight="1" outlineLevel="1" x14ac:dyDescent="0.2">
      <c r="B23" s="155">
        <v>2015</v>
      </c>
      <c r="C23" s="156">
        <v>42125</v>
      </c>
      <c r="D23" s="191">
        <f t="shared" si="7"/>
        <v>1118795.9468499999</v>
      </c>
      <c r="E23" s="177">
        <v>158152.95078000001</v>
      </c>
      <c r="F23" s="151">
        <f t="shared" si="5"/>
        <v>80000</v>
      </c>
      <c r="G23" s="82">
        <f>(15000000+2000000+2000000+2000000+2000000+2000000+2000000+301275.82+1698724.18+2000000+2000000+2000000+45000000)/1000</f>
        <v>80000</v>
      </c>
      <c r="H23" s="91"/>
      <c r="I23" s="152">
        <f t="shared" si="6"/>
        <v>1196948.89763</v>
      </c>
      <c r="J23" s="153">
        <f t="shared" si="2"/>
        <v>78152.950780000014</v>
      </c>
      <c r="K23" s="154">
        <f t="shared" si="3"/>
        <v>0.50583943964020417</v>
      </c>
    </row>
    <row r="24" spans="2:11" ht="18" hidden="1" customHeight="1" outlineLevel="1" x14ac:dyDescent="0.2">
      <c r="B24" s="155">
        <v>2015</v>
      </c>
      <c r="C24" s="156">
        <v>42156</v>
      </c>
      <c r="D24" s="191">
        <f t="shared" si="7"/>
        <v>1196948.89763</v>
      </c>
      <c r="E24" s="177">
        <v>139907.67000000001</v>
      </c>
      <c r="F24" s="151">
        <f t="shared" si="5"/>
        <v>84000</v>
      </c>
      <c r="G24" s="82">
        <f>(2000000*21+42000000)/1000</f>
        <v>84000</v>
      </c>
      <c r="H24" s="91"/>
      <c r="I24" s="152">
        <f t="shared" si="6"/>
        <v>1252856.5676299999</v>
      </c>
      <c r="J24" s="153">
        <f t="shared" si="2"/>
        <v>55907.670000000013</v>
      </c>
      <c r="K24" s="154">
        <f t="shared" si="3"/>
        <v>0.60039596113636939</v>
      </c>
    </row>
    <row r="25" spans="2:11" ht="18" hidden="1" customHeight="1" outlineLevel="1" x14ac:dyDescent="0.2">
      <c r="B25" s="155">
        <v>2015</v>
      </c>
      <c r="C25" s="156">
        <v>42186</v>
      </c>
      <c r="D25" s="191">
        <f t="shared" si="7"/>
        <v>1252856.5676299999</v>
      </c>
      <c r="E25" s="177">
        <v>136825.35114379998</v>
      </c>
      <c r="F25" s="151">
        <f t="shared" si="5"/>
        <v>30000</v>
      </c>
      <c r="G25" s="82">
        <f>(4000000+2000000*13)/1000</f>
        <v>30000</v>
      </c>
      <c r="H25" s="91"/>
      <c r="I25" s="152">
        <f t="shared" si="6"/>
        <v>1359681.9187737999</v>
      </c>
      <c r="J25" s="153">
        <f t="shared" si="2"/>
        <v>106825.35114379998</v>
      </c>
      <c r="K25" s="154">
        <f t="shared" si="3"/>
        <v>0.21925761380630962</v>
      </c>
    </row>
    <row r="26" spans="2:11" ht="18" hidden="1" customHeight="1" outlineLevel="1" x14ac:dyDescent="0.2">
      <c r="B26" s="155">
        <v>2015</v>
      </c>
      <c r="C26" s="156">
        <v>42217</v>
      </c>
      <c r="D26" s="191">
        <f t="shared" si="7"/>
        <v>1359681.9187737999</v>
      </c>
      <c r="E26" s="177">
        <v>122427.88488</v>
      </c>
      <c r="F26" s="151">
        <f t="shared" si="5"/>
        <v>0</v>
      </c>
      <c r="G26" s="82">
        <v>0</v>
      </c>
      <c r="H26" s="91"/>
      <c r="I26" s="152">
        <f t="shared" si="6"/>
        <v>1482109.8036537999</v>
      </c>
      <c r="J26" s="153">
        <f t="shared" si="2"/>
        <v>122427.88488</v>
      </c>
      <c r="K26" s="154">
        <f t="shared" si="3"/>
        <v>0</v>
      </c>
    </row>
    <row r="27" spans="2:11" ht="18" hidden="1" customHeight="1" outlineLevel="1" x14ac:dyDescent="0.2">
      <c r="B27" s="155">
        <v>2015</v>
      </c>
      <c r="C27" s="156">
        <v>42248</v>
      </c>
      <c r="D27" s="191">
        <f t="shared" si="7"/>
        <v>1482109.8036537999</v>
      </c>
      <c r="E27" s="179">
        <f>(141655119.43-(3573840.09+14407370.54)-(3190230.72+12681092.64)-(3696658.08+14473271.41))/1000</f>
        <v>89632.655950000015</v>
      </c>
      <c r="F27" s="151">
        <f t="shared" si="5"/>
        <v>20000</v>
      </c>
      <c r="G27" s="82">
        <v>20000</v>
      </c>
      <c r="H27" s="91"/>
      <c r="I27" s="152">
        <f t="shared" si="6"/>
        <v>1551742.4596038</v>
      </c>
      <c r="J27" s="153">
        <f t="shared" si="2"/>
        <v>69632.655950000015</v>
      </c>
      <c r="K27" s="154">
        <f t="shared" si="3"/>
        <v>0.22313296184324433</v>
      </c>
    </row>
    <row r="28" spans="2:11" ht="18" hidden="1" customHeight="1" outlineLevel="1" x14ac:dyDescent="0.2">
      <c r="B28" s="155">
        <v>2015</v>
      </c>
      <c r="C28" s="156">
        <v>42278</v>
      </c>
      <c r="D28" s="191">
        <f t="shared" si="7"/>
        <v>1551742.4596038</v>
      </c>
      <c r="E28" s="177">
        <f>((312225466.45-8171335.34)+(14407370.54+12681092.64+14473271.41))/1000</f>
        <v>345615.86570000002</v>
      </c>
      <c r="F28" s="151">
        <f t="shared" si="5"/>
        <v>184762.39315000002</v>
      </c>
      <c r="G28" s="82">
        <f>((310800+1100000+1140000)+36870739.11+(63710124.83+2239730.59)+(12887.14+2755256.84)+(28.36+1327476.57+2912252.34)+(68653.3+51096+1381484.29)+(47875926.35+9695.15+2358204.79)+(654362.53+8920819.9+130000+1378152)+(18224.33+9536478.73))/1000</f>
        <v>184762.39315000002</v>
      </c>
      <c r="H28" s="91"/>
      <c r="I28" s="152">
        <f t="shared" si="6"/>
        <v>1712595.9321538</v>
      </c>
      <c r="J28" s="153">
        <f t="shared" si="2"/>
        <v>160853.47255000001</v>
      </c>
      <c r="K28" s="154">
        <f t="shared" si="3"/>
        <v>0.53458886436184805</v>
      </c>
    </row>
    <row r="29" spans="2:11" ht="18" hidden="1" customHeight="1" outlineLevel="1" x14ac:dyDescent="0.2">
      <c r="B29" s="155">
        <v>2015</v>
      </c>
      <c r="C29" s="156">
        <v>42309</v>
      </c>
      <c r="D29" s="191">
        <f t="shared" si="7"/>
        <v>1712595.9321538</v>
      </c>
      <c r="E29" s="177">
        <f>((399823228.19-10514535.28))/1000</f>
        <v>389308.69291000004</v>
      </c>
      <c r="F29" s="151">
        <f t="shared" si="5"/>
        <v>37289.601689999996</v>
      </c>
      <c r="G29" s="82">
        <f>((2078.76+50000+2880153.55)+(509.54+100000+3559230.87)+(93917.82+7266427.33)+(26875.2+1106.21+6158326.68)+(95016.13+5485212.77)+11570746.83)/1000</f>
        <v>37289.601689999996</v>
      </c>
      <c r="H29" s="56"/>
      <c r="I29" s="152">
        <f t="shared" si="6"/>
        <v>2064615.0233738003</v>
      </c>
      <c r="J29" s="153">
        <f t="shared" si="2"/>
        <v>352019.09122000006</v>
      </c>
      <c r="K29" s="154">
        <f t="shared" si="3"/>
        <v>9.5784148592388527E-2</v>
      </c>
    </row>
    <row r="30" spans="2:11" ht="18" hidden="1" customHeight="1" outlineLevel="1" thickBot="1" x14ac:dyDescent="0.25">
      <c r="B30" s="155">
        <v>2015</v>
      </c>
      <c r="C30" s="158">
        <v>42339</v>
      </c>
      <c r="D30" s="161">
        <f t="shared" si="7"/>
        <v>2064615.0233738003</v>
      </c>
      <c r="E30" s="192">
        <f>(434827470.63+(3573840.09+3190230.72+3696658.08+8171335.34+10514535.28)-(10159.27+59729.84)-(41364.29+352249.03)-(1037.17+8992.86))/1000</f>
        <v>463500.53768000001</v>
      </c>
      <c r="F30" s="160">
        <f t="shared" si="5"/>
        <v>77060.746830000004</v>
      </c>
      <c r="G30" s="73">
        <f>(11570746.83+(1000000+9000000)+(1000000+9000000)+(1000000+9000000)+(1000000+5490000+9000000)+(1400000+8600000)+(5000000+5000000))/1000</f>
        <v>77060.746830000004</v>
      </c>
      <c r="H30" s="74"/>
      <c r="I30" s="161">
        <f t="shared" si="6"/>
        <v>2451054.8142238003</v>
      </c>
      <c r="J30" s="161">
        <f t="shared" si="2"/>
        <v>386439.79084999999</v>
      </c>
      <c r="K30" s="162">
        <f t="shared" si="3"/>
        <v>0.16625816059614285</v>
      </c>
    </row>
    <row r="31" spans="2:11" s="69" customFormat="1" ht="18" hidden="1" customHeight="1" thickBot="1" x14ac:dyDescent="0.25">
      <c r="B31" s="80">
        <v>2015</v>
      </c>
      <c r="C31" s="198" t="s">
        <v>47</v>
      </c>
      <c r="D31" s="203">
        <f>I18</f>
        <v>630986.29567000002</v>
      </c>
      <c r="E31" s="200">
        <f>E19+E20+E21+E22+E23+E24+E25+E26+E27+E28+E29+E30</f>
        <v>3384167.5558938002</v>
      </c>
      <c r="F31" s="201">
        <f>F19+F20+F21+F22+F23+F24+F25+F26+F27+F28+F29+F30</f>
        <v>1564099.0373399998</v>
      </c>
      <c r="G31" s="201">
        <f>G19+G20+G21+G22+G23+G24+G25+G26+G27+G28+G29+G30</f>
        <v>1564099.0373399998</v>
      </c>
      <c r="H31" s="202">
        <f>H19+H20+H21+H22+H23+H24+H25+H26+H27+H28+H29+H30</f>
        <v>0</v>
      </c>
      <c r="I31" s="203">
        <f>I30</f>
        <v>2451054.8142238003</v>
      </c>
      <c r="J31" s="204">
        <f t="shared" si="2"/>
        <v>1820068.5185538004</v>
      </c>
      <c r="K31" s="205">
        <f t="shared" si="3"/>
        <v>0.46218132273503876</v>
      </c>
    </row>
    <row r="32" spans="2:11" ht="18" hidden="1" customHeight="1" outlineLevel="1" x14ac:dyDescent="0.2">
      <c r="B32" s="148">
        <v>2015</v>
      </c>
      <c r="C32" s="149">
        <v>42370</v>
      </c>
      <c r="D32" s="152">
        <f>I30</f>
        <v>2451054.8142238003</v>
      </c>
      <c r="E32" s="178">
        <f>'газ руб.'!E52/1000</f>
        <v>567278.87703999993</v>
      </c>
      <c r="F32" s="151">
        <f t="shared" ref="F32:F43" si="8">SUM(G32:H32)</f>
        <v>301727.92119000002</v>
      </c>
      <c r="G32" s="81">
        <f>'газ руб.'!G52/1000</f>
        <v>301727.92119000002</v>
      </c>
      <c r="H32" s="81">
        <f>'газ руб.'!H52/1000</f>
        <v>0</v>
      </c>
      <c r="I32" s="152">
        <f t="shared" ref="I32:I43" si="9">D32+E32-F32</f>
        <v>2716605.7700738003</v>
      </c>
      <c r="J32" s="153">
        <f t="shared" si="2"/>
        <v>265550.95584999991</v>
      </c>
      <c r="K32" s="154">
        <f t="shared" si="3"/>
        <v>0.53188640261802766</v>
      </c>
    </row>
    <row r="33" spans="2:11" ht="18" hidden="1" customHeight="1" outlineLevel="1" x14ac:dyDescent="0.2">
      <c r="B33" s="155">
        <v>2015</v>
      </c>
      <c r="C33" s="156">
        <v>42401</v>
      </c>
      <c r="D33" s="191">
        <f t="shared" ref="D33:D43" si="10">I32</f>
        <v>2716605.7700738003</v>
      </c>
      <c r="E33" s="177">
        <f>'газ руб.'!E53/1000</f>
        <v>422315.5258</v>
      </c>
      <c r="F33" s="151">
        <f t="shared" si="8"/>
        <v>303917.05031000002</v>
      </c>
      <c r="G33" s="82">
        <f>'газ руб.'!G53/1000</f>
        <v>450917.05031000002</v>
      </c>
      <c r="H33" s="190">
        <f>'газ руб.'!H53/1000</f>
        <v>-147000</v>
      </c>
      <c r="I33" s="152">
        <f t="shared" si="9"/>
        <v>2835004.2455638004</v>
      </c>
      <c r="J33" s="153">
        <f t="shared" si="2"/>
        <v>118398.47548999998</v>
      </c>
      <c r="K33" s="154">
        <f t="shared" si="3"/>
        <v>0.7196445116108019</v>
      </c>
    </row>
    <row r="34" spans="2:11" ht="18" hidden="1" customHeight="1" outlineLevel="1" x14ac:dyDescent="0.2">
      <c r="B34" s="155">
        <v>2015</v>
      </c>
      <c r="C34" s="156">
        <v>42430</v>
      </c>
      <c r="D34" s="191">
        <f t="shared" si="10"/>
        <v>2835004.2455638004</v>
      </c>
      <c r="E34" s="177">
        <f>'газ руб.'!E55/1000</f>
        <v>439898.82988999999</v>
      </c>
      <c r="F34" s="151">
        <f t="shared" si="8"/>
        <v>807717.32907000009</v>
      </c>
      <c r="G34" s="82">
        <f>'газ руб.'!G55/1000</f>
        <v>807717.32907000009</v>
      </c>
      <c r="H34" s="82">
        <f>'газ руб.'!H55/1000</f>
        <v>0</v>
      </c>
      <c r="I34" s="152">
        <f t="shared" si="9"/>
        <v>2467185.7463838006</v>
      </c>
      <c r="J34" s="153">
        <f t="shared" si="2"/>
        <v>-367818.4991800001</v>
      </c>
      <c r="K34" s="154">
        <f t="shared" si="3"/>
        <v>1.8361433906791156</v>
      </c>
    </row>
    <row r="35" spans="2:11" ht="18" hidden="1" customHeight="1" outlineLevel="1" x14ac:dyDescent="0.2">
      <c r="B35" s="155">
        <v>2015</v>
      </c>
      <c r="C35" s="156">
        <v>42461</v>
      </c>
      <c r="D35" s="191">
        <f t="shared" si="10"/>
        <v>2467185.7463838006</v>
      </c>
      <c r="E35" s="177">
        <f>'газ руб.'!E57/1000</f>
        <v>338985.86932</v>
      </c>
      <c r="F35" s="151">
        <f t="shared" si="8"/>
        <v>180483.23812999998</v>
      </c>
      <c r="G35" s="82">
        <f>'газ руб.'!G57/1000</f>
        <v>180483.23812999998</v>
      </c>
      <c r="H35" s="82">
        <f>'газ руб.'!H57/1000</f>
        <v>0</v>
      </c>
      <c r="I35" s="152">
        <f t="shared" si="9"/>
        <v>2625688.3775738007</v>
      </c>
      <c r="J35" s="153">
        <f t="shared" si="2"/>
        <v>158502.63119000001</v>
      </c>
      <c r="K35" s="154">
        <f t="shared" si="3"/>
        <v>0.53242112567124511</v>
      </c>
    </row>
    <row r="36" spans="2:11" ht="18" hidden="1" customHeight="1" outlineLevel="1" x14ac:dyDescent="0.2">
      <c r="B36" s="155">
        <v>2015</v>
      </c>
      <c r="C36" s="156">
        <v>42491</v>
      </c>
      <c r="D36" s="191">
        <f t="shared" si="10"/>
        <v>2625688.3775738007</v>
      </c>
      <c r="E36" s="177">
        <f>'газ руб.'!E59/1000</f>
        <v>148357.39421999999</v>
      </c>
      <c r="F36" s="151">
        <f t="shared" si="8"/>
        <v>292405.71227999998</v>
      </c>
      <c r="G36" s="82">
        <f>'газ руб.'!G59/1000</f>
        <v>292405.71227999998</v>
      </c>
      <c r="H36" s="82">
        <f>'газ руб.'!H59/1000</f>
        <v>0</v>
      </c>
      <c r="I36" s="152">
        <f t="shared" si="9"/>
        <v>2481640.0595138008</v>
      </c>
      <c r="J36" s="153">
        <f t="shared" si="2"/>
        <v>-144048.31805999999</v>
      </c>
      <c r="K36" s="154">
        <f t="shared" si="3"/>
        <v>1.9709547597364103</v>
      </c>
    </row>
    <row r="37" spans="2:11" ht="18" hidden="1" customHeight="1" outlineLevel="1" x14ac:dyDescent="0.2">
      <c r="B37" s="155">
        <v>2015</v>
      </c>
      <c r="C37" s="156">
        <v>42522</v>
      </c>
      <c r="D37" s="191">
        <f t="shared" si="10"/>
        <v>2481640.0595138008</v>
      </c>
      <c r="E37" s="177">
        <f>'газ руб.'!E61/1000</f>
        <v>107801.65398</v>
      </c>
      <c r="F37" s="151">
        <f t="shared" si="8"/>
        <v>6722.1706799999993</v>
      </c>
      <c r="G37" s="82">
        <f>'газ руб.'!G61/1000</f>
        <v>6722.1706799999993</v>
      </c>
      <c r="H37" s="82">
        <f>'газ руб.'!H61/1000</f>
        <v>0</v>
      </c>
      <c r="I37" s="152">
        <f t="shared" si="9"/>
        <v>2582719.5428138007</v>
      </c>
      <c r="J37" s="153">
        <f t="shared" si="2"/>
        <v>101079.48330000001</v>
      </c>
      <c r="K37" s="154">
        <f t="shared" si="3"/>
        <v>6.235684177208576E-2</v>
      </c>
    </row>
    <row r="38" spans="2:11" ht="18" hidden="1" customHeight="1" outlineLevel="1" x14ac:dyDescent="0.2">
      <c r="B38" s="155">
        <v>2015</v>
      </c>
      <c r="C38" s="156">
        <v>42552</v>
      </c>
      <c r="D38" s="191">
        <f t="shared" si="10"/>
        <v>2582719.5428138007</v>
      </c>
      <c r="E38" s="177">
        <f>'газ руб.'!E63/1000</f>
        <v>121321.35421</v>
      </c>
      <c r="F38" s="151">
        <f t="shared" si="8"/>
        <v>243172.92043999999</v>
      </c>
      <c r="G38" s="82">
        <f>'газ руб.'!G63/1000</f>
        <v>243172.92043999999</v>
      </c>
      <c r="H38" s="82">
        <f>'газ руб.'!H63/1000</f>
        <v>0</v>
      </c>
      <c r="I38" s="152">
        <f t="shared" si="9"/>
        <v>2460867.9765838007</v>
      </c>
      <c r="J38" s="153">
        <f t="shared" si="2"/>
        <v>-121851.56622999998</v>
      </c>
      <c r="K38" s="154">
        <f t="shared" si="3"/>
        <v>2.0043703107622934</v>
      </c>
    </row>
    <row r="39" spans="2:11" ht="18" hidden="1" customHeight="1" outlineLevel="1" x14ac:dyDescent="0.2">
      <c r="B39" s="155">
        <v>2015</v>
      </c>
      <c r="C39" s="156">
        <v>42583</v>
      </c>
      <c r="D39" s="191">
        <f t="shared" si="10"/>
        <v>2460867.9765838007</v>
      </c>
      <c r="E39" s="177">
        <f>'газ руб.'!E65/1000</f>
        <v>121646.57846999999</v>
      </c>
      <c r="F39" s="151">
        <f t="shared" si="8"/>
        <v>66693.547680000003</v>
      </c>
      <c r="G39" s="82">
        <f>'газ руб.'!G65/1000</f>
        <v>-80306.452319999997</v>
      </c>
      <c r="H39" s="190">
        <f>'газ руб.'!H65/1000</f>
        <v>147000</v>
      </c>
      <c r="I39" s="152">
        <f t="shared" si="9"/>
        <v>2515821.007373801</v>
      </c>
      <c r="J39" s="153">
        <f t="shared" si="2"/>
        <v>54953.03078999999</v>
      </c>
      <c r="K39" s="154">
        <f t="shared" si="3"/>
        <v>0.54825666713221788</v>
      </c>
    </row>
    <row r="40" spans="2:11" ht="18" hidden="1" customHeight="1" outlineLevel="1" x14ac:dyDescent="0.2">
      <c r="B40" s="155">
        <v>2015</v>
      </c>
      <c r="C40" s="156">
        <v>42614</v>
      </c>
      <c r="D40" s="191">
        <f t="shared" si="10"/>
        <v>2515821.007373801</v>
      </c>
      <c r="E40" s="179">
        <f>'газ руб.'!E67/1000</f>
        <v>164963.41456999999</v>
      </c>
      <c r="F40" s="151">
        <f t="shared" si="8"/>
        <v>455976.75740000006</v>
      </c>
      <c r="G40" s="82">
        <f>'газ руб.'!G67/1000</f>
        <v>455976.75740000006</v>
      </c>
      <c r="H40" s="82">
        <f>'газ руб.'!H67/1000</f>
        <v>0</v>
      </c>
      <c r="I40" s="152">
        <f t="shared" si="9"/>
        <v>2224807.664543801</v>
      </c>
      <c r="J40" s="153">
        <f t="shared" si="2"/>
        <v>-291013.3428300001</v>
      </c>
      <c r="K40" s="154">
        <f t="shared" si="3"/>
        <v>2.7641083848110606</v>
      </c>
    </row>
    <row r="41" spans="2:11" ht="18" hidden="1" customHeight="1" outlineLevel="1" x14ac:dyDescent="0.2">
      <c r="B41" s="155">
        <v>2015</v>
      </c>
      <c r="C41" s="156">
        <v>42644</v>
      </c>
      <c r="D41" s="191">
        <f t="shared" si="10"/>
        <v>2224807.664543801</v>
      </c>
      <c r="E41" s="177">
        <f>'газ руб.'!E69/1000</f>
        <v>350749.55699999997</v>
      </c>
      <c r="F41" s="151">
        <f t="shared" si="8"/>
        <v>55392.157359999997</v>
      </c>
      <c r="G41" s="82">
        <f>'газ руб.'!G69/1000</f>
        <v>55392.157359999997</v>
      </c>
      <c r="H41" s="82">
        <f>'газ руб.'!H69/1000</f>
        <v>0</v>
      </c>
      <c r="I41" s="152">
        <f t="shared" si="9"/>
        <v>2520165.0641838009</v>
      </c>
      <c r="J41" s="153">
        <f t="shared" si="2"/>
        <v>295357.39963999996</v>
      </c>
      <c r="K41" s="154">
        <f t="shared" si="3"/>
        <v>0.15792509571152502</v>
      </c>
    </row>
    <row r="42" spans="2:11" ht="18" hidden="1" customHeight="1" outlineLevel="1" x14ac:dyDescent="0.2">
      <c r="B42" s="155">
        <v>2015</v>
      </c>
      <c r="C42" s="156">
        <v>42675</v>
      </c>
      <c r="D42" s="191">
        <f t="shared" si="10"/>
        <v>2520165.0641838009</v>
      </c>
      <c r="E42" s="177">
        <f>'газ руб.'!E71/1000</f>
        <v>433645.24144000001</v>
      </c>
      <c r="F42" s="151">
        <f t="shared" si="8"/>
        <v>486062.64705999999</v>
      </c>
      <c r="G42" s="82">
        <f>'газ руб.'!G71/1000</f>
        <v>285511.93187999999</v>
      </c>
      <c r="H42" s="82">
        <f>'газ руб.'!H71/1000</f>
        <v>200550.71518</v>
      </c>
      <c r="I42" s="152">
        <f t="shared" si="9"/>
        <v>2467747.6585638011</v>
      </c>
      <c r="J42" s="153">
        <f t="shared" si="2"/>
        <v>-52417.405619999976</v>
      </c>
      <c r="K42" s="154">
        <f t="shared" si="3"/>
        <v>1.1208762384799571</v>
      </c>
    </row>
    <row r="43" spans="2:11" ht="18" hidden="1" customHeight="1" outlineLevel="1" thickBot="1" x14ac:dyDescent="0.25">
      <c r="B43" s="155">
        <v>2015</v>
      </c>
      <c r="C43" s="158">
        <v>42705</v>
      </c>
      <c r="D43" s="161">
        <f t="shared" si="10"/>
        <v>2467747.6585638011</v>
      </c>
      <c r="E43" s="197">
        <f>'газ руб.'!E73/1000</f>
        <v>461513.50633999996</v>
      </c>
      <c r="F43" s="160">
        <f t="shared" si="8"/>
        <v>314027.19312999997</v>
      </c>
      <c r="G43" s="73">
        <f>'газ руб.'!G73/1000</f>
        <v>208799.51069999998</v>
      </c>
      <c r="H43" s="73">
        <f>'газ руб.'!H73/1000</f>
        <v>105227.68243</v>
      </c>
      <c r="I43" s="161">
        <f t="shared" si="9"/>
        <v>2615233.9717738009</v>
      </c>
      <c r="J43" s="161">
        <f t="shared" si="2"/>
        <v>147486.31320999999</v>
      </c>
      <c r="K43" s="162">
        <f t="shared" si="3"/>
        <v>0.68042904230554435</v>
      </c>
    </row>
    <row r="44" spans="2:11" s="69" customFormat="1" ht="18" hidden="1" customHeight="1" thickBot="1" x14ac:dyDescent="0.25">
      <c r="B44" s="80">
        <v>2015</v>
      </c>
      <c r="C44" s="198" t="s">
        <v>54</v>
      </c>
      <c r="D44" s="203">
        <v>2451054.8142237999</v>
      </c>
      <c r="E44" s="200">
        <f>E32+E33+E34+E35+E36+E37+E38+E39+E40+E41+E42+E43</f>
        <v>3678477.8022799995</v>
      </c>
      <c r="F44" s="201">
        <f>F32+F33+F34+F35+F36+F37+F38+F39+F40+F41+F42+F43</f>
        <v>3514298.6447299998</v>
      </c>
      <c r="G44" s="201">
        <f>G32+G33+G34+G35+G36+G37+G38+G39+G40+G41+G42+G43</f>
        <v>3208520.24712</v>
      </c>
      <c r="H44" s="202">
        <f>H32+H33+H34+H35+H36+H37+H38+H39+H40+H41+H42+H43</f>
        <v>305778.39760999999</v>
      </c>
      <c r="I44" s="203">
        <f>I43</f>
        <v>2615233.9717738009</v>
      </c>
      <c r="J44" s="204">
        <f t="shared" si="2"/>
        <v>164179.15754999965</v>
      </c>
      <c r="K44" s="205">
        <f t="shared" si="3"/>
        <v>0.9553676367305417</v>
      </c>
    </row>
    <row r="45" spans="2:11" ht="18" customHeight="1" outlineLevel="1" x14ac:dyDescent="0.2">
      <c r="B45" s="148">
        <v>2015</v>
      </c>
      <c r="C45" s="149">
        <v>42736</v>
      </c>
      <c r="D45" s="152">
        <v>2615233.9717738009</v>
      </c>
      <c r="E45" s="178">
        <f>'газ руб.'!E75/1000</f>
        <v>482135.64581000002</v>
      </c>
      <c r="F45" s="151">
        <f t="shared" ref="F45:F56" si="11">SUM(G45:H45)</f>
        <v>390154.66605</v>
      </c>
      <c r="G45" s="81">
        <f>'газ руб.'!G75/1000</f>
        <v>222820.44880000001</v>
      </c>
      <c r="H45" s="81">
        <f>'газ руб.'!H75/1000</f>
        <v>167334.21724999999</v>
      </c>
      <c r="I45" s="152">
        <f t="shared" ref="I45:I56" si="12">D45+E45-F45</f>
        <v>2707214.9515338009</v>
      </c>
      <c r="J45" s="153">
        <f t="shared" ref="J45:J57" si="13">E45-F45</f>
        <v>91980.979760000017</v>
      </c>
      <c r="K45" s="154">
        <f t="shared" ref="K45:K57" si="14">IF(E45=0,"",F45/E45)</f>
        <v>0.80922178113283938</v>
      </c>
    </row>
    <row r="46" spans="2:11" ht="18" customHeight="1" outlineLevel="1" x14ac:dyDescent="0.2">
      <c r="B46" s="155">
        <v>2015</v>
      </c>
      <c r="C46" s="156">
        <v>42767</v>
      </c>
      <c r="D46" s="191">
        <f t="shared" ref="D46:D56" si="15">I45</f>
        <v>2707214.9515338009</v>
      </c>
      <c r="E46" s="177">
        <f>'газ руб.'!E76/1000</f>
        <v>456098.97768000001</v>
      </c>
      <c r="F46" s="151">
        <f t="shared" si="11"/>
        <v>349864.16886999994</v>
      </c>
      <c r="G46" s="82">
        <f>'газ руб.'!G76/1000</f>
        <v>136505.95699999997</v>
      </c>
      <c r="H46" s="82">
        <f>'газ руб.'!H76/1000</f>
        <v>213358.21187</v>
      </c>
      <c r="I46" s="152">
        <f t="shared" si="12"/>
        <v>2813449.7603438012</v>
      </c>
      <c r="J46" s="153">
        <f t="shared" si="13"/>
        <v>106234.80881000008</v>
      </c>
      <c r="K46" s="154">
        <f t="shared" si="14"/>
        <v>0.76707948491712108</v>
      </c>
    </row>
    <row r="47" spans="2:11" ht="18" customHeight="1" outlineLevel="1" x14ac:dyDescent="0.2">
      <c r="B47" s="155">
        <v>2015</v>
      </c>
      <c r="C47" s="156">
        <v>42795</v>
      </c>
      <c r="D47" s="191">
        <f t="shared" si="15"/>
        <v>2813449.7603438012</v>
      </c>
      <c r="E47" s="177">
        <f>'газ руб.'!E78/1000</f>
        <v>414476.42124</v>
      </c>
      <c r="F47" s="151">
        <f t="shared" si="11"/>
        <v>484982.14137000008</v>
      </c>
      <c r="G47" s="82">
        <f>'газ руб.'!G78/1000</f>
        <v>177261.56454000002</v>
      </c>
      <c r="H47" s="82">
        <f>'газ руб.'!H78/1000</f>
        <v>307720.57683000003</v>
      </c>
      <c r="I47" s="152">
        <f t="shared" si="12"/>
        <v>2742944.040213801</v>
      </c>
      <c r="J47" s="153">
        <f t="shared" si="13"/>
        <v>-70505.720130000089</v>
      </c>
      <c r="K47" s="154">
        <f t="shared" si="14"/>
        <v>1.1701079157146412</v>
      </c>
    </row>
    <row r="48" spans="2:11" ht="18" customHeight="1" outlineLevel="1" x14ac:dyDescent="0.2">
      <c r="B48" s="155">
        <v>2015</v>
      </c>
      <c r="C48" s="156">
        <v>42826</v>
      </c>
      <c r="D48" s="191">
        <f t="shared" si="15"/>
        <v>2742944.040213801</v>
      </c>
      <c r="E48" s="177">
        <f>'газ руб.'!E80/1000</f>
        <v>359045.97636999999</v>
      </c>
      <c r="F48" s="151">
        <f t="shared" si="11"/>
        <v>372804.81484000001</v>
      </c>
      <c r="G48" s="82">
        <f>'газ руб.'!G80/1000</f>
        <v>112870.32716</v>
      </c>
      <c r="H48" s="82">
        <f>'газ руб.'!H80/1000</f>
        <v>259934.48767999999</v>
      </c>
      <c r="I48" s="152">
        <f t="shared" si="12"/>
        <v>2729185.2017438007</v>
      </c>
      <c r="J48" s="153">
        <f t="shared" si="13"/>
        <v>-13758.838470000017</v>
      </c>
      <c r="K48" s="154">
        <f t="shared" si="14"/>
        <v>1.0383205477167676</v>
      </c>
    </row>
    <row r="49" spans="2:11" ht="18" customHeight="1" outlineLevel="1" x14ac:dyDescent="0.2">
      <c r="B49" s="155">
        <v>2015</v>
      </c>
      <c r="C49" s="156">
        <v>42856</v>
      </c>
      <c r="D49" s="191">
        <f t="shared" si="15"/>
        <v>2729185.2017438007</v>
      </c>
      <c r="E49" s="177">
        <f>'газ руб.'!E82/1000</f>
        <v>229082.15302999999</v>
      </c>
      <c r="F49" s="151">
        <f t="shared" si="11"/>
        <v>142357.48233</v>
      </c>
      <c r="G49" s="82">
        <f>'газ руб.'!G82/1000</f>
        <v>24766.108510000002</v>
      </c>
      <c r="H49" s="82">
        <f>'газ руб.'!H82/1000</f>
        <v>117591.37382000001</v>
      </c>
      <c r="I49" s="152">
        <f t="shared" si="12"/>
        <v>2815909.8724438008</v>
      </c>
      <c r="J49" s="153">
        <f t="shared" si="13"/>
        <v>86724.670699999988</v>
      </c>
      <c r="K49" s="154">
        <f t="shared" si="14"/>
        <v>0.62142546002419163</v>
      </c>
    </row>
    <row r="50" spans="2:11" ht="18" customHeight="1" outlineLevel="1" x14ac:dyDescent="0.2">
      <c r="B50" s="155">
        <v>2015</v>
      </c>
      <c r="C50" s="156">
        <v>42887</v>
      </c>
      <c r="D50" s="191">
        <f t="shared" si="15"/>
        <v>2815909.8724438008</v>
      </c>
      <c r="E50" s="177">
        <f>'газ руб.'!E84/1000</f>
        <v>135418.61555000002</v>
      </c>
      <c r="F50" s="151">
        <f t="shared" si="11"/>
        <v>249633.68708</v>
      </c>
      <c r="G50" s="82">
        <f>'газ руб.'!G84/1000</f>
        <v>127000.19344</v>
      </c>
      <c r="H50" s="82">
        <f>'газ руб.'!H84/1000</f>
        <v>122633.49364000002</v>
      </c>
      <c r="I50" s="152">
        <f t="shared" si="12"/>
        <v>2701694.800913801</v>
      </c>
      <c r="J50" s="153">
        <f t="shared" si="13"/>
        <v>-114215.07152999999</v>
      </c>
      <c r="K50" s="154">
        <f t="shared" si="14"/>
        <v>1.8434222360501749</v>
      </c>
    </row>
    <row r="51" spans="2:11" ht="18" customHeight="1" outlineLevel="1" x14ac:dyDescent="0.2">
      <c r="B51" s="155">
        <v>2015</v>
      </c>
      <c r="C51" s="156">
        <v>42917</v>
      </c>
      <c r="D51" s="191">
        <f t="shared" si="15"/>
        <v>2701694.800913801</v>
      </c>
      <c r="E51" s="177">
        <f>'газ руб.'!E86/1000</f>
        <v>148423.97875000001</v>
      </c>
      <c r="F51" s="151">
        <f t="shared" si="11"/>
        <v>107120.48578</v>
      </c>
      <c r="G51" s="82">
        <f>'газ руб.'!G86/1000</f>
        <v>63203.65683</v>
      </c>
      <c r="H51" s="82">
        <f>'газ руб.'!H86/1000</f>
        <v>43916.828950000003</v>
      </c>
      <c r="I51" s="152">
        <f>D51+E51-F51</f>
        <v>2742998.293883801</v>
      </c>
      <c r="J51" s="153">
        <f t="shared" si="13"/>
        <v>41303.492970000007</v>
      </c>
      <c r="K51" s="154">
        <f t="shared" si="14"/>
        <v>0.72171954075176681</v>
      </c>
    </row>
    <row r="52" spans="2:11" ht="18" customHeight="1" outlineLevel="1" x14ac:dyDescent="0.2">
      <c r="B52" s="155">
        <v>2015</v>
      </c>
      <c r="C52" s="156">
        <v>42948</v>
      </c>
      <c r="D52" s="191">
        <f t="shared" si="15"/>
        <v>2742998.293883801</v>
      </c>
      <c r="E52" s="177">
        <f>'газ руб.'!E88/1000</f>
        <v>164368.15013999998</v>
      </c>
      <c r="F52" s="151">
        <f t="shared" si="11"/>
        <v>76837.195879999999</v>
      </c>
      <c r="G52" s="82">
        <f>'газ руб.'!G88/1000</f>
        <v>55637.668460000008</v>
      </c>
      <c r="H52" s="82">
        <f>'газ руб.'!H88/1000</f>
        <v>21199.527419999995</v>
      </c>
      <c r="I52" s="152">
        <f t="shared" si="12"/>
        <v>2830529.248143801</v>
      </c>
      <c r="J52" s="153">
        <f t="shared" si="13"/>
        <v>87530.954259999984</v>
      </c>
      <c r="K52" s="154">
        <f t="shared" si="14"/>
        <v>0.46747010180837462</v>
      </c>
    </row>
    <row r="53" spans="2:11" ht="18" customHeight="1" outlineLevel="1" x14ac:dyDescent="0.2">
      <c r="B53" s="155">
        <v>2015</v>
      </c>
      <c r="C53" s="156">
        <v>42979</v>
      </c>
      <c r="D53" s="191">
        <f t="shared" si="15"/>
        <v>2830529.248143801</v>
      </c>
      <c r="E53" s="179">
        <f>'газ руб.'!E90/1000</f>
        <v>188998.48868000001</v>
      </c>
      <c r="F53" s="151">
        <f t="shared" si="11"/>
        <v>71125.339349999995</v>
      </c>
      <c r="G53" s="82">
        <f>'газ руб.'!G90/1000</f>
        <v>35366.706239999992</v>
      </c>
      <c r="H53" s="82">
        <f>'газ руб.'!H90/1000</f>
        <v>35758.633109999995</v>
      </c>
      <c r="I53" s="152">
        <f t="shared" si="12"/>
        <v>2948402.3974738009</v>
      </c>
      <c r="J53" s="153">
        <f t="shared" si="13"/>
        <v>117873.14933000001</v>
      </c>
      <c r="K53" s="154">
        <f t="shared" si="14"/>
        <v>0.37632755609186275</v>
      </c>
    </row>
    <row r="54" spans="2:11" ht="18" customHeight="1" outlineLevel="1" x14ac:dyDescent="0.2">
      <c r="B54" s="155">
        <v>2015</v>
      </c>
      <c r="C54" s="156">
        <v>43009</v>
      </c>
      <c r="D54" s="191">
        <f t="shared" si="15"/>
        <v>2948402.3974738009</v>
      </c>
      <c r="E54" s="177">
        <f>'газ руб.'!E92/1000</f>
        <v>379570.88767999999</v>
      </c>
      <c r="F54" s="151">
        <f t="shared" si="11"/>
        <v>98945.989750000008</v>
      </c>
      <c r="G54" s="82">
        <f>'газ руб.'!G92/1000</f>
        <v>68530.539000000004</v>
      </c>
      <c r="H54" s="82">
        <f>'газ руб.'!H92/1000</f>
        <v>30415.45075</v>
      </c>
      <c r="I54" s="152">
        <f t="shared" si="12"/>
        <v>3229027.2954038009</v>
      </c>
      <c r="J54" s="153">
        <f t="shared" si="13"/>
        <v>280624.89792999998</v>
      </c>
      <c r="K54" s="154">
        <f t="shared" si="14"/>
        <v>0.26067855297010328</v>
      </c>
    </row>
    <row r="55" spans="2:11" ht="18" customHeight="1" outlineLevel="1" x14ac:dyDescent="0.2">
      <c r="B55" s="155">
        <v>2015</v>
      </c>
      <c r="C55" s="156">
        <v>43040</v>
      </c>
      <c r="D55" s="191">
        <f t="shared" si="15"/>
        <v>3229027.2954038009</v>
      </c>
      <c r="E55" s="177">
        <f>'газ руб.'!E94/1000</f>
        <v>463415.64547000005</v>
      </c>
      <c r="F55" s="151">
        <f t="shared" si="11"/>
        <v>160575.43941999998</v>
      </c>
      <c r="G55" s="82">
        <f>'газ руб.'!G94/1000</f>
        <v>32558.502039999999</v>
      </c>
      <c r="H55" s="82">
        <f>'газ руб.'!H94/1000</f>
        <v>128016.93737999999</v>
      </c>
      <c r="I55" s="152">
        <f t="shared" si="12"/>
        <v>3531867.5014538006</v>
      </c>
      <c r="J55" s="153">
        <f t="shared" si="13"/>
        <v>302840.20605000004</v>
      </c>
      <c r="K55" s="154">
        <f t="shared" si="14"/>
        <v>0.3465041394041477</v>
      </c>
    </row>
    <row r="56" spans="2:11" ht="18" customHeight="1" outlineLevel="1" thickBot="1" x14ac:dyDescent="0.25">
      <c r="B56" s="155">
        <v>2015</v>
      </c>
      <c r="C56" s="196">
        <v>43070</v>
      </c>
      <c r="D56" s="161">
        <f t="shared" si="15"/>
        <v>3531867.5014538006</v>
      </c>
      <c r="E56" s="197">
        <f>'газ руб.'!E96/1000</f>
        <v>531353.05267</v>
      </c>
      <c r="F56" s="160">
        <f t="shared" si="11"/>
        <v>418868.23537999997</v>
      </c>
      <c r="G56" s="73">
        <f>'газ руб.'!G96/1000</f>
        <v>173871.47352999996</v>
      </c>
      <c r="H56" s="73">
        <f>'газ руб.'!H96/1000</f>
        <v>244996.76184999998</v>
      </c>
      <c r="I56" s="161">
        <f t="shared" si="12"/>
        <v>3644352.3187438007</v>
      </c>
      <c r="J56" s="161">
        <f t="shared" si="13"/>
        <v>112484.81729000004</v>
      </c>
      <c r="K56" s="162">
        <f t="shared" si="14"/>
        <v>0.78830493826134207</v>
      </c>
    </row>
    <row r="57" spans="2:11" s="69" customFormat="1" ht="18" customHeight="1" thickBot="1" x14ac:dyDescent="0.25">
      <c r="B57" s="80">
        <v>2015</v>
      </c>
      <c r="C57" s="198" t="s">
        <v>57</v>
      </c>
      <c r="D57" s="203">
        <f>I44</f>
        <v>2615233.9717738009</v>
      </c>
      <c r="E57" s="200">
        <f>E45+E46+E47+E48+E49+E50+E51+E52+E53+E54+E55+E56</f>
        <v>3952387.9930700003</v>
      </c>
      <c r="F57" s="201">
        <f>F45+F46+F47+F48+F49+F50+F51+F52+F53+F54+F55+F56</f>
        <v>2923269.6461000005</v>
      </c>
      <c r="G57" s="201">
        <f>G45+G46+G47+G48+G49+G50+G51+G52+G53+G54+G55+G56</f>
        <v>1230393.14555</v>
      </c>
      <c r="H57" s="202">
        <f>H45+H46+H47+H48+H49+H50+H51+H52+H53+H54+H55+H56</f>
        <v>1692876.50055</v>
      </c>
      <c r="I57" s="203">
        <f>I56</f>
        <v>3644352.3187438007</v>
      </c>
      <c r="J57" s="204">
        <f t="shared" si="13"/>
        <v>1029118.3469699998</v>
      </c>
      <c r="K57" s="205">
        <f t="shared" si="14"/>
        <v>0.73962112303386573</v>
      </c>
    </row>
    <row r="58" spans="2:11" ht="18" customHeight="1" outlineLevel="1" x14ac:dyDescent="0.2">
      <c r="B58" s="148">
        <v>2015</v>
      </c>
      <c r="C58" s="149">
        <v>43101</v>
      </c>
      <c r="D58" s="152">
        <f>I56</f>
        <v>3644352.3187438007</v>
      </c>
      <c r="E58" s="178">
        <f>'газ руб.'!E98/1000</f>
        <v>588245.86765000003</v>
      </c>
      <c r="F58" s="151">
        <f>SUM(G58:H58)</f>
        <v>516876.68987999996</v>
      </c>
      <c r="G58" s="81">
        <f>'газ руб.'!G98/1000</f>
        <v>216833.83770999999</v>
      </c>
      <c r="H58" s="81">
        <f>'газ руб.'!H98/1000</f>
        <v>300042.85216999997</v>
      </c>
      <c r="I58" s="152">
        <f t="shared" ref="I58:I63" si="16">D58+E58-F58</f>
        <v>3715721.4965138012</v>
      </c>
      <c r="J58" s="153">
        <f t="shared" ref="J58:J69" si="17">E58-F58</f>
        <v>71369.177770000068</v>
      </c>
      <c r="K58" s="154">
        <f t="shared" ref="K58:K69" si="18">IF(E58=0,"",F58/E58)</f>
        <v>0.87867457861605591</v>
      </c>
    </row>
    <row r="59" spans="2:11" ht="18" customHeight="1" outlineLevel="1" x14ac:dyDescent="0.2">
      <c r="B59" s="155">
        <v>2015</v>
      </c>
      <c r="C59" s="156">
        <v>43132</v>
      </c>
      <c r="D59" s="191">
        <f t="shared" ref="D59:D69" si="19">I58</f>
        <v>3715721.4965138012</v>
      </c>
      <c r="E59" s="177">
        <f>'газ руб.'!E99/1000</f>
        <v>588877.34201000002</v>
      </c>
      <c r="F59" s="151">
        <f t="shared" ref="F59:F68" si="20">SUM(G59:H59)</f>
        <v>356382.72794999997</v>
      </c>
      <c r="G59" s="82">
        <f>'газ руб.'!G99/1000</f>
        <v>105897.91942999999</v>
      </c>
      <c r="H59" s="82">
        <f>'газ руб.'!H99/1000</f>
        <v>250484.80851999999</v>
      </c>
      <c r="I59" s="152">
        <f t="shared" si="16"/>
        <v>3948216.1105738012</v>
      </c>
      <c r="J59" s="153">
        <f t="shared" si="17"/>
        <v>232494.61406000005</v>
      </c>
      <c r="K59" s="154">
        <f t="shared" si="18"/>
        <v>0.60519008378479611</v>
      </c>
    </row>
    <row r="60" spans="2:11" ht="18" customHeight="1" outlineLevel="1" x14ac:dyDescent="0.2">
      <c r="B60" s="155">
        <v>2015</v>
      </c>
      <c r="C60" s="149">
        <v>43160</v>
      </c>
      <c r="D60" s="191">
        <f t="shared" si="19"/>
        <v>3948216.1105738012</v>
      </c>
      <c r="E60" s="177">
        <f>'газ руб.'!E101/1000</f>
        <v>578541.41595000005</v>
      </c>
      <c r="F60" s="151">
        <f t="shared" si="20"/>
        <v>398312.68725999998</v>
      </c>
      <c r="G60" s="82">
        <f>'газ руб.'!G101/1000</f>
        <v>70123.035849999986</v>
      </c>
      <c r="H60" s="82">
        <f>'газ руб.'!H101/1000</f>
        <v>328189.65140999999</v>
      </c>
      <c r="I60" s="152">
        <f t="shared" si="16"/>
        <v>4128444.8392638015</v>
      </c>
      <c r="J60" s="153">
        <f t="shared" si="17"/>
        <v>180228.72869000008</v>
      </c>
      <c r="K60" s="154">
        <f t="shared" si="18"/>
        <v>0.68847739553087384</v>
      </c>
    </row>
    <row r="61" spans="2:11" ht="18" customHeight="1" outlineLevel="1" x14ac:dyDescent="0.2">
      <c r="B61" s="155">
        <v>2015</v>
      </c>
      <c r="C61" s="156" t="s">
        <v>62</v>
      </c>
      <c r="D61" s="191">
        <f t="shared" si="19"/>
        <v>4128444.8392638015</v>
      </c>
      <c r="E61" s="177">
        <f>'газ руб.'!E103/1000</f>
        <v>391242.97706459998</v>
      </c>
      <c r="F61" s="151">
        <f t="shared" si="20"/>
        <v>556907.45130999992</v>
      </c>
      <c r="G61" s="82">
        <f>'газ руб.'!G103/1000</f>
        <v>176713.45115000001</v>
      </c>
      <c r="H61" s="82">
        <f>'газ руб.'!H103/1000</f>
        <v>380194.00015999994</v>
      </c>
      <c r="I61" s="152">
        <f t="shared" si="16"/>
        <v>3962780.3650184018</v>
      </c>
      <c r="J61" s="153">
        <f>E61-F61</f>
        <v>-165664.47424539994</v>
      </c>
      <c r="K61" s="154">
        <f t="shared" si="18"/>
        <v>1.4234311769334234</v>
      </c>
    </row>
    <row r="62" spans="2:11" ht="18" customHeight="1" outlineLevel="1" x14ac:dyDescent="0.2">
      <c r="B62" s="155">
        <v>2015</v>
      </c>
      <c r="C62" s="149" t="s">
        <v>63</v>
      </c>
      <c r="D62" s="191">
        <f t="shared" si="19"/>
        <v>3962780.3650184018</v>
      </c>
      <c r="E62" s="177">
        <f>'газ руб.'!E105/1000</f>
        <v>0</v>
      </c>
      <c r="F62" s="151">
        <f t="shared" si="20"/>
        <v>72390.360860000001</v>
      </c>
      <c r="G62" s="82">
        <f>'газ руб.'!G105/1000</f>
        <v>9.2000000000000003E-4</v>
      </c>
      <c r="H62" s="82">
        <f>'газ руб.'!H105/1000</f>
        <v>72390.359939999995</v>
      </c>
      <c r="I62" s="152">
        <f t="shared" si="16"/>
        <v>3890390.0041584019</v>
      </c>
      <c r="J62" s="153">
        <f t="shared" si="17"/>
        <v>-72390.360860000001</v>
      </c>
      <c r="K62" s="154" t="str">
        <f t="shared" si="18"/>
        <v/>
      </c>
    </row>
    <row r="63" spans="2:11" ht="18" hidden="1" customHeight="1" outlineLevel="1" x14ac:dyDescent="0.2">
      <c r="B63" s="155">
        <v>2015</v>
      </c>
      <c r="C63" s="149" t="s">
        <v>63</v>
      </c>
      <c r="D63" s="191">
        <f t="shared" si="19"/>
        <v>3890390.0041584019</v>
      </c>
      <c r="E63" s="177">
        <f>'газ руб.'!E107/1000</f>
        <v>0</v>
      </c>
      <c r="F63" s="151">
        <f t="shared" si="20"/>
        <v>0</v>
      </c>
      <c r="G63" s="82">
        <f>'газ руб.'!G107/1000</f>
        <v>0</v>
      </c>
      <c r="H63" s="82">
        <f>'газ руб.'!H107/1000</f>
        <v>0</v>
      </c>
      <c r="I63" s="152">
        <f t="shared" si="16"/>
        <v>3890390.0041584019</v>
      </c>
      <c r="J63" s="153">
        <f t="shared" si="17"/>
        <v>0</v>
      </c>
      <c r="K63" s="154" t="str">
        <f t="shared" si="18"/>
        <v/>
      </c>
    </row>
    <row r="64" spans="2:11" ht="18" hidden="1" customHeight="1" outlineLevel="1" x14ac:dyDescent="0.2">
      <c r="B64" s="155">
        <v>2015</v>
      </c>
      <c r="C64" s="149" t="s">
        <v>63</v>
      </c>
      <c r="D64" s="191">
        <f t="shared" si="19"/>
        <v>3890390.0041584019</v>
      </c>
      <c r="E64" s="177">
        <f>'газ руб.'!E109/1000</f>
        <v>0</v>
      </c>
      <c r="F64" s="151">
        <f t="shared" si="20"/>
        <v>0</v>
      </c>
      <c r="G64" s="82">
        <f>'газ руб.'!G109/1000</f>
        <v>0</v>
      </c>
      <c r="H64" s="82">
        <f>'газ руб.'!H109/1000</f>
        <v>0</v>
      </c>
      <c r="I64" s="152">
        <f t="shared" ref="I64:I69" si="21">D64+E64-F64</f>
        <v>3890390.0041584019</v>
      </c>
      <c r="J64" s="153">
        <f t="shared" si="17"/>
        <v>0</v>
      </c>
      <c r="K64" s="154" t="str">
        <f t="shared" si="18"/>
        <v/>
      </c>
    </row>
    <row r="65" spans="2:11" ht="18" hidden="1" customHeight="1" outlineLevel="1" x14ac:dyDescent="0.2">
      <c r="B65" s="155">
        <v>2015</v>
      </c>
      <c r="C65" s="149" t="s">
        <v>63</v>
      </c>
      <c r="D65" s="191">
        <f t="shared" si="19"/>
        <v>3890390.0041584019</v>
      </c>
      <c r="E65" s="177">
        <f>'газ руб.'!E111/1000</f>
        <v>0</v>
      </c>
      <c r="F65" s="151">
        <f t="shared" si="20"/>
        <v>0</v>
      </c>
      <c r="G65" s="82">
        <f>'газ руб.'!G111/1000</f>
        <v>0</v>
      </c>
      <c r="H65" s="82">
        <f>'газ руб.'!H111/1000</f>
        <v>0</v>
      </c>
      <c r="I65" s="152">
        <f t="shared" si="21"/>
        <v>3890390.0041584019</v>
      </c>
      <c r="J65" s="153">
        <f t="shared" si="17"/>
        <v>0</v>
      </c>
      <c r="K65" s="154" t="str">
        <f t="shared" si="18"/>
        <v/>
      </c>
    </row>
    <row r="66" spans="2:11" ht="18" hidden="1" customHeight="1" outlineLevel="1" x14ac:dyDescent="0.2">
      <c r="B66" s="155">
        <v>2015</v>
      </c>
      <c r="C66" s="149" t="s">
        <v>63</v>
      </c>
      <c r="D66" s="191">
        <f t="shared" si="19"/>
        <v>3890390.0041584019</v>
      </c>
      <c r="E66" s="179">
        <f>'газ руб.'!E113/1000</f>
        <v>0</v>
      </c>
      <c r="F66" s="151">
        <f t="shared" si="20"/>
        <v>0</v>
      </c>
      <c r="G66" s="82">
        <f>'газ руб.'!G113/1000</f>
        <v>0</v>
      </c>
      <c r="H66" s="82">
        <f>'газ руб.'!H113/1000</f>
        <v>0</v>
      </c>
      <c r="I66" s="152">
        <f t="shared" si="21"/>
        <v>3890390.0041584019</v>
      </c>
      <c r="J66" s="153">
        <f t="shared" si="17"/>
        <v>0</v>
      </c>
      <c r="K66" s="154" t="str">
        <f t="shared" si="18"/>
        <v/>
      </c>
    </row>
    <row r="67" spans="2:11" ht="18" hidden="1" customHeight="1" outlineLevel="1" x14ac:dyDescent="0.2">
      <c r="B67" s="155">
        <v>2015</v>
      </c>
      <c r="C67" s="149" t="s">
        <v>63</v>
      </c>
      <c r="D67" s="191">
        <f t="shared" si="19"/>
        <v>3890390.0041584019</v>
      </c>
      <c r="E67" s="177">
        <f>'газ руб.'!E115/1000</f>
        <v>0</v>
      </c>
      <c r="F67" s="151">
        <f t="shared" si="20"/>
        <v>0</v>
      </c>
      <c r="G67" s="82">
        <f>'газ руб.'!G115/1000</f>
        <v>0</v>
      </c>
      <c r="H67" s="82">
        <f>'газ руб.'!H115/1000</f>
        <v>0</v>
      </c>
      <c r="I67" s="152">
        <f t="shared" si="21"/>
        <v>3890390.0041584019</v>
      </c>
      <c r="J67" s="153">
        <f t="shared" si="17"/>
        <v>0</v>
      </c>
      <c r="K67" s="154" t="str">
        <f t="shared" si="18"/>
        <v/>
      </c>
    </row>
    <row r="68" spans="2:11" ht="18" hidden="1" customHeight="1" outlineLevel="1" x14ac:dyDescent="0.2">
      <c r="B68" s="155">
        <v>2015</v>
      </c>
      <c r="C68" s="149" t="s">
        <v>63</v>
      </c>
      <c r="D68" s="191">
        <f t="shared" si="19"/>
        <v>3890390.0041584019</v>
      </c>
      <c r="E68" s="177">
        <f>'газ руб.'!E117/1000</f>
        <v>0</v>
      </c>
      <c r="F68" s="151">
        <f t="shared" si="20"/>
        <v>0</v>
      </c>
      <c r="G68" s="82">
        <f>'газ руб.'!G117/1000</f>
        <v>0</v>
      </c>
      <c r="H68" s="82">
        <f>'газ руб.'!H117/1000</f>
        <v>0</v>
      </c>
      <c r="I68" s="152">
        <f t="shared" si="21"/>
        <v>3890390.0041584019</v>
      </c>
      <c r="J68" s="153">
        <f t="shared" si="17"/>
        <v>0</v>
      </c>
      <c r="K68" s="154" t="str">
        <f t="shared" si="18"/>
        <v/>
      </c>
    </row>
    <row r="69" spans="2:11" ht="18" customHeight="1" outlineLevel="1" thickBot="1" x14ac:dyDescent="0.25">
      <c r="B69" s="155">
        <v>2015</v>
      </c>
      <c r="C69" s="149" t="s">
        <v>784</v>
      </c>
      <c r="D69" s="161">
        <f t="shared" si="19"/>
        <v>3890390.0041584019</v>
      </c>
      <c r="E69" s="197">
        <f>'газ руб.'!E119/1000</f>
        <v>0</v>
      </c>
      <c r="F69" s="160">
        <v>93515.947520000002</v>
      </c>
      <c r="G69" s="73">
        <f>'газ руб.'!G119/1000</f>
        <v>0</v>
      </c>
      <c r="H69" s="73">
        <f>'газ руб.'!H119/1000</f>
        <v>0</v>
      </c>
      <c r="I69" s="161">
        <f t="shared" si="21"/>
        <v>3796874.0566384019</v>
      </c>
      <c r="J69" s="161">
        <f t="shared" si="17"/>
        <v>-93515.947520000002</v>
      </c>
      <c r="K69" s="162" t="str">
        <f t="shared" si="18"/>
        <v/>
      </c>
    </row>
    <row r="70" spans="2:11" s="69" customFormat="1" ht="18" customHeight="1" thickBot="1" x14ac:dyDescent="0.25">
      <c r="B70" s="80">
        <v>2015</v>
      </c>
      <c r="C70" s="198" t="s">
        <v>59</v>
      </c>
      <c r="D70" s="203">
        <f>I57</f>
        <v>3644352.3187438007</v>
      </c>
      <c r="E70" s="200">
        <f>E58+E59+E60+E61+E62+E63+E64+E65+E66+E67+E68+E69</f>
        <v>2146907.6026746002</v>
      </c>
      <c r="F70" s="201">
        <f>F58+F59+F60+F61+F62+F63+F64+F65+F66+F67+F68+F69</f>
        <v>1994385.8647799997</v>
      </c>
      <c r="G70" s="201">
        <f>G58+G59+G60+G61+G62+G63+G64+G65+G66+G67+G68+G69</f>
        <v>569568.24505999999</v>
      </c>
      <c r="H70" s="202">
        <f>H58+H59+H60+H61+H62+H63+H64+H65+H66+H67+H68+H69</f>
        <v>1331301.6721999999</v>
      </c>
      <c r="I70" s="203">
        <f>I69</f>
        <v>3796874.0566384019</v>
      </c>
      <c r="J70" s="204">
        <f>E70-F70</f>
        <v>152521.73789460049</v>
      </c>
      <c r="K70" s="205">
        <f>IF(E70=0,"",F70/E70)</f>
        <v>0.92895747459993616</v>
      </c>
    </row>
    <row r="71" spans="2:11" s="69" customFormat="1" ht="33" hidden="1" customHeight="1" thickBot="1" x14ac:dyDescent="0.25">
      <c r="B71" s="93"/>
      <c r="C71" s="193" t="s">
        <v>41</v>
      </c>
      <c r="D71" s="211">
        <f>D12</f>
        <v>0</v>
      </c>
      <c r="E71" s="210">
        <f>E18+E31+E44+E57+E70</f>
        <v>14755492.0817784</v>
      </c>
      <c r="F71" s="212">
        <f>F18+F31+F44+F57+F70</f>
        <v>10958618.025140001</v>
      </c>
      <c r="G71" s="213">
        <f>G18+G31+G44+G57+G70</f>
        <v>7535145.5072599994</v>
      </c>
      <c r="H71" s="194">
        <f>H18+H31+H44+H57+H70</f>
        <v>3329956.5703599998</v>
      </c>
      <c r="I71" s="211">
        <f>I70</f>
        <v>3796874.0566384019</v>
      </c>
      <c r="J71" s="211">
        <f>E71-F71</f>
        <v>3796874.0566383991</v>
      </c>
      <c r="K71" s="195">
        <f>IF(E71=0,"",F71/E71)</f>
        <v>0.74268062118191436</v>
      </c>
    </row>
    <row r="72" spans="2:11" x14ac:dyDescent="0.2">
      <c r="I72" s="167"/>
    </row>
    <row r="73" spans="2:11" x14ac:dyDescent="0.2">
      <c r="C73" s="378"/>
      <c r="D73" s="379"/>
      <c r="E73" s="379"/>
      <c r="F73" s="379"/>
      <c r="G73" s="379"/>
      <c r="H73" s="379"/>
      <c r="I73" s="379"/>
      <c r="J73" s="379"/>
      <c r="K73" s="379"/>
    </row>
  </sheetData>
  <mergeCells count="12">
    <mergeCell ref="C73:K73"/>
    <mergeCell ref="I4:I5"/>
    <mergeCell ref="J4:J5"/>
    <mergeCell ref="K4:K5"/>
    <mergeCell ref="B1:K1"/>
    <mergeCell ref="B2:K2"/>
    <mergeCell ref="B4:B5"/>
    <mergeCell ref="C4:C5"/>
    <mergeCell ref="D4:D5"/>
    <mergeCell ref="E4:E5"/>
    <mergeCell ref="F4:F5"/>
    <mergeCell ref="G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35"/>
  <sheetViews>
    <sheetView workbookViewId="0">
      <pane xSplit="2" ySplit="6" topLeftCell="C10" activePane="bottomRight" state="frozen"/>
      <selection activeCell="H82" sqref="H82"/>
      <selection pane="topRight" activeCell="H82" sqref="H82"/>
      <selection pane="bottomLeft" activeCell="H82" sqref="H82"/>
      <selection pane="bottomRight" activeCell="H82" sqref="H82"/>
    </sheetView>
  </sheetViews>
  <sheetFormatPr defaultColWidth="9.140625" defaultRowHeight="14.25" outlineLevelRow="1" outlineLevelCol="2" x14ac:dyDescent="0.2"/>
  <cols>
    <col min="1" max="1" width="2.42578125" style="2" customWidth="1"/>
    <col min="2" max="2" width="23.5703125" style="2" customWidth="1"/>
    <col min="3" max="4" width="18.7109375" style="2" customWidth="1" outlineLevel="1"/>
    <col min="5" max="5" width="18.7109375" style="2" customWidth="1" outlineLevel="2"/>
    <col min="6" max="6" width="12.7109375" style="2" customWidth="1" outlineLevel="1"/>
    <col min="7" max="7" width="2" style="2" customWidth="1"/>
    <col min="8" max="9" width="18.7109375" style="2" customWidth="1" outlineLevel="1"/>
    <col min="10" max="10" width="18.7109375" style="2" customWidth="1" outlineLevel="2"/>
    <col min="11" max="11" width="12.7109375" style="2" customWidth="1" outlineLevel="1"/>
    <col min="12" max="12" width="2" style="2" customWidth="1"/>
    <col min="13" max="14" width="18.7109375" style="2" customWidth="1" outlineLevel="1"/>
    <col min="15" max="15" width="18.7109375" style="2" customWidth="1" outlineLevel="2"/>
    <col min="16" max="16" width="12.7109375" style="2" customWidth="1" outlineLevel="1"/>
    <col min="17" max="16384" width="9.140625" style="2"/>
  </cols>
  <sheetData>
    <row r="2" spans="2:16" s="1" customFormat="1" ht="18" x14ac:dyDescent="0.25">
      <c r="B2" s="388" t="s">
        <v>30</v>
      </c>
      <c r="C2" s="388"/>
      <c r="D2" s="388"/>
      <c r="E2" s="388"/>
      <c r="F2" s="388"/>
    </row>
    <row r="3" spans="2:16" s="1" customFormat="1" ht="18" x14ac:dyDescent="0.2">
      <c r="B3" s="389" t="s">
        <v>37</v>
      </c>
      <c r="C3" s="389"/>
      <c r="D3" s="389"/>
      <c r="E3" s="389"/>
      <c r="F3" s="389"/>
    </row>
    <row r="4" spans="2:16" ht="15.75" thickBot="1" x14ac:dyDescent="0.25">
      <c r="B4" s="3"/>
      <c r="C4" s="3"/>
      <c r="D4" s="3"/>
      <c r="E4" s="3"/>
      <c r="F4" s="36"/>
      <c r="H4" s="3"/>
      <c r="I4" s="3"/>
      <c r="J4" s="3"/>
      <c r="K4" s="36"/>
      <c r="M4" s="3"/>
      <c r="N4" s="3"/>
      <c r="O4" s="3"/>
      <c r="P4" s="36"/>
    </row>
    <row r="5" spans="2:16" s="19" customFormat="1" ht="15" x14ac:dyDescent="0.25">
      <c r="B5" s="390" t="s">
        <v>26</v>
      </c>
      <c r="C5" s="381">
        <v>2014</v>
      </c>
      <c r="D5" s="382"/>
      <c r="E5" s="383"/>
      <c r="F5" s="384"/>
      <c r="H5" s="381">
        <v>2015</v>
      </c>
      <c r="I5" s="382"/>
      <c r="J5" s="383"/>
      <c r="K5" s="384"/>
      <c r="M5" s="381">
        <v>2016</v>
      </c>
      <c r="N5" s="382"/>
      <c r="O5" s="383"/>
      <c r="P5" s="384"/>
    </row>
    <row r="6" spans="2:16" s="20" customFormat="1" ht="44.25" thickBot="1" x14ac:dyDescent="0.25">
      <c r="B6" s="391"/>
      <c r="C6" s="40" t="s">
        <v>12</v>
      </c>
      <c r="D6" s="41" t="s">
        <v>13</v>
      </c>
      <c r="E6" s="41" t="s">
        <v>27</v>
      </c>
      <c r="F6" s="88" t="s">
        <v>14</v>
      </c>
      <c r="H6" s="40" t="s">
        <v>12</v>
      </c>
      <c r="I6" s="41" t="s">
        <v>13</v>
      </c>
      <c r="J6" s="41" t="s">
        <v>27</v>
      </c>
      <c r="K6" s="88" t="s">
        <v>14</v>
      </c>
      <c r="M6" s="40" t="s">
        <v>12</v>
      </c>
      <c r="N6" s="41" t="s">
        <v>13</v>
      </c>
      <c r="O6" s="41" t="s">
        <v>27</v>
      </c>
      <c r="P6" s="88" t="s">
        <v>14</v>
      </c>
    </row>
    <row r="7" spans="2:16" ht="25.5" customHeight="1" x14ac:dyDescent="0.2">
      <c r="B7" s="84" t="s">
        <v>0</v>
      </c>
      <c r="C7" s="22"/>
      <c r="D7" s="4"/>
      <c r="E7" s="5">
        <f>C7-D7</f>
        <v>0</v>
      </c>
      <c r="F7" s="42" t="e">
        <f>D7/C7</f>
        <v>#DIV/0!</v>
      </c>
      <c r="H7" s="22">
        <f>'газ руб.'!E29</f>
        <v>447301275.81999999</v>
      </c>
      <c r="I7" s="4">
        <f>'газ руб.'!F29</f>
        <v>150000000</v>
      </c>
      <c r="J7" s="5">
        <f t="shared" ref="J7:J13" si="0">H7-I7</f>
        <v>297301275.81999999</v>
      </c>
      <c r="K7" s="42">
        <f t="shared" ref="K7:K12" si="1">I7/H7</f>
        <v>0.33534444927530677</v>
      </c>
      <c r="M7" s="22">
        <f>'газ руб.'!E52</f>
        <v>567278877.03999996</v>
      </c>
      <c r="N7" s="4">
        <f>'газ руб.'!F52</f>
        <v>301727921.19</v>
      </c>
      <c r="O7" s="5">
        <f t="shared" ref="O7:O13" si="2">M7-N7</f>
        <v>265550955.84999996</v>
      </c>
      <c r="P7" s="42">
        <f t="shared" ref="P7:P29" si="3">N7/M7</f>
        <v>0.53188640261802755</v>
      </c>
    </row>
    <row r="8" spans="2:16" ht="25.5" customHeight="1" x14ac:dyDescent="0.2">
      <c r="B8" s="85" t="s">
        <v>1</v>
      </c>
      <c r="C8" s="23"/>
      <c r="D8" s="6"/>
      <c r="E8" s="5">
        <f>C8-D8</f>
        <v>0</v>
      </c>
      <c r="F8" s="42" t="e">
        <f>D8/C8</f>
        <v>#DIV/0!</v>
      </c>
      <c r="H8" s="23">
        <f>'газ руб.'!E30</f>
        <v>387179972.19</v>
      </c>
      <c r="I8" s="6">
        <f>'газ руб.'!F30</f>
        <v>215000000</v>
      </c>
      <c r="J8" s="5">
        <f t="shared" si="0"/>
        <v>172179972.19</v>
      </c>
      <c r="K8" s="42">
        <f t="shared" si="1"/>
        <v>0.55529731763732215</v>
      </c>
      <c r="M8" s="23">
        <f>'газ руб.'!E53</f>
        <v>422315525.80000001</v>
      </c>
      <c r="N8" s="6">
        <f>'газ руб.'!F53</f>
        <v>303917050.31</v>
      </c>
      <c r="O8" s="5">
        <f t="shared" si="2"/>
        <v>118398475.49000001</v>
      </c>
      <c r="P8" s="42">
        <f t="shared" si="3"/>
        <v>0.7196445116108019</v>
      </c>
    </row>
    <row r="9" spans="2:16" s="11" customFormat="1" ht="25.5" hidden="1" customHeight="1" outlineLevel="1" x14ac:dyDescent="0.2">
      <c r="B9" s="86" t="s">
        <v>15</v>
      </c>
      <c r="C9" s="24"/>
      <c r="D9" s="8"/>
      <c r="E9" s="9">
        <f t="shared" ref="E9:E27" si="4">C9-D9</f>
        <v>0</v>
      </c>
      <c r="F9" s="43" t="e">
        <f>D9/C9</f>
        <v>#DIV/0!</v>
      </c>
      <c r="H9" s="24">
        <f>SUM(H7:H8)</f>
        <v>834481248.00999999</v>
      </c>
      <c r="I9" s="8">
        <f>SUM(I7:I8)</f>
        <v>365000000</v>
      </c>
      <c r="J9" s="9">
        <f t="shared" si="0"/>
        <v>469481248.00999999</v>
      </c>
      <c r="K9" s="43">
        <f t="shared" si="1"/>
        <v>0.43739748600752981</v>
      </c>
      <c r="M9" s="24">
        <f>SUM(M7:M8)</f>
        <v>989594402.83999991</v>
      </c>
      <c r="N9" s="8">
        <f>SUM(N7:N8)</f>
        <v>605644971.5</v>
      </c>
      <c r="O9" s="9">
        <f t="shared" si="2"/>
        <v>383949431.33999991</v>
      </c>
      <c r="P9" s="43">
        <f t="shared" si="3"/>
        <v>0.61201333572813488</v>
      </c>
    </row>
    <row r="10" spans="2:16" ht="25.5" customHeight="1" collapsed="1" x14ac:dyDescent="0.2">
      <c r="B10" s="85" t="s">
        <v>2</v>
      </c>
      <c r="C10" s="23"/>
      <c r="D10" s="6"/>
      <c r="E10" s="5">
        <f t="shared" si="4"/>
        <v>0</v>
      </c>
      <c r="F10" s="42" t="e">
        <f t="shared" ref="F10:F28" si="5">D10/C10</f>
        <v>#DIV/0!</v>
      </c>
      <c r="H10" s="23">
        <f>'газ руб.'!E32</f>
        <v>386440636.39999998</v>
      </c>
      <c r="I10" s="6">
        <f>'газ руб.'!F32</f>
        <v>445986295.67000002</v>
      </c>
      <c r="J10" s="5">
        <f t="shared" si="0"/>
        <v>-59545659.270000041</v>
      </c>
      <c r="K10" s="42">
        <f t="shared" si="1"/>
        <v>1.1540874681936013</v>
      </c>
      <c r="M10" s="23">
        <f>'газ руб.'!E55</f>
        <v>439898829.88999999</v>
      </c>
      <c r="N10" s="6">
        <f>'газ руб.'!F55</f>
        <v>807717329.07000005</v>
      </c>
      <c r="O10" s="5">
        <f t="shared" si="2"/>
        <v>-367818499.18000007</v>
      </c>
      <c r="P10" s="42">
        <f t="shared" si="3"/>
        <v>1.8361433906791156</v>
      </c>
    </row>
    <row r="11" spans="2:16" s="11" customFormat="1" ht="25.5" hidden="1" customHeight="1" outlineLevel="1" x14ac:dyDescent="0.2">
      <c r="B11" s="86" t="s">
        <v>16</v>
      </c>
      <c r="C11" s="24"/>
      <c r="D11" s="8"/>
      <c r="E11" s="9">
        <f t="shared" si="4"/>
        <v>0</v>
      </c>
      <c r="F11" s="43" t="e">
        <f t="shared" si="5"/>
        <v>#DIV/0!</v>
      </c>
      <c r="H11" s="24">
        <f>SUM(H7,H8,H10)</f>
        <v>1220921884.4099998</v>
      </c>
      <c r="I11" s="8">
        <f>SUM(I7,I8,I10)</f>
        <v>810986295.67000008</v>
      </c>
      <c r="J11" s="9">
        <f t="shared" si="0"/>
        <v>409935588.73999977</v>
      </c>
      <c r="K11" s="43">
        <f t="shared" si="1"/>
        <v>0.6642409363166607</v>
      </c>
      <c r="M11" s="24">
        <f>SUM(M7,M8,M10)</f>
        <v>1429493232.73</v>
      </c>
      <c r="N11" s="8">
        <f>SUM(N7,N8,N10)</f>
        <v>1413362300.5700002</v>
      </c>
      <c r="O11" s="9">
        <f t="shared" si="2"/>
        <v>16130932.159999847</v>
      </c>
      <c r="P11" s="43">
        <f t="shared" si="3"/>
        <v>0.98871562887416153</v>
      </c>
    </row>
    <row r="12" spans="2:16" ht="25.5" customHeight="1" collapsed="1" x14ac:dyDescent="0.2">
      <c r="B12" s="85" t="s">
        <v>3</v>
      </c>
      <c r="C12" s="23"/>
      <c r="D12" s="6"/>
      <c r="E12" s="5">
        <f t="shared" si="4"/>
        <v>0</v>
      </c>
      <c r="F12" s="42" t="e">
        <f t="shared" si="5"/>
        <v>#DIV/0!</v>
      </c>
      <c r="H12" s="23">
        <f>'газ руб.'!E34</f>
        <v>317874062.44</v>
      </c>
      <c r="I12" s="6">
        <f>'газ руб.'!F34</f>
        <v>240000000</v>
      </c>
      <c r="J12" s="5">
        <f t="shared" si="0"/>
        <v>77874062.439999998</v>
      </c>
      <c r="K12" s="42">
        <f t="shared" si="1"/>
        <v>0.75501599016214471</v>
      </c>
      <c r="M12" s="23">
        <f>'газ руб.'!E57</f>
        <v>338985869.31999999</v>
      </c>
      <c r="N12" s="6">
        <f>'газ руб.'!F57</f>
        <v>180483238.13</v>
      </c>
      <c r="O12" s="5">
        <f t="shared" si="2"/>
        <v>158502631.19</v>
      </c>
      <c r="P12" s="42">
        <f t="shared" si="3"/>
        <v>0.53242112567124511</v>
      </c>
    </row>
    <row r="13" spans="2:16" s="11" customFormat="1" ht="25.5" hidden="1" customHeight="1" outlineLevel="1" x14ac:dyDescent="0.2">
      <c r="B13" s="86" t="s">
        <v>17</v>
      </c>
      <c r="C13" s="24"/>
      <c r="D13" s="8"/>
      <c r="E13" s="9">
        <f t="shared" si="4"/>
        <v>0</v>
      </c>
      <c r="F13" s="43" t="e">
        <f t="shared" si="5"/>
        <v>#DIV/0!</v>
      </c>
      <c r="H13" s="24">
        <f>SUM(H7,H8,H10,H12)</f>
        <v>1538795946.8499999</v>
      </c>
      <c r="I13" s="8">
        <f>SUM(I7,I8,I10,I12)</f>
        <v>1050986295.6700001</v>
      </c>
      <c r="J13" s="9">
        <f t="shared" si="0"/>
        <v>487809651.17999983</v>
      </c>
      <c r="K13" s="43">
        <f t="shared" ref="K13:K29" si="6">I13/H13</f>
        <v>0.68299263318273418</v>
      </c>
      <c r="M13" s="24">
        <f>SUM(M7,M8,M10,M12)</f>
        <v>1768479102.05</v>
      </c>
      <c r="N13" s="8">
        <f>SUM(N7,N8,N10,N12)</f>
        <v>1593845538.7000003</v>
      </c>
      <c r="O13" s="9">
        <f t="shared" si="2"/>
        <v>174633563.34999967</v>
      </c>
      <c r="P13" s="43">
        <f t="shared" si="3"/>
        <v>0.90125211932243554</v>
      </c>
    </row>
    <row r="14" spans="2:16" ht="25.5" customHeight="1" collapsed="1" x14ac:dyDescent="0.2">
      <c r="B14" s="85" t="s">
        <v>4</v>
      </c>
      <c r="C14" s="23"/>
      <c r="D14" s="6"/>
      <c r="E14" s="5">
        <f t="shared" si="4"/>
        <v>0</v>
      </c>
      <c r="F14" s="42" t="e">
        <f t="shared" si="5"/>
        <v>#DIV/0!</v>
      </c>
      <c r="G14" s="7"/>
      <c r="H14" s="23">
        <f>'газ руб.'!E36</f>
        <v>158152950.78</v>
      </c>
      <c r="I14" s="6">
        <f>'газ руб.'!F36</f>
        <v>80000000</v>
      </c>
      <c r="J14" s="5">
        <f t="shared" ref="J14:J29" si="7">H14-I14</f>
        <v>78152950.780000001</v>
      </c>
      <c r="K14" s="42">
        <f t="shared" si="6"/>
        <v>0.50583943964020417</v>
      </c>
      <c r="M14" s="23">
        <f>'газ руб.'!E59</f>
        <v>148357394.22</v>
      </c>
      <c r="N14" s="6">
        <f>'газ руб.'!F59</f>
        <v>292405712.27999997</v>
      </c>
      <c r="O14" s="5">
        <f t="shared" ref="O14:O29" si="8">M14-N14</f>
        <v>-144048318.05999997</v>
      </c>
      <c r="P14" s="42">
        <f t="shared" si="3"/>
        <v>1.9709547597364101</v>
      </c>
    </row>
    <row r="15" spans="2:16" s="11" customFormat="1" ht="25.5" hidden="1" customHeight="1" outlineLevel="1" x14ac:dyDescent="0.2">
      <c r="B15" s="86" t="s">
        <v>18</v>
      </c>
      <c r="C15" s="24"/>
      <c r="D15" s="8"/>
      <c r="E15" s="9">
        <f t="shared" si="4"/>
        <v>0</v>
      </c>
      <c r="F15" s="43" t="e">
        <f t="shared" si="5"/>
        <v>#DIV/0!</v>
      </c>
      <c r="H15" s="24">
        <f>SUM(H7,H8,H10,H12,H14)</f>
        <v>1696948897.6299999</v>
      </c>
      <c r="I15" s="8">
        <f>SUM(I7,I8,I10,I12,I14)</f>
        <v>1130986295.6700001</v>
      </c>
      <c r="J15" s="9">
        <f t="shared" si="7"/>
        <v>565962601.9599998</v>
      </c>
      <c r="K15" s="43">
        <f t="shared" si="6"/>
        <v>0.66648223599989553</v>
      </c>
      <c r="M15" s="24">
        <f>SUM(M7,M8,M10,M12,M14)</f>
        <v>1916836496.27</v>
      </c>
      <c r="N15" s="8">
        <f>SUM(N7,N8,N10,N12,N14)</f>
        <v>1886251250.9800003</v>
      </c>
      <c r="O15" s="9">
        <f t="shared" si="8"/>
        <v>30585245.289999723</v>
      </c>
      <c r="P15" s="43">
        <f t="shared" si="3"/>
        <v>0.98404389453690178</v>
      </c>
    </row>
    <row r="16" spans="2:16" ht="25.5" customHeight="1" collapsed="1" x14ac:dyDescent="0.2">
      <c r="B16" s="85" t="s">
        <v>5</v>
      </c>
      <c r="C16" s="23"/>
      <c r="D16" s="6"/>
      <c r="E16" s="5">
        <f t="shared" si="4"/>
        <v>0</v>
      </c>
      <c r="F16" s="42" t="e">
        <f t="shared" si="5"/>
        <v>#DIV/0!</v>
      </c>
      <c r="H16" s="23">
        <f>'газ руб.'!E38</f>
        <v>139907670</v>
      </c>
      <c r="I16" s="6">
        <f>'газ руб.'!F38</f>
        <v>84000000</v>
      </c>
      <c r="J16" s="5">
        <f t="shared" si="7"/>
        <v>55907670</v>
      </c>
      <c r="K16" s="42">
        <f t="shared" si="6"/>
        <v>0.60039596113636939</v>
      </c>
      <c r="M16" s="23">
        <f>'газ руб.'!E61</f>
        <v>107801653.98</v>
      </c>
      <c r="N16" s="6">
        <f>'газ руб.'!F61</f>
        <v>6722170.6799999997</v>
      </c>
      <c r="O16" s="5">
        <f t="shared" si="8"/>
        <v>101079483.30000001</v>
      </c>
      <c r="P16" s="42">
        <f t="shared" si="3"/>
        <v>6.235684177208576E-2</v>
      </c>
    </row>
    <row r="17" spans="2:16" s="11" customFormat="1" ht="25.5" hidden="1" customHeight="1" outlineLevel="1" x14ac:dyDescent="0.2">
      <c r="B17" s="86" t="s">
        <v>19</v>
      </c>
      <c r="C17" s="24"/>
      <c r="D17" s="8"/>
      <c r="E17" s="9">
        <f t="shared" si="4"/>
        <v>0</v>
      </c>
      <c r="F17" s="43" t="e">
        <f t="shared" si="5"/>
        <v>#DIV/0!</v>
      </c>
      <c r="H17" s="24">
        <f>SUM(H7,H8,H10,H12,H14,H16)</f>
        <v>1836856567.6299999</v>
      </c>
      <c r="I17" s="8">
        <f>SUM(I7,I8,I10,I12,I14,I16)</f>
        <v>1214986295.6700001</v>
      </c>
      <c r="J17" s="9">
        <f t="shared" si="7"/>
        <v>621870271.9599998</v>
      </c>
      <c r="K17" s="43">
        <f t="shared" si="6"/>
        <v>0.66144864932901837</v>
      </c>
      <c r="M17" s="24">
        <f>SUM(M7,M8,M10,M12,M14,M16)</f>
        <v>2024638150.25</v>
      </c>
      <c r="N17" s="8">
        <f>SUM(N7,N8,N10,N12,N14,N16)</f>
        <v>1892973421.6600003</v>
      </c>
      <c r="O17" s="9">
        <f t="shared" si="8"/>
        <v>131664728.58999968</v>
      </c>
      <c r="P17" s="43">
        <f t="shared" si="3"/>
        <v>0.93496876043072596</v>
      </c>
    </row>
    <row r="18" spans="2:16" ht="25.5" customHeight="1" collapsed="1" x14ac:dyDescent="0.2">
      <c r="B18" s="85" t="s">
        <v>6</v>
      </c>
      <c r="C18" s="23">
        <f>'газ руб.'!E17</f>
        <v>149650862.69999999</v>
      </c>
      <c r="D18" s="6">
        <f>'газ руб.'!F17</f>
        <v>133788702.02000001</v>
      </c>
      <c r="E18" s="5">
        <f t="shared" si="4"/>
        <v>15862160.679999977</v>
      </c>
      <c r="F18" s="42">
        <f t="shared" si="5"/>
        <v>0.89400555136258508</v>
      </c>
      <c r="H18" s="23">
        <f>'газ руб.'!E40</f>
        <v>136825351.14379999</v>
      </c>
      <c r="I18" s="6">
        <f>'газ руб.'!F40</f>
        <v>30000000</v>
      </c>
      <c r="J18" s="5">
        <f t="shared" si="7"/>
        <v>106825351.14379999</v>
      </c>
      <c r="K18" s="42">
        <f t="shared" si="6"/>
        <v>0.21925761380630959</v>
      </c>
      <c r="M18" s="23">
        <f>'газ руб.'!E63</f>
        <v>121321354.21000001</v>
      </c>
      <c r="N18" s="6">
        <f>'газ руб.'!F63</f>
        <v>243172920.44</v>
      </c>
      <c r="O18" s="5">
        <f t="shared" si="8"/>
        <v>-121851566.22999999</v>
      </c>
      <c r="P18" s="42">
        <f t="shared" si="3"/>
        <v>2.0043703107622934</v>
      </c>
    </row>
    <row r="19" spans="2:16" s="11" customFormat="1" ht="25.5" hidden="1" customHeight="1" outlineLevel="1" x14ac:dyDescent="0.2">
      <c r="B19" s="86" t="s">
        <v>20</v>
      </c>
      <c r="C19" s="24"/>
      <c r="D19" s="8"/>
      <c r="E19" s="9">
        <f t="shared" si="4"/>
        <v>0</v>
      </c>
      <c r="F19" s="43" t="e">
        <f t="shared" si="5"/>
        <v>#DIV/0!</v>
      </c>
      <c r="H19" s="24">
        <f>SUM(H7,H8,H10,H12,H14,H16,H18)</f>
        <v>1973681918.7737999</v>
      </c>
      <c r="I19" s="8">
        <f>SUM(I7,I8,I10,I12,I14,I16,I18)</f>
        <v>1244986295.6700001</v>
      </c>
      <c r="J19" s="9">
        <f t="shared" si="7"/>
        <v>728695623.10379982</v>
      </c>
      <c r="K19" s="43">
        <f t="shared" si="6"/>
        <v>0.63079378892191473</v>
      </c>
      <c r="M19" s="24">
        <f>SUM(M7,M8,M10,M12,M14,M16,M18)</f>
        <v>2145959504.46</v>
      </c>
      <c r="N19" s="8">
        <f>SUM(N7,N8,N10,N12,N14,N16,N18)</f>
        <v>2136146342.1000004</v>
      </c>
      <c r="O19" s="9">
        <f t="shared" si="8"/>
        <v>9813162.3599996567</v>
      </c>
      <c r="P19" s="43">
        <f t="shared" si="3"/>
        <v>0.99542714466903748</v>
      </c>
    </row>
    <row r="20" spans="2:16" ht="25.5" customHeight="1" collapsed="1" x14ac:dyDescent="0.2">
      <c r="B20" s="85" t="s">
        <v>7</v>
      </c>
      <c r="C20" s="23">
        <f>'газ руб.'!E19</f>
        <v>134441302.72000003</v>
      </c>
      <c r="D20" s="6">
        <f>'газ руб.'!F19</f>
        <v>77185088.170000002</v>
      </c>
      <c r="E20" s="5">
        <f>C20-D20</f>
        <v>57256214.550000027</v>
      </c>
      <c r="F20" s="42">
        <f t="shared" si="5"/>
        <v>0.57411737768379745</v>
      </c>
      <c r="H20" s="23">
        <f>'газ руб.'!E42</f>
        <v>122427884.88</v>
      </c>
      <c r="I20" s="6">
        <f>'газ руб.'!F42</f>
        <v>0</v>
      </c>
      <c r="J20" s="5">
        <f t="shared" si="7"/>
        <v>122427884.88</v>
      </c>
      <c r="K20" s="42">
        <f t="shared" si="6"/>
        <v>0</v>
      </c>
      <c r="M20" s="23">
        <f>'газ руб.'!E65</f>
        <v>121646578.47</v>
      </c>
      <c r="N20" s="6">
        <f>'газ руб.'!F65</f>
        <v>66693547.680000007</v>
      </c>
      <c r="O20" s="5">
        <f t="shared" si="8"/>
        <v>54953030.789999992</v>
      </c>
      <c r="P20" s="42">
        <f t="shared" si="3"/>
        <v>0.54825666713221788</v>
      </c>
    </row>
    <row r="21" spans="2:16" s="11" customFormat="1" ht="25.5" hidden="1" customHeight="1" outlineLevel="1" x14ac:dyDescent="0.2">
      <c r="B21" s="86" t="s">
        <v>21</v>
      </c>
      <c r="C21" s="24"/>
      <c r="D21" s="8"/>
      <c r="E21" s="9">
        <f t="shared" si="4"/>
        <v>0</v>
      </c>
      <c r="F21" s="43" t="e">
        <f t="shared" si="5"/>
        <v>#DIV/0!</v>
      </c>
      <c r="H21" s="24">
        <f>SUM(H7,H8,H10,H12,H14,H16,H18,H20)</f>
        <v>2096109803.6538</v>
      </c>
      <c r="I21" s="8">
        <f>SUM(I7,I8,I10,I12,I14,I16,I18,I20)</f>
        <v>1244986295.6700001</v>
      </c>
      <c r="J21" s="9">
        <f t="shared" si="7"/>
        <v>851123507.98379993</v>
      </c>
      <c r="K21" s="43">
        <f t="shared" si="6"/>
        <v>0.59395089584516148</v>
      </c>
      <c r="M21" s="24">
        <f>SUM(M7,M8,M10,M12,M14,M16,M18,M20)</f>
        <v>2267606082.9299998</v>
      </c>
      <c r="N21" s="8">
        <f>SUM(N7,N8,N10,N12,N14,N16,N18,N20)</f>
        <v>2202839889.7800002</v>
      </c>
      <c r="O21" s="9">
        <f t="shared" si="8"/>
        <v>64766193.149999619</v>
      </c>
      <c r="P21" s="43">
        <f t="shared" si="3"/>
        <v>0.97143851675229476</v>
      </c>
    </row>
    <row r="22" spans="2:16" ht="25.5" customHeight="1" collapsed="1" x14ac:dyDescent="0.2">
      <c r="B22" s="85" t="s">
        <v>8</v>
      </c>
      <c r="C22" s="23">
        <f>'газ руб.'!E21</f>
        <v>143372666.77000001</v>
      </c>
      <c r="D22" s="6">
        <f>'газ руб.'!F21</f>
        <v>18000000</v>
      </c>
      <c r="E22" s="5">
        <f t="shared" si="4"/>
        <v>125372666.77000001</v>
      </c>
      <c r="F22" s="42">
        <f t="shared" si="5"/>
        <v>0.12554694284145385</v>
      </c>
      <c r="H22" s="23">
        <f>'газ руб.'!E44</f>
        <v>89632655.950000018</v>
      </c>
      <c r="I22" s="6">
        <f>'газ руб.'!F44</f>
        <v>20000000</v>
      </c>
      <c r="J22" s="5">
        <f t="shared" si="7"/>
        <v>69632655.950000018</v>
      </c>
      <c r="K22" s="42">
        <f t="shared" si="6"/>
        <v>0.22313296184324433</v>
      </c>
      <c r="M22" s="23">
        <f>'газ руб.'!E67</f>
        <v>164963414.56999999</v>
      </c>
      <c r="N22" s="6">
        <f>'газ руб.'!F67</f>
        <v>455976757.40000004</v>
      </c>
      <c r="O22" s="5">
        <f t="shared" si="8"/>
        <v>-291013342.83000004</v>
      </c>
      <c r="P22" s="42">
        <f t="shared" si="3"/>
        <v>2.7641083848110606</v>
      </c>
    </row>
    <row r="23" spans="2:16" s="11" customFormat="1" ht="25.5" hidden="1" customHeight="1" outlineLevel="1" x14ac:dyDescent="0.2">
      <c r="B23" s="86" t="s">
        <v>22</v>
      </c>
      <c r="C23" s="24"/>
      <c r="D23" s="8"/>
      <c r="E23" s="9">
        <f t="shared" si="4"/>
        <v>0</v>
      </c>
      <c r="F23" s="43" t="e">
        <f t="shared" si="5"/>
        <v>#DIV/0!</v>
      </c>
      <c r="H23" s="24">
        <f>SUM(H7,H8,H10,H12,H14,H16,H18,H20,H22)</f>
        <v>2185742459.6037998</v>
      </c>
      <c r="I23" s="8">
        <f>SUM(I7,I8,I10,I12,I14,I16,I18,I20,I22)</f>
        <v>1264986295.6700001</v>
      </c>
      <c r="J23" s="9">
        <f t="shared" si="7"/>
        <v>920756163.93379974</v>
      </c>
      <c r="K23" s="43">
        <f t="shared" si="6"/>
        <v>0.5787444399553362</v>
      </c>
      <c r="M23" s="24">
        <f>SUM(M7,M8,M10,M12,M14,M16,M18,M20,M22)</f>
        <v>2432569497.5</v>
      </c>
      <c r="N23" s="8">
        <f>SUM(N7,N8,N10,N12,N14,N16,N18,N20,N22)</f>
        <v>2658816647.1800003</v>
      </c>
      <c r="O23" s="9">
        <f t="shared" si="8"/>
        <v>-226247149.68000031</v>
      </c>
      <c r="P23" s="43">
        <f t="shared" si="3"/>
        <v>1.0930074762149731</v>
      </c>
    </row>
    <row r="24" spans="2:16" ht="25.5" customHeight="1" collapsed="1" x14ac:dyDescent="0.2">
      <c r="B24" s="85" t="s">
        <v>9</v>
      </c>
      <c r="C24" s="23">
        <f>'газ руб.'!E23</f>
        <v>339662561</v>
      </c>
      <c r="D24" s="6">
        <f>'газ руб.'!F23</f>
        <v>55118375.230000004</v>
      </c>
      <c r="E24" s="5">
        <f t="shared" si="4"/>
        <v>284544185.76999998</v>
      </c>
      <c r="F24" s="42">
        <f t="shared" si="5"/>
        <v>0.16227391993903031</v>
      </c>
      <c r="H24" s="23">
        <f>'газ руб.'!E46</f>
        <v>345615865.70000005</v>
      </c>
      <c r="I24" s="6">
        <f>'газ руб.'!F46</f>
        <v>184762393.15000001</v>
      </c>
      <c r="J24" s="5">
        <f t="shared" si="7"/>
        <v>160853472.55000004</v>
      </c>
      <c r="K24" s="42">
        <f t="shared" si="6"/>
        <v>0.53458886436184805</v>
      </c>
      <c r="M24" s="23">
        <f>'газ руб.'!E69</f>
        <v>350749557</v>
      </c>
      <c r="N24" s="6">
        <f>'газ руб.'!F69</f>
        <v>55392157.359999999</v>
      </c>
      <c r="O24" s="5">
        <f t="shared" si="8"/>
        <v>295357399.63999999</v>
      </c>
      <c r="P24" s="42">
        <f t="shared" si="3"/>
        <v>0.15792509571152502</v>
      </c>
    </row>
    <row r="25" spans="2:16" s="11" customFormat="1" ht="25.5" hidden="1" customHeight="1" outlineLevel="1" x14ac:dyDescent="0.2">
      <c r="B25" s="86" t="s">
        <v>23</v>
      </c>
      <c r="C25" s="24"/>
      <c r="D25" s="8"/>
      <c r="E25" s="9">
        <f>C25-D25</f>
        <v>0</v>
      </c>
      <c r="F25" s="43" t="e">
        <f t="shared" si="5"/>
        <v>#DIV/0!</v>
      </c>
      <c r="H25" s="24">
        <f>SUM(H7,H8,H10,H12,H14,H16,H18,H20,H22,H24)</f>
        <v>2531358325.3037996</v>
      </c>
      <c r="I25" s="8">
        <f>SUM(I7,I8,I10,I12,I14,I16,I18,I20,I22,I24)</f>
        <v>1449748688.8200002</v>
      </c>
      <c r="J25" s="9">
        <f t="shared" si="7"/>
        <v>1081609636.4837995</v>
      </c>
      <c r="K25" s="43">
        <f t="shared" si="6"/>
        <v>0.57271571327066439</v>
      </c>
      <c r="M25" s="24">
        <f>SUM(M7,M8,M10,M12,M14,M16,M18,M20,M22,M24)</f>
        <v>2783319054.5</v>
      </c>
      <c r="N25" s="8">
        <f>SUM(N7,N8,N10,N12,N14,N16,N18,N20,N22,N24)</f>
        <v>2714208804.5400004</v>
      </c>
      <c r="O25" s="9">
        <f t="shared" si="8"/>
        <v>69110249.959999561</v>
      </c>
      <c r="P25" s="43">
        <f t="shared" si="3"/>
        <v>0.97516984269257101</v>
      </c>
    </row>
    <row r="26" spans="2:16" ht="25.5" customHeight="1" collapsed="1" x14ac:dyDescent="0.2">
      <c r="B26" s="85" t="s">
        <v>10</v>
      </c>
      <c r="C26" s="23">
        <f>'газ руб.'!E25</f>
        <v>382487456.31</v>
      </c>
      <c r="D26" s="6">
        <f>'газ руб.'!F25</f>
        <v>297872666.76999998</v>
      </c>
      <c r="E26" s="5">
        <f>C26-D26</f>
        <v>84614789.540000021</v>
      </c>
      <c r="F26" s="44">
        <f t="shared" si="5"/>
        <v>0.7787776091893035</v>
      </c>
      <c r="H26" s="23">
        <f>'газ руб.'!E48</f>
        <v>389308692.91000003</v>
      </c>
      <c r="I26" s="6">
        <f>'газ руб.'!F48</f>
        <v>37289601.689999998</v>
      </c>
      <c r="J26" s="5">
        <f t="shared" si="7"/>
        <v>352019091.22000003</v>
      </c>
      <c r="K26" s="42">
        <f t="shared" si="6"/>
        <v>9.5784148592388527E-2</v>
      </c>
      <c r="M26" s="23">
        <f>'газ руб.'!E71</f>
        <v>433645241.44</v>
      </c>
      <c r="N26" s="6">
        <f>'газ руб.'!F71</f>
        <v>486062647.06</v>
      </c>
      <c r="O26" s="5">
        <f t="shared" si="8"/>
        <v>-52417405.620000005</v>
      </c>
      <c r="P26" s="42">
        <f t="shared" si="3"/>
        <v>1.1208762384799571</v>
      </c>
    </row>
    <row r="27" spans="2:16" s="11" customFormat="1" ht="25.5" hidden="1" customHeight="1" outlineLevel="1" x14ac:dyDescent="0.2">
      <c r="B27" s="86" t="s">
        <v>24</v>
      </c>
      <c r="C27" s="24"/>
      <c r="D27" s="8"/>
      <c r="E27" s="9">
        <f t="shared" si="4"/>
        <v>0</v>
      </c>
      <c r="F27" s="43" t="e">
        <f t="shared" si="5"/>
        <v>#DIV/0!</v>
      </c>
      <c r="H27" s="24">
        <f>SUM(H7,H8,H10,H12,H14,H16,H18,H20,H22,H24,H26)</f>
        <v>2920667018.2137995</v>
      </c>
      <c r="I27" s="8">
        <f>SUM(I7,I8,I10,I12,I14,I16,I18,I20,I22,I24,I26)</f>
        <v>1487038290.5100002</v>
      </c>
      <c r="J27" s="9">
        <f t="shared" si="7"/>
        <v>1433628727.7037992</v>
      </c>
      <c r="K27" s="43">
        <f t="shared" si="6"/>
        <v>0.50914338445175866</v>
      </c>
      <c r="M27" s="24">
        <f>SUM(M7,M8,M10,M12,M14,M16,M18,M20,M22,M24,M26)</f>
        <v>3216964295.9400001</v>
      </c>
      <c r="N27" s="8">
        <f>SUM(N7,N8,N10,N12,N14,N16,N18,N20,N22,N24,N26)</f>
        <v>3200271451.6000004</v>
      </c>
      <c r="O27" s="9">
        <f t="shared" si="8"/>
        <v>16692844.339999676</v>
      </c>
      <c r="P27" s="43">
        <f t="shared" si="3"/>
        <v>0.99481099483725477</v>
      </c>
    </row>
    <row r="28" spans="2:16" ht="25.5" customHeight="1" collapsed="1" thickBot="1" x14ac:dyDescent="0.25">
      <c r="B28" s="87" t="s">
        <v>11</v>
      </c>
      <c r="C28" s="37">
        <f>'газ руб.'!E27</f>
        <v>443936278.36000001</v>
      </c>
      <c r="D28" s="38">
        <f>'газ руб.'!F27</f>
        <v>380600000</v>
      </c>
      <c r="E28" s="38">
        <f>C28-D28</f>
        <v>63336278.360000014</v>
      </c>
      <c r="F28" s="44">
        <f t="shared" si="5"/>
        <v>0.85733024885017639</v>
      </c>
      <c r="H28" s="37">
        <f>'газ руб.'!E50</f>
        <v>463500537.68000001</v>
      </c>
      <c r="I28" s="38">
        <f>'газ руб.'!F50</f>
        <v>77060746.829999998</v>
      </c>
      <c r="J28" s="38">
        <f t="shared" si="7"/>
        <v>386439790.85000002</v>
      </c>
      <c r="K28" s="42">
        <f t="shared" si="6"/>
        <v>0.16625816059614285</v>
      </c>
      <c r="M28" s="37">
        <f>'газ руб.'!E73</f>
        <v>461513506.33999997</v>
      </c>
      <c r="N28" s="38">
        <f>'газ руб.'!F73</f>
        <v>314027193.13</v>
      </c>
      <c r="O28" s="38">
        <f t="shared" si="8"/>
        <v>147486313.20999998</v>
      </c>
      <c r="P28" s="42">
        <f t="shared" si="3"/>
        <v>0.68042904230554446</v>
      </c>
    </row>
    <row r="29" spans="2:16" s="11" customFormat="1" ht="25.5" customHeight="1" thickBot="1" x14ac:dyDescent="0.25">
      <c r="B29" s="83" t="s">
        <v>25</v>
      </c>
      <c r="C29" s="39">
        <f>C7+C8+C10+C12+C14+C16+C18+C20+C22+C24+C26+C28</f>
        <v>1593551127.8600001</v>
      </c>
      <c r="D29" s="12">
        <f>D7+D8+D10+D12+D14+D16+D18+D20+D22+D24+D26+D28</f>
        <v>962564832.19000006</v>
      </c>
      <c r="E29" s="12">
        <f>C29-D29</f>
        <v>630986295.67000008</v>
      </c>
      <c r="F29" s="89">
        <f>D29/C29</f>
        <v>0.60403762098467495</v>
      </c>
      <c r="H29" s="39">
        <f>H7+H8+H10+H12+H14+H16+H18+H20+H22+H24+H26+H28</f>
        <v>3384167555.8937993</v>
      </c>
      <c r="I29" s="12">
        <f>I7+I8+I10+I12+I14+I16+I18+I20+I22+I24+I26+I28</f>
        <v>1564099037.3400002</v>
      </c>
      <c r="J29" s="12">
        <f t="shared" si="7"/>
        <v>1820068518.5537992</v>
      </c>
      <c r="K29" s="89">
        <f t="shared" si="6"/>
        <v>0.46218132273503898</v>
      </c>
      <c r="M29" s="39">
        <f>M7+M8+M10+M12+M14+M16+M18+M20+M22+M24+M26+M28</f>
        <v>3678477802.2800002</v>
      </c>
      <c r="N29" s="12">
        <f>N7+N8+N10+N12+N14+N16+N18+N20+N22+N24+N26+N28</f>
        <v>3514298644.7300005</v>
      </c>
      <c r="O29" s="12">
        <f t="shared" si="8"/>
        <v>164179157.54999971</v>
      </c>
      <c r="P29" s="89">
        <f t="shared" si="3"/>
        <v>0.9553676367305417</v>
      </c>
    </row>
    <row r="30" spans="2:16" s="11" customFormat="1" ht="25.5" customHeight="1" thickBot="1" x14ac:dyDescent="0.25">
      <c r="B30" s="14" t="s">
        <v>28</v>
      </c>
      <c r="C30" s="25"/>
      <c r="D30" s="15"/>
      <c r="E30" s="32">
        <f>E29</f>
        <v>630986295.67000008</v>
      </c>
      <c r="F30" s="89"/>
      <c r="H30" s="25"/>
      <c r="I30" s="15"/>
      <c r="J30" s="32">
        <f>E30+J29</f>
        <v>2451054814.2237992</v>
      </c>
      <c r="K30" s="13"/>
      <c r="M30" s="25"/>
      <c r="N30" s="15"/>
      <c r="O30" s="32">
        <f>J30+O29</f>
        <v>2615233971.7737989</v>
      </c>
      <c r="P30" s="13"/>
    </row>
    <row r="31" spans="2:16" s="11" customFormat="1" ht="25.5" customHeight="1" thickBot="1" x14ac:dyDescent="0.25">
      <c r="C31" s="10"/>
      <c r="D31" s="10"/>
      <c r="E31" s="10"/>
      <c r="F31" s="16"/>
      <c r="H31" s="10"/>
      <c r="I31" s="10"/>
      <c r="J31" s="10"/>
      <c r="K31" s="16"/>
      <c r="M31" s="10"/>
      <c r="N31" s="10"/>
      <c r="O31" s="10"/>
      <c r="P31" s="16"/>
    </row>
    <row r="32" spans="2:16" s="11" customFormat="1" ht="15" customHeight="1" x14ac:dyDescent="0.2">
      <c r="B32" s="33"/>
      <c r="C32" s="385" t="s">
        <v>38</v>
      </c>
      <c r="D32" s="386"/>
      <c r="E32" s="386"/>
      <c r="F32" s="387"/>
      <c r="H32" s="385" t="s">
        <v>53</v>
      </c>
      <c r="I32" s="386"/>
      <c r="J32" s="386"/>
      <c r="K32" s="387"/>
      <c r="M32" s="385" t="s">
        <v>55</v>
      </c>
      <c r="N32" s="386"/>
      <c r="O32" s="386"/>
      <c r="P32" s="387"/>
    </row>
    <row r="33" spans="2:16" ht="25.5" customHeight="1" x14ac:dyDescent="0.25">
      <c r="B33" s="34"/>
      <c r="C33" s="28" t="s">
        <v>12</v>
      </c>
      <c r="D33" s="29">
        <f>$C$29</f>
        <v>1593551127.8600001</v>
      </c>
      <c r="E33" s="21"/>
      <c r="F33" s="30"/>
      <c r="H33" s="28" t="s">
        <v>12</v>
      </c>
      <c r="I33" s="29">
        <f>$C$29+$H$29</f>
        <v>4977718683.7537994</v>
      </c>
      <c r="J33" s="21"/>
      <c r="K33" s="30"/>
      <c r="M33" s="28" t="s">
        <v>12</v>
      </c>
      <c r="N33" s="29">
        <f>$C$29+$H$29+M29</f>
        <v>8656196486.0338001</v>
      </c>
      <c r="O33" s="21"/>
      <c r="P33" s="30"/>
    </row>
    <row r="34" spans="2:16" ht="25.5" customHeight="1" x14ac:dyDescent="0.25">
      <c r="B34" s="34"/>
      <c r="C34" s="17" t="s">
        <v>13</v>
      </c>
      <c r="D34" s="26">
        <f>$D$29</f>
        <v>962564832.19000006</v>
      </c>
      <c r="E34" s="21"/>
      <c r="F34" s="30"/>
      <c r="H34" s="17" t="s">
        <v>13</v>
      </c>
      <c r="I34" s="26">
        <f>$D$29+$I$29</f>
        <v>2526663869.5300002</v>
      </c>
      <c r="J34" s="21"/>
      <c r="K34" s="30"/>
      <c r="M34" s="17" t="s">
        <v>13</v>
      </c>
      <c r="N34" s="26">
        <f>$D$29+$I$29+N29</f>
        <v>6040962514.2600002</v>
      </c>
      <c r="O34" s="21"/>
      <c r="P34" s="30"/>
    </row>
    <row r="35" spans="2:16" ht="25.5" customHeight="1" thickBot="1" x14ac:dyDescent="0.3">
      <c r="B35" s="34"/>
      <c r="C35" s="18" t="s">
        <v>29</v>
      </c>
      <c r="D35" s="27">
        <f>D33-D34</f>
        <v>630986295.67000008</v>
      </c>
      <c r="E35" s="31"/>
      <c r="F35" s="35">
        <f>D34/D33</f>
        <v>0.60403762098467495</v>
      </c>
      <c r="H35" s="18" t="s">
        <v>29</v>
      </c>
      <c r="I35" s="27">
        <f>I33-I34</f>
        <v>2451054814.2237992</v>
      </c>
      <c r="J35" s="31"/>
      <c r="K35" s="35">
        <f>I34/I33</f>
        <v>0.50759474973475027</v>
      </c>
      <c r="M35" s="18" t="s">
        <v>29</v>
      </c>
      <c r="N35" s="27">
        <f>N33-N34</f>
        <v>2615233971.7737999</v>
      </c>
      <c r="O35" s="31"/>
      <c r="P35" s="35">
        <f>N34/N33</f>
        <v>0.6978772401951242</v>
      </c>
    </row>
  </sheetData>
  <dataConsolidate/>
  <mergeCells count="9">
    <mergeCell ref="M5:P5"/>
    <mergeCell ref="M32:P32"/>
    <mergeCell ref="H5:K5"/>
    <mergeCell ref="H32:K32"/>
    <mergeCell ref="B2:F2"/>
    <mergeCell ref="B3:F3"/>
    <mergeCell ref="B5:B6"/>
    <mergeCell ref="C32:F32"/>
    <mergeCell ref="C5:F5"/>
  </mergeCells>
  <phoneticPr fontId="0" type="noConversion"/>
  <pageMargins left="0.23" right="0.2" top="0.56000000000000005" bottom="0.54" header="0.51181102362204722" footer="0.51181102362204722"/>
  <pageSetup paperSize="9"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3"/>
  <sheetViews>
    <sheetView workbookViewId="0">
      <selection activeCell="E16" sqref="E16"/>
    </sheetView>
  </sheetViews>
  <sheetFormatPr defaultColWidth="8.85546875" defaultRowHeight="15" x14ac:dyDescent="0.25"/>
  <cols>
    <col min="1" max="1" width="8.85546875" style="225"/>
    <col min="2" max="2" width="21.42578125" style="225" customWidth="1"/>
    <col min="3" max="3" width="15.7109375" style="225" customWidth="1"/>
    <col min="4" max="4" width="15" style="225" customWidth="1"/>
    <col min="5" max="5" width="17" style="225" customWidth="1"/>
    <col min="6" max="6" width="17.28515625" style="251" customWidth="1"/>
    <col min="7" max="8" width="17.28515625" style="225" customWidth="1"/>
    <col min="9" max="16384" width="8.85546875" style="225"/>
  </cols>
  <sheetData>
    <row r="2" spans="1:8" ht="25.15" customHeight="1" x14ac:dyDescent="0.25">
      <c r="A2" s="392" t="s">
        <v>719</v>
      </c>
      <c r="B2" s="392"/>
      <c r="C2" s="392"/>
      <c r="D2" s="392"/>
      <c r="E2" s="392"/>
      <c r="F2" s="392"/>
      <c r="G2" s="392"/>
      <c r="H2" s="392"/>
    </row>
    <row r="3" spans="1:8" ht="15" customHeight="1" x14ac:dyDescent="0.25">
      <c r="A3" s="393" t="s">
        <v>720</v>
      </c>
      <c r="B3" s="394" t="s">
        <v>721</v>
      </c>
      <c r="C3" s="397" t="s">
        <v>722</v>
      </c>
      <c r="D3" s="398" t="s">
        <v>723</v>
      </c>
      <c r="E3" s="401" t="s">
        <v>769</v>
      </c>
      <c r="F3" s="402"/>
      <c r="G3" s="402"/>
      <c r="H3" s="403"/>
    </row>
    <row r="4" spans="1:8" ht="45" customHeight="1" x14ac:dyDescent="0.25">
      <c r="A4" s="393"/>
      <c r="B4" s="395"/>
      <c r="C4" s="397"/>
      <c r="D4" s="399"/>
      <c r="E4" s="404"/>
      <c r="F4" s="405"/>
      <c r="G4" s="405"/>
      <c r="H4" s="406"/>
    </row>
    <row r="5" spans="1:8" ht="60" customHeight="1" x14ac:dyDescent="0.25">
      <c r="A5" s="393"/>
      <c r="B5" s="396"/>
      <c r="C5" s="397"/>
      <c r="D5" s="400"/>
      <c r="E5" s="226" t="s">
        <v>724</v>
      </c>
      <c r="F5" s="227" t="s">
        <v>725</v>
      </c>
      <c r="G5" s="226" t="s">
        <v>726</v>
      </c>
      <c r="H5" s="226" t="s">
        <v>727</v>
      </c>
    </row>
    <row r="6" spans="1:8" ht="30" x14ac:dyDescent="0.25">
      <c r="A6" s="228">
        <v>1</v>
      </c>
      <c r="B6" s="229" t="s">
        <v>728</v>
      </c>
      <c r="C6" s="226" t="s">
        <v>729</v>
      </c>
      <c r="D6" s="230" t="s">
        <v>730</v>
      </c>
      <c r="E6" s="231">
        <v>135392419.74000001</v>
      </c>
      <c r="F6" s="232">
        <v>26195.81</v>
      </c>
      <c r="G6" s="231">
        <v>200000</v>
      </c>
      <c r="H6" s="231">
        <f>SUM(E6:G6)</f>
        <v>135618615.55000001</v>
      </c>
    </row>
    <row r="7" spans="1:8" ht="30" x14ac:dyDescent="0.25">
      <c r="A7" s="233">
        <v>2</v>
      </c>
      <c r="B7" s="229" t="s">
        <v>728</v>
      </c>
      <c r="C7" s="234" t="s">
        <v>731</v>
      </c>
      <c r="D7" s="230" t="s">
        <v>732</v>
      </c>
      <c r="E7" s="235">
        <v>588245867.64999998</v>
      </c>
      <c r="F7" s="236"/>
      <c r="G7" s="235"/>
      <c r="H7" s="237">
        <f t="shared" ref="H7" si="0">E7+F7+G7</f>
        <v>588245867.64999998</v>
      </c>
    </row>
    <row r="8" spans="1:8" ht="30" x14ac:dyDescent="0.25">
      <c r="A8" s="230">
        <v>3</v>
      </c>
      <c r="B8" s="238" t="s">
        <v>728</v>
      </c>
      <c r="C8" s="234" t="s">
        <v>733</v>
      </c>
      <c r="D8" s="230" t="s">
        <v>734</v>
      </c>
      <c r="E8" s="237"/>
      <c r="F8" s="239">
        <v>123766812.98999999</v>
      </c>
      <c r="G8" s="237"/>
      <c r="H8" s="237">
        <f>F8</f>
        <v>123766812.98999999</v>
      </c>
    </row>
    <row r="9" spans="1:8" ht="45" x14ac:dyDescent="0.25">
      <c r="A9" s="230">
        <v>4</v>
      </c>
      <c r="B9" s="238" t="s">
        <v>728</v>
      </c>
      <c r="C9" s="234" t="s">
        <v>735</v>
      </c>
      <c r="D9" s="240" t="s">
        <v>736</v>
      </c>
      <c r="E9" s="237">
        <v>368595.66</v>
      </c>
      <c r="F9" s="239"/>
      <c r="G9" s="237">
        <v>10372</v>
      </c>
      <c r="H9" s="237">
        <f>G9+E9</f>
        <v>378967.66</v>
      </c>
    </row>
    <row r="10" spans="1:8" ht="30" x14ac:dyDescent="0.25">
      <c r="A10" s="233">
        <v>5</v>
      </c>
      <c r="B10" s="238" t="s">
        <v>728</v>
      </c>
      <c r="C10" s="241" t="s">
        <v>737</v>
      </c>
      <c r="D10" s="230" t="s">
        <v>738</v>
      </c>
      <c r="E10" s="235">
        <v>588740288.91999996</v>
      </c>
      <c r="F10" s="236">
        <v>137053.09</v>
      </c>
      <c r="G10" s="235">
        <v>200000</v>
      </c>
      <c r="H10" s="237">
        <f>E10+F10+G10</f>
        <v>589077342.00999999</v>
      </c>
    </row>
    <row r="11" spans="1:8" s="247" customFormat="1" ht="28.9" customHeight="1" x14ac:dyDescent="0.2">
      <c r="A11" s="242">
        <v>6</v>
      </c>
      <c r="B11" s="234" t="s">
        <v>728</v>
      </c>
      <c r="C11" s="243" t="s">
        <v>739</v>
      </c>
      <c r="D11" s="244" t="s">
        <v>740</v>
      </c>
      <c r="E11" s="245">
        <v>463305904.12</v>
      </c>
      <c r="F11" s="246">
        <v>109741.35</v>
      </c>
      <c r="G11" s="245">
        <v>200000</v>
      </c>
      <c r="H11" s="235">
        <f>E11+F11+G11</f>
        <v>463615645.47000003</v>
      </c>
    </row>
    <row r="12" spans="1:8" s="248" customFormat="1" ht="28.9" customHeight="1" x14ac:dyDescent="0.2">
      <c r="A12" s="230">
        <v>7</v>
      </c>
      <c r="B12" s="238" t="s">
        <v>728</v>
      </c>
      <c r="C12" s="234" t="s">
        <v>741</v>
      </c>
      <c r="D12" s="230" t="s">
        <v>742</v>
      </c>
      <c r="E12" s="237">
        <v>531252784.63</v>
      </c>
      <c r="F12" s="239"/>
      <c r="G12" s="237">
        <v>200000</v>
      </c>
      <c r="H12" s="235">
        <f>E12+F12+G12</f>
        <v>531452784.63</v>
      </c>
    </row>
    <row r="13" spans="1:8" ht="27" customHeight="1" x14ac:dyDescent="0.25">
      <c r="A13" s="249" t="s">
        <v>743</v>
      </c>
      <c r="B13" s="249"/>
      <c r="C13" s="249"/>
      <c r="D13" s="249"/>
      <c r="E13" s="250">
        <f>SUM(E6:E12)</f>
        <v>2307305860.7199998</v>
      </c>
      <c r="F13" s="250">
        <f t="shared" ref="F13:G13" si="1">SUM(F6:F12)</f>
        <v>124039803.23999999</v>
      </c>
      <c r="G13" s="250">
        <f t="shared" si="1"/>
        <v>810372</v>
      </c>
      <c r="H13" s="250">
        <f>SUM(H6:H12)</f>
        <v>2432156035.96</v>
      </c>
    </row>
  </sheetData>
  <mergeCells count="6">
    <mergeCell ref="A2:H2"/>
    <mergeCell ref="A3:A5"/>
    <mergeCell ref="B3:B5"/>
    <mergeCell ref="C3:C5"/>
    <mergeCell ref="D3:D5"/>
    <mergeCell ref="E3:H4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8"/>
  <sheetViews>
    <sheetView workbookViewId="0">
      <selection activeCell="B23" sqref="B23"/>
    </sheetView>
  </sheetViews>
  <sheetFormatPr defaultColWidth="8.85546875" defaultRowHeight="18.75" x14ac:dyDescent="0.2"/>
  <cols>
    <col min="1" max="1" width="37.28515625" style="224" customWidth="1"/>
    <col min="2" max="3" width="10.85546875" style="224" customWidth="1"/>
    <col min="4" max="4" width="8.28515625" style="224" bestFit="1" customWidth="1"/>
    <col min="5" max="6" width="10.85546875" style="282" customWidth="1"/>
    <col min="7" max="7" width="8.28515625" style="282" bestFit="1" customWidth="1"/>
    <col min="8" max="9" width="10.85546875" style="282" customWidth="1"/>
    <col min="10" max="10" width="8.28515625" style="282" bestFit="1" customWidth="1"/>
    <col min="11" max="12" width="10.85546875" style="282" customWidth="1"/>
    <col min="13" max="13" width="8.28515625" style="282" bestFit="1" customWidth="1"/>
    <col min="14" max="15" width="10.85546875" style="282" customWidth="1"/>
    <col min="16" max="16" width="8.28515625" style="282" bestFit="1" customWidth="1"/>
    <col min="17" max="18" width="10.85546875" style="282" customWidth="1"/>
    <col min="19" max="19" width="8.28515625" style="282" bestFit="1" customWidth="1"/>
    <col min="20" max="21" width="10.85546875" style="282" customWidth="1"/>
    <col min="22" max="22" width="8.28515625" style="282" bestFit="1" customWidth="1"/>
    <col min="23" max="24" width="10.85546875" style="282" customWidth="1"/>
    <col min="25" max="25" width="8.28515625" style="282" bestFit="1" customWidth="1"/>
    <col min="26" max="27" width="10.85546875" style="282" customWidth="1"/>
    <col min="28" max="28" width="8.28515625" style="282" bestFit="1" customWidth="1"/>
    <col min="29" max="30" width="10.85546875" style="282" customWidth="1"/>
    <col min="31" max="31" width="8.28515625" style="282" bestFit="1" customWidth="1"/>
    <col min="32" max="33" width="10.85546875" style="282" customWidth="1"/>
    <col min="34" max="34" width="8.28515625" style="282" bestFit="1" customWidth="1"/>
    <col min="35" max="36" width="10.85546875" style="282" customWidth="1"/>
    <col min="37" max="37" width="11.28515625" style="282" customWidth="1"/>
    <col min="38" max="39" width="10.85546875" style="282" customWidth="1"/>
    <col min="40" max="40" width="10.140625" style="282" customWidth="1"/>
    <col min="41" max="16384" width="8.85546875" style="224"/>
  </cols>
  <sheetData>
    <row r="1" spans="1:40" ht="21" customHeight="1" x14ac:dyDescent="0.2">
      <c r="A1" s="407" t="s">
        <v>770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  <c r="AM1" s="407"/>
      <c r="AN1" s="407"/>
    </row>
    <row r="2" spans="1:40" ht="21" customHeight="1" thickBot="1" x14ac:dyDescent="0.25">
      <c r="F2" s="224"/>
      <c r="I2" s="283"/>
      <c r="K2" s="284"/>
      <c r="L2" s="283"/>
      <c r="O2" s="283"/>
      <c r="Q2" s="285"/>
      <c r="R2" s="284"/>
      <c r="T2" s="284"/>
      <c r="U2" s="284"/>
    </row>
    <row r="3" spans="1:40" s="286" customFormat="1" ht="14.25" x14ac:dyDescent="0.2">
      <c r="A3" s="408" t="s">
        <v>771</v>
      </c>
      <c r="B3" s="410">
        <v>42005</v>
      </c>
      <c r="C3" s="410"/>
      <c r="D3" s="410"/>
      <c r="E3" s="410">
        <v>42036</v>
      </c>
      <c r="F3" s="410"/>
      <c r="G3" s="410"/>
      <c r="H3" s="410">
        <v>42064</v>
      </c>
      <c r="I3" s="410"/>
      <c r="J3" s="410"/>
      <c r="K3" s="410">
        <v>42095</v>
      </c>
      <c r="L3" s="410"/>
      <c r="M3" s="410"/>
      <c r="N3" s="410">
        <v>42125</v>
      </c>
      <c r="O3" s="410"/>
      <c r="P3" s="410"/>
      <c r="Q3" s="410">
        <v>42156</v>
      </c>
      <c r="R3" s="410"/>
      <c r="S3" s="410"/>
      <c r="T3" s="410">
        <v>42186</v>
      </c>
      <c r="U3" s="410"/>
      <c r="V3" s="410"/>
      <c r="W3" s="410">
        <v>42217</v>
      </c>
      <c r="X3" s="410"/>
      <c r="Y3" s="410"/>
      <c r="Z3" s="410">
        <v>42248</v>
      </c>
      <c r="AA3" s="410"/>
      <c r="AB3" s="410"/>
      <c r="AC3" s="410">
        <v>42278</v>
      </c>
      <c r="AD3" s="410"/>
      <c r="AE3" s="410"/>
      <c r="AF3" s="410">
        <v>42309</v>
      </c>
      <c r="AG3" s="410"/>
      <c r="AH3" s="410"/>
      <c r="AI3" s="411">
        <v>42339</v>
      </c>
      <c r="AJ3" s="412"/>
      <c r="AK3" s="413"/>
      <c r="AL3" s="411" t="s">
        <v>772</v>
      </c>
      <c r="AM3" s="412"/>
      <c r="AN3" s="413"/>
    </row>
    <row r="4" spans="1:40" s="286" customFormat="1" ht="30" x14ac:dyDescent="0.2">
      <c r="A4" s="409"/>
      <c r="B4" s="287" t="s">
        <v>773</v>
      </c>
      <c r="C4" s="287" t="s">
        <v>774</v>
      </c>
      <c r="D4" s="288" t="s">
        <v>775</v>
      </c>
      <c r="E4" s="287" t="s">
        <v>773</v>
      </c>
      <c r="F4" s="287" t="s">
        <v>774</v>
      </c>
      <c r="G4" s="288" t="s">
        <v>775</v>
      </c>
      <c r="H4" s="287" t="s">
        <v>773</v>
      </c>
      <c r="I4" s="287" t="s">
        <v>774</v>
      </c>
      <c r="J4" s="288" t="s">
        <v>775</v>
      </c>
      <c r="K4" s="287" t="s">
        <v>773</v>
      </c>
      <c r="L4" s="287" t="s">
        <v>774</v>
      </c>
      <c r="M4" s="288" t="s">
        <v>775</v>
      </c>
      <c r="N4" s="287" t="s">
        <v>773</v>
      </c>
      <c r="O4" s="287" t="s">
        <v>774</v>
      </c>
      <c r="P4" s="288" t="s">
        <v>775</v>
      </c>
      <c r="Q4" s="288" t="s">
        <v>773</v>
      </c>
      <c r="R4" s="288" t="s">
        <v>774</v>
      </c>
      <c r="S4" s="288" t="s">
        <v>775</v>
      </c>
      <c r="T4" s="287" t="s">
        <v>773</v>
      </c>
      <c r="U4" s="287" t="s">
        <v>774</v>
      </c>
      <c r="V4" s="288" t="s">
        <v>775</v>
      </c>
      <c r="W4" s="287" t="s">
        <v>773</v>
      </c>
      <c r="X4" s="287" t="s">
        <v>774</v>
      </c>
      <c r="Y4" s="288" t="s">
        <v>775</v>
      </c>
      <c r="Z4" s="288" t="s">
        <v>773</v>
      </c>
      <c r="AA4" s="288" t="s">
        <v>774</v>
      </c>
      <c r="AB4" s="288" t="s">
        <v>775</v>
      </c>
      <c r="AC4" s="287" t="s">
        <v>773</v>
      </c>
      <c r="AD4" s="287" t="s">
        <v>774</v>
      </c>
      <c r="AE4" s="288" t="s">
        <v>775</v>
      </c>
      <c r="AF4" s="287" t="s">
        <v>773</v>
      </c>
      <c r="AG4" s="287" t="s">
        <v>774</v>
      </c>
      <c r="AH4" s="288" t="s">
        <v>775</v>
      </c>
      <c r="AI4" s="288" t="s">
        <v>773</v>
      </c>
      <c r="AJ4" s="288" t="s">
        <v>774</v>
      </c>
      <c r="AK4" s="289" t="s">
        <v>775</v>
      </c>
      <c r="AL4" s="288" t="s">
        <v>773</v>
      </c>
      <c r="AM4" s="288" t="s">
        <v>774</v>
      </c>
      <c r="AN4" s="289" t="s">
        <v>775</v>
      </c>
    </row>
    <row r="5" spans="1:40" s="296" customFormat="1" ht="15" x14ac:dyDescent="0.2">
      <c r="A5" s="290" t="s">
        <v>776</v>
      </c>
      <c r="B5" s="291">
        <v>160573.73656860003</v>
      </c>
      <c r="C5" s="291">
        <v>177677.87199000001</v>
      </c>
      <c r="D5" s="292">
        <f t="shared" ref="D5:D12" si="0">C5/B5</f>
        <v>1.106518885260497</v>
      </c>
      <c r="E5" s="291">
        <v>224812.33971279996</v>
      </c>
      <c r="F5" s="291">
        <v>146351.90053000001</v>
      </c>
      <c r="G5" s="293">
        <f>F5/E5</f>
        <v>0.65099585154874529</v>
      </c>
      <c r="H5" s="291">
        <v>220134.3927534</v>
      </c>
      <c r="I5" s="291">
        <v>210379.48858999999</v>
      </c>
      <c r="J5" s="293">
        <f>I5/H5</f>
        <v>0.95568659653138488</v>
      </c>
      <c r="K5" s="291">
        <v>193383.12941639998</v>
      </c>
      <c r="L5" s="291">
        <v>221412.01762</v>
      </c>
      <c r="M5" s="293">
        <f>L5/K5</f>
        <v>1.144939676424654</v>
      </c>
      <c r="N5" s="291">
        <v>132539.92233440001</v>
      </c>
      <c r="O5" s="291">
        <v>190254.94336</v>
      </c>
      <c r="P5" s="293">
        <f>O5/N5</f>
        <v>1.4354538618182091</v>
      </c>
      <c r="Q5" s="291">
        <v>79537.552525400009</v>
      </c>
      <c r="R5" s="291">
        <v>131346.14637</v>
      </c>
      <c r="S5" s="293">
        <f>R5/Q5</f>
        <v>1.6513727440639454</v>
      </c>
      <c r="T5" s="291">
        <v>90549.836398199986</v>
      </c>
      <c r="U5" s="291">
        <v>79366.033649999998</v>
      </c>
      <c r="V5" s="293">
        <f>U5/T5</f>
        <v>0.87649008332805434</v>
      </c>
      <c r="W5" s="291">
        <v>102074.4124684</v>
      </c>
      <c r="X5" s="291">
        <v>96909.380910000007</v>
      </c>
      <c r="Y5" s="293">
        <f>X5/W5</f>
        <v>0.94939935059632141</v>
      </c>
      <c r="Z5" s="294">
        <v>124783.09550359999</v>
      </c>
      <c r="AA5" s="294">
        <v>111995.77798</v>
      </c>
      <c r="AB5" s="293">
        <f>AA5/Z5</f>
        <v>0.89752363914364441</v>
      </c>
      <c r="AC5" s="294">
        <v>143135.44798980001</v>
      </c>
      <c r="AD5" s="294">
        <v>164302.63086</v>
      </c>
      <c r="AE5" s="293">
        <f>AD5/AC5</f>
        <v>1.1478821854926418</v>
      </c>
      <c r="AF5" s="291">
        <v>197425.82630219997</v>
      </c>
      <c r="AG5" s="291">
        <v>179047.50294999999</v>
      </c>
      <c r="AH5" s="292">
        <f>AG5/AF5</f>
        <v>0.90691023714360319</v>
      </c>
      <c r="AI5" s="291">
        <v>242828.97679459999</v>
      </c>
      <c r="AJ5" s="291">
        <v>202252.18444000001</v>
      </c>
      <c r="AK5" s="295">
        <f>AJ5/AI5</f>
        <v>0.83289971036314014</v>
      </c>
      <c r="AL5" s="291">
        <f t="shared" ref="AL5:AM11" si="1">B5+E5+H5+K5+N5+Q5+T5+W5+AC5+AF5+AI5+Z5</f>
        <v>1911778.6687677999</v>
      </c>
      <c r="AM5" s="291">
        <f t="shared" si="1"/>
        <v>1911295.87925</v>
      </c>
      <c r="AN5" s="295">
        <f>AM5/AL5</f>
        <v>0.99974746578896023</v>
      </c>
    </row>
    <row r="6" spans="1:40" s="296" customFormat="1" ht="15" x14ac:dyDescent="0.2">
      <c r="A6" s="290" t="s">
        <v>777</v>
      </c>
      <c r="B6" s="291">
        <f>SUM(B7:B11)</f>
        <v>557245.25595000002</v>
      </c>
      <c r="C6" s="291">
        <f>SUM(C7:C11)</f>
        <v>382546.98316000012</v>
      </c>
      <c r="D6" s="292">
        <f t="shared" si="0"/>
        <v>0.68649661719924082</v>
      </c>
      <c r="E6" s="291">
        <f>SUM(E7:E11)</f>
        <v>556566.25970999978</v>
      </c>
      <c r="F6" s="291">
        <f>SUM(F7:F11)</f>
        <v>412239.73824000004</v>
      </c>
      <c r="G6" s="293">
        <f>F6/E6</f>
        <v>0.74068402647116727</v>
      </c>
      <c r="H6" s="291">
        <f>SUM(H7:H11)</f>
        <v>443878.04967999976</v>
      </c>
      <c r="I6" s="291">
        <f>SUM(I7:I11)</f>
        <v>531888.77910000016</v>
      </c>
      <c r="J6" s="293">
        <f>I6/H6</f>
        <v>1.1982768228423304</v>
      </c>
      <c r="K6" s="291">
        <f t="shared" ref="K6:L6" si="2">SUM(K7:K11)</f>
        <v>451143.95597000001</v>
      </c>
      <c r="L6" s="291">
        <f t="shared" si="2"/>
        <v>442608.31596000004</v>
      </c>
      <c r="M6" s="293">
        <f>L6/K6</f>
        <v>0.98108000806162288</v>
      </c>
      <c r="N6" s="291">
        <f t="shared" ref="N6:O6" si="3">SUM(N7:N11)</f>
        <v>152386.78211</v>
      </c>
      <c r="O6" s="291">
        <f t="shared" si="3"/>
        <v>400077.34786999982</v>
      </c>
      <c r="P6" s="293">
        <f>O6/N6</f>
        <v>2.6254071536283576</v>
      </c>
      <c r="Q6" s="291">
        <f t="shared" ref="Q6:R6" si="4">SUM(Q7:Q11)</f>
        <v>84841.024639999989</v>
      </c>
      <c r="R6" s="291">
        <f t="shared" si="4"/>
        <v>202616.95318000007</v>
      </c>
      <c r="S6" s="293">
        <f>R6/Q6</f>
        <v>2.3881954990495515</v>
      </c>
      <c r="T6" s="291">
        <f t="shared" ref="T6:U6" si="5">SUM(T7:T11)</f>
        <v>76999.517509999991</v>
      </c>
      <c r="U6" s="291">
        <f t="shared" si="5"/>
        <v>124873.50516999996</v>
      </c>
      <c r="V6" s="293">
        <f>U6/T6</f>
        <v>1.6217439953929911</v>
      </c>
      <c r="W6" s="291">
        <f t="shared" ref="W6:X6" si="6">SUM(W7:W11)</f>
        <v>83526.490690000021</v>
      </c>
      <c r="X6" s="291">
        <f t="shared" si="6"/>
        <v>96192.622930000012</v>
      </c>
      <c r="Y6" s="293">
        <f>X6/W6</f>
        <v>1.15164209743959</v>
      </c>
      <c r="Z6" s="291">
        <f t="shared" ref="Z6:AA6" si="7">SUM(Z7:Z11)</f>
        <v>99418.827939999974</v>
      </c>
      <c r="AA6" s="291">
        <f t="shared" si="7"/>
        <v>117610.65725999999</v>
      </c>
      <c r="AB6" s="293">
        <f>AA6/Z6</f>
        <v>1.1829817319007112</v>
      </c>
      <c r="AC6" s="291">
        <f t="shared" ref="AC6:AD6" si="8">SUM(AC7:AC11)</f>
        <v>448947.17882999999</v>
      </c>
      <c r="AD6" s="291">
        <f t="shared" si="8"/>
        <v>122777.75190999995</v>
      </c>
      <c r="AE6" s="293">
        <f>AD6/AC6</f>
        <v>0.27347928152699547</v>
      </c>
      <c r="AF6" s="291">
        <f t="shared" ref="AF6:AG6" si="9">SUM(AF7:AF11)</f>
        <v>591387.56409999984</v>
      </c>
      <c r="AG6" s="291">
        <f t="shared" si="9"/>
        <v>368624.60788999993</v>
      </c>
      <c r="AH6" s="293">
        <f>AG6/AF6</f>
        <v>0.62332154118084881</v>
      </c>
      <c r="AI6" s="291">
        <f t="shared" ref="AI6:AJ6" si="10">SUM(AI7:AI11)</f>
        <v>575800.63894000009</v>
      </c>
      <c r="AJ6" s="291">
        <f t="shared" si="10"/>
        <v>559289.24630000012</v>
      </c>
      <c r="AK6" s="293">
        <f>AJ6/AI6</f>
        <v>0.97132446280296592</v>
      </c>
      <c r="AL6" s="291">
        <f t="shared" si="1"/>
        <v>4122141.5460699988</v>
      </c>
      <c r="AM6" s="291">
        <f t="shared" si="1"/>
        <v>3761346.5089700003</v>
      </c>
      <c r="AN6" s="295">
        <f>AM6/AL6</f>
        <v>0.9124738844924003</v>
      </c>
    </row>
    <row r="7" spans="1:40" s="286" customFormat="1" ht="15" x14ac:dyDescent="0.2">
      <c r="A7" s="297" t="s">
        <v>778</v>
      </c>
      <c r="B7" s="298">
        <v>34696.312540000006</v>
      </c>
      <c r="C7" s="298">
        <v>30639.281610000002</v>
      </c>
      <c r="D7" s="299">
        <f t="shared" si="0"/>
        <v>0.88307025637601078</v>
      </c>
      <c r="E7" s="298">
        <v>29593.803740000007</v>
      </c>
      <c r="F7" s="298">
        <v>25190.591099999998</v>
      </c>
      <c r="G7" s="300">
        <f>F7/E7</f>
        <v>0.85121166989262431</v>
      </c>
      <c r="H7" s="298">
        <v>20995.806799999998</v>
      </c>
      <c r="I7" s="298">
        <v>28214.497360000001</v>
      </c>
      <c r="J7" s="300">
        <f>I7/H7</f>
        <v>1.3438158213572438</v>
      </c>
      <c r="K7" s="298">
        <v>14955.372660000003</v>
      </c>
      <c r="L7" s="298">
        <v>13578.87801</v>
      </c>
      <c r="M7" s="300">
        <f>L7/K7</f>
        <v>0.90795985621397401</v>
      </c>
      <c r="N7" s="298">
        <v>3661.4981399999983</v>
      </c>
      <c r="O7" s="298">
        <v>6220.8464600000007</v>
      </c>
      <c r="P7" s="300">
        <f>O7/N7</f>
        <v>1.6989893814339077</v>
      </c>
      <c r="Q7" s="298">
        <v>684.45757999999989</v>
      </c>
      <c r="R7" s="298">
        <v>5807.8675399999993</v>
      </c>
      <c r="S7" s="300">
        <f>R7/Q7</f>
        <v>8.4853579092512934</v>
      </c>
      <c r="T7" s="298">
        <v>1075.6529199999998</v>
      </c>
      <c r="U7" s="298">
        <v>2311.00038</v>
      </c>
      <c r="V7" s="300">
        <f>U7/T7</f>
        <v>2.1484628889400499</v>
      </c>
      <c r="W7" s="298">
        <v>3247.8002199999996</v>
      </c>
      <c r="X7" s="298">
        <v>2736.1787699999995</v>
      </c>
      <c r="Y7" s="300">
        <f>X7/W7</f>
        <v>0.84247139129758408</v>
      </c>
      <c r="Z7" s="301">
        <v>2830.4422900000004</v>
      </c>
      <c r="AA7" s="301">
        <v>3466.4935999999993</v>
      </c>
      <c r="AB7" s="300">
        <f>AA7/Z7</f>
        <v>1.2247179927487584</v>
      </c>
      <c r="AC7" s="301">
        <v>12717.215309999998</v>
      </c>
      <c r="AD7" s="301">
        <v>9260.4166700000005</v>
      </c>
      <c r="AE7" s="300">
        <f>AD7/AC7</f>
        <v>0.72817959311565683</v>
      </c>
      <c r="AF7" s="298">
        <v>24491.728859999996</v>
      </c>
      <c r="AG7" s="298">
        <v>14935.155250000002</v>
      </c>
      <c r="AH7" s="299">
        <f>AG7/AF7</f>
        <v>0.60980404182050885</v>
      </c>
      <c r="AI7" s="298">
        <v>26409.759960000003</v>
      </c>
      <c r="AJ7" s="298">
        <v>30510.127280000004</v>
      </c>
      <c r="AK7" s="302">
        <f>AJ7/AI7</f>
        <v>1.1552595451912619</v>
      </c>
      <c r="AL7" s="298">
        <f t="shared" si="1"/>
        <v>175359.85102</v>
      </c>
      <c r="AM7" s="298">
        <f t="shared" si="1"/>
        <v>172871.33403</v>
      </c>
      <c r="AN7" s="302">
        <f>AM7/AL7</f>
        <v>0.9858090835757144</v>
      </c>
    </row>
    <row r="8" spans="1:40" s="286" customFormat="1" ht="15" x14ac:dyDescent="0.2">
      <c r="A8" s="297" t="s">
        <v>762</v>
      </c>
      <c r="B8" s="298">
        <v>350969.18295000005</v>
      </c>
      <c r="C8" s="298">
        <v>284320.3469200001</v>
      </c>
      <c r="D8" s="299">
        <f t="shared" si="0"/>
        <v>0.81010060350656221</v>
      </c>
      <c r="E8" s="298">
        <v>371757.33417999995</v>
      </c>
      <c r="F8" s="298">
        <v>298403.38351000001</v>
      </c>
      <c r="G8" s="300">
        <f t="shared" ref="G8:G12" si="11">F8/E8</f>
        <v>0.80268324542460023</v>
      </c>
      <c r="H8" s="298">
        <v>303025.32775999984</v>
      </c>
      <c r="I8" s="298">
        <v>334642.92158000008</v>
      </c>
      <c r="J8" s="300">
        <f t="shared" ref="J8:J12" si="12">I8/H8</f>
        <v>1.1043397726972901</v>
      </c>
      <c r="K8" s="298">
        <v>328055.36580999999</v>
      </c>
      <c r="L8" s="298">
        <v>300281.94305000012</v>
      </c>
      <c r="M8" s="300">
        <f t="shared" ref="M8:M12" si="13">L8/K8</f>
        <v>0.91533922119693234</v>
      </c>
      <c r="N8" s="298">
        <v>102681.08858000001</v>
      </c>
      <c r="O8" s="298">
        <v>293368.50813999987</v>
      </c>
      <c r="P8" s="300">
        <f t="shared" ref="P8:P12" si="14">O8/N8</f>
        <v>2.8570841251983135</v>
      </c>
      <c r="Q8" s="298">
        <v>69510.81143999999</v>
      </c>
      <c r="R8" s="298">
        <v>144592.18943000003</v>
      </c>
      <c r="S8" s="300">
        <f t="shared" ref="S8:S12" si="15">R8/Q8</f>
        <v>2.080139570156053</v>
      </c>
      <c r="T8" s="298">
        <v>65179.623070000016</v>
      </c>
      <c r="U8" s="298">
        <v>101833.09714999997</v>
      </c>
      <c r="V8" s="300">
        <f t="shared" ref="V8:V12" si="16">U8/T8</f>
        <v>1.5623455974980978</v>
      </c>
      <c r="W8" s="298">
        <v>72492.043170000004</v>
      </c>
      <c r="X8" s="298">
        <v>81114.725849999988</v>
      </c>
      <c r="Y8" s="300">
        <f t="shared" ref="Y8:Y11" si="17">X8/W8</f>
        <v>1.1189466085233528</v>
      </c>
      <c r="Z8" s="301">
        <v>77653.147799999977</v>
      </c>
      <c r="AA8" s="301">
        <v>76777.514709999989</v>
      </c>
      <c r="AB8" s="300">
        <f t="shared" ref="AB8:AB11" si="18">AA8/Z8</f>
        <v>0.98872379143914124</v>
      </c>
      <c r="AC8" s="301">
        <v>331947.38227999996</v>
      </c>
      <c r="AD8" s="301">
        <v>88256.101219999968</v>
      </c>
      <c r="AE8" s="300">
        <f t="shared" ref="AE8:AE11" si="19">AD8/AC8</f>
        <v>0.26587376774538118</v>
      </c>
      <c r="AF8" s="298">
        <v>422445.67535999982</v>
      </c>
      <c r="AG8" s="298">
        <v>277560.83532999991</v>
      </c>
      <c r="AH8" s="299">
        <f t="shared" ref="AH8:AH12" si="20">AG8/AF8</f>
        <v>0.65703320336625082</v>
      </c>
      <c r="AI8" s="298">
        <v>402533.85625000007</v>
      </c>
      <c r="AJ8" s="298">
        <v>356832.08792999998</v>
      </c>
      <c r="AK8" s="302">
        <f t="shared" ref="AK8:AK12" si="21">AJ8/AI8</f>
        <v>0.88646478399169415</v>
      </c>
      <c r="AL8" s="298">
        <f t="shared" si="1"/>
        <v>2898250.8386499998</v>
      </c>
      <c r="AM8" s="298">
        <f t="shared" si="1"/>
        <v>2637983.6548199998</v>
      </c>
      <c r="AN8" s="302">
        <f t="shared" ref="AN8:AN11" si="22">AM8/AL8</f>
        <v>0.91019853065884659</v>
      </c>
    </row>
    <row r="9" spans="1:40" s="286" customFormat="1" ht="15" x14ac:dyDescent="0.2">
      <c r="A9" s="297" t="s">
        <v>779</v>
      </c>
      <c r="B9" s="298">
        <v>101390.47407000001</v>
      </c>
      <c r="C9" s="298">
        <v>15521.691700000001</v>
      </c>
      <c r="D9" s="299">
        <f t="shared" si="0"/>
        <v>0.15308826437958878</v>
      </c>
      <c r="E9" s="298">
        <v>93675.04561000003</v>
      </c>
      <c r="F9" s="298">
        <v>36373.219939999995</v>
      </c>
      <c r="G9" s="300">
        <f t="shared" si="11"/>
        <v>0.38829145695251277</v>
      </c>
      <c r="H9" s="298">
        <v>72326.298559999996</v>
      </c>
      <c r="I9" s="298">
        <v>106148.46567000003</v>
      </c>
      <c r="J9" s="300">
        <f t="shared" si="12"/>
        <v>1.4676330433520257</v>
      </c>
      <c r="K9" s="298">
        <v>63116.805709999971</v>
      </c>
      <c r="L9" s="298">
        <v>91968.792619999993</v>
      </c>
      <c r="M9" s="300">
        <f t="shared" si="13"/>
        <v>1.4571205178310984</v>
      </c>
      <c r="N9" s="298">
        <v>34170.531289999999</v>
      </c>
      <c r="O9" s="298">
        <v>64195.349529999963</v>
      </c>
      <c r="P9" s="300">
        <f t="shared" si="14"/>
        <v>1.8786757801681218</v>
      </c>
      <c r="Q9" s="298">
        <v>10976.288920000001</v>
      </c>
      <c r="R9" s="298">
        <v>39474.94023</v>
      </c>
      <c r="S9" s="300">
        <f t="shared" si="15"/>
        <v>3.5963831234500701</v>
      </c>
      <c r="T9" s="298">
        <v>6539.3058700000029</v>
      </c>
      <c r="U9" s="298">
        <v>12321.024009999997</v>
      </c>
      <c r="V9" s="300">
        <f t="shared" si="16"/>
        <v>1.8841486015395685</v>
      </c>
      <c r="W9" s="298">
        <v>4893.1813700000002</v>
      </c>
      <c r="X9" s="298">
        <v>5817.9865200000004</v>
      </c>
      <c r="Y9" s="300">
        <f t="shared" si="17"/>
        <v>1.1889987474549712</v>
      </c>
      <c r="Z9" s="301">
        <v>11804.418999999998</v>
      </c>
      <c r="AA9" s="301">
        <v>27848.599570000006</v>
      </c>
      <c r="AB9" s="300">
        <f t="shared" si="18"/>
        <v>2.3591673228474872</v>
      </c>
      <c r="AC9" s="301">
        <v>57946.237459999997</v>
      </c>
      <c r="AD9" s="301">
        <v>14738.253259999969</v>
      </c>
      <c r="AE9" s="300">
        <f t="shared" si="19"/>
        <v>0.2543435761497666</v>
      </c>
      <c r="AF9" s="298">
        <v>85622.388020000028</v>
      </c>
      <c r="AG9" s="298">
        <v>43559.37943999999</v>
      </c>
      <c r="AH9" s="299">
        <f t="shared" si="20"/>
        <v>0.50873819858686042</v>
      </c>
      <c r="AI9" s="298">
        <v>86825.936749999993</v>
      </c>
      <c r="AJ9" s="298">
        <v>107364.75390000001</v>
      </c>
      <c r="AK9" s="302">
        <f t="shared" si="21"/>
        <v>1.2365516332883102</v>
      </c>
      <c r="AL9" s="298">
        <f t="shared" si="1"/>
        <v>629286.91263000004</v>
      </c>
      <c r="AM9" s="298">
        <f t="shared" si="1"/>
        <v>565332.45638999983</v>
      </c>
      <c r="AN9" s="302">
        <f t="shared" si="22"/>
        <v>0.8983699566026041</v>
      </c>
    </row>
    <row r="10" spans="1:40" s="286" customFormat="1" ht="15" x14ac:dyDescent="0.2">
      <c r="A10" s="297" t="s">
        <v>780</v>
      </c>
      <c r="B10" s="298">
        <v>746.06704000000002</v>
      </c>
      <c r="C10" s="298">
        <v>0</v>
      </c>
      <c r="D10" s="299">
        <f t="shared" si="0"/>
        <v>0</v>
      </c>
      <c r="E10" s="298">
        <v>154.40817999999999</v>
      </c>
      <c r="F10" s="298">
        <v>0</v>
      </c>
      <c r="G10" s="300">
        <f t="shared" si="11"/>
        <v>0</v>
      </c>
      <c r="H10" s="298">
        <v>153.76104999999998</v>
      </c>
      <c r="I10" s="298">
        <v>50.916910000000001</v>
      </c>
      <c r="J10" s="300">
        <f t="shared" si="12"/>
        <v>0.33114309508162182</v>
      </c>
      <c r="K10" s="298">
        <v>146.77470000000002</v>
      </c>
      <c r="L10" s="298">
        <v>0</v>
      </c>
      <c r="M10" s="300">
        <f t="shared" si="13"/>
        <v>0</v>
      </c>
      <c r="N10" s="298">
        <v>130.82364999999999</v>
      </c>
      <c r="O10" s="298">
        <v>0</v>
      </c>
      <c r="P10" s="300">
        <f t="shared" si="14"/>
        <v>0</v>
      </c>
      <c r="Q10" s="298">
        <v>0</v>
      </c>
      <c r="R10" s="298">
        <v>0</v>
      </c>
      <c r="S10" s="300">
        <v>0</v>
      </c>
      <c r="T10" s="298">
        <v>0</v>
      </c>
      <c r="U10" s="298">
        <v>0</v>
      </c>
      <c r="V10" s="300"/>
      <c r="W10" s="298">
        <v>0</v>
      </c>
      <c r="X10" s="298">
        <v>0</v>
      </c>
      <c r="Y10" s="300"/>
      <c r="Z10" s="301">
        <v>-6.6E-4</v>
      </c>
      <c r="AA10" s="301">
        <v>0</v>
      </c>
      <c r="AB10" s="300"/>
      <c r="AC10" s="301">
        <v>0</v>
      </c>
      <c r="AD10" s="301">
        <v>0</v>
      </c>
      <c r="AE10" s="300"/>
      <c r="AF10" s="298">
        <v>0</v>
      </c>
      <c r="AG10" s="298">
        <v>0</v>
      </c>
      <c r="AH10" s="299"/>
      <c r="AI10" s="298">
        <v>0</v>
      </c>
      <c r="AJ10" s="298">
        <v>0</v>
      </c>
      <c r="AK10" s="302"/>
      <c r="AL10" s="298">
        <f t="shared" si="1"/>
        <v>1331.8339600000002</v>
      </c>
      <c r="AM10" s="298">
        <f t="shared" si="1"/>
        <v>50.916910000000001</v>
      </c>
      <c r="AN10" s="302">
        <f t="shared" si="22"/>
        <v>3.8230674039878058E-2</v>
      </c>
    </row>
    <row r="11" spans="1:40" s="286" customFormat="1" ht="15" x14ac:dyDescent="0.2">
      <c r="A11" s="297" t="s">
        <v>781</v>
      </c>
      <c r="B11" s="298">
        <v>69443.219349999985</v>
      </c>
      <c r="C11" s="298">
        <v>52065.662929999991</v>
      </c>
      <c r="D11" s="299">
        <f t="shared" si="0"/>
        <v>0.7497587729564269</v>
      </c>
      <c r="E11" s="298">
        <v>61385.667999999823</v>
      </c>
      <c r="F11" s="298">
        <v>52272.543690000035</v>
      </c>
      <c r="G11" s="300">
        <f t="shared" si="11"/>
        <v>0.85154312713515123</v>
      </c>
      <c r="H11" s="298">
        <v>47376.855509999987</v>
      </c>
      <c r="I11" s="298">
        <v>62831.977580000057</v>
      </c>
      <c r="J11" s="300">
        <f t="shared" si="12"/>
        <v>1.3262167128575661</v>
      </c>
      <c r="K11" s="298">
        <v>44869.637090000055</v>
      </c>
      <c r="L11" s="298">
        <v>36778.702279999976</v>
      </c>
      <c r="M11" s="300">
        <f t="shared" si="13"/>
        <v>0.81967906729953743</v>
      </c>
      <c r="N11" s="298">
        <v>11742.840449999998</v>
      </c>
      <c r="O11" s="298">
        <v>36292.643740000007</v>
      </c>
      <c r="P11" s="300">
        <f t="shared" si="14"/>
        <v>3.0906188238298014</v>
      </c>
      <c r="Q11" s="298">
        <v>3669.4666999999972</v>
      </c>
      <c r="R11" s="298">
        <v>12741.955980000026</v>
      </c>
      <c r="S11" s="300">
        <f t="shared" si="15"/>
        <v>3.4724272003885566</v>
      </c>
      <c r="T11" s="298">
        <v>4204.9356499999894</v>
      </c>
      <c r="U11" s="298">
        <v>8408.3836299999984</v>
      </c>
      <c r="V11" s="300">
        <f t="shared" si="16"/>
        <v>1.9996462086167763</v>
      </c>
      <c r="W11" s="298">
        <v>2893.4659299999998</v>
      </c>
      <c r="X11" s="298">
        <v>6523.7317900000126</v>
      </c>
      <c r="Y11" s="300">
        <f t="shared" si="17"/>
        <v>2.2546426838348888</v>
      </c>
      <c r="Z11" s="301">
        <v>7130.8195099999975</v>
      </c>
      <c r="AA11" s="301">
        <v>9518.0493799999986</v>
      </c>
      <c r="AB11" s="300">
        <f t="shared" si="18"/>
        <v>1.3347763699042219</v>
      </c>
      <c r="AC11" s="301">
        <v>46336.343780000025</v>
      </c>
      <c r="AD11" s="301">
        <v>10522.980760000006</v>
      </c>
      <c r="AE11" s="300">
        <f t="shared" si="19"/>
        <v>0.22709993714570978</v>
      </c>
      <c r="AF11" s="298">
        <v>58827.771859999943</v>
      </c>
      <c r="AG11" s="298">
        <v>32569.237870000008</v>
      </c>
      <c r="AH11" s="299">
        <f t="shared" si="20"/>
        <v>0.55363711458440468</v>
      </c>
      <c r="AI11" s="298">
        <v>60031.085980000054</v>
      </c>
      <c r="AJ11" s="298">
        <v>64582.277190000081</v>
      </c>
      <c r="AK11" s="302">
        <f t="shared" si="21"/>
        <v>1.0758139076730395</v>
      </c>
      <c r="AL11" s="298">
        <f t="shared" si="1"/>
        <v>417912.10980999982</v>
      </c>
      <c r="AM11" s="298">
        <f t="shared" si="1"/>
        <v>385108.14682000014</v>
      </c>
      <c r="AN11" s="302">
        <f t="shared" si="22"/>
        <v>0.92150511502307575</v>
      </c>
    </row>
    <row r="12" spans="1:40" s="286" customFormat="1" ht="15.75" thickBot="1" x14ac:dyDescent="0.25">
      <c r="A12" s="303" t="s">
        <v>718</v>
      </c>
      <c r="B12" s="304">
        <f t="shared" ref="B12:C12" si="23">B5+B6</f>
        <v>717818.99251860008</v>
      </c>
      <c r="C12" s="304">
        <f t="shared" si="23"/>
        <v>560224.85515000019</v>
      </c>
      <c r="D12" s="305">
        <f t="shared" si="0"/>
        <v>0.78045421058635989</v>
      </c>
      <c r="E12" s="304">
        <f t="shared" ref="E12:F12" si="24">E5+E6</f>
        <v>781378.59942279977</v>
      </c>
      <c r="F12" s="304">
        <f t="shared" si="24"/>
        <v>558591.63877000008</v>
      </c>
      <c r="G12" s="306">
        <f t="shared" si="11"/>
        <v>0.7148796232487411</v>
      </c>
      <c r="H12" s="304">
        <f t="shared" ref="H12:I12" si="25">H5+H6</f>
        <v>664012.44243339973</v>
      </c>
      <c r="I12" s="304">
        <f t="shared" si="25"/>
        <v>742268.26769000012</v>
      </c>
      <c r="J12" s="307">
        <f t="shared" si="12"/>
        <v>1.117852950119153</v>
      </c>
      <c r="K12" s="304">
        <f t="shared" ref="K12:L12" si="26">K5+K6</f>
        <v>644527.08538639999</v>
      </c>
      <c r="L12" s="304">
        <f t="shared" si="26"/>
        <v>664020.33358000009</v>
      </c>
      <c r="M12" s="307">
        <f t="shared" si="13"/>
        <v>1.0302442653467601</v>
      </c>
      <c r="N12" s="304">
        <f t="shared" ref="N12:O12" si="27">N5+N6</f>
        <v>284926.70444440003</v>
      </c>
      <c r="O12" s="304">
        <f t="shared" si="27"/>
        <v>590332.29122999986</v>
      </c>
      <c r="P12" s="306">
        <f t="shared" si="14"/>
        <v>2.0718742119350768</v>
      </c>
      <c r="Q12" s="304">
        <f t="shared" ref="Q12:R12" si="28">Q5+Q6</f>
        <v>164378.5771654</v>
      </c>
      <c r="R12" s="304">
        <f t="shared" si="28"/>
        <v>333963.09955000004</v>
      </c>
      <c r="S12" s="306">
        <f t="shared" si="15"/>
        <v>2.0316704604028892</v>
      </c>
      <c r="T12" s="304">
        <f t="shared" ref="T12:U12" si="29">T5+T6</f>
        <v>167549.35390819999</v>
      </c>
      <c r="U12" s="304">
        <f t="shared" si="29"/>
        <v>204239.53881999996</v>
      </c>
      <c r="V12" s="306">
        <f t="shared" si="16"/>
        <v>1.2189813571701533</v>
      </c>
      <c r="W12" s="304">
        <f t="shared" ref="W12:X12" si="30">W5+W6</f>
        <v>185600.90315840003</v>
      </c>
      <c r="X12" s="304">
        <f t="shared" si="30"/>
        <v>193102.00384000002</v>
      </c>
      <c r="Y12" s="306">
        <f>X12/W12</f>
        <v>1.0404152164884575</v>
      </c>
      <c r="Z12" s="304">
        <f t="shared" ref="Z12:AA12" si="31">Z5+Z6</f>
        <v>224201.92344359995</v>
      </c>
      <c r="AA12" s="304">
        <f t="shared" si="31"/>
        <v>229606.43523999999</v>
      </c>
      <c r="AB12" s="306">
        <f>AA12/Z12</f>
        <v>1.0241055549987714</v>
      </c>
      <c r="AC12" s="304">
        <f t="shared" ref="AC12:AD12" si="32">AC5+AC6</f>
        <v>592082.6268198</v>
      </c>
      <c r="AD12" s="304">
        <f t="shared" si="32"/>
        <v>287080.38276999997</v>
      </c>
      <c r="AE12" s="306">
        <f>AD12/AC12</f>
        <v>0.4848654052086766</v>
      </c>
      <c r="AF12" s="304">
        <f t="shared" ref="AF12:AG12" si="33">AF5+AF6</f>
        <v>788813.39040219982</v>
      </c>
      <c r="AG12" s="304">
        <f t="shared" si="33"/>
        <v>547672.11083999998</v>
      </c>
      <c r="AH12" s="305">
        <f t="shared" si="20"/>
        <v>0.69429869916477094</v>
      </c>
      <c r="AI12" s="304">
        <f t="shared" ref="AI12:AJ12" si="34">AI5+AI6</f>
        <v>818629.61573460011</v>
      </c>
      <c r="AJ12" s="304">
        <f t="shared" si="34"/>
        <v>761541.4307400001</v>
      </c>
      <c r="AK12" s="308">
        <f t="shared" si="21"/>
        <v>0.93026371890617254</v>
      </c>
      <c r="AL12" s="304">
        <f>AL5+AL6</f>
        <v>6033920.2148377988</v>
      </c>
      <c r="AM12" s="304">
        <f>AM5+AM6</f>
        <v>5672642.3882200001</v>
      </c>
      <c r="AN12" s="308">
        <f>AM12/AL12</f>
        <v>0.94012552142645289</v>
      </c>
    </row>
    <row r="13" spans="1:40" x14ac:dyDescent="0.2"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  <c r="AD13" s="310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40" x14ac:dyDescent="0.2">
      <c r="E14" s="224"/>
      <c r="W14" s="309"/>
      <c r="X14" s="309"/>
      <c r="Y14" s="309"/>
      <c r="Z14" s="309"/>
      <c r="AA14" s="309"/>
      <c r="AB14" s="309"/>
      <c r="AH14" s="309"/>
      <c r="AI14" s="309"/>
      <c r="AJ14" s="310"/>
      <c r="AK14" s="309"/>
      <c r="AL14" s="309"/>
      <c r="AM14" s="309"/>
    </row>
    <row r="15" spans="1:40" x14ac:dyDescent="0.2"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40" x14ac:dyDescent="0.2"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5:39" x14ac:dyDescent="0.2"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</row>
    <row r="18" spans="15:39" x14ac:dyDescent="0.2"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9"/>
    </row>
    <row r="21" spans="15:39" x14ac:dyDescent="0.2">
      <c r="AG21" s="284"/>
    </row>
    <row r="28" spans="15:39" x14ac:dyDescent="0.2"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311"/>
    </row>
  </sheetData>
  <mergeCells count="15">
    <mergeCell ref="A1:AN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</mergeCells>
  <pageMargins left="0.24" right="0.2" top="0.74803149606299213" bottom="0.74803149606299213" header="0.31496062992125984" footer="0.31496062992125984"/>
  <pageSetup paperSize="9" scale="33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B20" sqref="B20"/>
    </sheetView>
  </sheetViews>
  <sheetFormatPr defaultColWidth="8.85546875" defaultRowHeight="18.75" x14ac:dyDescent="0.2"/>
  <cols>
    <col min="1" max="1" width="37.5703125" style="224" customWidth="1"/>
    <col min="2" max="2" width="13.7109375" style="224" customWidth="1"/>
    <col min="3" max="4" width="12" style="224" customWidth="1"/>
    <col min="5" max="5" width="13.140625" style="282" customWidth="1"/>
    <col min="6" max="6" width="10.7109375" style="282" customWidth="1"/>
    <col min="7" max="7" width="10.5703125" style="282" customWidth="1"/>
    <col min="8" max="8" width="10.140625" style="282" customWidth="1"/>
    <col min="9" max="9" width="10.5703125" style="282" customWidth="1"/>
    <col min="10" max="10" width="11.28515625" style="282" customWidth="1"/>
    <col min="11" max="11" width="11.7109375" style="282" customWidth="1"/>
    <col min="12" max="12" width="14.5703125" style="282" customWidth="1"/>
    <col min="13" max="13" width="13.28515625" style="282" customWidth="1"/>
    <col min="14" max="16384" width="8.85546875" style="224"/>
  </cols>
  <sheetData>
    <row r="1" spans="1:13" ht="15.75" x14ac:dyDescent="0.2">
      <c r="A1" s="407" t="s">
        <v>782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13" ht="19.5" thickBot="1" x14ac:dyDescent="0.25">
      <c r="F2" s="224"/>
      <c r="I2" s="283"/>
      <c r="M2" s="312" t="s">
        <v>746</v>
      </c>
    </row>
    <row r="3" spans="1:13" s="286" customFormat="1" ht="14.25" x14ac:dyDescent="0.2">
      <c r="A3" s="414" t="s">
        <v>771</v>
      </c>
      <c r="B3" s="416">
        <v>42005</v>
      </c>
      <c r="C3" s="417"/>
      <c r="D3" s="418"/>
      <c r="E3" s="419">
        <v>42036</v>
      </c>
      <c r="F3" s="417"/>
      <c r="G3" s="418"/>
      <c r="H3" s="411">
        <v>42064</v>
      </c>
      <c r="I3" s="412"/>
      <c r="J3" s="412"/>
      <c r="K3" s="420" t="s">
        <v>783</v>
      </c>
      <c r="L3" s="421"/>
      <c r="M3" s="422"/>
    </row>
    <row r="4" spans="1:13" s="286" customFormat="1" ht="30" x14ac:dyDescent="0.2">
      <c r="A4" s="415"/>
      <c r="B4" s="313" t="s">
        <v>773</v>
      </c>
      <c r="C4" s="287" t="s">
        <v>774</v>
      </c>
      <c r="D4" s="288" t="s">
        <v>775</v>
      </c>
      <c r="E4" s="287" t="s">
        <v>773</v>
      </c>
      <c r="F4" s="287" t="s">
        <v>774</v>
      </c>
      <c r="G4" s="288" t="s">
        <v>775</v>
      </c>
      <c r="H4" s="287" t="s">
        <v>773</v>
      </c>
      <c r="I4" s="287" t="s">
        <v>774</v>
      </c>
      <c r="J4" s="329" t="s">
        <v>775</v>
      </c>
      <c r="K4" s="332" t="s">
        <v>773</v>
      </c>
      <c r="L4" s="288" t="s">
        <v>774</v>
      </c>
      <c r="M4" s="289" t="s">
        <v>775</v>
      </c>
    </row>
    <row r="5" spans="1:13" s="296" customFormat="1" ht="15" x14ac:dyDescent="0.2">
      <c r="A5" s="314" t="s">
        <v>776</v>
      </c>
      <c r="B5" s="315">
        <f>227997.67722*1.18</f>
        <v>269037.2591196</v>
      </c>
      <c r="C5" s="291">
        <v>236588.81868</v>
      </c>
      <c r="D5" s="292">
        <f>C5/B5</f>
        <v>0.87939053294779845</v>
      </c>
      <c r="E5" s="316">
        <f>202926.01995*1.18</f>
        <v>239452.70354099997</v>
      </c>
      <c r="F5" s="291">
        <v>295668.35933000001</v>
      </c>
      <c r="G5" s="292">
        <f>F5/E5</f>
        <v>1.2347672628359971</v>
      </c>
      <c r="H5" s="316">
        <f>206964.13153*1.18</f>
        <v>244217.67520540001</v>
      </c>
      <c r="I5" s="291">
        <v>206253.94818000001</v>
      </c>
      <c r="J5" s="330">
        <f>I5/H5</f>
        <v>0.84454963387285342</v>
      </c>
      <c r="K5" s="315">
        <f t="shared" ref="K5:L11" si="0">B5+E5+H5</f>
        <v>752707.63786599995</v>
      </c>
      <c r="L5" s="291">
        <f t="shared" si="0"/>
        <v>738511.12618999998</v>
      </c>
      <c r="M5" s="295">
        <f>L5/K5</f>
        <v>0.98113940796954247</v>
      </c>
    </row>
    <row r="6" spans="1:13" s="296" customFormat="1" ht="15" x14ac:dyDescent="0.2">
      <c r="A6" s="314" t="s">
        <v>777</v>
      </c>
      <c r="B6" s="315">
        <f>SUM(B7:B11)</f>
        <v>626110.21901999996</v>
      </c>
      <c r="C6" s="291">
        <f>SUM(C7:C11)</f>
        <v>428656.80786999996</v>
      </c>
      <c r="D6" s="292">
        <f>C6/B6</f>
        <v>0.68463474137339908</v>
      </c>
      <c r="E6" s="316">
        <f t="shared" ref="E6:F6" si="1">SUM(E7:E11)</f>
        <v>666616.12112000026</v>
      </c>
      <c r="F6" s="291">
        <f t="shared" si="1"/>
        <v>514700.48604999995</v>
      </c>
      <c r="G6" s="292">
        <f>F6/E6</f>
        <v>0.77210926910263944</v>
      </c>
      <c r="H6" s="316">
        <f t="shared" ref="H6:I6" si="2">SUM(H7:H11)</f>
        <v>634326.19164000021</v>
      </c>
      <c r="I6" s="291">
        <f t="shared" si="2"/>
        <v>629343.58115999994</v>
      </c>
      <c r="J6" s="330">
        <f>I6/H6</f>
        <v>0.99214503429675804</v>
      </c>
      <c r="K6" s="315">
        <f t="shared" si="0"/>
        <v>1927052.5317800003</v>
      </c>
      <c r="L6" s="291">
        <f t="shared" si="0"/>
        <v>1572700.8750799997</v>
      </c>
      <c r="M6" s="295">
        <f>L6/K6</f>
        <v>0.81611728229707914</v>
      </c>
    </row>
    <row r="7" spans="1:13" s="286" customFormat="1" ht="15" x14ac:dyDescent="0.2">
      <c r="A7" s="317" t="s">
        <v>778</v>
      </c>
      <c r="B7" s="318">
        <v>32523.275960000003</v>
      </c>
      <c r="C7" s="298">
        <v>26643.340500000002</v>
      </c>
      <c r="D7" s="299">
        <f>C7/B7</f>
        <v>0.8192083888710453</v>
      </c>
      <c r="E7" s="319">
        <v>34615.281619999994</v>
      </c>
      <c r="F7" s="319">
        <v>25928.736009999997</v>
      </c>
      <c r="G7" s="300">
        <f>F7/E7</f>
        <v>0.7490546023759318</v>
      </c>
      <c r="H7" s="298">
        <v>33107.689869999987</v>
      </c>
      <c r="I7" s="320">
        <v>31875.209659999993</v>
      </c>
      <c r="J7" s="331">
        <f>I7/H7</f>
        <v>0.96277359686406916</v>
      </c>
      <c r="K7" s="318">
        <f t="shared" si="0"/>
        <v>100246.24744999998</v>
      </c>
      <c r="L7" s="298">
        <f t="shared" si="0"/>
        <v>84447.286169999992</v>
      </c>
      <c r="M7" s="302">
        <f>L7/K7</f>
        <v>0.84239847693171688</v>
      </c>
    </row>
    <row r="8" spans="1:13" s="286" customFormat="1" ht="15" x14ac:dyDescent="0.2">
      <c r="A8" s="317" t="s">
        <v>762</v>
      </c>
      <c r="B8" s="318">
        <v>420524.36957999988</v>
      </c>
      <c r="C8" s="298">
        <v>333528.55089000007</v>
      </c>
      <c r="D8" s="299">
        <f>C8/B8</f>
        <v>0.79312538111195041</v>
      </c>
      <c r="E8" s="301">
        <v>440093.8785799999</v>
      </c>
      <c r="F8" s="301">
        <v>354296.30937999999</v>
      </c>
      <c r="G8" s="300">
        <f>F8/E8</f>
        <v>0.80504711977173371</v>
      </c>
      <c r="H8" s="298">
        <v>426393.66019000008</v>
      </c>
      <c r="I8" s="320">
        <v>397353.16833000001</v>
      </c>
      <c r="J8" s="331">
        <f>I8/H8</f>
        <v>0.93189276818267019</v>
      </c>
      <c r="K8" s="318">
        <f t="shared" si="0"/>
        <v>1287011.9083499997</v>
      </c>
      <c r="L8" s="298">
        <f t="shared" si="0"/>
        <v>1085178.0286000001</v>
      </c>
      <c r="M8" s="302">
        <f>L8/K8</f>
        <v>0.84317636966641696</v>
      </c>
    </row>
    <row r="9" spans="1:13" s="286" customFormat="1" ht="15" x14ac:dyDescent="0.2">
      <c r="A9" s="317" t="s">
        <v>779</v>
      </c>
      <c r="B9" s="318">
        <v>100646.51270000002</v>
      </c>
      <c r="C9" s="298">
        <v>16713.308630000003</v>
      </c>
      <c r="D9" s="299">
        <f t="shared" ref="D9:D12" si="3">C9/B9</f>
        <v>0.16605949060369182</v>
      </c>
      <c r="E9" s="301">
        <v>112299.15378999997</v>
      </c>
      <c r="F9" s="301">
        <v>61628.917179999975</v>
      </c>
      <c r="G9" s="300">
        <f>F9/E9</f>
        <v>0.54879235595351317</v>
      </c>
      <c r="H9" s="298">
        <v>101691.68347999998</v>
      </c>
      <c r="I9" s="320">
        <v>133552.28558</v>
      </c>
      <c r="J9" s="331">
        <f>I9/H9</f>
        <v>1.3133058772329809</v>
      </c>
      <c r="K9" s="318">
        <f t="shared" si="0"/>
        <v>314637.34996999998</v>
      </c>
      <c r="L9" s="298">
        <f>C9+F9+I9</f>
        <v>211894.51138999997</v>
      </c>
      <c r="M9" s="302">
        <f>L9/K9</f>
        <v>0.67345631855278365</v>
      </c>
    </row>
    <row r="10" spans="1:13" s="286" customFormat="1" ht="15" hidden="1" x14ac:dyDescent="0.2">
      <c r="A10" s="317" t="s">
        <v>780</v>
      </c>
      <c r="B10" s="318">
        <v>0</v>
      </c>
      <c r="C10" s="298">
        <v>0</v>
      </c>
      <c r="D10" s="299" t="e">
        <f t="shared" si="3"/>
        <v>#DIV/0!</v>
      </c>
      <c r="E10" s="301"/>
      <c r="F10" s="301"/>
      <c r="G10" s="300" t="e">
        <f t="shared" ref="G10:G11" si="4">F10/E10</f>
        <v>#DIV/0!</v>
      </c>
      <c r="H10" s="298"/>
      <c r="I10" s="320"/>
      <c r="J10" s="331" t="e">
        <f t="shared" ref="J10" si="5">I10/H10</f>
        <v>#DIV/0!</v>
      </c>
      <c r="K10" s="318">
        <f t="shared" si="0"/>
        <v>0</v>
      </c>
      <c r="L10" s="298">
        <f t="shared" si="0"/>
        <v>0</v>
      </c>
      <c r="M10" s="302" t="e">
        <f t="shared" ref="M10" si="6">L10/K10</f>
        <v>#DIV/0!</v>
      </c>
    </row>
    <row r="11" spans="1:13" s="286" customFormat="1" ht="15.75" thickBot="1" x14ac:dyDescent="0.25">
      <c r="A11" s="333" t="s">
        <v>781</v>
      </c>
      <c r="B11" s="334">
        <v>72416.06078</v>
      </c>
      <c r="C11" s="335">
        <v>51771.60784999992</v>
      </c>
      <c r="D11" s="336">
        <f t="shared" si="3"/>
        <v>0.71491886319641262</v>
      </c>
      <c r="E11" s="337">
        <v>79607.807130000263</v>
      </c>
      <c r="F11" s="337">
        <v>72846.523480000003</v>
      </c>
      <c r="G11" s="338">
        <f t="shared" si="4"/>
        <v>0.91506758075927119</v>
      </c>
      <c r="H11" s="335">
        <v>73133.158100000088</v>
      </c>
      <c r="I11" s="339">
        <v>66562.917589999997</v>
      </c>
      <c r="J11" s="340">
        <f>I11/H11</f>
        <v>0.91016057995176225</v>
      </c>
      <c r="K11" s="334">
        <f t="shared" si="0"/>
        <v>225157.02601000035</v>
      </c>
      <c r="L11" s="335">
        <f>C11+F11+I11</f>
        <v>191181.04891999991</v>
      </c>
      <c r="M11" s="341">
        <f>L11/K11</f>
        <v>0.84910096881235497</v>
      </c>
    </row>
    <row r="12" spans="1:13" ht="15.75" thickBot="1" x14ac:dyDescent="0.25">
      <c r="A12" s="342" t="s">
        <v>718</v>
      </c>
      <c r="B12" s="343">
        <f t="shared" ref="B12:C12" si="7">B5+B6</f>
        <v>895147.47813960002</v>
      </c>
      <c r="C12" s="344">
        <f t="shared" si="7"/>
        <v>665245.62654999993</v>
      </c>
      <c r="D12" s="345">
        <f t="shared" si="3"/>
        <v>0.7431687434707307</v>
      </c>
      <c r="E12" s="344">
        <f t="shared" ref="E12:F12" si="8">E5+E6</f>
        <v>906068.82466100017</v>
      </c>
      <c r="F12" s="344">
        <f t="shared" si="8"/>
        <v>810368.84537999996</v>
      </c>
      <c r="G12" s="346">
        <f>F12/E12</f>
        <v>0.89437890734536007</v>
      </c>
      <c r="H12" s="344">
        <f t="shared" ref="H12:I12" si="9">H5+H6</f>
        <v>878543.86684540019</v>
      </c>
      <c r="I12" s="344">
        <f t="shared" si="9"/>
        <v>835597.52933999989</v>
      </c>
      <c r="J12" s="347">
        <f>I12/H12</f>
        <v>0.95111645630216701</v>
      </c>
      <c r="K12" s="343">
        <f>K5+K6</f>
        <v>2679760.1696460005</v>
      </c>
      <c r="L12" s="344">
        <f>L5+L6</f>
        <v>2311212.0012699999</v>
      </c>
      <c r="M12" s="348">
        <f>L12/K12</f>
        <v>0.86246971928660088</v>
      </c>
    </row>
    <row r="13" spans="1:13" ht="15" x14ac:dyDescent="0.2">
      <c r="A13" s="321"/>
      <c r="B13" s="322"/>
      <c r="C13" s="286"/>
      <c r="D13" s="286"/>
      <c r="E13" s="323"/>
      <c r="F13" s="323"/>
      <c r="G13" s="324"/>
      <c r="H13" s="325"/>
      <c r="I13" s="325"/>
      <c r="J13" s="325"/>
      <c r="K13" s="286"/>
      <c r="L13" s="326"/>
      <c r="M13" s="286"/>
    </row>
    <row r="16" spans="1:13" x14ac:dyDescent="0.2">
      <c r="E16" s="327"/>
      <c r="F16" s="327"/>
      <c r="G16" s="327"/>
      <c r="H16" s="327"/>
      <c r="I16" s="328"/>
      <c r="J16" s="327"/>
    </row>
    <row r="17" spans="5:12" x14ac:dyDescent="0.2">
      <c r="E17" s="327"/>
      <c r="F17" s="327"/>
      <c r="G17" s="327"/>
      <c r="H17" s="327"/>
      <c r="I17" s="327"/>
      <c r="J17" s="327"/>
      <c r="K17" s="309"/>
      <c r="L17" s="309"/>
    </row>
    <row r="18" spans="5:12" x14ac:dyDescent="0.2">
      <c r="K18" s="309"/>
      <c r="L18" s="309"/>
    </row>
    <row r="19" spans="5:12" x14ac:dyDescent="0.2">
      <c r="K19" s="309"/>
      <c r="L19" s="309"/>
    </row>
    <row r="20" spans="5:12" x14ac:dyDescent="0.2">
      <c r="K20" s="309"/>
      <c r="L20" s="309"/>
    </row>
    <row r="21" spans="5:12" x14ac:dyDescent="0.2">
      <c r="K21" s="309"/>
      <c r="L21" s="309"/>
    </row>
    <row r="22" spans="5:12" x14ac:dyDescent="0.2">
      <c r="K22" s="309"/>
      <c r="L22" s="309"/>
    </row>
    <row r="23" spans="5:12" x14ac:dyDescent="0.2">
      <c r="K23" s="309"/>
      <c r="L23" s="309"/>
    </row>
    <row r="24" spans="5:12" x14ac:dyDescent="0.2">
      <c r="K24" s="309"/>
      <c r="L24" s="309"/>
    </row>
  </sheetData>
  <mergeCells count="6">
    <mergeCell ref="A1:M1"/>
    <mergeCell ref="A3:A4"/>
    <mergeCell ref="B3:D3"/>
    <mergeCell ref="E3:G3"/>
    <mergeCell ref="H3:J3"/>
    <mergeCell ref="K3:M3"/>
  </mergeCells>
  <pageMargins left="0.36" right="0.3" top="0.74803149606299213" bottom="0.74803149606299213" header="0.31496062992125984" footer="0.31496062992125984"/>
  <pageSetup paperSize="9" scale="7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20"/>
  <sheetViews>
    <sheetView workbookViewId="0">
      <selection activeCell="B25" sqref="B25"/>
    </sheetView>
  </sheetViews>
  <sheetFormatPr defaultColWidth="9.140625" defaultRowHeight="15" x14ac:dyDescent="0.25"/>
  <cols>
    <col min="1" max="1" width="7.28515625" style="252" customWidth="1"/>
    <col min="2" max="2" width="47.5703125" style="252" customWidth="1"/>
    <col min="3" max="7" width="16.28515625" style="252" customWidth="1"/>
    <col min="8" max="8" width="17.28515625" style="252" customWidth="1"/>
    <col min="9" max="9" width="17.28515625" style="252" bestFit="1" customWidth="1"/>
    <col min="10" max="12" width="16.28515625" style="252" customWidth="1"/>
    <col min="13" max="16384" width="9.140625" style="252"/>
  </cols>
  <sheetData>
    <row r="2" spans="1:12" x14ac:dyDescent="0.25">
      <c r="A2" s="423" t="s">
        <v>744</v>
      </c>
      <c r="B2" s="423"/>
      <c r="C2" s="424"/>
      <c r="D2" s="424"/>
      <c r="E2" s="424"/>
      <c r="F2" s="424"/>
      <c r="G2" s="424"/>
      <c r="H2" s="424"/>
      <c r="I2" s="424"/>
      <c r="J2" s="424"/>
      <c r="K2" s="424"/>
      <c r="L2" s="424"/>
    </row>
    <row r="3" spans="1:12" ht="13.9" customHeight="1" x14ac:dyDescent="0.25">
      <c r="A3" s="423" t="s">
        <v>37</v>
      </c>
      <c r="B3" s="423"/>
      <c r="C3" s="424"/>
      <c r="D3" s="424"/>
      <c r="E3" s="424"/>
      <c r="F3" s="424"/>
      <c r="G3" s="424"/>
      <c r="H3" s="424"/>
      <c r="I3" s="424"/>
      <c r="J3" s="424"/>
      <c r="K3" s="424"/>
      <c r="L3" s="424"/>
    </row>
    <row r="4" spans="1:12" ht="14.45" customHeight="1" x14ac:dyDescent="0.25">
      <c r="A4" s="423" t="s">
        <v>745</v>
      </c>
      <c r="B4" s="423"/>
      <c r="C4" s="424"/>
      <c r="D4" s="424"/>
      <c r="E4" s="424"/>
      <c r="F4" s="424"/>
      <c r="G4" s="424"/>
      <c r="H4" s="424"/>
      <c r="I4" s="424"/>
      <c r="J4" s="424"/>
      <c r="K4" s="424"/>
      <c r="L4" s="424"/>
    </row>
    <row r="5" spans="1:12" ht="14.45" customHeight="1" thickBot="1" x14ac:dyDescent="0.3">
      <c r="A5" s="253"/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 t="s">
        <v>746</v>
      </c>
    </row>
    <row r="6" spans="1:12" s="261" customFormat="1" ht="28.5" x14ac:dyDescent="0.2">
      <c r="A6" s="274" t="s">
        <v>720</v>
      </c>
      <c r="B6" s="256"/>
      <c r="C6" s="257" t="s">
        <v>747</v>
      </c>
      <c r="D6" s="258" t="s">
        <v>748</v>
      </c>
      <c r="E6" s="259" t="s">
        <v>749</v>
      </c>
      <c r="F6" s="258" t="s">
        <v>750</v>
      </c>
      <c r="G6" s="260" t="s">
        <v>751</v>
      </c>
      <c r="H6" s="260" t="s">
        <v>752</v>
      </c>
      <c r="I6" s="260" t="s">
        <v>753</v>
      </c>
      <c r="J6" s="260" t="s">
        <v>754</v>
      </c>
      <c r="K6" s="260" t="s">
        <v>755</v>
      </c>
      <c r="L6" s="258" t="s">
        <v>756</v>
      </c>
    </row>
    <row r="7" spans="1:12" s="261" customFormat="1" ht="14.25" x14ac:dyDescent="0.2">
      <c r="A7" s="275">
        <v>1</v>
      </c>
      <c r="B7" s="276" t="s">
        <v>757</v>
      </c>
      <c r="C7" s="277">
        <v>203475.17441000001</v>
      </c>
      <c r="D7" s="278">
        <v>206744.81617000001</v>
      </c>
      <c r="E7" s="279">
        <v>170943.41522</v>
      </c>
      <c r="F7" s="280">
        <v>157835.01715999999</v>
      </c>
      <c r="G7" s="281">
        <v>244923.05947000001</v>
      </c>
      <c r="H7" s="281">
        <v>316035.80781000003</v>
      </c>
      <c r="I7" s="281">
        <v>179472.57725</v>
      </c>
      <c r="J7" s="281">
        <v>207620.72980999999</v>
      </c>
      <c r="K7" s="281">
        <v>261245.63282999999</v>
      </c>
      <c r="L7" s="280">
        <v>283526.35566</v>
      </c>
    </row>
    <row r="8" spans="1:12" s="261" customFormat="1" ht="42.75" x14ac:dyDescent="0.2">
      <c r="A8" s="275">
        <v>2</v>
      </c>
      <c r="B8" s="276" t="s">
        <v>758</v>
      </c>
      <c r="C8" s="277">
        <f>738932.98555+11108.93876+1322.1665+12437.33736</f>
        <v>763801.42817000009</v>
      </c>
      <c r="D8" s="279">
        <f>D9+D10+D11+D12+D13</f>
        <v>1062524.1112200008</v>
      </c>
      <c r="E8" s="279">
        <f>E9+E10+E11+E12+E13</f>
        <v>762263.56807999942</v>
      </c>
      <c r="F8" s="280">
        <f>986515.10107+6614.276+2100.63091+4439.41919</f>
        <v>999669.42716999992</v>
      </c>
      <c r="G8" s="281">
        <f>1196342.18474+6024.56569+2627.45305+4605.20336</f>
        <v>1209599.4068399998</v>
      </c>
      <c r="H8" s="281">
        <f>1425927.39944+7555.59555+3176.86177+8332.72637</f>
        <v>1444992.5831300002</v>
      </c>
      <c r="I8" s="281">
        <f>1082735.0374+6565.54147+3446.39307+6966.96473</f>
        <v>1099713.93667</v>
      </c>
      <c r="J8" s="281">
        <f>1032364.8087+9759.72297+3664.9587+4865.65864</f>
        <v>1050655.1490100001</v>
      </c>
      <c r="K8" s="281">
        <f>1570509.67089+4745.62169+4210.01858+1328.93757</f>
        <v>1580794.2487299999</v>
      </c>
      <c r="L8" s="280">
        <f>1906384.00982+5821.05124+4207.94706+4004.79222</f>
        <v>1920417.8003399998</v>
      </c>
    </row>
    <row r="9" spans="1:12" x14ac:dyDescent="0.25">
      <c r="A9" s="262" t="s">
        <v>759</v>
      </c>
      <c r="B9" s="263" t="s">
        <v>760</v>
      </c>
      <c r="C9" s="264">
        <v>7326.2412999999997</v>
      </c>
      <c r="D9" s="265">
        <v>18800.193670000011</v>
      </c>
      <c r="E9" s="266">
        <v>16008.041679999991</v>
      </c>
      <c r="F9" s="267">
        <v>17799.306959999998</v>
      </c>
      <c r="G9" s="268">
        <v>23162.245340000012</v>
      </c>
      <c r="H9" s="268">
        <v>24572.301449999999</v>
      </c>
      <c r="I9" s="268">
        <v>18096.326429999997</v>
      </c>
      <c r="J9" s="268">
        <v>16825.940860000002</v>
      </c>
      <c r="K9" s="268">
        <v>26785.75509000001</v>
      </c>
      <c r="L9" s="267">
        <v>41987.264049999991</v>
      </c>
    </row>
    <row r="10" spans="1:12" x14ac:dyDescent="0.25">
      <c r="A10" s="262" t="s">
        <v>761</v>
      </c>
      <c r="B10" s="263" t="s">
        <v>762</v>
      </c>
      <c r="C10" s="264">
        <v>596933.07861999981</v>
      </c>
      <c r="D10" s="265">
        <v>764412.20314000046</v>
      </c>
      <c r="E10" s="266">
        <v>562953.8899799994</v>
      </c>
      <c r="F10" s="267">
        <v>748749.80772999965</v>
      </c>
      <c r="G10" s="268">
        <v>902578.95237000007</v>
      </c>
      <c r="H10" s="268">
        <v>1016323.3350800001</v>
      </c>
      <c r="I10" s="268">
        <v>789452.25120999967</v>
      </c>
      <c r="J10" s="268">
        <v>774262.81110000017</v>
      </c>
      <c r="K10" s="268">
        <v>1169535.0868099998</v>
      </c>
      <c r="L10" s="267">
        <v>1360383.8701899999</v>
      </c>
    </row>
    <row r="11" spans="1:12" x14ac:dyDescent="0.25">
      <c r="A11" s="262" t="s">
        <v>763</v>
      </c>
      <c r="B11" s="263" t="s">
        <v>764</v>
      </c>
      <c r="C11" s="264">
        <v>79093.590650000056</v>
      </c>
      <c r="D11" s="265">
        <v>149944.57587000003</v>
      </c>
      <c r="E11" s="266">
        <v>92549.137690000018</v>
      </c>
      <c r="F11" s="267">
        <v>139620.27998000005</v>
      </c>
      <c r="G11" s="268">
        <v>170876.1053</v>
      </c>
      <c r="H11" s="268">
        <v>278829.67224999989</v>
      </c>
      <c r="I11" s="268">
        <v>191662.56345000002</v>
      </c>
      <c r="J11" s="268">
        <v>168925.67128000001</v>
      </c>
      <c r="K11" s="268">
        <v>236915.81384999992</v>
      </c>
      <c r="L11" s="267">
        <v>337203.31823000015</v>
      </c>
    </row>
    <row r="12" spans="1:12" ht="30" x14ac:dyDescent="0.25">
      <c r="A12" s="262" t="s">
        <v>765</v>
      </c>
      <c r="B12" s="263" t="s">
        <v>766</v>
      </c>
      <c r="C12" s="264">
        <v>5763.9185399999997</v>
      </c>
      <c r="D12" s="265">
        <v>6670.2787199999993</v>
      </c>
      <c r="E12" s="266">
        <v>7787.6961900000006</v>
      </c>
      <c r="F12" s="267">
        <v>8355.3917700000002</v>
      </c>
      <c r="G12" s="268">
        <v>8683.5501500000009</v>
      </c>
      <c r="H12" s="268">
        <v>9686.8695100000004</v>
      </c>
      <c r="I12" s="268">
        <v>9964.4678600000007</v>
      </c>
      <c r="J12" s="268">
        <v>9964.4678600000007</v>
      </c>
      <c r="K12" s="268">
        <v>9964.4678600000007</v>
      </c>
      <c r="L12" s="267">
        <v>9964.4678600000007</v>
      </c>
    </row>
    <row r="13" spans="1:12" x14ac:dyDescent="0.25">
      <c r="A13" s="262" t="s">
        <v>767</v>
      </c>
      <c r="B13" s="263" t="s">
        <v>768</v>
      </c>
      <c r="C13" s="264">
        <v>74684.599060000168</v>
      </c>
      <c r="D13" s="265">
        <v>122696.85982000014</v>
      </c>
      <c r="E13" s="266">
        <v>82964.80253999999</v>
      </c>
      <c r="F13" s="267">
        <v>85144.640730000072</v>
      </c>
      <c r="G13" s="268">
        <v>104298.5536799999</v>
      </c>
      <c r="H13" s="268">
        <v>115580.40484000038</v>
      </c>
      <c r="I13" s="268">
        <v>90538.327719999841</v>
      </c>
      <c r="J13" s="268">
        <v>80676.257909999928</v>
      </c>
      <c r="K13" s="268">
        <v>137593.12511999987</v>
      </c>
      <c r="L13" s="267">
        <v>170878.88000999996</v>
      </c>
    </row>
    <row r="14" spans="1:12" s="261" customFormat="1" thickBot="1" x14ac:dyDescent="0.25">
      <c r="A14" s="269"/>
      <c r="B14" s="270" t="s">
        <v>41</v>
      </c>
      <c r="C14" s="271">
        <f>C7+C8</f>
        <v>967276.60258000006</v>
      </c>
      <c r="D14" s="271">
        <f t="shared" ref="D14:L14" si="0">D7+D8</f>
        <v>1269268.9273900008</v>
      </c>
      <c r="E14" s="271">
        <f t="shared" si="0"/>
        <v>933206.98329999938</v>
      </c>
      <c r="F14" s="271">
        <f t="shared" si="0"/>
        <v>1157504.4443299999</v>
      </c>
      <c r="G14" s="271">
        <f t="shared" si="0"/>
        <v>1454522.4663099998</v>
      </c>
      <c r="H14" s="271">
        <f t="shared" si="0"/>
        <v>1761028.3909400003</v>
      </c>
      <c r="I14" s="271">
        <f t="shared" si="0"/>
        <v>1279186.5139200001</v>
      </c>
      <c r="J14" s="271">
        <f t="shared" si="0"/>
        <v>1258275.87882</v>
      </c>
      <c r="K14" s="271">
        <f t="shared" si="0"/>
        <v>1842039.8815599999</v>
      </c>
      <c r="L14" s="271">
        <f t="shared" si="0"/>
        <v>2203944.156</v>
      </c>
    </row>
    <row r="15" spans="1:12" x14ac:dyDescent="0.25">
      <c r="C15" s="272"/>
      <c r="D15" s="272"/>
    </row>
    <row r="16" spans="1:12" x14ac:dyDescent="0.25">
      <c r="C16" s="272"/>
      <c r="D16" s="272"/>
      <c r="G16" s="273"/>
    </row>
    <row r="17" spans="3:7" x14ac:dyDescent="0.25">
      <c r="C17" s="272"/>
      <c r="D17" s="272"/>
      <c r="G17" s="273"/>
    </row>
    <row r="18" spans="3:7" x14ac:dyDescent="0.25">
      <c r="C18" s="272"/>
      <c r="D18" s="272"/>
      <c r="G18" s="273"/>
    </row>
    <row r="19" spans="3:7" x14ac:dyDescent="0.25">
      <c r="G19" s="273"/>
    </row>
    <row r="20" spans="3:7" x14ac:dyDescent="0.25">
      <c r="G20" s="273"/>
    </row>
  </sheetData>
  <mergeCells count="3">
    <mergeCell ref="A2:L2"/>
    <mergeCell ref="A3:L3"/>
    <mergeCell ref="A4:L4"/>
  </mergeCells>
  <pageMargins left="0.24" right="0.16" top="0.65" bottom="0.74803149606299213" header="0.31496062992125984" footer="0.31496062992125984"/>
  <pageSetup paperSize="9" scale="66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workbookViewId="0">
      <selection activeCell="L415" sqref="L415"/>
    </sheetView>
  </sheetViews>
  <sheetFormatPr defaultColWidth="7.28515625" defaultRowHeight="11.45" customHeight="1" outlineLevelRow="1" outlineLevelCol="1" x14ac:dyDescent="0.2"/>
  <cols>
    <col min="1" max="1" width="48.5703125" style="215" customWidth="1" collapsed="1"/>
    <col min="2" max="2" width="19.42578125" style="215" hidden="1" customWidth="1" outlineLevel="1"/>
    <col min="3" max="3" width="19.7109375" style="215" hidden="1" customWidth="1" outlineLevel="1"/>
    <col min="4" max="4" width="20.42578125" style="215" hidden="1" customWidth="1" outlineLevel="1"/>
    <col min="5" max="5" width="19.28515625" style="215" customWidth="1" collapsed="1"/>
  </cols>
  <sheetData>
    <row r="1" spans="1:5" ht="45" customHeight="1" x14ac:dyDescent="0.2">
      <c r="A1" s="427" t="s">
        <v>65</v>
      </c>
      <c r="B1" s="427"/>
      <c r="C1" s="427"/>
      <c r="D1" s="428"/>
      <c r="E1" s="428"/>
    </row>
    <row r="2" spans="1:5" ht="12.75" x14ac:dyDescent="0.2">
      <c r="A2" s="214"/>
      <c r="B2" s="214"/>
      <c r="C2" s="214"/>
      <c r="E2" s="216" t="s">
        <v>31</v>
      </c>
    </row>
    <row r="3" spans="1:5" ht="12.75" x14ac:dyDescent="0.2">
      <c r="A3" s="217" t="s">
        <v>66</v>
      </c>
      <c r="B3" s="217" t="s">
        <v>67</v>
      </c>
      <c r="C3" s="217" t="s">
        <v>68</v>
      </c>
      <c r="D3" s="217" t="s">
        <v>69</v>
      </c>
      <c r="E3" s="218" t="s">
        <v>70</v>
      </c>
    </row>
    <row r="4" spans="1:5" ht="12.75" x14ac:dyDescent="0.2">
      <c r="A4" s="425" t="s">
        <v>71</v>
      </c>
      <c r="B4" s="425"/>
      <c r="C4" s="425"/>
      <c r="D4" s="425"/>
      <c r="E4" s="219">
        <v>189748.9</v>
      </c>
    </row>
    <row r="5" spans="1:5" ht="60" hidden="1" outlineLevel="1" x14ac:dyDescent="0.2">
      <c r="A5" s="220" t="s">
        <v>72</v>
      </c>
      <c r="B5" s="221" t="s">
        <v>73</v>
      </c>
      <c r="C5" s="221" t="s">
        <v>74</v>
      </c>
      <c r="D5" s="221" t="s">
        <v>75</v>
      </c>
      <c r="E5" s="222">
        <v>189748.9</v>
      </c>
    </row>
    <row r="6" spans="1:5" ht="12.75" collapsed="1" x14ac:dyDescent="0.2">
      <c r="A6" s="425" t="s">
        <v>76</v>
      </c>
      <c r="B6" s="425"/>
      <c r="C6" s="425"/>
      <c r="D6" s="425"/>
      <c r="E6" s="219">
        <v>4385443.09</v>
      </c>
    </row>
    <row r="7" spans="1:5" ht="48" hidden="1" outlineLevel="1" x14ac:dyDescent="0.2">
      <c r="A7" s="220" t="s">
        <v>77</v>
      </c>
      <c r="B7" s="221" t="s">
        <v>78</v>
      </c>
      <c r="C7" s="221" t="s">
        <v>79</v>
      </c>
      <c r="D7" s="221" t="s">
        <v>80</v>
      </c>
      <c r="E7" s="222">
        <v>73133.34</v>
      </c>
    </row>
    <row r="8" spans="1:5" ht="48" hidden="1" outlineLevel="1" x14ac:dyDescent="0.2">
      <c r="A8" s="220" t="s">
        <v>81</v>
      </c>
      <c r="B8" s="221" t="s">
        <v>78</v>
      </c>
      <c r="C8" s="221" t="s">
        <v>82</v>
      </c>
      <c r="D8" s="221" t="s">
        <v>80</v>
      </c>
      <c r="E8" s="222">
        <v>231733.24</v>
      </c>
    </row>
    <row r="9" spans="1:5" ht="60" hidden="1" outlineLevel="1" x14ac:dyDescent="0.2">
      <c r="A9" s="220" t="s">
        <v>83</v>
      </c>
      <c r="B9" s="221" t="s">
        <v>84</v>
      </c>
      <c r="C9" s="221" t="s">
        <v>85</v>
      </c>
      <c r="D9" s="221" t="s">
        <v>86</v>
      </c>
      <c r="E9" s="222">
        <v>309473.08</v>
      </c>
    </row>
    <row r="10" spans="1:5" ht="60" hidden="1" outlineLevel="1" x14ac:dyDescent="0.2">
      <c r="A10" s="220" t="s">
        <v>87</v>
      </c>
      <c r="B10" s="221" t="s">
        <v>84</v>
      </c>
      <c r="C10" s="221" t="s">
        <v>88</v>
      </c>
      <c r="D10" s="221" t="s">
        <v>86</v>
      </c>
      <c r="E10" s="222">
        <v>450749.17</v>
      </c>
    </row>
    <row r="11" spans="1:5" ht="60" hidden="1" outlineLevel="1" x14ac:dyDescent="0.2">
      <c r="A11" s="220" t="s">
        <v>89</v>
      </c>
      <c r="B11" s="221" t="s">
        <v>84</v>
      </c>
      <c r="C11" s="221" t="s">
        <v>90</v>
      </c>
      <c r="D11" s="221" t="s">
        <v>86</v>
      </c>
      <c r="E11" s="222">
        <v>96890.84</v>
      </c>
    </row>
    <row r="12" spans="1:5" ht="60" hidden="1" outlineLevel="1" x14ac:dyDescent="0.2">
      <c r="A12" s="220" t="s">
        <v>91</v>
      </c>
      <c r="B12" s="221" t="s">
        <v>84</v>
      </c>
      <c r="C12" s="221" t="s">
        <v>92</v>
      </c>
      <c r="D12" s="221" t="s">
        <v>86</v>
      </c>
      <c r="E12" s="222">
        <v>32217.06</v>
      </c>
    </row>
    <row r="13" spans="1:5" ht="48" hidden="1" outlineLevel="1" x14ac:dyDescent="0.2">
      <c r="A13" s="220" t="s">
        <v>93</v>
      </c>
      <c r="B13" s="221" t="s">
        <v>84</v>
      </c>
      <c r="C13" s="221" t="s">
        <v>94</v>
      </c>
      <c r="D13" s="221" t="s">
        <v>95</v>
      </c>
      <c r="E13" s="222">
        <v>276153.34000000003</v>
      </c>
    </row>
    <row r="14" spans="1:5" ht="48" hidden="1" outlineLevel="1" x14ac:dyDescent="0.2">
      <c r="A14" s="220" t="s">
        <v>96</v>
      </c>
      <c r="B14" s="221" t="s">
        <v>84</v>
      </c>
      <c r="C14" s="221" t="s">
        <v>94</v>
      </c>
      <c r="D14" s="221" t="s">
        <v>95</v>
      </c>
      <c r="E14" s="222">
        <v>204072.04</v>
      </c>
    </row>
    <row r="15" spans="1:5" ht="48" hidden="1" outlineLevel="1" x14ac:dyDescent="0.2">
      <c r="A15" s="220" t="s">
        <v>97</v>
      </c>
      <c r="B15" s="221" t="s">
        <v>84</v>
      </c>
      <c r="C15" s="221" t="s">
        <v>98</v>
      </c>
      <c r="D15" s="221" t="s">
        <v>95</v>
      </c>
      <c r="E15" s="222">
        <v>108049.78</v>
      </c>
    </row>
    <row r="16" spans="1:5" ht="60" hidden="1" outlineLevel="1" x14ac:dyDescent="0.2">
      <c r="A16" s="220" t="s">
        <v>99</v>
      </c>
      <c r="B16" s="221" t="s">
        <v>84</v>
      </c>
      <c r="C16" s="221" t="s">
        <v>98</v>
      </c>
      <c r="D16" s="221" t="s">
        <v>86</v>
      </c>
      <c r="E16" s="222">
        <v>21350.86</v>
      </c>
    </row>
    <row r="17" spans="1:5" ht="36" hidden="1" outlineLevel="1" x14ac:dyDescent="0.2">
      <c r="A17" s="220" t="s">
        <v>100</v>
      </c>
      <c r="B17" s="221" t="s">
        <v>101</v>
      </c>
      <c r="C17" s="221" t="s">
        <v>102</v>
      </c>
      <c r="D17" s="221" t="s">
        <v>103</v>
      </c>
      <c r="E17" s="222">
        <v>44224.88</v>
      </c>
    </row>
    <row r="18" spans="1:5" ht="48" hidden="1" outlineLevel="1" x14ac:dyDescent="0.2">
      <c r="A18" s="220" t="s">
        <v>104</v>
      </c>
      <c r="B18" s="221" t="s">
        <v>84</v>
      </c>
      <c r="C18" s="221" t="s">
        <v>105</v>
      </c>
      <c r="D18" s="221" t="s">
        <v>95</v>
      </c>
      <c r="E18" s="222">
        <v>99810.18</v>
      </c>
    </row>
    <row r="19" spans="1:5" ht="60" hidden="1" outlineLevel="1" x14ac:dyDescent="0.2">
      <c r="A19" s="220" t="s">
        <v>106</v>
      </c>
      <c r="B19" s="221" t="s">
        <v>84</v>
      </c>
      <c r="C19" s="221" t="s">
        <v>107</v>
      </c>
      <c r="D19" s="221" t="s">
        <v>86</v>
      </c>
      <c r="E19" s="222">
        <v>34810.050000000003</v>
      </c>
    </row>
    <row r="20" spans="1:5" ht="60" hidden="1" outlineLevel="1" x14ac:dyDescent="0.2">
      <c r="A20" s="220" t="s">
        <v>108</v>
      </c>
      <c r="B20" s="221" t="s">
        <v>84</v>
      </c>
      <c r="C20" s="221" t="s">
        <v>107</v>
      </c>
      <c r="D20" s="221" t="s">
        <v>86</v>
      </c>
      <c r="E20" s="222">
        <v>67283.490000000005</v>
      </c>
    </row>
    <row r="21" spans="1:5" ht="60" hidden="1" outlineLevel="1" x14ac:dyDescent="0.2">
      <c r="A21" s="220" t="s">
        <v>109</v>
      </c>
      <c r="B21" s="221" t="s">
        <v>84</v>
      </c>
      <c r="C21" s="221" t="s">
        <v>110</v>
      </c>
      <c r="D21" s="221" t="s">
        <v>86</v>
      </c>
      <c r="E21" s="222">
        <v>47410.33</v>
      </c>
    </row>
    <row r="22" spans="1:5" ht="36" hidden="1" outlineLevel="1" x14ac:dyDescent="0.2">
      <c r="A22" s="220" t="s">
        <v>111</v>
      </c>
      <c r="B22" s="221" t="s">
        <v>112</v>
      </c>
      <c r="C22" s="221" t="s">
        <v>113</v>
      </c>
      <c r="D22" s="221" t="s">
        <v>114</v>
      </c>
      <c r="E22" s="222">
        <v>347468.68</v>
      </c>
    </row>
    <row r="23" spans="1:5" ht="36" hidden="1" outlineLevel="1" x14ac:dyDescent="0.2">
      <c r="A23" s="220" t="s">
        <v>115</v>
      </c>
      <c r="B23" s="221" t="s">
        <v>112</v>
      </c>
      <c r="C23" s="221" t="s">
        <v>113</v>
      </c>
      <c r="D23" s="221" t="s">
        <v>114</v>
      </c>
      <c r="E23" s="222">
        <v>161173.04</v>
      </c>
    </row>
    <row r="24" spans="1:5" ht="36" hidden="1" outlineLevel="1" x14ac:dyDescent="0.2">
      <c r="A24" s="220" t="s">
        <v>116</v>
      </c>
      <c r="B24" s="221" t="s">
        <v>112</v>
      </c>
      <c r="C24" s="221" t="s">
        <v>113</v>
      </c>
      <c r="D24" s="221" t="s">
        <v>114</v>
      </c>
      <c r="E24" s="222">
        <v>290327.2</v>
      </c>
    </row>
    <row r="25" spans="1:5" ht="48" hidden="1" outlineLevel="1" x14ac:dyDescent="0.2">
      <c r="A25" s="220" t="s">
        <v>117</v>
      </c>
      <c r="B25" s="221" t="s">
        <v>118</v>
      </c>
      <c r="C25" s="221" t="s">
        <v>119</v>
      </c>
      <c r="D25" s="221" t="s">
        <v>120</v>
      </c>
      <c r="E25" s="222">
        <v>71573.17</v>
      </c>
    </row>
    <row r="26" spans="1:5" ht="36" hidden="1" outlineLevel="1" x14ac:dyDescent="0.2">
      <c r="A26" s="220" t="s">
        <v>121</v>
      </c>
      <c r="B26" s="221" t="s">
        <v>122</v>
      </c>
      <c r="C26" s="221" t="s">
        <v>123</v>
      </c>
      <c r="D26" s="221" t="s">
        <v>124</v>
      </c>
      <c r="E26" s="222">
        <v>0.01</v>
      </c>
    </row>
    <row r="27" spans="1:5" ht="24" hidden="1" outlineLevel="1" x14ac:dyDescent="0.2">
      <c r="A27" s="220" t="s">
        <v>125</v>
      </c>
      <c r="B27" s="221" t="s">
        <v>122</v>
      </c>
      <c r="C27" s="221" t="s">
        <v>126</v>
      </c>
      <c r="D27" s="221" t="s">
        <v>127</v>
      </c>
      <c r="E27" s="222">
        <v>299967.48</v>
      </c>
    </row>
    <row r="28" spans="1:5" ht="24" hidden="1" outlineLevel="1" x14ac:dyDescent="0.2">
      <c r="A28" s="220" t="s">
        <v>128</v>
      </c>
      <c r="B28" s="221" t="s">
        <v>129</v>
      </c>
      <c r="C28" s="221" t="s">
        <v>130</v>
      </c>
      <c r="D28" s="221" t="s">
        <v>131</v>
      </c>
      <c r="E28" s="222">
        <v>1087760</v>
      </c>
    </row>
    <row r="29" spans="1:5" ht="48" hidden="1" outlineLevel="1" x14ac:dyDescent="0.2">
      <c r="A29" s="220" t="s">
        <v>132</v>
      </c>
      <c r="B29" s="221" t="s">
        <v>133</v>
      </c>
      <c r="C29" s="221" t="s">
        <v>134</v>
      </c>
      <c r="D29" s="221" t="s">
        <v>135</v>
      </c>
      <c r="E29" s="222">
        <v>29811.83</v>
      </c>
    </row>
    <row r="30" spans="1:5" ht="12.75" collapsed="1" x14ac:dyDescent="0.2">
      <c r="A30" s="425" t="s">
        <v>136</v>
      </c>
      <c r="B30" s="425"/>
      <c r="C30" s="425"/>
      <c r="D30" s="425"/>
      <c r="E30" s="219">
        <v>1462331.1</v>
      </c>
    </row>
    <row r="31" spans="1:5" ht="24" hidden="1" outlineLevel="1" x14ac:dyDescent="0.2">
      <c r="A31" s="220" t="s">
        <v>137</v>
      </c>
      <c r="B31" s="221" t="s">
        <v>138</v>
      </c>
      <c r="C31" s="221" t="s">
        <v>139</v>
      </c>
      <c r="D31" s="221" t="s">
        <v>140</v>
      </c>
      <c r="E31" s="222">
        <v>48749.99</v>
      </c>
    </row>
    <row r="32" spans="1:5" ht="24" hidden="1" outlineLevel="1" x14ac:dyDescent="0.2">
      <c r="A32" s="220" t="s">
        <v>141</v>
      </c>
      <c r="B32" s="221" t="s">
        <v>138</v>
      </c>
      <c r="C32" s="221" t="s">
        <v>139</v>
      </c>
      <c r="D32" s="221" t="s">
        <v>140</v>
      </c>
      <c r="E32" s="222">
        <v>71203.27</v>
      </c>
    </row>
    <row r="33" spans="1:5" ht="24" hidden="1" outlineLevel="1" x14ac:dyDescent="0.2">
      <c r="A33" s="220" t="s">
        <v>142</v>
      </c>
      <c r="B33" s="221" t="s">
        <v>138</v>
      </c>
      <c r="C33" s="221" t="s">
        <v>143</v>
      </c>
      <c r="D33" s="221" t="s">
        <v>140</v>
      </c>
      <c r="E33" s="222">
        <v>839020.24</v>
      </c>
    </row>
    <row r="34" spans="1:5" ht="24" hidden="1" outlineLevel="1" x14ac:dyDescent="0.2">
      <c r="A34" s="220" t="s">
        <v>144</v>
      </c>
      <c r="B34" s="221" t="s">
        <v>138</v>
      </c>
      <c r="C34" s="221" t="s">
        <v>143</v>
      </c>
      <c r="D34" s="221" t="s">
        <v>140</v>
      </c>
      <c r="E34" s="222">
        <v>49781.25</v>
      </c>
    </row>
    <row r="35" spans="1:5" ht="24" hidden="1" outlineLevel="1" x14ac:dyDescent="0.2">
      <c r="A35" s="220" t="s">
        <v>145</v>
      </c>
      <c r="B35" s="221" t="s">
        <v>138</v>
      </c>
      <c r="C35" s="221" t="s">
        <v>143</v>
      </c>
      <c r="D35" s="221" t="s">
        <v>140</v>
      </c>
      <c r="E35" s="222">
        <v>395114.82</v>
      </c>
    </row>
    <row r="36" spans="1:5" ht="24" hidden="1" outlineLevel="1" x14ac:dyDescent="0.2">
      <c r="A36" s="220" t="s">
        <v>146</v>
      </c>
      <c r="B36" s="221" t="s">
        <v>138</v>
      </c>
      <c r="C36" s="221" t="s">
        <v>143</v>
      </c>
      <c r="D36" s="221" t="s">
        <v>140</v>
      </c>
      <c r="E36" s="222">
        <v>58461.53</v>
      </c>
    </row>
    <row r="37" spans="1:5" ht="12.75" collapsed="1" x14ac:dyDescent="0.2">
      <c r="A37" s="425" t="s">
        <v>147</v>
      </c>
      <c r="B37" s="425"/>
      <c r="C37" s="425"/>
      <c r="D37" s="425"/>
      <c r="E37" s="219">
        <v>7467418.8399999999</v>
      </c>
    </row>
    <row r="38" spans="1:5" ht="24" hidden="1" outlineLevel="1" x14ac:dyDescent="0.2">
      <c r="A38" s="220" t="s">
        <v>148</v>
      </c>
      <c r="B38" s="221" t="s">
        <v>149</v>
      </c>
      <c r="C38" s="221" t="s">
        <v>150</v>
      </c>
      <c r="D38" s="221" t="s">
        <v>151</v>
      </c>
      <c r="E38" s="222">
        <v>5914.88</v>
      </c>
    </row>
    <row r="39" spans="1:5" ht="24" hidden="1" outlineLevel="1" x14ac:dyDescent="0.2">
      <c r="A39" s="220" t="s">
        <v>152</v>
      </c>
      <c r="B39" s="221" t="s">
        <v>153</v>
      </c>
      <c r="C39" s="221" t="s">
        <v>154</v>
      </c>
      <c r="D39" s="221" t="s">
        <v>151</v>
      </c>
      <c r="E39" s="222">
        <v>12900</v>
      </c>
    </row>
    <row r="40" spans="1:5" ht="36" hidden="1" outlineLevel="1" x14ac:dyDescent="0.2">
      <c r="A40" s="220" t="s">
        <v>155</v>
      </c>
      <c r="B40" s="221" t="s">
        <v>156</v>
      </c>
      <c r="C40" s="221" t="s">
        <v>157</v>
      </c>
      <c r="D40" s="221" t="s">
        <v>158</v>
      </c>
      <c r="E40" s="222">
        <v>107581.39</v>
      </c>
    </row>
    <row r="41" spans="1:5" ht="36" hidden="1" outlineLevel="1" x14ac:dyDescent="0.2">
      <c r="A41" s="220" t="s">
        <v>159</v>
      </c>
      <c r="B41" s="221" t="s">
        <v>156</v>
      </c>
      <c r="C41" s="221" t="s">
        <v>160</v>
      </c>
      <c r="D41" s="221" t="s">
        <v>158</v>
      </c>
      <c r="E41" s="222">
        <v>48837.21</v>
      </c>
    </row>
    <row r="42" spans="1:5" ht="36" hidden="1" outlineLevel="1" x14ac:dyDescent="0.2">
      <c r="A42" s="220" t="s">
        <v>161</v>
      </c>
      <c r="B42" s="221" t="s">
        <v>162</v>
      </c>
      <c r="C42" s="221" t="s">
        <v>163</v>
      </c>
      <c r="D42" s="221" t="s">
        <v>164</v>
      </c>
      <c r="E42" s="222">
        <v>33100</v>
      </c>
    </row>
    <row r="43" spans="1:5" ht="36" hidden="1" outlineLevel="1" x14ac:dyDescent="0.2">
      <c r="A43" s="220" t="s">
        <v>165</v>
      </c>
      <c r="B43" s="221" t="s">
        <v>162</v>
      </c>
      <c r="C43" s="221" t="s">
        <v>163</v>
      </c>
      <c r="D43" s="221" t="s">
        <v>166</v>
      </c>
      <c r="E43" s="222">
        <v>8900</v>
      </c>
    </row>
    <row r="44" spans="1:5" ht="36" hidden="1" outlineLevel="1" x14ac:dyDescent="0.2">
      <c r="A44" s="220" t="s">
        <v>167</v>
      </c>
      <c r="B44" s="221" t="s">
        <v>162</v>
      </c>
      <c r="C44" s="221" t="s">
        <v>163</v>
      </c>
      <c r="D44" s="221" t="s">
        <v>168</v>
      </c>
      <c r="E44" s="222">
        <v>11800</v>
      </c>
    </row>
    <row r="45" spans="1:5" ht="36" hidden="1" outlineLevel="1" x14ac:dyDescent="0.2">
      <c r="A45" s="220" t="s">
        <v>169</v>
      </c>
      <c r="B45" s="221" t="s">
        <v>162</v>
      </c>
      <c r="C45" s="221" t="s">
        <v>170</v>
      </c>
      <c r="D45" s="221" t="s">
        <v>168</v>
      </c>
      <c r="E45" s="222">
        <v>11800</v>
      </c>
    </row>
    <row r="46" spans="1:5" ht="36" hidden="1" outlineLevel="1" x14ac:dyDescent="0.2">
      <c r="A46" s="220" t="s">
        <v>171</v>
      </c>
      <c r="B46" s="221" t="s">
        <v>162</v>
      </c>
      <c r="C46" s="221" t="s">
        <v>170</v>
      </c>
      <c r="D46" s="221" t="s">
        <v>164</v>
      </c>
      <c r="E46" s="222">
        <v>33100</v>
      </c>
    </row>
    <row r="47" spans="1:5" ht="36" hidden="1" outlineLevel="1" x14ac:dyDescent="0.2">
      <c r="A47" s="220" t="s">
        <v>172</v>
      </c>
      <c r="B47" s="221" t="s">
        <v>162</v>
      </c>
      <c r="C47" s="221" t="s">
        <v>170</v>
      </c>
      <c r="D47" s="221" t="s">
        <v>166</v>
      </c>
      <c r="E47" s="222">
        <v>8900</v>
      </c>
    </row>
    <row r="48" spans="1:5" ht="36" hidden="1" outlineLevel="1" x14ac:dyDescent="0.2">
      <c r="A48" s="220" t="s">
        <v>173</v>
      </c>
      <c r="B48" s="221" t="s">
        <v>162</v>
      </c>
      <c r="C48" s="221" t="s">
        <v>174</v>
      </c>
      <c r="D48" s="221" t="s">
        <v>164</v>
      </c>
      <c r="E48" s="222">
        <v>33100</v>
      </c>
    </row>
    <row r="49" spans="1:5" ht="36" hidden="1" outlineLevel="1" x14ac:dyDescent="0.2">
      <c r="A49" s="220" t="s">
        <v>175</v>
      </c>
      <c r="B49" s="221" t="s">
        <v>162</v>
      </c>
      <c r="C49" s="221" t="s">
        <v>174</v>
      </c>
      <c r="D49" s="221" t="s">
        <v>166</v>
      </c>
      <c r="E49" s="222">
        <v>8900</v>
      </c>
    </row>
    <row r="50" spans="1:5" ht="36" hidden="1" outlineLevel="1" x14ac:dyDescent="0.2">
      <c r="A50" s="220" t="s">
        <v>176</v>
      </c>
      <c r="B50" s="221" t="s">
        <v>162</v>
      </c>
      <c r="C50" s="221" t="s">
        <v>174</v>
      </c>
      <c r="D50" s="221" t="s">
        <v>168</v>
      </c>
      <c r="E50" s="222">
        <v>11800</v>
      </c>
    </row>
    <row r="51" spans="1:5" ht="36" hidden="1" outlineLevel="1" x14ac:dyDescent="0.2">
      <c r="A51" s="220" t="s">
        <v>177</v>
      </c>
      <c r="B51" s="221" t="s">
        <v>162</v>
      </c>
      <c r="C51" s="221" t="s">
        <v>98</v>
      </c>
      <c r="D51" s="221" t="s">
        <v>168</v>
      </c>
      <c r="E51" s="222">
        <v>11800</v>
      </c>
    </row>
    <row r="52" spans="1:5" ht="36" hidden="1" outlineLevel="1" x14ac:dyDescent="0.2">
      <c r="A52" s="220" t="s">
        <v>178</v>
      </c>
      <c r="B52" s="221" t="s">
        <v>162</v>
      </c>
      <c r="C52" s="221" t="s">
        <v>98</v>
      </c>
      <c r="D52" s="221" t="s">
        <v>166</v>
      </c>
      <c r="E52" s="222">
        <v>8900</v>
      </c>
    </row>
    <row r="53" spans="1:5" ht="36" hidden="1" outlineLevel="1" x14ac:dyDescent="0.2">
      <c r="A53" s="220" t="s">
        <v>179</v>
      </c>
      <c r="B53" s="221" t="s">
        <v>162</v>
      </c>
      <c r="C53" s="221" t="s">
        <v>98</v>
      </c>
      <c r="D53" s="221" t="s">
        <v>164</v>
      </c>
      <c r="E53" s="222">
        <v>33100</v>
      </c>
    </row>
    <row r="54" spans="1:5" ht="84" hidden="1" outlineLevel="1" x14ac:dyDescent="0.2">
      <c r="A54" s="220" t="s">
        <v>180</v>
      </c>
      <c r="B54" s="221" t="s">
        <v>181</v>
      </c>
      <c r="C54" s="221" t="s">
        <v>102</v>
      </c>
      <c r="D54" s="221" t="s">
        <v>182</v>
      </c>
      <c r="E54" s="222">
        <v>0.65</v>
      </c>
    </row>
    <row r="55" spans="1:5" ht="36" hidden="1" outlineLevel="1" x14ac:dyDescent="0.2">
      <c r="A55" s="220" t="s">
        <v>183</v>
      </c>
      <c r="B55" s="221" t="s">
        <v>162</v>
      </c>
      <c r="C55" s="221" t="s">
        <v>113</v>
      </c>
      <c r="D55" s="221" t="s">
        <v>166</v>
      </c>
      <c r="E55" s="222">
        <v>8900</v>
      </c>
    </row>
    <row r="56" spans="1:5" ht="36" hidden="1" outlineLevel="1" x14ac:dyDescent="0.2">
      <c r="A56" s="220" t="s">
        <v>184</v>
      </c>
      <c r="B56" s="221" t="s">
        <v>162</v>
      </c>
      <c r="C56" s="221" t="s">
        <v>113</v>
      </c>
      <c r="D56" s="221" t="s">
        <v>185</v>
      </c>
      <c r="E56" s="222">
        <v>10500</v>
      </c>
    </row>
    <row r="57" spans="1:5" ht="36" hidden="1" outlineLevel="1" x14ac:dyDescent="0.2">
      <c r="A57" s="220" t="s">
        <v>186</v>
      </c>
      <c r="B57" s="221" t="s">
        <v>162</v>
      </c>
      <c r="C57" s="221" t="s">
        <v>113</v>
      </c>
      <c r="D57" s="221" t="s">
        <v>168</v>
      </c>
      <c r="E57" s="222">
        <v>11800</v>
      </c>
    </row>
    <row r="58" spans="1:5" ht="36" hidden="1" outlineLevel="1" x14ac:dyDescent="0.2">
      <c r="A58" s="220" t="s">
        <v>187</v>
      </c>
      <c r="B58" s="221" t="s">
        <v>162</v>
      </c>
      <c r="C58" s="221" t="s">
        <v>113</v>
      </c>
      <c r="D58" s="221" t="s">
        <v>164</v>
      </c>
      <c r="E58" s="222">
        <v>33100</v>
      </c>
    </row>
    <row r="59" spans="1:5" ht="36" hidden="1" outlineLevel="1" x14ac:dyDescent="0.2">
      <c r="A59" s="220" t="s">
        <v>188</v>
      </c>
      <c r="B59" s="221" t="s">
        <v>138</v>
      </c>
      <c r="C59" s="221" t="s">
        <v>189</v>
      </c>
      <c r="D59" s="221" t="s">
        <v>190</v>
      </c>
      <c r="E59" s="222">
        <v>324847.34999999998</v>
      </c>
    </row>
    <row r="60" spans="1:5" ht="24" hidden="1" outlineLevel="1" x14ac:dyDescent="0.2">
      <c r="A60" s="220" t="s">
        <v>191</v>
      </c>
      <c r="B60" s="221" t="s">
        <v>192</v>
      </c>
      <c r="C60" s="221" t="s">
        <v>193</v>
      </c>
      <c r="D60" s="221" t="s">
        <v>194</v>
      </c>
      <c r="E60" s="222">
        <v>10310.91</v>
      </c>
    </row>
    <row r="61" spans="1:5" ht="36" hidden="1" outlineLevel="1" x14ac:dyDescent="0.2">
      <c r="A61" s="220" t="s">
        <v>195</v>
      </c>
      <c r="B61" s="221" t="s">
        <v>138</v>
      </c>
      <c r="C61" s="221" t="s">
        <v>196</v>
      </c>
      <c r="D61" s="221" t="s">
        <v>190</v>
      </c>
      <c r="E61" s="222">
        <v>369946.85</v>
      </c>
    </row>
    <row r="62" spans="1:5" ht="36" hidden="1" outlineLevel="1" x14ac:dyDescent="0.2">
      <c r="A62" s="220" t="s">
        <v>197</v>
      </c>
      <c r="B62" s="221" t="s">
        <v>138</v>
      </c>
      <c r="C62" s="221" t="s">
        <v>198</v>
      </c>
      <c r="D62" s="221" t="s">
        <v>199</v>
      </c>
      <c r="E62" s="222">
        <v>427926.86</v>
      </c>
    </row>
    <row r="63" spans="1:5" ht="24" hidden="1" outlineLevel="1" x14ac:dyDescent="0.2">
      <c r="A63" s="220" t="s">
        <v>200</v>
      </c>
      <c r="B63" s="221" t="s">
        <v>201</v>
      </c>
      <c r="C63" s="221" t="s">
        <v>202</v>
      </c>
      <c r="D63" s="221" t="s">
        <v>203</v>
      </c>
      <c r="E63" s="222">
        <v>40000</v>
      </c>
    </row>
    <row r="64" spans="1:5" ht="36" hidden="1" outlineLevel="1" x14ac:dyDescent="0.2">
      <c r="A64" s="220" t="s">
        <v>204</v>
      </c>
      <c r="B64" s="221" t="s">
        <v>138</v>
      </c>
      <c r="C64" s="221" t="s">
        <v>205</v>
      </c>
      <c r="D64" s="221" t="s">
        <v>190</v>
      </c>
      <c r="E64" s="222">
        <v>427080.33</v>
      </c>
    </row>
    <row r="65" spans="1:5" ht="36" hidden="1" outlineLevel="1" x14ac:dyDescent="0.2">
      <c r="A65" s="220" t="s">
        <v>206</v>
      </c>
      <c r="B65" s="221" t="s">
        <v>138</v>
      </c>
      <c r="C65" s="221" t="s">
        <v>123</v>
      </c>
      <c r="D65" s="221" t="s">
        <v>199</v>
      </c>
      <c r="E65" s="222">
        <v>506152.99</v>
      </c>
    </row>
    <row r="66" spans="1:5" ht="36" hidden="1" outlineLevel="1" x14ac:dyDescent="0.2">
      <c r="A66" s="220" t="s">
        <v>207</v>
      </c>
      <c r="B66" s="221" t="s">
        <v>138</v>
      </c>
      <c r="C66" s="221" t="s">
        <v>126</v>
      </c>
      <c r="D66" s="221" t="s">
        <v>199</v>
      </c>
      <c r="E66" s="222">
        <v>442800.44</v>
      </c>
    </row>
    <row r="67" spans="1:5" ht="36" hidden="1" outlineLevel="1" x14ac:dyDescent="0.2">
      <c r="A67" s="220" t="s">
        <v>208</v>
      </c>
      <c r="B67" s="221" t="s">
        <v>138</v>
      </c>
      <c r="C67" s="221" t="s">
        <v>126</v>
      </c>
      <c r="D67" s="221" t="s">
        <v>190</v>
      </c>
      <c r="E67" s="222">
        <v>298677.75</v>
      </c>
    </row>
    <row r="68" spans="1:5" ht="24" hidden="1" outlineLevel="1" x14ac:dyDescent="0.2">
      <c r="A68" s="220" t="s">
        <v>209</v>
      </c>
      <c r="B68" s="221" t="s">
        <v>210</v>
      </c>
      <c r="C68" s="221" t="s">
        <v>211</v>
      </c>
      <c r="D68" s="221" t="s">
        <v>212</v>
      </c>
      <c r="E68" s="222">
        <v>1754.91</v>
      </c>
    </row>
    <row r="69" spans="1:5" ht="36" hidden="1" outlineLevel="1" x14ac:dyDescent="0.2">
      <c r="A69" s="220" t="s">
        <v>213</v>
      </c>
      <c r="B69" s="221" t="s">
        <v>138</v>
      </c>
      <c r="C69" s="221" t="s">
        <v>214</v>
      </c>
      <c r="D69" s="221" t="s">
        <v>199</v>
      </c>
      <c r="E69" s="222">
        <v>350626.78</v>
      </c>
    </row>
    <row r="70" spans="1:5" ht="36" hidden="1" outlineLevel="1" x14ac:dyDescent="0.2">
      <c r="A70" s="220" t="s">
        <v>215</v>
      </c>
      <c r="B70" s="221" t="s">
        <v>138</v>
      </c>
      <c r="C70" s="221" t="s">
        <v>214</v>
      </c>
      <c r="D70" s="221" t="s">
        <v>190</v>
      </c>
      <c r="E70" s="222">
        <v>293314.81</v>
      </c>
    </row>
    <row r="71" spans="1:5" ht="36" hidden="1" outlineLevel="1" x14ac:dyDescent="0.2">
      <c r="A71" s="220" t="s">
        <v>216</v>
      </c>
      <c r="B71" s="221" t="s">
        <v>138</v>
      </c>
      <c r="C71" s="221" t="s">
        <v>217</v>
      </c>
      <c r="D71" s="221" t="s">
        <v>199</v>
      </c>
      <c r="E71" s="222">
        <v>193329.06</v>
      </c>
    </row>
    <row r="72" spans="1:5" ht="36" hidden="1" outlineLevel="1" x14ac:dyDescent="0.2">
      <c r="A72" s="220" t="s">
        <v>218</v>
      </c>
      <c r="B72" s="221" t="s">
        <v>138</v>
      </c>
      <c r="C72" s="221" t="s">
        <v>217</v>
      </c>
      <c r="D72" s="221" t="s">
        <v>190</v>
      </c>
      <c r="E72" s="222">
        <v>309263.17</v>
      </c>
    </row>
    <row r="73" spans="1:5" ht="60" hidden="1" outlineLevel="1" x14ac:dyDescent="0.2">
      <c r="A73" s="220" t="s">
        <v>219</v>
      </c>
      <c r="B73" s="221" t="s">
        <v>220</v>
      </c>
      <c r="C73" s="221" t="s">
        <v>74</v>
      </c>
      <c r="D73" s="221" t="s">
        <v>221</v>
      </c>
      <c r="E73" s="222">
        <v>126213.55</v>
      </c>
    </row>
    <row r="74" spans="1:5" ht="36" hidden="1" outlineLevel="1" x14ac:dyDescent="0.2">
      <c r="A74" s="220" t="s">
        <v>222</v>
      </c>
      <c r="B74" s="221" t="s">
        <v>138</v>
      </c>
      <c r="C74" s="221" t="s">
        <v>223</v>
      </c>
      <c r="D74" s="221" t="s">
        <v>190</v>
      </c>
      <c r="E74" s="222">
        <v>313183.40999999997</v>
      </c>
    </row>
    <row r="75" spans="1:5" ht="36" hidden="1" outlineLevel="1" x14ac:dyDescent="0.2">
      <c r="A75" s="220" t="s">
        <v>224</v>
      </c>
      <c r="B75" s="221" t="s">
        <v>138</v>
      </c>
      <c r="C75" s="221" t="s">
        <v>223</v>
      </c>
      <c r="D75" s="221" t="s">
        <v>199</v>
      </c>
      <c r="E75" s="222">
        <v>194065.9</v>
      </c>
    </row>
    <row r="76" spans="1:5" ht="48" hidden="1" outlineLevel="1" x14ac:dyDescent="0.2">
      <c r="A76" s="220" t="s">
        <v>225</v>
      </c>
      <c r="B76" s="221" t="s">
        <v>226</v>
      </c>
      <c r="C76" s="221" t="s">
        <v>223</v>
      </c>
      <c r="D76" s="221" t="s">
        <v>227</v>
      </c>
      <c r="E76" s="222">
        <v>5050.38</v>
      </c>
    </row>
    <row r="77" spans="1:5" ht="60" hidden="1" outlineLevel="1" x14ac:dyDescent="0.2">
      <c r="A77" s="220" t="s">
        <v>228</v>
      </c>
      <c r="B77" s="221" t="s">
        <v>220</v>
      </c>
      <c r="C77" s="221" t="s">
        <v>229</v>
      </c>
      <c r="D77" s="221" t="s">
        <v>221</v>
      </c>
      <c r="E77" s="222">
        <v>466019.44</v>
      </c>
    </row>
    <row r="78" spans="1:5" ht="48" hidden="1" outlineLevel="1" x14ac:dyDescent="0.2">
      <c r="A78" s="220" t="s">
        <v>230</v>
      </c>
      <c r="B78" s="221" t="s">
        <v>226</v>
      </c>
      <c r="C78" s="221" t="s">
        <v>231</v>
      </c>
      <c r="D78" s="221" t="s">
        <v>227</v>
      </c>
      <c r="E78" s="222">
        <v>122760</v>
      </c>
    </row>
    <row r="79" spans="1:5" ht="36" hidden="1" outlineLevel="1" x14ac:dyDescent="0.2">
      <c r="A79" s="220" t="s">
        <v>232</v>
      </c>
      <c r="B79" s="221" t="s">
        <v>138</v>
      </c>
      <c r="C79" s="221" t="s">
        <v>231</v>
      </c>
      <c r="D79" s="221" t="s">
        <v>199</v>
      </c>
      <c r="E79" s="222">
        <v>159277.69</v>
      </c>
    </row>
    <row r="80" spans="1:5" ht="36" hidden="1" outlineLevel="1" x14ac:dyDescent="0.2">
      <c r="A80" s="220" t="s">
        <v>233</v>
      </c>
      <c r="B80" s="221" t="s">
        <v>138</v>
      </c>
      <c r="C80" s="221" t="s">
        <v>231</v>
      </c>
      <c r="D80" s="221" t="s">
        <v>190</v>
      </c>
      <c r="E80" s="222">
        <v>360855.34</v>
      </c>
    </row>
    <row r="81" spans="1:5" ht="48" hidden="1" outlineLevel="1" x14ac:dyDescent="0.2">
      <c r="A81" s="220" t="s">
        <v>234</v>
      </c>
      <c r="B81" s="221" t="s">
        <v>226</v>
      </c>
      <c r="C81" s="221" t="s">
        <v>235</v>
      </c>
      <c r="D81" s="221" t="s">
        <v>227</v>
      </c>
      <c r="E81" s="222">
        <v>118800</v>
      </c>
    </row>
    <row r="82" spans="1:5" ht="72" hidden="1" outlineLevel="1" x14ac:dyDescent="0.2">
      <c r="A82" s="220" t="s">
        <v>236</v>
      </c>
      <c r="B82" s="221" t="s">
        <v>237</v>
      </c>
      <c r="C82" s="221" t="s">
        <v>235</v>
      </c>
      <c r="D82" s="221" t="s">
        <v>238</v>
      </c>
      <c r="E82" s="222">
        <v>200000</v>
      </c>
    </row>
    <row r="83" spans="1:5" ht="48" hidden="1" outlineLevel="1" x14ac:dyDescent="0.2">
      <c r="A83" s="220" t="s">
        <v>239</v>
      </c>
      <c r="B83" s="221" t="s">
        <v>240</v>
      </c>
      <c r="C83" s="221" t="s">
        <v>235</v>
      </c>
      <c r="D83" s="221" t="s">
        <v>241</v>
      </c>
      <c r="E83" s="222">
        <v>62209.78</v>
      </c>
    </row>
    <row r="84" spans="1:5" ht="60" hidden="1" outlineLevel="1" x14ac:dyDescent="0.2">
      <c r="A84" s="220" t="s">
        <v>242</v>
      </c>
      <c r="B84" s="221" t="s">
        <v>220</v>
      </c>
      <c r="C84" s="221" t="s">
        <v>235</v>
      </c>
      <c r="D84" s="221" t="s">
        <v>221</v>
      </c>
      <c r="E84" s="222">
        <v>407767.01</v>
      </c>
    </row>
    <row r="85" spans="1:5" ht="48" hidden="1" outlineLevel="1" x14ac:dyDescent="0.2">
      <c r="A85" s="220" t="s">
        <v>243</v>
      </c>
      <c r="B85" s="221" t="s">
        <v>244</v>
      </c>
      <c r="C85" s="221" t="s">
        <v>235</v>
      </c>
      <c r="D85" s="221" t="s">
        <v>245</v>
      </c>
      <c r="E85" s="222">
        <v>150450</v>
      </c>
    </row>
    <row r="86" spans="1:5" ht="48" hidden="1" outlineLevel="1" x14ac:dyDescent="0.2">
      <c r="A86" s="220" t="s">
        <v>246</v>
      </c>
      <c r="B86" s="221" t="s">
        <v>244</v>
      </c>
      <c r="C86" s="221" t="s">
        <v>235</v>
      </c>
      <c r="D86" s="221" t="s">
        <v>245</v>
      </c>
      <c r="E86" s="222">
        <v>330000</v>
      </c>
    </row>
    <row r="87" spans="1:5" ht="12.75" collapsed="1" x14ac:dyDescent="0.2">
      <c r="A87" s="425" t="s">
        <v>247</v>
      </c>
      <c r="B87" s="425"/>
      <c r="C87" s="425"/>
      <c r="D87" s="425"/>
      <c r="E87" s="219">
        <v>109745721.31</v>
      </c>
    </row>
    <row r="88" spans="1:5" ht="24" hidden="1" outlineLevel="1" x14ac:dyDescent="0.2">
      <c r="A88" s="220" t="s">
        <v>248</v>
      </c>
      <c r="B88" s="221" t="s">
        <v>249</v>
      </c>
      <c r="C88" s="221" t="s">
        <v>250</v>
      </c>
      <c r="D88" s="221" t="s">
        <v>251</v>
      </c>
      <c r="E88" s="222">
        <v>22894.36</v>
      </c>
    </row>
    <row r="89" spans="1:5" ht="24" hidden="1" outlineLevel="1" x14ac:dyDescent="0.2">
      <c r="A89" s="220" t="s">
        <v>252</v>
      </c>
      <c r="B89" s="221" t="s">
        <v>249</v>
      </c>
      <c r="C89" s="221" t="s">
        <v>250</v>
      </c>
      <c r="D89" s="221" t="s">
        <v>251</v>
      </c>
      <c r="E89" s="222">
        <v>109744.72</v>
      </c>
    </row>
    <row r="90" spans="1:5" ht="24" hidden="1" outlineLevel="1" x14ac:dyDescent="0.2">
      <c r="A90" s="220" t="s">
        <v>253</v>
      </c>
      <c r="B90" s="221" t="s">
        <v>254</v>
      </c>
      <c r="C90" s="221" t="s">
        <v>255</v>
      </c>
      <c r="D90" s="221" t="s">
        <v>256</v>
      </c>
      <c r="E90" s="222">
        <v>581977.89</v>
      </c>
    </row>
    <row r="91" spans="1:5" ht="24" hidden="1" outlineLevel="1" x14ac:dyDescent="0.2">
      <c r="A91" s="220" t="s">
        <v>257</v>
      </c>
      <c r="B91" s="221" t="s">
        <v>254</v>
      </c>
      <c r="C91" s="221" t="s">
        <v>258</v>
      </c>
      <c r="D91" s="221" t="s">
        <v>256</v>
      </c>
      <c r="E91" s="222">
        <v>581977.89</v>
      </c>
    </row>
    <row r="92" spans="1:5" ht="24" hidden="1" outlineLevel="1" x14ac:dyDescent="0.2">
      <c r="A92" s="220" t="s">
        <v>259</v>
      </c>
      <c r="B92" s="221" t="s">
        <v>254</v>
      </c>
      <c r="C92" s="221" t="s">
        <v>260</v>
      </c>
      <c r="D92" s="221" t="s">
        <v>256</v>
      </c>
      <c r="E92" s="222">
        <v>581977.89</v>
      </c>
    </row>
    <row r="93" spans="1:5" ht="24" hidden="1" outlineLevel="1" x14ac:dyDescent="0.2">
      <c r="A93" s="220" t="s">
        <v>261</v>
      </c>
      <c r="B93" s="221" t="s">
        <v>254</v>
      </c>
      <c r="C93" s="221" t="s">
        <v>262</v>
      </c>
      <c r="D93" s="221" t="s">
        <v>256</v>
      </c>
      <c r="E93" s="222">
        <v>581977.89</v>
      </c>
    </row>
    <row r="94" spans="1:5" ht="24" hidden="1" outlineLevel="1" x14ac:dyDescent="0.2">
      <c r="A94" s="220" t="s">
        <v>263</v>
      </c>
      <c r="B94" s="221" t="s">
        <v>254</v>
      </c>
      <c r="C94" s="221" t="s">
        <v>264</v>
      </c>
      <c r="D94" s="221" t="s">
        <v>256</v>
      </c>
      <c r="E94" s="222">
        <v>581977.89</v>
      </c>
    </row>
    <row r="95" spans="1:5" ht="60" hidden="1" outlineLevel="1" x14ac:dyDescent="0.2">
      <c r="A95" s="220" t="s">
        <v>265</v>
      </c>
      <c r="B95" s="221" t="s">
        <v>266</v>
      </c>
      <c r="C95" s="221" t="s">
        <v>267</v>
      </c>
      <c r="D95" s="221" t="s">
        <v>268</v>
      </c>
      <c r="E95" s="222">
        <v>137401.07999999999</v>
      </c>
    </row>
    <row r="96" spans="1:5" ht="60" hidden="1" outlineLevel="1" x14ac:dyDescent="0.2">
      <c r="A96" s="220" t="s">
        <v>269</v>
      </c>
      <c r="B96" s="221" t="s">
        <v>266</v>
      </c>
      <c r="C96" s="221" t="s">
        <v>270</v>
      </c>
      <c r="D96" s="221" t="s">
        <v>268</v>
      </c>
      <c r="E96" s="222">
        <v>137401.07999999999</v>
      </c>
    </row>
    <row r="97" spans="1:5" ht="24" hidden="1" outlineLevel="1" x14ac:dyDescent="0.2">
      <c r="A97" s="220" t="s">
        <v>271</v>
      </c>
      <c r="B97" s="221" t="s">
        <v>272</v>
      </c>
      <c r="C97" s="221" t="s">
        <v>273</v>
      </c>
      <c r="D97" s="221" t="s">
        <v>274</v>
      </c>
      <c r="E97" s="222">
        <v>3249202.19</v>
      </c>
    </row>
    <row r="98" spans="1:5" ht="24" hidden="1" outlineLevel="1" x14ac:dyDescent="0.2">
      <c r="A98" s="220" t="s">
        <v>275</v>
      </c>
      <c r="B98" s="221" t="s">
        <v>272</v>
      </c>
      <c r="C98" s="221" t="s">
        <v>105</v>
      </c>
      <c r="D98" s="221" t="s">
        <v>274</v>
      </c>
      <c r="E98" s="222">
        <v>5869201.8700000001</v>
      </c>
    </row>
    <row r="99" spans="1:5" ht="36" hidden="1" outlineLevel="1" x14ac:dyDescent="0.2">
      <c r="A99" s="220" t="s">
        <v>276</v>
      </c>
      <c r="B99" s="221" t="s">
        <v>277</v>
      </c>
      <c r="C99" s="221" t="s">
        <v>113</v>
      </c>
      <c r="D99" s="221" t="s">
        <v>278</v>
      </c>
      <c r="E99" s="222">
        <v>1000</v>
      </c>
    </row>
    <row r="100" spans="1:5" ht="48" hidden="1" outlineLevel="1" x14ac:dyDescent="0.2">
      <c r="A100" s="220" t="s">
        <v>279</v>
      </c>
      <c r="B100" s="221" t="s">
        <v>280</v>
      </c>
      <c r="C100" s="221" t="s">
        <v>113</v>
      </c>
      <c r="D100" s="221" t="s">
        <v>281</v>
      </c>
      <c r="E100" s="222">
        <v>50427.75</v>
      </c>
    </row>
    <row r="101" spans="1:5" ht="24" hidden="1" outlineLevel="1" x14ac:dyDescent="0.2">
      <c r="A101" s="220" t="s">
        <v>282</v>
      </c>
      <c r="B101" s="221" t="s">
        <v>138</v>
      </c>
      <c r="C101" s="221" t="s">
        <v>283</v>
      </c>
      <c r="D101" s="221" t="s">
        <v>284</v>
      </c>
      <c r="E101" s="222">
        <v>10140.19</v>
      </c>
    </row>
    <row r="102" spans="1:5" ht="84" hidden="1" outlineLevel="1" x14ac:dyDescent="0.2">
      <c r="A102" s="220" t="s">
        <v>285</v>
      </c>
      <c r="B102" s="221" t="s">
        <v>272</v>
      </c>
      <c r="C102" s="221" t="s">
        <v>189</v>
      </c>
      <c r="D102" s="221" t="s">
        <v>286</v>
      </c>
      <c r="E102" s="222">
        <v>1646525.07</v>
      </c>
    </row>
    <row r="103" spans="1:5" ht="48" hidden="1" outlineLevel="1" x14ac:dyDescent="0.2">
      <c r="A103" s="220" t="s">
        <v>287</v>
      </c>
      <c r="B103" s="221" t="s">
        <v>280</v>
      </c>
      <c r="C103" s="221" t="s">
        <v>189</v>
      </c>
      <c r="D103" s="221" t="s">
        <v>281</v>
      </c>
      <c r="E103" s="222">
        <v>50427.75</v>
      </c>
    </row>
    <row r="104" spans="1:5" ht="24" hidden="1" outlineLevel="1" x14ac:dyDescent="0.2">
      <c r="A104" s="220" t="s">
        <v>288</v>
      </c>
      <c r="B104" s="221" t="s">
        <v>272</v>
      </c>
      <c r="C104" s="221" t="s">
        <v>189</v>
      </c>
      <c r="D104" s="221" t="s">
        <v>289</v>
      </c>
      <c r="E104" s="222">
        <v>0.9</v>
      </c>
    </row>
    <row r="105" spans="1:5" ht="24" hidden="1" outlineLevel="1" x14ac:dyDescent="0.2">
      <c r="A105" s="220" t="s">
        <v>290</v>
      </c>
      <c r="B105" s="221" t="s">
        <v>138</v>
      </c>
      <c r="C105" s="221" t="s">
        <v>291</v>
      </c>
      <c r="D105" s="221" t="s">
        <v>284</v>
      </c>
      <c r="E105" s="222">
        <v>8467.0499999999993</v>
      </c>
    </row>
    <row r="106" spans="1:5" ht="48" hidden="1" outlineLevel="1" x14ac:dyDescent="0.2">
      <c r="A106" s="220" t="s">
        <v>292</v>
      </c>
      <c r="B106" s="221" t="s">
        <v>280</v>
      </c>
      <c r="C106" s="221" t="s">
        <v>293</v>
      </c>
      <c r="D106" s="221" t="s">
        <v>281</v>
      </c>
      <c r="E106" s="222">
        <v>50427.75</v>
      </c>
    </row>
    <row r="107" spans="1:5" ht="48" hidden="1" outlineLevel="1" x14ac:dyDescent="0.2">
      <c r="A107" s="220" t="s">
        <v>294</v>
      </c>
      <c r="B107" s="221" t="s">
        <v>280</v>
      </c>
      <c r="C107" s="221" t="s">
        <v>123</v>
      </c>
      <c r="D107" s="221" t="s">
        <v>281</v>
      </c>
      <c r="E107" s="222">
        <v>50427.75</v>
      </c>
    </row>
    <row r="108" spans="1:5" ht="60" hidden="1" outlineLevel="1" x14ac:dyDescent="0.2">
      <c r="A108" s="220" t="s">
        <v>295</v>
      </c>
      <c r="B108" s="221" t="s">
        <v>138</v>
      </c>
      <c r="C108" s="221" t="s">
        <v>123</v>
      </c>
      <c r="D108" s="221" t="s">
        <v>296</v>
      </c>
      <c r="E108" s="222">
        <v>29655.95</v>
      </c>
    </row>
    <row r="109" spans="1:5" ht="84" hidden="1" outlineLevel="1" x14ac:dyDescent="0.2">
      <c r="A109" s="220" t="s">
        <v>297</v>
      </c>
      <c r="B109" s="221" t="s">
        <v>272</v>
      </c>
      <c r="C109" s="221" t="s">
        <v>126</v>
      </c>
      <c r="D109" s="221" t="s">
        <v>286</v>
      </c>
      <c r="E109" s="222">
        <v>159965.43</v>
      </c>
    </row>
    <row r="110" spans="1:5" ht="48" hidden="1" outlineLevel="1" x14ac:dyDescent="0.2">
      <c r="A110" s="220" t="s">
        <v>298</v>
      </c>
      <c r="B110" s="221" t="s">
        <v>280</v>
      </c>
      <c r="C110" s="221" t="s">
        <v>299</v>
      </c>
      <c r="D110" s="221" t="s">
        <v>281</v>
      </c>
      <c r="E110" s="222">
        <v>27653.93</v>
      </c>
    </row>
    <row r="111" spans="1:5" ht="24" hidden="1" outlineLevel="1" x14ac:dyDescent="0.2">
      <c r="A111" s="220" t="s">
        <v>300</v>
      </c>
      <c r="B111" s="221" t="s">
        <v>301</v>
      </c>
      <c r="C111" s="221" t="s">
        <v>299</v>
      </c>
      <c r="D111" s="221" t="s">
        <v>151</v>
      </c>
      <c r="E111" s="222">
        <v>885</v>
      </c>
    </row>
    <row r="112" spans="1:5" ht="24" hidden="1" outlineLevel="1" x14ac:dyDescent="0.2">
      <c r="A112" s="220" t="s">
        <v>302</v>
      </c>
      <c r="B112" s="221" t="s">
        <v>301</v>
      </c>
      <c r="C112" s="221" t="s">
        <v>299</v>
      </c>
      <c r="D112" s="221" t="s">
        <v>151</v>
      </c>
      <c r="E112" s="222">
        <v>885</v>
      </c>
    </row>
    <row r="113" spans="1:5" ht="84" hidden="1" outlineLevel="1" x14ac:dyDescent="0.2">
      <c r="A113" s="220" t="s">
        <v>303</v>
      </c>
      <c r="B113" s="221" t="s">
        <v>272</v>
      </c>
      <c r="C113" s="221" t="s">
        <v>214</v>
      </c>
      <c r="D113" s="221" t="s">
        <v>286</v>
      </c>
      <c r="E113" s="222">
        <v>2945585.3</v>
      </c>
    </row>
    <row r="114" spans="1:5" ht="36" hidden="1" outlineLevel="1" x14ac:dyDescent="0.2">
      <c r="A114" s="220" t="s">
        <v>304</v>
      </c>
      <c r="B114" s="221" t="s">
        <v>305</v>
      </c>
      <c r="C114" s="221" t="s">
        <v>306</v>
      </c>
      <c r="D114" s="221" t="s">
        <v>307</v>
      </c>
      <c r="E114" s="222">
        <v>170</v>
      </c>
    </row>
    <row r="115" spans="1:5" ht="24" hidden="1" outlineLevel="1" x14ac:dyDescent="0.2">
      <c r="A115" s="220" t="s">
        <v>308</v>
      </c>
      <c r="B115" s="221" t="s">
        <v>138</v>
      </c>
      <c r="C115" s="221" t="s">
        <v>309</v>
      </c>
      <c r="D115" s="221" t="s">
        <v>284</v>
      </c>
      <c r="E115" s="222">
        <v>4843.49</v>
      </c>
    </row>
    <row r="116" spans="1:5" ht="60" hidden="1" outlineLevel="1" x14ac:dyDescent="0.2">
      <c r="A116" s="220" t="s">
        <v>310</v>
      </c>
      <c r="B116" s="221" t="s">
        <v>138</v>
      </c>
      <c r="C116" s="221" t="s">
        <v>223</v>
      </c>
      <c r="D116" s="221" t="s">
        <v>311</v>
      </c>
      <c r="E116" s="222">
        <v>20344838.949999999</v>
      </c>
    </row>
    <row r="117" spans="1:5" ht="84" hidden="1" outlineLevel="1" x14ac:dyDescent="0.2">
      <c r="A117" s="220" t="s">
        <v>312</v>
      </c>
      <c r="B117" s="221" t="s">
        <v>272</v>
      </c>
      <c r="C117" s="221" t="s">
        <v>231</v>
      </c>
      <c r="D117" s="221" t="s">
        <v>286</v>
      </c>
      <c r="E117" s="222">
        <v>1433610.51</v>
      </c>
    </row>
    <row r="118" spans="1:5" ht="24" hidden="1" outlineLevel="1" x14ac:dyDescent="0.2">
      <c r="A118" s="220" t="s">
        <v>313</v>
      </c>
      <c r="B118" s="221" t="s">
        <v>272</v>
      </c>
      <c r="C118" s="221" t="s">
        <v>231</v>
      </c>
      <c r="D118" s="221" t="s">
        <v>289</v>
      </c>
      <c r="E118" s="222">
        <v>6236.72</v>
      </c>
    </row>
    <row r="119" spans="1:5" ht="60" hidden="1" outlineLevel="1" x14ac:dyDescent="0.2">
      <c r="A119" s="220" t="s">
        <v>314</v>
      </c>
      <c r="B119" s="221" t="s">
        <v>138</v>
      </c>
      <c r="C119" s="221" t="s">
        <v>231</v>
      </c>
      <c r="D119" s="221" t="s">
        <v>311</v>
      </c>
      <c r="E119" s="222">
        <v>48076890.600000001</v>
      </c>
    </row>
    <row r="120" spans="1:5" ht="84" hidden="1" outlineLevel="1" x14ac:dyDescent="0.2">
      <c r="A120" s="220" t="s">
        <v>315</v>
      </c>
      <c r="B120" s="221" t="s">
        <v>272</v>
      </c>
      <c r="C120" s="221" t="s">
        <v>235</v>
      </c>
      <c r="D120" s="221" t="s">
        <v>286</v>
      </c>
      <c r="E120" s="222">
        <v>2945585.3</v>
      </c>
    </row>
    <row r="121" spans="1:5" ht="60" hidden="1" outlineLevel="1" x14ac:dyDescent="0.2">
      <c r="A121" s="220" t="s">
        <v>316</v>
      </c>
      <c r="B121" s="221" t="s">
        <v>138</v>
      </c>
      <c r="C121" s="221" t="s">
        <v>235</v>
      </c>
      <c r="D121" s="221" t="s">
        <v>311</v>
      </c>
      <c r="E121" s="222">
        <v>19465336.170000002</v>
      </c>
    </row>
    <row r="122" spans="1:5" ht="12.75" collapsed="1" x14ac:dyDescent="0.2">
      <c r="A122" s="425" t="s">
        <v>317</v>
      </c>
      <c r="B122" s="425"/>
      <c r="C122" s="425"/>
      <c r="D122" s="425"/>
      <c r="E122" s="219">
        <v>134532320.80000001</v>
      </c>
    </row>
    <row r="123" spans="1:5" ht="24" hidden="1" outlineLevel="1" x14ac:dyDescent="0.2">
      <c r="A123" s="220" t="s">
        <v>318</v>
      </c>
      <c r="B123" s="221" t="s">
        <v>319</v>
      </c>
      <c r="C123" s="221" t="s">
        <v>320</v>
      </c>
      <c r="D123" s="221" t="s">
        <v>321</v>
      </c>
      <c r="E123" s="222">
        <v>1246369.3700000001</v>
      </c>
    </row>
    <row r="124" spans="1:5" ht="24" hidden="1" outlineLevel="1" x14ac:dyDescent="0.2">
      <c r="A124" s="220" t="s">
        <v>322</v>
      </c>
      <c r="B124" s="221" t="s">
        <v>319</v>
      </c>
      <c r="C124" s="221" t="s">
        <v>320</v>
      </c>
      <c r="D124" s="221" t="s">
        <v>321</v>
      </c>
      <c r="E124" s="222">
        <v>4501239.8899999997</v>
      </c>
    </row>
    <row r="125" spans="1:5" ht="24" hidden="1" outlineLevel="1" x14ac:dyDescent="0.2">
      <c r="A125" s="220" t="s">
        <v>323</v>
      </c>
      <c r="B125" s="221" t="s">
        <v>319</v>
      </c>
      <c r="C125" s="221" t="s">
        <v>320</v>
      </c>
      <c r="D125" s="221" t="s">
        <v>321</v>
      </c>
      <c r="E125" s="222">
        <v>34438.86</v>
      </c>
    </row>
    <row r="126" spans="1:5" ht="24" hidden="1" outlineLevel="1" x14ac:dyDescent="0.2">
      <c r="A126" s="220" t="s">
        <v>324</v>
      </c>
      <c r="B126" s="221" t="s">
        <v>319</v>
      </c>
      <c r="C126" s="221" t="s">
        <v>320</v>
      </c>
      <c r="D126" s="221" t="s">
        <v>321</v>
      </c>
      <c r="E126" s="222">
        <v>534191.93999999994</v>
      </c>
    </row>
    <row r="127" spans="1:5" ht="24" hidden="1" outlineLevel="1" x14ac:dyDescent="0.2">
      <c r="A127" s="220" t="s">
        <v>325</v>
      </c>
      <c r="B127" s="221" t="s">
        <v>319</v>
      </c>
      <c r="C127" s="221" t="s">
        <v>320</v>
      </c>
      <c r="D127" s="221" t="s">
        <v>321</v>
      </c>
      <c r="E127" s="222">
        <v>2029122.09</v>
      </c>
    </row>
    <row r="128" spans="1:5" ht="24" hidden="1" outlineLevel="1" x14ac:dyDescent="0.2">
      <c r="A128" s="220" t="s">
        <v>326</v>
      </c>
      <c r="B128" s="221" t="s">
        <v>319</v>
      </c>
      <c r="C128" s="221" t="s">
        <v>320</v>
      </c>
      <c r="D128" s="221" t="s">
        <v>321</v>
      </c>
      <c r="E128" s="222">
        <v>330991.52</v>
      </c>
    </row>
    <row r="129" spans="1:5" ht="24" hidden="1" outlineLevel="1" x14ac:dyDescent="0.2">
      <c r="A129" s="220" t="s">
        <v>327</v>
      </c>
      <c r="B129" s="221" t="s">
        <v>319</v>
      </c>
      <c r="C129" s="221" t="s">
        <v>320</v>
      </c>
      <c r="D129" s="221" t="s">
        <v>321</v>
      </c>
      <c r="E129" s="222">
        <v>95359.96</v>
      </c>
    </row>
    <row r="130" spans="1:5" ht="24" hidden="1" outlineLevel="1" x14ac:dyDescent="0.2">
      <c r="A130" s="220" t="s">
        <v>328</v>
      </c>
      <c r="B130" s="221" t="s">
        <v>319</v>
      </c>
      <c r="C130" s="221" t="s">
        <v>320</v>
      </c>
      <c r="D130" s="221" t="s">
        <v>321</v>
      </c>
      <c r="E130" s="222">
        <v>21201.16</v>
      </c>
    </row>
    <row r="131" spans="1:5" ht="24" hidden="1" outlineLevel="1" x14ac:dyDescent="0.2">
      <c r="A131" s="220" t="s">
        <v>329</v>
      </c>
      <c r="B131" s="221" t="s">
        <v>319</v>
      </c>
      <c r="C131" s="221" t="s">
        <v>320</v>
      </c>
      <c r="D131" s="221" t="s">
        <v>321</v>
      </c>
      <c r="E131" s="222">
        <v>3163032.63</v>
      </c>
    </row>
    <row r="132" spans="1:5" ht="24" hidden="1" outlineLevel="1" x14ac:dyDescent="0.2">
      <c r="A132" s="220" t="s">
        <v>330</v>
      </c>
      <c r="B132" s="221" t="s">
        <v>319</v>
      </c>
      <c r="C132" s="221" t="s">
        <v>320</v>
      </c>
      <c r="D132" s="221" t="s">
        <v>321</v>
      </c>
      <c r="E132" s="222">
        <v>5740899.9900000002</v>
      </c>
    </row>
    <row r="133" spans="1:5" ht="24" hidden="1" outlineLevel="1" x14ac:dyDescent="0.2">
      <c r="A133" s="220" t="s">
        <v>331</v>
      </c>
      <c r="B133" s="221" t="s">
        <v>319</v>
      </c>
      <c r="C133" s="221" t="s">
        <v>320</v>
      </c>
      <c r="D133" s="221" t="s">
        <v>321</v>
      </c>
      <c r="E133" s="222">
        <v>104066.84</v>
      </c>
    </row>
    <row r="134" spans="1:5" ht="24" hidden="1" outlineLevel="1" x14ac:dyDescent="0.2">
      <c r="A134" s="220" t="s">
        <v>332</v>
      </c>
      <c r="B134" s="221" t="s">
        <v>319</v>
      </c>
      <c r="C134" s="221" t="s">
        <v>320</v>
      </c>
      <c r="D134" s="221" t="s">
        <v>321</v>
      </c>
      <c r="E134" s="222">
        <v>368826.97</v>
      </c>
    </row>
    <row r="135" spans="1:5" ht="24" hidden="1" outlineLevel="1" x14ac:dyDescent="0.2">
      <c r="A135" s="220" t="s">
        <v>333</v>
      </c>
      <c r="B135" s="221" t="s">
        <v>319</v>
      </c>
      <c r="C135" s="221" t="s">
        <v>320</v>
      </c>
      <c r="D135" s="221" t="s">
        <v>321</v>
      </c>
      <c r="E135" s="222">
        <v>1997802.03</v>
      </c>
    </row>
    <row r="136" spans="1:5" ht="24" hidden="1" outlineLevel="1" x14ac:dyDescent="0.2">
      <c r="A136" s="220" t="s">
        <v>334</v>
      </c>
      <c r="B136" s="221" t="s">
        <v>319</v>
      </c>
      <c r="C136" s="221" t="s">
        <v>320</v>
      </c>
      <c r="D136" s="221" t="s">
        <v>321</v>
      </c>
      <c r="E136" s="222">
        <v>12841.16</v>
      </c>
    </row>
    <row r="137" spans="1:5" ht="24" hidden="1" outlineLevel="1" x14ac:dyDescent="0.2">
      <c r="A137" s="220" t="s">
        <v>335</v>
      </c>
      <c r="B137" s="221" t="s">
        <v>319</v>
      </c>
      <c r="C137" s="221" t="s">
        <v>320</v>
      </c>
      <c r="D137" s="221" t="s">
        <v>321</v>
      </c>
      <c r="E137" s="222">
        <v>135281.17000000001</v>
      </c>
    </row>
    <row r="138" spans="1:5" ht="24" hidden="1" outlineLevel="1" x14ac:dyDescent="0.2">
      <c r="A138" s="220" t="s">
        <v>336</v>
      </c>
      <c r="B138" s="221" t="s">
        <v>319</v>
      </c>
      <c r="C138" s="221" t="s">
        <v>320</v>
      </c>
      <c r="D138" s="221" t="s">
        <v>321</v>
      </c>
      <c r="E138" s="222">
        <v>7352.65</v>
      </c>
    </row>
    <row r="139" spans="1:5" ht="24" hidden="1" outlineLevel="1" x14ac:dyDescent="0.2">
      <c r="A139" s="220" t="s">
        <v>337</v>
      </c>
      <c r="B139" s="221" t="s">
        <v>319</v>
      </c>
      <c r="C139" s="221" t="s">
        <v>338</v>
      </c>
      <c r="D139" s="221" t="s">
        <v>321</v>
      </c>
      <c r="E139" s="222">
        <v>26423.08</v>
      </c>
    </row>
    <row r="140" spans="1:5" ht="24" hidden="1" outlineLevel="1" x14ac:dyDescent="0.2">
      <c r="A140" s="220" t="s">
        <v>339</v>
      </c>
      <c r="B140" s="221" t="s">
        <v>319</v>
      </c>
      <c r="C140" s="221" t="s">
        <v>338</v>
      </c>
      <c r="D140" s="221" t="s">
        <v>321</v>
      </c>
      <c r="E140" s="222">
        <v>774144.28</v>
      </c>
    </row>
    <row r="141" spans="1:5" ht="24" hidden="1" outlineLevel="1" x14ac:dyDescent="0.2">
      <c r="A141" s="220" t="s">
        <v>340</v>
      </c>
      <c r="B141" s="221" t="s">
        <v>319</v>
      </c>
      <c r="C141" s="221" t="s">
        <v>338</v>
      </c>
      <c r="D141" s="221" t="s">
        <v>321</v>
      </c>
      <c r="E141" s="222">
        <v>1207140</v>
      </c>
    </row>
    <row r="142" spans="1:5" ht="24" hidden="1" outlineLevel="1" x14ac:dyDescent="0.2">
      <c r="A142" s="220" t="s">
        <v>341</v>
      </c>
      <c r="B142" s="221" t="s">
        <v>319</v>
      </c>
      <c r="C142" s="221" t="s">
        <v>338</v>
      </c>
      <c r="D142" s="221" t="s">
        <v>321</v>
      </c>
      <c r="E142" s="222">
        <v>1464.21</v>
      </c>
    </row>
    <row r="143" spans="1:5" ht="24" hidden="1" outlineLevel="1" x14ac:dyDescent="0.2">
      <c r="A143" s="220" t="s">
        <v>342</v>
      </c>
      <c r="B143" s="221" t="s">
        <v>319</v>
      </c>
      <c r="C143" s="221" t="s">
        <v>338</v>
      </c>
      <c r="D143" s="221" t="s">
        <v>321</v>
      </c>
      <c r="E143" s="222">
        <v>748268.2</v>
      </c>
    </row>
    <row r="144" spans="1:5" ht="24" hidden="1" outlineLevel="1" x14ac:dyDescent="0.2">
      <c r="A144" s="220" t="s">
        <v>343</v>
      </c>
      <c r="B144" s="221" t="s">
        <v>319</v>
      </c>
      <c r="C144" s="221" t="s">
        <v>338</v>
      </c>
      <c r="D144" s="221" t="s">
        <v>321</v>
      </c>
      <c r="E144" s="222">
        <v>27330.12</v>
      </c>
    </row>
    <row r="145" spans="1:5" ht="24" hidden="1" outlineLevel="1" x14ac:dyDescent="0.2">
      <c r="A145" s="220" t="s">
        <v>344</v>
      </c>
      <c r="B145" s="221" t="s">
        <v>319</v>
      </c>
      <c r="C145" s="221" t="s">
        <v>345</v>
      </c>
      <c r="D145" s="221" t="s">
        <v>321</v>
      </c>
      <c r="E145" s="222">
        <v>1971500.24</v>
      </c>
    </row>
    <row r="146" spans="1:5" ht="24" hidden="1" outlineLevel="1" x14ac:dyDescent="0.2">
      <c r="A146" s="220" t="s">
        <v>346</v>
      </c>
      <c r="B146" s="221" t="s">
        <v>254</v>
      </c>
      <c r="C146" s="221" t="s">
        <v>347</v>
      </c>
      <c r="D146" s="221" t="s">
        <v>321</v>
      </c>
      <c r="E146" s="222">
        <v>161680.5</v>
      </c>
    </row>
    <row r="147" spans="1:5" ht="24" hidden="1" outlineLevel="1" x14ac:dyDescent="0.2">
      <c r="A147" s="220" t="s">
        <v>348</v>
      </c>
      <c r="B147" s="221" t="s">
        <v>254</v>
      </c>
      <c r="C147" s="221" t="s">
        <v>349</v>
      </c>
      <c r="D147" s="221" t="s">
        <v>321</v>
      </c>
      <c r="E147" s="222">
        <v>288008.5</v>
      </c>
    </row>
    <row r="148" spans="1:5" ht="24" hidden="1" outlineLevel="1" x14ac:dyDescent="0.2">
      <c r="A148" s="220" t="s">
        <v>350</v>
      </c>
      <c r="B148" s="221" t="s">
        <v>254</v>
      </c>
      <c r="C148" s="221" t="s">
        <v>349</v>
      </c>
      <c r="D148" s="221" t="s">
        <v>321</v>
      </c>
      <c r="E148" s="222">
        <v>177441.2</v>
      </c>
    </row>
    <row r="149" spans="1:5" ht="24" hidden="1" outlineLevel="1" x14ac:dyDescent="0.2">
      <c r="A149" s="220" t="s">
        <v>351</v>
      </c>
      <c r="B149" s="221" t="s">
        <v>254</v>
      </c>
      <c r="C149" s="221" t="s">
        <v>349</v>
      </c>
      <c r="D149" s="221" t="s">
        <v>321</v>
      </c>
      <c r="E149" s="222">
        <v>447027.52</v>
      </c>
    </row>
    <row r="150" spans="1:5" ht="24" hidden="1" outlineLevel="1" x14ac:dyDescent="0.2">
      <c r="A150" s="220" t="s">
        <v>352</v>
      </c>
      <c r="B150" s="221" t="s">
        <v>254</v>
      </c>
      <c r="C150" s="221" t="s">
        <v>349</v>
      </c>
      <c r="D150" s="221" t="s">
        <v>321</v>
      </c>
      <c r="E150" s="222">
        <v>618091.07999999996</v>
      </c>
    </row>
    <row r="151" spans="1:5" ht="24" hidden="1" outlineLevel="1" x14ac:dyDescent="0.2">
      <c r="A151" s="220" t="s">
        <v>353</v>
      </c>
      <c r="B151" s="221" t="s">
        <v>254</v>
      </c>
      <c r="C151" s="221" t="s">
        <v>349</v>
      </c>
      <c r="D151" s="221" t="s">
        <v>321</v>
      </c>
      <c r="E151" s="222">
        <v>522680.07</v>
      </c>
    </row>
    <row r="152" spans="1:5" ht="24" hidden="1" outlineLevel="1" x14ac:dyDescent="0.2">
      <c r="A152" s="220" t="s">
        <v>354</v>
      </c>
      <c r="B152" s="221" t="s">
        <v>254</v>
      </c>
      <c r="C152" s="221" t="s">
        <v>349</v>
      </c>
      <c r="D152" s="221" t="s">
        <v>321</v>
      </c>
      <c r="E152" s="222">
        <v>351237.73</v>
      </c>
    </row>
    <row r="153" spans="1:5" ht="24" hidden="1" outlineLevel="1" x14ac:dyDescent="0.2">
      <c r="A153" s="220" t="s">
        <v>355</v>
      </c>
      <c r="B153" s="221" t="s">
        <v>254</v>
      </c>
      <c r="C153" s="221" t="s">
        <v>349</v>
      </c>
      <c r="D153" s="221" t="s">
        <v>321</v>
      </c>
      <c r="E153" s="222">
        <v>1083461.32</v>
      </c>
    </row>
    <row r="154" spans="1:5" ht="24" hidden="1" outlineLevel="1" x14ac:dyDescent="0.2">
      <c r="A154" s="220" t="s">
        <v>356</v>
      </c>
      <c r="B154" s="221" t="s">
        <v>254</v>
      </c>
      <c r="C154" s="221" t="s">
        <v>349</v>
      </c>
      <c r="D154" s="221" t="s">
        <v>321</v>
      </c>
      <c r="E154" s="222">
        <v>524850.94999999995</v>
      </c>
    </row>
    <row r="155" spans="1:5" ht="24" hidden="1" outlineLevel="1" x14ac:dyDescent="0.2">
      <c r="A155" s="220" t="s">
        <v>357</v>
      </c>
      <c r="B155" s="221" t="s">
        <v>254</v>
      </c>
      <c r="C155" s="221" t="s">
        <v>349</v>
      </c>
      <c r="D155" s="221" t="s">
        <v>321</v>
      </c>
      <c r="E155" s="222">
        <v>2330508.41</v>
      </c>
    </row>
    <row r="156" spans="1:5" ht="24" hidden="1" outlineLevel="1" x14ac:dyDescent="0.2">
      <c r="A156" s="220" t="s">
        <v>358</v>
      </c>
      <c r="B156" s="221" t="s">
        <v>254</v>
      </c>
      <c r="C156" s="221" t="s">
        <v>349</v>
      </c>
      <c r="D156" s="221" t="s">
        <v>321</v>
      </c>
      <c r="E156" s="222">
        <v>470569.65</v>
      </c>
    </row>
    <row r="157" spans="1:5" ht="24" hidden="1" outlineLevel="1" x14ac:dyDescent="0.2">
      <c r="A157" s="220" t="s">
        <v>359</v>
      </c>
      <c r="B157" s="221" t="s">
        <v>254</v>
      </c>
      <c r="C157" s="221" t="s">
        <v>349</v>
      </c>
      <c r="D157" s="221" t="s">
        <v>321</v>
      </c>
      <c r="E157" s="222">
        <v>539429.22</v>
      </c>
    </row>
    <row r="158" spans="1:5" ht="24" hidden="1" outlineLevel="1" x14ac:dyDescent="0.2">
      <c r="A158" s="220" t="s">
        <v>360</v>
      </c>
      <c r="B158" s="221" t="s">
        <v>254</v>
      </c>
      <c r="C158" s="221" t="s">
        <v>349</v>
      </c>
      <c r="D158" s="221" t="s">
        <v>321</v>
      </c>
      <c r="E158" s="222">
        <v>198277.89</v>
      </c>
    </row>
    <row r="159" spans="1:5" ht="24" hidden="1" outlineLevel="1" x14ac:dyDescent="0.2">
      <c r="A159" s="220" t="s">
        <v>361</v>
      </c>
      <c r="B159" s="221" t="s">
        <v>254</v>
      </c>
      <c r="C159" s="221" t="s">
        <v>349</v>
      </c>
      <c r="D159" s="221" t="s">
        <v>321</v>
      </c>
      <c r="E159" s="222">
        <v>219069.15</v>
      </c>
    </row>
    <row r="160" spans="1:5" ht="24" hidden="1" outlineLevel="1" x14ac:dyDescent="0.2">
      <c r="A160" s="220" t="s">
        <v>362</v>
      </c>
      <c r="B160" s="221" t="s">
        <v>254</v>
      </c>
      <c r="C160" s="221" t="s">
        <v>349</v>
      </c>
      <c r="D160" s="221" t="s">
        <v>321</v>
      </c>
      <c r="E160" s="222">
        <v>315078.57</v>
      </c>
    </row>
    <row r="161" spans="1:5" ht="24" hidden="1" outlineLevel="1" x14ac:dyDescent="0.2">
      <c r="A161" s="220" t="s">
        <v>363</v>
      </c>
      <c r="B161" s="221" t="s">
        <v>254</v>
      </c>
      <c r="C161" s="221" t="s">
        <v>349</v>
      </c>
      <c r="D161" s="221" t="s">
        <v>321</v>
      </c>
      <c r="E161" s="222">
        <v>269967.73</v>
      </c>
    </row>
    <row r="162" spans="1:5" ht="24" hidden="1" outlineLevel="1" x14ac:dyDescent="0.2">
      <c r="A162" s="220" t="s">
        <v>364</v>
      </c>
      <c r="B162" s="221" t="s">
        <v>254</v>
      </c>
      <c r="C162" s="221" t="s">
        <v>349</v>
      </c>
      <c r="D162" s="221" t="s">
        <v>321</v>
      </c>
      <c r="E162" s="222">
        <v>923511.96</v>
      </c>
    </row>
    <row r="163" spans="1:5" ht="24" hidden="1" outlineLevel="1" x14ac:dyDescent="0.2">
      <c r="A163" s="220" t="s">
        <v>365</v>
      </c>
      <c r="B163" s="221" t="s">
        <v>254</v>
      </c>
      <c r="C163" s="221" t="s">
        <v>349</v>
      </c>
      <c r="D163" s="221" t="s">
        <v>321</v>
      </c>
      <c r="E163" s="222">
        <v>1363847.92</v>
      </c>
    </row>
    <row r="164" spans="1:5" ht="24" hidden="1" outlineLevel="1" x14ac:dyDescent="0.2">
      <c r="A164" s="220" t="s">
        <v>366</v>
      </c>
      <c r="B164" s="221" t="s">
        <v>254</v>
      </c>
      <c r="C164" s="221" t="s">
        <v>349</v>
      </c>
      <c r="D164" s="221" t="s">
        <v>321</v>
      </c>
      <c r="E164" s="222">
        <v>222240.32</v>
      </c>
    </row>
    <row r="165" spans="1:5" ht="24" hidden="1" outlineLevel="1" x14ac:dyDescent="0.2">
      <c r="A165" s="220" t="s">
        <v>367</v>
      </c>
      <c r="B165" s="221" t="s">
        <v>254</v>
      </c>
      <c r="C165" s="221" t="s">
        <v>349</v>
      </c>
      <c r="D165" s="221" t="s">
        <v>321</v>
      </c>
      <c r="E165" s="222">
        <v>46205.98</v>
      </c>
    </row>
    <row r="166" spans="1:5" ht="24" hidden="1" outlineLevel="1" x14ac:dyDescent="0.2">
      <c r="A166" s="220" t="s">
        <v>368</v>
      </c>
      <c r="B166" s="221" t="s">
        <v>254</v>
      </c>
      <c r="C166" s="221" t="s">
        <v>349</v>
      </c>
      <c r="D166" s="221" t="s">
        <v>321</v>
      </c>
      <c r="E166" s="222">
        <v>1126055.96</v>
      </c>
    </row>
    <row r="167" spans="1:5" ht="24" hidden="1" outlineLevel="1" x14ac:dyDescent="0.2">
      <c r="A167" s="220" t="s">
        <v>369</v>
      </c>
      <c r="B167" s="221" t="s">
        <v>254</v>
      </c>
      <c r="C167" s="221" t="s">
        <v>349</v>
      </c>
      <c r="D167" s="221" t="s">
        <v>321</v>
      </c>
      <c r="E167" s="222">
        <v>320272.69</v>
      </c>
    </row>
    <row r="168" spans="1:5" ht="24" hidden="1" outlineLevel="1" x14ac:dyDescent="0.2">
      <c r="A168" s="220" t="s">
        <v>370</v>
      </c>
      <c r="B168" s="221" t="s">
        <v>254</v>
      </c>
      <c r="C168" s="221" t="s">
        <v>349</v>
      </c>
      <c r="D168" s="221" t="s">
        <v>321</v>
      </c>
      <c r="E168" s="222">
        <v>140514.18</v>
      </c>
    </row>
    <row r="169" spans="1:5" ht="24" hidden="1" outlineLevel="1" x14ac:dyDescent="0.2">
      <c r="A169" s="220" t="s">
        <v>371</v>
      </c>
      <c r="B169" s="221" t="s">
        <v>254</v>
      </c>
      <c r="C169" s="221" t="s">
        <v>349</v>
      </c>
      <c r="D169" s="221" t="s">
        <v>321</v>
      </c>
      <c r="E169" s="222">
        <v>627174.09</v>
      </c>
    </row>
    <row r="170" spans="1:5" ht="24" hidden="1" outlineLevel="1" x14ac:dyDescent="0.2">
      <c r="A170" s="220" t="s">
        <v>372</v>
      </c>
      <c r="B170" s="221" t="s">
        <v>254</v>
      </c>
      <c r="C170" s="221" t="s">
        <v>349</v>
      </c>
      <c r="D170" s="221" t="s">
        <v>321</v>
      </c>
      <c r="E170" s="222">
        <v>133021.57</v>
      </c>
    </row>
    <row r="171" spans="1:5" ht="24" hidden="1" outlineLevel="1" x14ac:dyDescent="0.2">
      <c r="A171" s="220" t="s">
        <v>373</v>
      </c>
      <c r="B171" s="221" t="s">
        <v>254</v>
      </c>
      <c r="C171" s="221" t="s">
        <v>349</v>
      </c>
      <c r="D171" s="221" t="s">
        <v>321</v>
      </c>
      <c r="E171" s="222">
        <v>264230.90000000002</v>
      </c>
    </row>
    <row r="172" spans="1:5" ht="24" hidden="1" outlineLevel="1" x14ac:dyDescent="0.2">
      <c r="A172" s="220" t="s">
        <v>374</v>
      </c>
      <c r="B172" s="221" t="s">
        <v>254</v>
      </c>
      <c r="C172" s="221" t="s">
        <v>349</v>
      </c>
      <c r="D172" s="221" t="s">
        <v>321</v>
      </c>
      <c r="E172" s="222">
        <v>1022579.71</v>
      </c>
    </row>
    <row r="173" spans="1:5" ht="24" hidden="1" outlineLevel="1" x14ac:dyDescent="0.2">
      <c r="A173" s="220" t="s">
        <v>375</v>
      </c>
      <c r="B173" s="221" t="s">
        <v>254</v>
      </c>
      <c r="C173" s="221" t="s">
        <v>349</v>
      </c>
      <c r="D173" s="221" t="s">
        <v>321</v>
      </c>
      <c r="E173" s="222">
        <v>936788.53</v>
      </c>
    </row>
    <row r="174" spans="1:5" ht="24" hidden="1" outlineLevel="1" x14ac:dyDescent="0.2">
      <c r="A174" s="220" t="s">
        <v>376</v>
      </c>
      <c r="B174" s="221" t="s">
        <v>254</v>
      </c>
      <c r="C174" s="221" t="s">
        <v>349</v>
      </c>
      <c r="D174" s="221" t="s">
        <v>321</v>
      </c>
      <c r="E174" s="222">
        <v>1974446.25</v>
      </c>
    </row>
    <row r="175" spans="1:5" ht="24" hidden="1" outlineLevel="1" x14ac:dyDescent="0.2">
      <c r="A175" s="220" t="s">
        <v>377</v>
      </c>
      <c r="B175" s="221" t="s">
        <v>254</v>
      </c>
      <c r="C175" s="221" t="s">
        <v>349</v>
      </c>
      <c r="D175" s="221" t="s">
        <v>321</v>
      </c>
      <c r="E175" s="222">
        <v>85922.94</v>
      </c>
    </row>
    <row r="176" spans="1:5" ht="24" hidden="1" outlineLevel="1" x14ac:dyDescent="0.2">
      <c r="A176" s="220" t="s">
        <v>378</v>
      </c>
      <c r="B176" s="221" t="s">
        <v>254</v>
      </c>
      <c r="C176" s="221" t="s">
        <v>349</v>
      </c>
      <c r="D176" s="221" t="s">
        <v>321</v>
      </c>
      <c r="E176" s="222">
        <v>2922173.29</v>
      </c>
    </row>
    <row r="177" spans="1:5" ht="24" hidden="1" outlineLevel="1" x14ac:dyDescent="0.2">
      <c r="A177" s="220" t="s">
        <v>379</v>
      </c>
      <c r="B177" s="221" t="s">
        <v>254</v>
      </c>
      <c r="C177" s="221" t="s">
        <v>349</v>
      </c>
      <c r="D177" s="221" t="s">
        <v>321</v>
      </c>
      <c r="E177" s="222">
        <v>36330.660000000003</v>
      </c>
    </row>
    <row r="178" spans="1:5" ht="24" hidden="1" outlineLevel="1" x14ac:dyDescent="0.2">
      <c r="A178" s="220" t="s">
        <v>380</v>
      </c>
      <c r="B178" s="221" t="s">
        <v>254</v>
      </c>
      <c r="C178" s="221" t="s">
        <v>349</v>
      </c>
      <c r="D178" s="221" t="s">
        <v>321</v>
      </c>
      <c r="E178" s="222">
        <v>457334.44</v>
      </c>
    </row>
    <row r="179" spans="1:5" ht="24" hidden="1" outlineLevel="1" x14ac:dyDescent="0.2">
      <c r="A179" s="220" t="s">
        <v>381</v>
      </c>
      <c r="B179" s="221" t="s">
        <v>254</v>
      </c>
      <c r="C179" s="221" t="s">
        <v>349</v>
      </c>
      <c r="D179" s="221" t="s">
        <v>321</v>
      </c>
      <c r="E179" s="222">
        <v>755771.68</v>
      </c>
    </row>
    <row r="180" spans="1:5" ht="24" hidden="1" outlineLevel="1" x14ac:dyDescent="0.2">
      <c r="A180" s="220" t="s">
        <v>382</v>
      </c>
      <c r="B180" s="221" t="s">
        <v>254</v>
      </c>
      <c r="C180" s="221" t="s">
        <v>349</v>
      </c>
      <c r="D180" s="221" t="s">
        <v>321</v>
      </c>
      <c r="E180" s="222">
        <v>806254.09</v>
      </c>
    </row>
    <row r="181" spans="1:5" ht="24" hidden="1" outlineLevel="1" x14ac:dyDescent="0.2">
      <c r="A181" s="220" t="s">
        <v>383</v>
      </c>
      <c r="B181" s="221" t="s">
        <v>254</v>
      </c>
      <c r="C181" s="221" t="s">
        <v>349</v>
      </c>
      <c r="D181" s="221" t="s">
        <v>321</v>
      </c>
      <c r="E181" s="222">
        <v>24884.81</v>
      </c>
    </row>
    <row r="182" spans="1:5" ht="24" hidden="1" outlineLevel="1" x14ac:dyDescent="0.2">
      <c r="A182" s="220" t="s">
        <v>384</v>
      </c>
      <c r="B182" s="221" t="s">
        <v>254</v>
      </c>
      <c r="C182" s="221" t="s">
        <v>349</v>
      </c>
      <c r="D182" s="221" t="s">
        <v>321</v>
      </c>
      <c r="E182" s="222">
        <v>568998.34</v>
      </c>
    </row>
    <row r="183" spans="1:5" ht="24" hidden="1" outlineLevel="1" x14ac:dyDescent="0.2">
      <c r="A183" s="220" t="s">
        <v>385</v>
      </c>
      <c r="B183" s="221" t="s">
        <v>254</v>
      </c>
      <c r="C183" s="221" t="s">
        <v>349</v>
      </c>
      <c r="D183" s="221" t="s">
        <v>321</v>
      </c>
      <c r="E183" s="222">
        <v>396147.28</v>
      </c>
    </row>
    <row r="184" spans="1:5" ht="24" hidden="1" outlineLevel="1" x14ac:dyDescent="0.2">
      <c r="A184" s="220" t="s">
        <v>386</v>
      </c>
      <c r="B184" s="221" t="s">
        <v>254</v>
      </c>
      <c r="C184" s="221" t="s">
        <v>349</v>
      </c>
      <c r="D184" s="221" t="s">
        <v>321</v>
      </c>
      <c r="E184" s="222">
        <v>276923.86</v>
      </c>
    </row>
    <row r="185" spans="1:5" ht="24" hidden="1" outlineLevel="1" x14ac:dyDescent="0.2">
      <c r="A185" s="220" t="s">
        <v>387</v>
      </c>
      <c r="B185" s="221" t="s">
        <v>254</v>
      </c>
      <c r="C185" s="221" t="s">
        <v>349</v>
      </c>
      <c r="D185" s="221" t="s">
        <v>321</v>
      </c>
      <c r="E185" s="222">
        <v>457179.98</v>
      </c>
    </row>
    <row r="186" spans="1:5" ht="24" hidden="1" outlineLevel="1" x14ac:dyDescent="0.2">
      <c r="A186" s="220" t="s">
        <v>388</v>
      </c>
      <c r="B186" s="221" t="s">
        <v>254</v>
      </c>
      <c r="C186" s="221" t="s">
        <v>349</v>
      </c>
      <c r="D186" s="221" t="s">
        <v>321</v>
      </c>
      <c r="E186" s="222">
        <v>552626.63</v>
      </c>
    </row>
    <row r="187" spans="1:5" ht="24" hidden="1" outlineLevel="1" x14ac:dyDescent="0.2">
      <c r="A187" s="220" t="s">
        <v>389</v>
      </c>
      <c r="B187" s="221" t="s">
        <v>254</v>
      </c>
      <c r="C187" s="221" t="s">
        <v>349</v>
      </c>
      <c r="D187" s="221" t="s">
        <v>321</v>
      </c>
      <c r="E187" s="222">
        <v>367805.24</v>
      </c>
    </row>
    <row r="188" spans="1:5" ht="24" hidden="1" outlineLevel="1" x14ac:dyDescent="0.2">
      <c r="A188" s="220" t="s">
        <v>390</v>
      </c>
      <c r="B188" s="221" t="s">
        <v>254</v>
      </c>
      <c r="C188" s="221" t="s">
        <v>349</v>
      </c>
      <c r="D188" s="221" t="s">
        <v>321</v>
      </c>
      <c r="E188" s="222">
        <v>2642.01</v>
      </c>
    </row>
    <row r="189" spans="1:5" ht="24" hidden="1" outlineLevel="1" x14ac:dyDescent="0.2">
      <c r="A189" s="220" t="s">
        <v>391</v>
      </c>
      <c r="B189" s="221" t="s">
        <v>254</v>
      </c>
      <c r="C189" s="221" t="s">
        <v>349</v>
      </c>
      <c r="D189" s="221" t="s">
        <v>321</v>
      </c>
      <c r="E189" s="222">
        <v>257302.63</v>
      </c>
    </row>
    <row r="190" spans="1:5" ht="24" hidden="1" outlineLevel="1" x14ac:dyDescent="0.2">
      <c r="A190" s="220" t="s">
        <v>392</v>
      </c>
      <c r="B190" s="221" t="s">
        <v>254</v>
      </c>
      <c r="C190" s="221" t="s">
        <v>349</v>
      </c>
      <c r="D190" s="221" t="s">
        <v>321</v>
      </c>
      <c r="E190" s="222">
        <v>233870.88</v>
      </c>
    </row>
    <row r="191" spans="1:5" ht="24" hidden="1" outlineLevel="1" x14ac:dyDescent="0.2">
      <c r="A191" s="220" t="s">
        <v>393</v>
      </c>
      <c r="B191" s="221" t="s">
        <v>254</v>
      </c>
      <c r="C191" s="221" t="s">
        <v>349</v>
      </c>
      <c r="D191" s="221" t="s">
        <v>321</v>
      </c>
      <c r="E191" s="222">
        <v>127394.96</v>
      </c>
    </row>
    <row r="192" spans="1:5" ht="24" hidden="1" outlineLevel="1" x14ac:dyDescent="0.2">
      <c r="A192" s="220" t="s">
        <v>394</v>
      </c>
      <c r="B192" s="221" t="s">
        <v>254</v>
      </c>
      <c r="C192" s="221" t="s">
        <v>349</v>
      </c>
      <c r="D192" s="221" t="s">
        <v>321</v>
      </c>
      <c r="E192" s="222">
        <v>12437944.48</v>
      </c>
    </row>
    <row r="193" spans="1:5" ht="24" hidden="1" outlineLevel="1" x14ac:dyDescent="0.2">
      <c r="A193" s="220" t="s">
        <v>395</v>
      </c>
      <c r="B193" s="221" t="s">
        <v>254</v>
      </c>
      <c r="C193" s="221" t="s">
        <v>349</v>
      </c>
      <c r="D193" s="221" t="s">
        <v>321</v>
      </c>
      <c r="E193" s="222">
        <v>515217</v>
      </c>
    </row>
    <row r="194" spans="1:5" ht="24" hidden="1" outlineLevel="1" x14ac:dyDescent="0.2">
      <c r="A194" s="220" t="s">
        <v>396</v>
      </c>
      <c r="B194" s="221" t="s">
        <v>254</v>
      </c>
      <c r="C194" s="221" t="s">
        <v>349</v>
      </c>
      <c r="D194" s="221" t="s">
        <v>321</v>
      </c>
      <c r="E194" s="222">
        <v>417381.39</v>
      </c>
    </row>
    <row r="195" spans="1:5" ht="24" hidden="1" outlineLevel="1" x14ac:dyDescent="0.2">
      <c r="A195" s="220" t="s">
        <v>397</v>
      </c>
      <c r="B195" s="221" t="s">
        <v>254</v>
      </c>
      <c r="C195" s="221" t="s">
        <v>349</v>
      </c>
      <c r="D195" s="221" t="s">
        <v>321</v>
      </c>
      <c r="E195" s="222">
        <v>95451.65</v>
      </c>
    </row>
    <row r="196" spans="1:5" ht="24" hidden="1" outlineLevel="1" x14ac:dyDescent="0.2">
      <c r="A196" s="220" t="s">
        <v>398</v>
      </c>
      <c r="B196" s="221" t="s">
        <v>254</v>
      </c>
      <c r="C196" s="221" t="s">
        <v>349</v>
      </c>
      <c r="D196" s="221" t="s">
        <v>321</v>
      </c>
      <c r="E196" s="222">
        <v>273864.67</v>
      </c>
    </row>
    <row r="197" spans="1:5" ht="24" hidden="1" outlineLevel="1" x14ac:dyDescent="0.2">
      <c r="A197" s="220" t="s">
        <v>399</v>
      </c>
      <c r="B197" s="221" t="s">
        <v>254</v>
      </c>
      <c r="C197" s="221" t="s">
        <v>349</v>
      </c>
      <c r="D197" s="221" t="s">
        <v>321</v>
      </c>
      <c r="E197" s="222">
        <v>446051.39</v>
      </c>
    </row>
    <row r="198" spans="1:5" ht="24" hidden="1" outlineLevel="1" x14ac:dyDescent="0.2">
      <c r="A198" s="220" t="s">
        <v>400</v>
      </c>
      <c r="B198" s="221" t="s">
        <v>254</v>
      </c>
      <c r="C198" s="221" t="s">
        <v>349</v>
      </c>
      <c r="D198" s="221" t="s">
        <v>321</v>
      </c>
      <c r="E198" s="222">
        <v>1979458.98</v>
      </c>
    </row>
    <row r="199" spans="1:5" ht="24" hidden="1" outlineLevel="1" x14ac:dyDescent="0.2">
      <c r="A199" s="220" t="s">
        <v>401</v>
      </c>
      <c r="B199" s="221" t="s">
        <v>254</v>
      </c>
      <c r="C199" s="221" t="s">
        <v>349</v>
      </c>
      <c r="D199" s="221" t="s">
        <v>321</v>
      </c>
      <c r="E199" s="222">
        <v>604772.29</v>
      </c>
    </row>
    <row r="200" spans="1:5" ht="24" hidden="1" outlineLevel="1" x14ac:dyDescent="0.2">
      <c r="A200" s="220" t="s">
        <v>402</v>
      </c>
      <c r="B200" s="221" t="s">
        <v>254</v>
      </c>
      <c r="C200" s="221" t="s">
        <v>349</v>
      </c>
      <c r="D200" s="221" t="s">
        <v>321</v>
      </c>
      <c r="E200" s="222">
        <v>1927462.81</v>
      </c>
    </row>
    <row r="201" spans="1:5" ht="24" hidden="1" outlineLevel="1" x14ac:dyDescent="0.2">
      <c r="A201" s="220" t="s">
        <v>403</v>
      </c>
      <c r="B201" s="221" t="s">
        <v>254</v>
      </c>
      <c r="C201" s="221" t="s">
        <v>349</v>
      </c>
      <c r="D201" s="221" t="s">
        <v>321</v>
      </c>
      <c r="E201" s="222">
        <v>35629.980000000003</v>
      </c>
    </row>
    <row r="202" spans="1:5" ht="24" hidden="1" outlineLevel="1" x14ac:dyDescent="0.2">
      <c r="A202" s="220" t="s">
        <v>404</v>
      </c>
      <c r="B202" s="221" t="s">
        <v>254</v>
      </c>
      <c r="C202" s="221" t="s">
        <v>349</v>
      </c>
      <c r="D202" s="221" t="s">
        <v>321</v>
      </c>
      <c r="E202" s="222">
        <v>532574.82999999996</v>
      </c>
    </row>
    <row r="203" spans="1:5" ht="24" hidden="1" outlineLevel="1" x14ac:dyDescent="0.2">
      <c r="A203" s="220" t="s">
        <v>405</v>
      </c>
      <c r="B203" s="221" t="s">
        <v>254</v>
      </c>
      <c r="C203" s="221" t="s">
        <v>349</v>
      </c>
      <c r="D203" s="221" t="s">
        <v>321</v>
      </c>
      <c r="E203" s="222">
        <v>3332340.49</v>
      </c>
    </row>
    <row r="204" spans="1:5" ht="24" hidden="1" outlineLevel="1" x14ac:dyDescent="0.2">
      <c r="A204" s="220" t="s">
        <v>406</v>
      </c>
      <c r="B204" s="221" t="s">
        <v>254</v>
      </c>
      <c r="C204" s="221" t="s">
        <v>349</v>
      </c>
      <c r="D204" s="221" t="s">
        <v>321</v>
      </c>
      <c r="E204" s="222">
        <v>141843.53</v>
      </c>
    </row>
    <row r="205" spans="1:5" ht="24" hidden="1" outlineLevel="1" x14ac:dyDescent="0.2">
      <c r="A205" s="220" t="s">
        <v>407</v>
      </c>
      <c r="B205" s="221" t="s">
        <v>254</v>
      </c>
      <c r="C205" s="221" t="s">
        <v>349</v>
      </c>
      <c r="D205" s="221" t="s">
        <v>321</v>
      </c>
      <c r="E205" s="222">
        <v>336565.09</v>
      </c>
    </row>
    <row r="206" spans="1:5" ht="24" hidden="1" outlineLevel="1" x14ac:dyDescent="0.2">
      <c r="A206" s="220" t="s">
        <v>408</v>
      </c>
      <c r="B206" s="221" t="s">
        <v>254</v>
      </c>
      <c r="C206" s="221" t="s">
        <v>349</v>
      </c>
      <c r="D206" s="221" t="s">
        <v>321</v>
      </c>
      <c r="E206" s="222">
        <v>384229.78</v>
      </c>
    </row>
    <row r="207" spans="1:5" ht="24" hidden="1" outlineLevel="1" x14ac:dyDescent="0.2">
      <c r="A207" s="220" t="s">
        <v>409</v>
      </c>
      <c r="B207" s="221" t="s">
        <v>254</v>
      </c>
      <c r="C207" s="221" t="s">
        <v>349</v>
      </c>
      <c r="D207" s="221" t="s">
        <v>321</v>
      </c>
      <c r="E207" s="222">
        <v>9102</v>
      </c>
    </row>
    <row r="208" spans="1:5" ht="24" hidden="1" outlineLevel="1" x14ac:dyDescent="0.2">
      <c r="A208" s="220" t="s">
        <v>410</v>
      </c>
      <c r="B208" s="221" t="s">
        <v>254</v>
      </c>
      <c r="C208" s="221" t="s">
        <v>349</v>
      </c>
      <c r="D208" s="221" t="s">
        <v>321</v>
      </c>
      <c r="E208" s="222">
        <v>4489377.42</v>
      </c>
    </row>
    <row r="209" spans="1:5" ht="24" hidden="1" outlineLevel="1" x14ac:dyDescent="0.2">
      <c r="A209" s="220" t="s">
        <v>411</v>
      </c>
      <c r="B209" s="221" t="s">
        <v>319</v>
      </c>
      <c r="C209" s="221" t="s">
        <v>349</v>
      </c>
      <c r="D209" s="221" t="s">
        <v>321</v>
      </c>
      <c r="E209" s="222">
        <v>355842.93</v>
      </c>
    </row>
    <row r="210" spans="1:5" ht="24" hidden="1" outlineLevel="1" x14ac:dyDescent="0.2">
      <c r="A210" s="220" t="s">
        <v>412</v>
      </c>
      <c r="B210" s="221" t="s">
        <v>319</v>
      </c>
      <c r="C210" s="221" t="s">
        <v>349</v>
      </c>
      <c r="D210" s="221" t="s">
        <v>321</v>
      </c>
      <c r="E210" s="222">
        <v>1396.54</v>
      </c>
    </row>
    <row r="211" spans="1:5" ht="24" hidden="1" outlineLevel="1" x14ac:dyDescent="0.2">
      <c r="A211" s="220" t="s">
        <v>413</v>
      </c>
      <c r="B211" s="221" t="s">
        <v>319</v>
      </c>
      <c r="C211" s="221" t="s">
        <v>349</v>
      </c>
      <c r="D211" s="221" t="s">
        <v>321</v>
      </c>
      <c r="E211" s="222">
        <v>256489.87</v>
      </c>
    </row>
    <row r="212" spans="1:5" ht="24" hidden="1" outlineLevel="1" x14ac:dyDescent="0.2">
      <c r="A212" s="220" t="s">
        <v>414</v>
      </c>
      <c r="B212" s="221" t="s">
        <v>319</v>
      </c>
      <c r="C212" s="221" t="s">
        <v>349</v>
      </c>
      <c r="D212" s="221" t="s">
        <v>321</v>
      </c>
      <c r="E212" s="222">
        <v>29382</v>
      </c>
    </row>
    <row r="213" spans="1:5" ht="24" hidden="1" outlineLevel="1" x14ac:dyDescent="0.2">
      <c r="A213" s="220" t="s">
        <v>415</v>
      </c>
      <c r="B213" s="221" t="s">
        <v>319</v>
      </c>
      <c r="C213" s="221" t="s">
        <v>349</v>
      </c>
      <c r="D213" s="221" t="s">
        <v>321</v>
      </c>
      <c r="E213" s="222">
        <v>77686.36</v>
      </c>
    </row>
    <row r="214" spans="1:5" ht="24" hidden="1" outlineLevel="1" x14ac:dyDescent="0.2">
      <c r="A214" s="220" t="s">
        <v>416</v>
      </c>
      <c r="B214" s="221" t="s">
        <v>319</v>
      </c>
      <c r="C214" s="221" t="s">
        <v>349</v>
      </c>
      <c r="D214" s="221" t="s">
        <v>321</v>
      </c>
      <c r="E214" s="222">
        <v>475</v>
      </c>
    </row>
    <row r="215" spans="1:5" ht="24" hidden="1" outlineLevel="1" x14ac:dyDescent="0.2">
      <c r="A215" s="220" t="s">
        <v>417</v>
      </c>
      <c r="B215" s="221" t="s">
        <v>319</v>
      </c>
      <c r="C215" s="221" t="s">
        <v>349</v>
      </c>
      <c r="D215" s="221" t="s">
        <v>321</v>
      </c>
      <c r="E215" s="222">
        <v>21001.89</v>
      </c>
    </row>
    <row r="216" spans="1:5" ht="24" hidden="1" outlineLevel="1" x14ac:dyDescent="0.2">
      <c r="A216" s="220" t="s">
        <v>418</v>
      </c>
      <c r="B216" s="221" t="s">
        <v>319</v>
      </c>
      <c r="C216" s="221" t="s">
        <v>349</v>
      </c>
      <c r="D216" s="221" t="s">
        <v>321</v>
      </c>
      <c r="E216" s="222">
        <v>1769271.71</v>
      </c>
    </row>
    <row r="217" spans="1:5" ht="24" hidden="1" outlineLevel="1" x14ac:dyDescent="0.2">
      <c r="A217" s="220" t="s">
        <v>419</v>
      </c>
      <c r="B217" s="221" t="s">
        <v>319</v>
      </c>
      <c r="C217" s="221" t="s">
        <v>349</v>
      </c>
      <c r="D217" s="221" t="s">
        <v>321</v>
      </c>
      <c r="E217" s="222">
        <v>59911</v>
      </c>
    </row>
    <row r="218" spans="1:5" ht="24" hidden="1" outlineLevel="1" x14ac:dyDescent="0.2">
      <c r="A218" s="220" t="s">
        <v>420</v>
      </c>
      <c r="B218" s="221" t="s">
        <v>319</v>
      </c>
      <c r="C218" s="221" t="s">
        <v>349</v>
      </c>
      <c r="D218" s="221" t="s">
        <v>321</v>
      </c>
      <c r="E218" s="222">
        <v>58.14</v>
      </c>
    </row>
    <row r="219" spans="1:5" ht="24" hidden="1" outlineLevel="1" x14ac:dyDescent="0.2">
      <c r="A219" s="220" t="s">
        <v>421</v>
      </c>
      <c r="B219" s="221" t="s">
        <v>319</v>
      </c>
      <c r="C219" s="221" t="s">
        <v>349</v>
      </c>
      <c r="D219" s="221" t="s">
        <v>321</v>
      </c>
      <c r="E219" s="222">
        <v>1053.5</v>
      </c>
    </row>
    <row r="220" spans="1:5" ht="24" hidden="1" outlineLevel="1" x14ac:dyDescent="0.2">
      <c r="A220" s="220" t="s">
        <v>422</v>
      </c>
      <c r="B220" s="221" t="s">
        <v>319</v>
      </c>
      <c r="C220" s="221" t="s">
        <v>349</v>
      </c>
      <c r="D220" s="221" t="s">
        <v>321</v>
      </c>
      <c r="E220" s="222">
        <v>3268.26</v>
      </c>
    </row>
    <row r="221" spans="1:5" ht="24" hidden="1" outlineLevel="1" x14ac:dyDescent="0.2">
      <c r="A221" s="220" t="s">
        <v>423</v>
      </c>
      <c r="B221" s="221" t="s">
        <v>319</v>
      </c>
      <c r="C221" s="221" t="s">
        <v>349</v>
      </c>
      <c r="D221" s="221" t="s">
        <v>321</v>
      </c>
      <c r="E221" s="222">
        <v>220.8</v>
      </c>
    </row>
    <row r="222" spans="1:5" ht="24" hidden="1" outlineLevel="1" x14ac:dyDescent="0.2">
      <c r="A222" s="220" t="s">
        <v>424</v>
      </c>
      <c r="B222" s="221" t="s">
        <v>319</v>
      </c>
      <c r="C222" s="221" t="s">
        <v>349</v>
      </c>
      <c r="D222" s="221" t="s">
        <v>321</v>
      </c>
      <c r="E222" s="222">
        <v>959.03</v>
      </c>
    </row>
    <row r="223" spans="1:5" ht="24" hidden="1" outlineLevel="1" x14ac:dyDescent="0.2">
      <c r="A223" s="220" t="s">
        <v>425</v>
      </c>
      <c r="B223" s="221" t="s">
        <v>319</v>
      </c>
      <c r="C223" s="221" t="s">
        <v>349</v>
      </c>
      <c r="D223" s="221" t="s">
        <v>321</v>
      </c>
      <c r="E223" s="222">
        <v>45370.31</v>
      </c>
    </row>
    <row r="224" spans="1:5" ht="24" hidden="1" outlineLevel="1" x14ac:dyDescent="0.2">
      <c r="A224" s="220" t="s">
        <v>426</v>
      </c>
      <c r="B224" s="221" t="s">
        <v>319</v>
      </c>
      <c r="C224" s="221" t="s">
        <v>349</v>
      </c>
      <c r="D224" s="221" t="s">
        <v>321</v>
      </c>
      <c r="E224" s="222">
        <v>50.24</v>
      </c>
    </row>
    <row r="225" spans="1:5" ht="24" hidden="1" outlineLevel="1" x14ac:dyDescent="0.2">
      <c r="A225" s="220" t="s">
        <v>427</v>
      </c>
      <c r="B225" s="221" t="s">
        <v>319</v>
      </c>
      <c r="C225" s="221" t="s">
        <v>349</v>
      </c>
      <c r="D225" s="221" t="s">
        <v>321</v>
      </c>
      <c r="E225" s="222">
        <v>1836.67</v>
      </c>
    </row>
    <row r="226" spans="1:5" ht="24" hidden="1" outlineLevel="1" x14ac:dyDescent="0.2">
      <c r="A226" s="220" t="s">
        <v>428</v>
      </c>
      <c r="B226" s="221" t="s">
        <v>319</v>
      </c>
      <c r="C226" s="221" t="s">
        <v>349</v>
      </c>
      <c r="D226" s="221" t="s">
        <v>321</v>
      </c>
      <c r="E226" s="222">
        <v>25.1</v>
      </c>
    </row>
    <row r="227" spans="1:5" ht="24" hidden="1" outlineLevel="1" x14ac:dyDescent="0.2">
      <c r="A227" s="220" t="s">
        <v>429</v>
      </c>
      <c r="B227" s="221" t="s">
        <v>319</v>
      </c>
      <c r="C227" s="221" t="s">
        <v>349</v>
      </c>
      <c r="D227" s="221" t="s">
        <v>321</v>
      </c>
      <c r="E227" s="222">
        <v>442185.46</v>
      </c>
    </row>
    <row r="228" spans="1:5" ht="24" hidden="1" outlineLevel="1" x14ac:dyDescent="0.2">
      <c r="A228" s="220" t="s">
        <v>430</v>
      </c>
      <c r="B228" s="221" t="s">
        <v>319</v>
      </c>
      <c r="C228" s="221" t="s">
        <v>349</v>
      </c>
      <c r="D228" s="221" t="s">
        <v>321</v>
      </c>
      <c r="E228" s="222">
        <v>440472.34</v>
      </c>
    </row>
    <row r="229" spans="1:5" ht="24" hidden="1" outlineLevel="1" x14ac:dyDescent="0.2">
      <c r="A229" s="220" t="s">
        <v>431</v>
      </c>
      <c r="B229" s="221" t="s">
        <v>319</v>
      </c>
      <c r="C229" s="221" t="s">
        <v>349</v>
      </c>
      <c r="D229" s="221" t="s">
        <v>321</v>
      </c>
      <c r="E229" s="222">
        <v>23095.13</v>
      </c>
    </row>
    <row r="230" spans="1:5" ht="24" hidden="1" outlineLevel="1" x14ac:dyDescent="0.2">
      <c r="A230" s="220" t="s">
        <v>432</v>
      </c>
      <c r="B230" s="221" t="s">
        <v>319</v>
      </c>
      <c r="C230" s="221" t="s">
        <v>349</v>
      </c>
      <c r="D230" s="221" t="s">
        <v>321</v>
      </c>
      <c r="E230" s="222">
        <v>164349.70000000001</v>
      </c>
    </row>
    <row r="231" spans="1:5" ht="24" hidden="1" outlineLevel="1" x14ac:dyDescent="0.2">
      <c r="A231" s="220" t="s">
        <v>433</v>
      </c>
      <c r="B231" s="221" t="s">
        <v>319</v>
      </c>
      <c r="C231" s="221" t="s">
        <v>349</v>
      </c>
      <c r="D231" s="221" t="s">
        <v>321</v>
      </c>
      <c r="E231" s="222">
        <v>3130004.32</v>
      </c>
    </row>
    <row r="232" spans="1:5" ht="24" hidden="1" outlineLevel="1" x14ac:dyDescent="0.2">
      <c r="A232" s="220" t="s">
        <v>434</v>
      </c>
      <c r="B232" s="221" t="s">
        <v>319</v>
      </c>
      <c r="C232" s="221" t="s">
        <v>349</v>
      </c>
      <c r="D232" s="221" t="s">
        <v>321</v>
      </c>
      <c r="E232" s="222">
        <v>346274</v>
      </c>
    </row>
    <row r="233" spans="1:5" ht="24" hidden="1" outlineLevel="1" x14ac:dyDescent="0.2">
      <c r="A233" s="220" t="s">
        <v>435</v>
      </c>
      <c r="B233" s="221" t="s">
        <v>319</v>
      </c>
      <c r="C233" s="221" t="s">
        <v>349</v>
      </c>
      <c r="D233" s="221" t="s">
        <v>321</v>
      </c>
      <c r="E233" s="222">
        <v>82274.5</v>
      </c>
    </row>
    <row r="234" spans="1:5" ht="24" hidden="1" outlineLevel="1" x14ac:dyDescent="0.2">
      <c r="A234" s="220" t="s">
        <v>436</v>
      </c>
      <c r="B234" s="221" t="s">
        <v>319</v>
      </c>
      <c r="C234" s="221" t="s">
        <v>349</v>
      </c>
      <c r="D234" s="221" t="s">
        <v>321</v>
      </c>
      <c r="E234" s="222">
        <v>424791.96</v>
      </c>
    </row>
    <row r="235" spans="1:5" ht="24" hidden="1" outlineLevel="1" x14ac:dyDescent="0.2">
      <c r="A235" s="220" t="s">
        <v>437</v>
      </c>
      <c r="B235" s="221" t="s">
        <v>319</v>
      </c>
      <c r="C235" s="221" t="s">
        <v>349</v>
      </c>
      <c r="D235" s="221" t="s">
        <v>321</v>
      </c>
      <c r="E235" s="222">
        <v>9434.01</v>
      </c>
    </row>
    <row r="236" spans="1:5" ht="24" hidden="1" outlineLevel="1" x14ac:dyDescent="0.2">
      <c r="A236" s="220" t="s">
        <v>438</v>
      </c>
      <c r="B236" s="221" t="s">
        <v>319</v>
      </c>
      <c r="C236" s="221" t="s">
        <v>349</v>
      </c>
      <c r="D236" s="221" t="s">
        <v>321</v>
      </c>
      <c r="E236" s="222">
        <v>11104.42</v>
      </c>
    </row>
    <row r="237" spans="1:5" ht="24" hidden="1" outlineLevel="1" x14ac:dyDescent="0.2">
      <c r="A237" s="220" t="s">
        <v>439</v>
      </c>
      <c r="B237" s="221" t="s">
        <v>319</v>
      </c>
      <c r="C237" s="221" t="s">
        <v>349</v>
      </c>
      <c r="D237" s="221" t="s">
        <v>321</v>
      </c>
      <c r="E237" s="222">
        <v>686453.66</v>
      </c>
    </row>
    <row r="238" spans="1:5" ht="24" hidden="1" outlineLevel="1" x14ac:dyDescent="0.2">
      <c r="A238" s="220" t="s">
        <v>440</v>
      </c>
      <c r="B238" s="221" t="s">
        <v>319</v>
      </c>
      <c r="C238" s="221" t="s">
        <v>349</v>
      </c>
      <c r="D238" s="221" t="s">
        <v>321</v>
      </c>
      <c r="E238" s="222">
        <v>324833.63</v>
      </c>
    </row>
    <row r="239" spans="1:5" ht="24" hidden="1" outlineLevel="1" x14ac:dyDescent="0.2">
      <c r="A239" s="220" t="s">
        <v>441</v>
      </c>
      <c r="B239" s="221" t="s">
        <v>319</v>
      </c>
      <c r="C239" s="221" t="s">
        <v>349</v>
      </c>
      <c r="D239" s="221" t="s">
        <v>321</v>
      </c>
      <c r="E239" s="222">
        <v>72785.94</v>
      </c>
    </row>
    <row r="240" spans="1:5" ht="24" hidden="1" outlineLevel="1" x14ac:dyDescent="0.2">
      <c r="A240" s="220" t="s">
        <v>442</v>
      </c>
      <c r="B240" s="221" t="s">
        <v>319</v>
      </c>
      <c r="C240" s="221" t="s">
        <v>349</v>
      </c>
      <c r="D240" s="221" t="s">
        <v>321</v>
      </c>
      <c r="E240" s="222">
        <v>751842.51</v>
      </c>
    </row>
    <row r="241" spans="1:5" ht="24" hidden="1" outlineLevel="1" x14ac:dyDescent="0.2">
      <c r="A241" s="220" t="s">
        <v>443</v>
      </c>
      <c r="B241" s="221" t="s">
        <v>319</v>
      </c>
      <c r="C241" s="221" t="s">
        <v>349</v>
      </c>
      <c r="D241" s="221" t="s">
        <v>321</v>
      </c>
      <c r="E241" s="222">
        <v>1171940.6100000001</v>
      </c>
    </row>
    <row r="242" spans="1:5" ht="24" hidden="1" outlineLevel="1" x14ac:dyDescent="0.2">
      <c r="A242" s="220" t="s">
        <v>444</v>
      </c>
      <c r="B242" s="221" t="s">
        <v>319</v>
      </c>
      <c r="C242" s="221" t="s">
        <v>349</v>
      </c>
      <c r="D242" s="221" t="s">
        <v>321</v>
      </c>
      <c r="E242" s="222">
        <v>100000.2</v>
      </c>
    </row>
    <row r="243" spans="1:5" ht="24" hidden="1" outlineLevel="1" x14ac:dyDescent="0.2">
      <c r="A243" s="220" t="s">
        <v>445</v>
      </c>
      <c r="B243" s="221" t="s">
        <v>319</v>
      </c>
      <c r="C243" s="221" t="s">
        <v>349</v>
      </c>
      <c r="D243" s="221" t="s">
        <v>321</v>
      </c>
      <c r="E243" s="222">
        <v>2659.37</v>
      </c>
    </row>
    <row r="244" spans="1:5" ht="24" hidden="1" outlineLevel="1" x14ac:dyDescent="0.2">
      <c r="A244" s="220" t="s">
        <v>446</v>
      </c>
      <c r="B244" s="221" t="s">
        <v>319</v>
      </c>
      <c r="C244" s="221" t="s">
        <v>349</v>
      </c>
      <c r="D244" s="221" t="s">
        <v>321</v>
      </c>
      <c r="E244" s="222">
        <v>77626.990000000005</v>
      </c>
    </row>
    <row r="245" spans="1:5" ht="24" hidden="1" outlineLevel="1" x14ac:dyDescent="0.2">
      <c r="A245" s="220" t="s">
        <v>447</v>
      </c>
      <c r="B245" s="221" t="s">
        <v>319</v>
      </c>
      <c r="C245" s="221" t="s">
        <v>349</v>
      </c>
      <c r="D245" s="221" t="s">
        <v>321</v>
      </c>
      <c r="E245" s="222">
        <v>8232.58</v>
      </c>
    </row>
    <row r="246" spans="1:5" ht="24" hidden="1" outlineLevel="1" x14ac:dyDescent="0.2">
      <c r="A246" s="220" t="s">
        <v>448</v>
      </c>
      <c r="B246" s="221" t="s">
        <v>319</v>
      </c>
      <c r="C246" s="221" t="s">
        <v>349</v>
      </c>
      <c r="D246" s="221" t="s">
        <v>321</v>
      </c>
      <c r="E246" s="222">
        <v>27736.86</v>
      </c>
    </row>
    <row r="247" spans="1:5" ht="24" hidden="1" outlineLevel="1" x14ac:dyDescent="0.2">
      <c r="A247" s="220" t="s">
        <v>449</v>
      </c>
      <c r="B247" s="221" t="s">
        <v>319</v>
      </c>
      <c r="C247" s="221" t="s">
        <v>349</v>
      </c>
      <c r="D247" s="221" t="s">
        <v>321</v>
      </c>
      <c r="E247" s="222">
        <v>70667.48</v>
      </c>
    </row>
    <row r="248" spans="1:5" ht="24" hidden="1" outlineLevel="1" x14ac:dyDescent="0.2">
      <c r="A248" s="220" t="s">
        <v>450</v>
      </c>
      <c r="B248" s="221" t="s">
        <v>319</v>
      </c>
      <c r="C248" s="221" t="s">
        <v>349</v>
      </c>
      <c r="D248" s="221" t="s">
        <v>321</v>
      </c>
      <c r="E248" s="222">
        <v>12347.89</v>
      </c>
    </row>
    <row r="249" spans="1:5" ht="24" hidden="1" outlineLevel="1" x14ac:dyDescent="0.2">
      <c r="A249" s="220" t="s">
        <v>451</v>
      </c>
      <c r="B249" s="221" t="s">
        <v>319</v>
      </c>
      <c r="C249" s="221" t="s">
        <v>349</v>
      </c>
      <c r="D249" s="221" t="s">
        <v>321</v>
      </c>
      <c r="E249" s="222">
        <v>253.62</v>
      </c>
    </row>
    <row r="250" spans="1:5" ht="24" hidden="1" outlineLevel="1" x14ac:dyDescent="0.2">
      <c r="A250" s="220" t="s">
        <v>452</v>
      </c>
      <c r="B250" s="221" t="s">
        <v>453</v>
      </c>
      <c r="C250" s="221" t="s">
        <v>454</v>
      </c>
      <c r="D250" s="221" t="s">
        <v>321</v>
      </c>
      <c r="E250" s="222">
        <v>1110</v>
      </c>
    </row>
    <row r="251" spans="1:5" ht="24" hidden="1" outlineLevel="1" x14ac:dyDescent="0.2">
      <c r="A251" s="220" t="s">
        <v>455</v>
      </c>
      <c r="B251" s="221" t="s">
        <v>280</v>
      </c>
      <c r="C251" s="221" t="s">
        <v>456</v>
      </c>
      <c r="D251" s="221" t="s">
        <v>321</v>
      </c>
      <c r="E251" s="222">
        <v>6.24</v>
      </c>
    </row>
    <row r="252" spans="1:5" ht="24" hidden="1" outlineLevel="1" x14ac:dyDescent="0.2">
      <c r="A252" s="220" t="s">
        <v>457</v>
      </c>
      <c r="B252" s="221" t="s">
        <v>458</v>
      </c>
      <c r="C252" s="221" t="s">
        <v>459</v>
      </c>
      <c r="D252" s="221" t="s">
        <v>321</v>
      </c>
      <c r="E252" s="222">
        <v>82600</v>
      </c>
    </row>
    <row r="253" spans="1:5" ht="36" hidden="1" outlineLevel="1" x14ac:dyDescent="0.2">
      <c r="A253" s="220" t="s">
        <v>460</v>
      </c>
      <c r="B253" s="221" t="s">
        <v>461</v>
      </c>
      <c r="C253" s="221" t="s">
        <v>264</v>
      </c>
      <c r="D253" s="221" t="s">
        <v>462</v>
      </c>
      <c r="E253" s="222">
        <v>258057.82</v>
      </c>
    </row>
    <row r="254" spans="1:5" ht="36" hidden="1" outlineLevel="1" x14ac:dyDescent="0.2">
      <c r="A254" s="220" t="s">
        <v>463</v>
      </c>
      <c r="B254" s="221" t="s">
        <v>244</v>
      </c>
      <c r="C254" s="221" t="s">
        <v>464</v>
      </c>
      <c r="D254" s="221" t="s">
        <v>465</v>
      </c>
      <c r="E254" s="222">
        <v>1020680</v>
      </c>
    </row>
    <row r="255" spans="1:5" ht="24" hidden="1" outlineLevel="1" x14ac:dyDescent="0.2">
      <c r="A255" s="220" t="s">
        <v>466</v>
      </c>
      <c r="B255" s="221" t="s">
        <v>467</v>
      </c>
      <c r="C255" s="221" t="s">
        <v>468</v>
      </c>
      <c r="D255" s="221" t="s">
        <v>469</v>
      </c>
      <c r="E255" s="222">
        <v>440781.58</v>
      </c>
    </row>
    <row r="256" spans="1:5" ht="48" hidden="1" outlineLevel="1" x14ac:dyDescent="0.2">
      <c r="A256" s="220" t="s">
        <v>470</v>
      </c>
      <c r="B256" s="221" t="s">
        <v>458</v>
      </c>
      <c r="C256" s="221" t="s">
        <v>471</v>
      </c>
      <c r="D256" s="221" t="s">
        <v>472</v>
      </c>
      <c r="E256" s="222">
        <v>9464.02</v>
      </c>
    </row>
    <row r="257" spans="1:5" ht="24" hidden="1" outlineLevel="1" x14ac:dyDescent="0.2">
      <c r="A257" s="220" t="s">
        <v>473</v>
      </c>
      <c r="B257" s="221" t="s">
        <v>458</v>
      </c>
      <c r="C257" s="221" t="s">
        <v>474</v>
      </c>
      <c r="D257" s="221" t="s">
        <v>321</v>
      </c>
      <c r="E257" s="222">
        <v>3795.02</v>
      </c>
    </row>
    <row r="258" spans="1:5" ht="24" hidden="1" outlineLevel="1" x14ac:dyDescent="0.2">
      <c r="A258" s="220" t="s">
        <v>475</v>
      </c>
      <c r="B258" s="221" t="s">
        <v>458</v>
      </c>
      <c r="C258" s="221" t="s">
        <v>474</v>
      </c>
      <c r="D258" s="221" t="s">
        <v>321</v>
      </c>
      <c r="E258" s="222">
        <v>7503.75</v>
      </c>
    </row>
    <row r="259" spans="1:5" ht="24" hidden="1" outlineLevel="1" x14ac:dyDescent="0.2">
      <c r="A259" s="220" t="s">
        <v>476</v>
      </c>
      <c r="B259" s="221" t="s">
        <v>458</v>
      </c>
      <c r="C259" s="221" t="s">
        <v>474</v>
      </c>
      <c r="D259" s="221" t="s">
        <v>321</v>
      </c>
      <c r="E259" s="222">
        <v>12347.54</v>
      </c>
    </row>
    <row r="260" spans="1:5" ht="24" hidden="1" outlineLevel="1" x14ac:dyDescent="0.2">
      <c r="A260" s="220" t="s">
        <v>477</v>
      </c>
      <c r="B260" s="221" t="s">
        <v>458</v>
      </c>
      <c r="C260" s="221" t="s">
        <v>474</v>
      </c>
      <c r="D260" s="221" t="s">
        <v>321</v>
      </c>
      <c r="E260" s="222">
        <v>46042.3</v>
      </c>
    </row>
    <row r="261" spans="1:5" ht="48" hidden="1" outlineLevel="1" x14ac:dyDescent="0.2">
      <c r="A261" s="220" t="s">
        <v>478</v>
      </c>
      <c r="B261" s="221" t="s">
        <v>458</v>
      </c>
      <c r="C261" s="221" t="s">
        <v>474</v>
      </c>
      <c r="D261" s="221" t="s">
        <v>472</v>
      </c>
      <c r="E261" s="222">
        <v>33613.360000000001</v>
      </c>
    </row>
    <row r="262" spans="1:5" ht="24" hidden="1" outlineLevel="1" x14ac:dyDescent="0.2">
      <c r="A262" s="220" t="s">
        <v>479</v>
      </c>
      <c r="B262" s="221" t="s">
        <v>458</v>
      </c>
      <c r="C262" s="221" t="s">
        <v>480</v>
      </c>
      <c r="D262" s="221" t="s">
        <v>321</v>
      </c>
      <c r="E262" s="222">
        <v>17250</v>
      </c>
    </row>
    <row r="263" spans="1:5" ht="24" hidden="1" outlineLevel="1" x14ac:dyDescent="0.2">
      <c r="A263" s="220" t="s">
        <v>481</v>
      </c>
      <c r="B263" s="221" t="s">
        <v>458</v>
      </c>
      <c r="C263" s="221" t="s">
        <v>480</v>
      </c>
      <c r="D263" s="221" t="s">
        <v>321</v>
      </c>
      <c r="E263" s="222">
        <v>12972</v>
      </c>
    </row>
    <row r="264" spans="1:5" ht="36" hidden="1" outlineLevel="1" x14ac:dyDescent="0.2">
      <c r="A264" s="220" t="s">
        <v>482</v>
      </c>
      <c r="B264" s="221" t="s">
        <v>483</v>
      </c>
      <c r="C264" s="221" t="s">
        <v>484</v>
      </c>
      <c r="D264" s="221" t="s">
        <v>485</v>
      </c>
      <c r="E264" s="222">
        <v>13519.34</v>
      </c>
    </row>
    <row r="265" spans="1:5" ht="48" hidden="1" outlineLevel="1" x14ac:dyDescent="0.2">
      <c r="A265" s="220" t="s">
        <v>486</v>
      </c>
      <c r="B265" s="221" t="s">
        <v>458</v>
      </c>
      <c r="C265" s="221" t="s">
        <v>487</v>
      </c>
      <c r="D265" s="221" t="s">
        <v>472</v>
      </c>
      <c r="E265" s="222">
        <v>18436.79</v>
      </c>
    </row>
    <row r="266" spans="1:5" ht="48" hidden="1" outlineLevel="1" x14ac:dyDescent="0.2">
      <c r="A266" s="220" t="s">
        <v>488</v>
      </c>
      <c r="B266" s="221" t="s">
        <v>458</v>
      </c>
      <c r="C266" s="221" t="s">
        <v>489</v>
      </c>
      <c r="D266" s="221" t="s">
        <v>472</v>
      </c>
      <c r="E266" s="222">
        <v>5106</v>
      </c>
    </row>
    <row r="267" spans="1:5" ht="48" hidden="1" outlineLevel="1" x14ac:dyDescent="0.2">
      <c r="A267" s="220" t="s">
        <v>490</v>
      </c>
      <c r="B267" s="221" t="s">
        <v>458</v>
      </c>
      <c r="C267" s="221" t="s">
        <v>489</v>
      </c>
      <c r="D267" s="221" t="s">
        <v>472</v>
      </c>
      <c r="E267" s="222">
        <v>22727.46</v>
      </c>
    </row>
    <row r="268" spans="1:5" ht="24" hidden="1" outlineLevel="1" x14ac:dyDescent="0.2">
      <c r="A268" s="220" t="s">
        <v>491</v>
      </c>
      <c r="B268" s="221" t="s">
        <v>458</v>
      </c>
      <c r="C268" s="221" t="s">
        <v>492</v>
      </c>
      <c r="D268" s="221" t="s">
        <v>321</v>
      </c>
      <c r="E268" s="222">
        <v>45504.37</v>
      </c>
    </row>
    <row r="269" spans="1:5" ht="36" hidden="1" outlineLevel="1" x14ac:dyDescent="0.2">
      <c r="A269" s="220" t="s">
        <v>493</v>
      </c>
      <c r="B269" s="221" t="s">
        <v>494</v>
      </c>
      <c r="C269" s="221" t="s">
        <v>495</v>
      </c>
      <c r="D269" s="221" t="s">
        <v>496</v>
      </c>
      <c r="E269" s="222">
        <v>359788.49</v>
      </c>
    </row>
    <row r="270" spans="1:5" ht="36" hidden="1" outlineLevel="1" x14ac:dyDescent="0.2">
      <c r="A270" s="220" t="s">
        <v>497</v>
      </c>
      <c r="B270" s="221" t="s">
        <v>494</v>
      </c>
      <c r="C270" s="221" t="s">
        <v>498</v>
      </c>
      <c r="D270" s="221" t="s">
        <v>496</v>
      </c>
      <c r="E270" s="222">
        <v>667655.69999999995</v>
      </c>
    </row>
    <row r="271" spans="1:5" ht="24" hidden="1" outlineLevel="1" x14ac:dyDescent="0.2">
      <c r="A271" s="220" t="s">
        <v>499</v>
      </c>
      <c r="B271" s="221" t="s">
        <v>500</v>
      </c>
      <c r="C271" s="221" t="s">
        <v>501</v>
      </c>
      <c r="D271" s="221" t="s">
        <v>502</v>
      </c>
      <c r="E271" s="222">
        <v>202938</v>
      </c>
    </row>
    <row r="272" spans="1:5" ht="24" hidden="1" outlineLevel="1" x14ac:dyDescent="0.2">
      <c r="A272" s="220" t="s">
        <v>503</v>
      </c>
      <c r="B272" s="221" t="s">
        <v>458</v>
      </c>
      <c r="C272" s="221" t="s">
        <v>504</v>
      </c>
      <c r="D272" s="221" t="s">
        <v>321</v>
      </c>
      <c r="E272" s="222">
        <v>118256.82</v>
      </c>
    </row>
    <row r="273" spans="1:5" ht="48" hidden="1" outlineLevel="1" x14ac:dyDescent="0.2">
      <c r="A273" s="220" t="s">
        <v>505</v>
      </c>
      <c r="B273" s="221" t="s">
        <v>458</v>
      </c>
      <c r="C273" s="221" t="s">
        <v>170</v>
      </c>
      <c r="D273" s="221" t="s">
        <v>472</v>
      </c>
      <c r="E273" s="222">
        <v>7130</v>
      </c>
    </row>
    <row r="274" spans="1:5" ht="24" hidden="1" outlineLevel="1" x14ac:dyDescent="0.2">
      <c r="A274" s="220" t="s">
        <v>506</v>
      </c>
      <c r="B274" s="221" t="s">
        <v>458</v>
      </c>
      <c r="C274" s="221" t="s">
        <v>170</v>
      </c>
      <c r="D274" s="221" t="s">
        <v>321</v>
      </c>
      <c r="E274" s="222">
        <v>8434.1</v>
      </c>
    </row>
    <row r="275" spans="1:5" ht="24" hidden="1" outlineLevel="1" x14ac:dyDescent="0.2">
      <c r="A275" s="220" t="s">
        <v>507</v>
      </c>
      <c r="B275" s="221" t="s">
        <v>458</v>
      </c>
      <c r="C275" s="221" t="s">
        <v>170</v>
      </c>
      <c r="D275" s="221" t="s">
        <v>321</v>
      </c>
      <c r="E275" s="222">
        <v>40569.68</v>
      </c>
    </row>
    <row r="276" spans="1:5" ht="24" hidden="1" outlineLevel="1" x14ac:dyDescent="0.2">
      <c r="A276" s="220" t="s">
        <v>508</v>
      </c>
      <c r="B276" s="221" t="s">
        <v>458</v>
      </c>
      <c r="C276" s="221" t="s">
        <v>170</v>
      </c>
      <c r="D276" s="221" t="s">
        <v>321</v>
      </c>
      <c r="E276" s="222">
        <v>3507.53</v>
      </c>
    </row>
    <row r="277" spans="1:5" ht="24" hidden="1" outlineLevel="1" x14ac:dyDescent="0.2">
      <c r="A277" s="220" t="s">
        <v>509</v>
      </c>
      <c r="B277" s="221" t="s">
        <v>458</v>
      </c>
      <c r="C277" s="221" t="s">
        <v>510</v>
      </c>
      <c r="D277" s="221" t="s">
        <v>321</v>
      </c>
      <c r="E277" s="222">
        <v>14490</v>
      </c>
    </row>
    <row r="278" spans="1:5" ht="48" hidden="1" outlineLevel="1" x14ac:dyDescent="0.2">
      <c r="A278" s="220" t="s">
        <v>511</v>
      </c>
      <c r="B278" s="221" t="s">
        <v>512</v>
      </c>
      <c r="C278" s="221" t="s">
        <v>513</v>
      </c>
      <c r="D278" s="221" t="s">
        <v>514</v>
      </c>
      <c r="E278" s="222">
        <v>2040220</v>
      </c>
    </row>
    <row r="279" spans="1:5" ht="48" hidden="1" outlineLevel="1" x14ac:dyDescent="0.2">
      <c r="A279" s="220" t="s">
        <v>515</v>
      </c>
      <c r="B279" s="221" t="s">
        <v>458</v>
      </c>
      <c r="C279" s="221" t="s">
        <v>516</v>
      </c>
      <c r="D279" s="221" t="s">
        <v>472</v>
      </c>
      <c r="E279" s="222">
        <v>1794</v>
      </c>
    </row>
    <row r="280" spans="1:5" ht="24" hidden="1" outlineLevel="1" x14ac:dyDescent="0.2">
      <c r="A280" s="220" t="s">
        <v>517</v>
      </c>
      <c r="B280" s="221" t="s">
        <v>518</v>
      </c>
      <c r="C280" s="221" t="s">
        <v>519</v>
      </c>
      <c r="D280" s="221" t="s">
        <v>520</v>
      </c>
      <c r="E280" s="222">
        <v>352230</v>
      </c>
    </row>
    <row r="281" spans="1:5" ht="24" hidden="1" outlineLevel="1" x14ac:dyDescent="0.2">
      <c r="A281" s="220" t="s">
        <v>521</v>
      </c>
      <c r="B281" s="221" t="s">
        <v>500</v>
      </c>
      <c r="C281" s="221" t="s">
        <v>522</v>
      </c>
      <c r="D281" s="221" t="s">
        <v>502</v>
      </c>
      <c r="E281" s="222">
        <v>104076</v>
      </c>
    </row>
    <row r="282" spans="1:5" ht="24" hidden="1" outlineLevel="1" x14ac:dyDescent="0.2">
      <c r="A282" s="220" t="s">
        <v>523</v>
      </c>
      <c r="B282" s="221" t="s">
        <v>494</v>
      </c>
      <c r="C282" s="221" t="s">
        <v>524</v>
      </c>
      <c r="D282" s="221" t="s">
        <v>525</v>
      </c>
      <c r="E282" s="222">
        <v>117415.47</v>
      </c>
    </row>
    <row r="283" spans="1:5" ht="24" hidden="1" outlineLevel="1" x14ac:dyDescent="0.2">
      <c r="A283" s="220" t="s">
        <v>526</v>
      </c>
      <c r="B283" s="221" t="s">
        <v>500</v>
      </c>
      <c r="C283" s="221" t="s">
        <v>102</v>
      </c>
      <c r="D283" s="221" t="s">
        <v>502</v>
      </c>
      <c r="E283" s="222">
        <v>92394</v>
      </c>
    </row>
    <row r="284" spans="1:5" ht="24" hidden="1" outlineLevel="1" x14ac:dyDescent="0.2">
      <c r="A284" s="220" t="s">
        <v>527</v>
      </c>
      <c r="B284" s="221" t="s">
        <v>192</v>
      </c>
      <c r="C284" s="221" t="s">
        <v>528</v>
      </c>
      <c r="D284" s="221" t="s">
        <v>529</v>
      </c>
      <c r="E284" s="222">
        <v>213394.66</v>
      </c>
    </row>
    <row r="285" spans="1:5" ht="24" hidden="1" outlineLevel="1" x14ac:dyDescent="0.2">
      <c r="A285" s="220" t="s">
        <v>530</v>
      </c>
      <c r="B285" s="221" t="s">
        <v>138</v>
      </c>
      <c r="C285" s="221" t="s">
        <v>531</v>
      </c>
      <c r="D285" s="221" t="s">
        <v>532</v>
      </c>
      <c r="E285" s="222">
        <v>21031.759999999998</v>
      </c>
    </row>
    <row r="286" spans="1:5" ht="24" hidden="1" outlineLevel="1" x14ac:dyDescent="0.2">
      <c r="A286" s="220" t="s">
        <v>533</v>
      </c>
      <c r="B286" s="221" t="s">
        <v>138</v>
      </c>
      <c r="C286" s="221" t="s">
        <v>531</v>
      </c>
      <c r="D286" s="221" t="s">
        <v>532</v>
      </c>
      <c r="E286" s="222">
        <v>35872.629999999997</v>
      </c>
    </row>
    <row r="287" spans="1:5" ht="24" hidden="1" outlineLevel="1" x14ac:dyDescent="0.2">
      <c r="A287" s="220" t="s">
        <v>534</v>
      </c>
      <c r="B287" s="221" t="s">
        <v>138</v>
      </c>
      <c r="C287" s="221" t="s">
        <v>531</v>
      </c>
      <c r="D287" s="221" t="s">
        <v>532</v>
      </c>
      <c r="E287" s="222">
        <v>100537</v>
      </c>
    </row>
    <row r="288" spans="1:5" ht="24" hidden="1" outlineLevel="1" x14ac:dyDescent="0.2">
      <c r="A288" s="220" t="s">
        <v>535</v>
      </c>
      <c r="B288" s="221" t="s">
        <v>138</v>
      </c>
      <c r="C288" s="221" t="s">
        <v>531</v>
      </c>
      <c r="D288" s="221" t="s">
        <v>532</v>
      </c>
      <c r="E288" s="222">
        <v>55560.21</v>
      </c>
    </row>
    <row r="289" spans="1:5" ht="24" hidden="1" outlineLevel="1" x14ac:dyDescent="0.2">
      <c r="A289" s="220" t="s">
        <v>536</v>
      </c>
      <c r="B289" s="221" t="s">
        <v>138</v>
      </c>
      <c r="C289" s="221" t="s">
        <v>531</v>
      </c>
      <c r="D289" s="221" t="s">
        <v>532</v>
      </c>
      <c r="E289" s="222">
        <v>44577.919999999998</v>
      </c>
    </row>
    <row r="290" spans="1:5" ht="24" hidden="1" outlineLevel="1" x14ac:dyDescent="0.2">
      <c r="A290" s="220" t="s">
        <v>537</v>
      </c>
      <c r="B290" s="221" t="s">
        <v>138</v>
      </c>
      <c r="C290" s="221" t="s">
        <v>531</v>
      </c>
      <c r="D290" s="221" t="s">
        <v>532</v>
      </c>
      <c r="E290" s="222">
        <v>41521.22</v>
      </c>
    </row>
    <row r="291" spans="1:5" ht="24" hidden="1" outlineLevel="1" x14ac:dyDescent="0.2">
      <c r="A291" s="220" t="s">
        <v>538</v>
      </c>
      <c r="B291" s="221" t="s">
        <v>138</v>
      </c>
      <c r="C291" s="221" t="s">
        <v>539</v>
      </c>
      <c r="D291" s="221" t="s">
        <v>532</v>
      </c>
      <c r="E291" s="222">
        <v>9254.56</v>
      </c>
    </row>
    <row r="292" spans="1:5" ht="24" hidden="1" outlineLevel="1" x14ac:dyDescent="0.2">
      <c r="A292" s="220" t="s">
        <v>540</v>
      </c>
      <c r="B292" s="221" t="s">
        <v>138</v>
      </c>
      <c r="C292" s="221" t="s">
        <v>541</v>
      </c>
      <c r="D292" s="221" t="s">
        <v>532</v>
      </c>
      <c r="E292" s="222">
        <v>2655.09</v>
      </c>
    </row>
    <row r="293" spans="1:5" ht="24" hidden="1" outlineLevel="1" x14ac:dyDescent="0.2">
      <c r="A293" s="220" t="s">
        <v>542</v>
      </c>
      <c r="B293" s="221" t="s">
        <v>138</v>
      </c>
      <c r="C293" s="221" t="s">
        <v>543</v>
      </c>
      <c r="D293" s="221" t="s">
        <v>532</v>
      </c>
      <c r="E293" s="222">
        <v>45601.74</v>
      </c>
    </row>
    <row r="294" spans="1:5" ht="24" hidden="1" outlineLevel="1" x14ac:dyDescent="0.2">
      <c r="A294" s="220" t="s">
        <v>544</v>
      </c>
      <c r="B294" s="221" t="s">
        <v>138</v>
      </c>
      <c r="C294" s="221" t="s">
        <v>545</v>
      </c>
      <c r="D294" s="221" t="s">
        <v>532</v>
      </c>
      <c r="E294" s="222">
        <v>41480.370000000003</v>
      </c>
    </row>
    <row r="295" spans="1:5" ht="24" hidden="1" outlineLevel="1" x14ac:dyDescent="0.2">
      <c r="A295" s="220" t="s">
        <v>546</v>
      </c>
      <c r="B295" s="221" t="s">
        <v>138</v>
      </c>
      <c r="C295" s="221" t="s">
        <v>547</v>
      </c>
      <c r="D295" s="221" t="s">
        <v>532</v>
      </c>
      <c r="E295" s="222">
        <v>42688.41</v>
      </c>
    </row>
    <row r="296" spans="1:5" ht="24" hidden="1" outlineLevel="1" x14ac:dyDescent="0.2">
      <c r="A296" s="220" t="s">
        <v>548</v>
      </c>
      <c r="B296" s="221" t="s">
        <v>138</v>
      </c>
      <c r="C296" s="221" t="s">
        <v>547</v>
      </c>
      <c r="D296" s="221" t="s">
        <v>532</v>
      </c>
      <c r="E296" s="222">
        <v>132795.03</v>
      </c>
    </row>
    <row r="297" spans="1:5" ht="24" hidden="1" outlineLevel="1" x14ac:dyDescent="0.2">
      <c r="A297" s="220" t="s">
        <v>549</v>
      </c>
      <c r="B297" s="221" t="s">
        <v>138</v>
      </c>
      <c r="C297" s="221" t="s">
        <v>550</v>
      </c>
      <c r="D297" s="221" t="s">
        <v>532</v>
      </c>
      <c r="E297" s="222">
        <v>60452.73</v>
      </c>
    </row>
    <row r="298" spans="1:5" ht="24" hidden="1" outlineLevel="1" x14ac:dyDescent="0.2">
      <c r="A298" s="220" t="s">
        <v>551</v>
      </c>
      <c r="B298" s="221" t="s">
        <v>138</v>
      </c>
      <c r="C298" s="221" t="s">
        <v>552</v>
      </c>
      <c r="D298" s="221" t="s">
        <v>532</v>
      </c>
      <c r="E298" s="222">
        <v>2369.3200000000002</v>
      </c>
    </row>
    <row r="299" spans="1:5" ht="24" hidden="1" outlineLevel="1" x14ac:dyDescent="0.2">
      <c r="A299" s="220" t="s">
        <v>553</v>
      </c>
      <c r="B299" s="221" t="s">
        <v>138</v>
      </c>
      <c r="C299" s="221" t="s">
        <v>554</v>
      </c>
      <c r="D299" s="221" t="s">
        <v>532</v>
      </c>
      <c r="E299" s="222">
        <v>177572.75</v>
      </c>
    </row>
    <row r="300" spans="1:5" ht="24" hidden="1" outlineLevel="1" x14ac:dyDescent="0.2">
      <c r="A300" s="220" t="s">
        <v>555</v>
      </c>
      <c r="B300" s="221" t="s">
        <v>138</v>
      </c>
      <c r="C300" s="221" t="s">
        <v>556</v>
      </c>
      <c r="D300" s="221" t="s">
        <v>532</v>
      </c>
      <c r="E300" s="222">
        <v>8605.15</v>
      </c>
    </row>
    <row r="301" spans="1:5" ht="24" hidden="1" outlineLevel="1" x14ac:dyDescent="0.2">
      <c r="A301" s="220" t="s">
        <v>557</v>
      </c>
      <c r="B301" s="221" t="s">
        <v>138</v>
      </c>
      <c r="C301" s="221" t="s">
        <v>558</v>
      </c>
      <c r="D301" s="221" t="s">
        <v>532</v>
      </c>
      <c r="E301" s="222">
        <v>17096.71</v>
      </c>
    </row>
    <row r="302" spans="1:5" ht="60" hidden="1" outlineLevel="1" x14ac:dyDescent="0.2">
      <c r="A302" s="220" t="s">
        <v>559</v>
      </c>
      <c r="B302" s="221" t="s">
        <v>560</v>
      </c>
      <c r="C302" s="221" t="s">
        <v>561</v>
      </c>
      <c r="D302" s="221" t="s">
        <v>562</v>
      </c>
      <c r="E302" s="222">
        <v>503842.32</v>
      </c>
    </row>
    <row r="303" spans="1:5" ht="36" hidden="1" outlineLevel="1" x14ac:dyDescent="0.2">
      <c r="A303" s="220" t="s">
        <v>563</v>
      </c>
      <c r="B303" s="221" t="s">
        <v>564</v>
      </c>
      <c r="C303" s="221" t="s">
        <v>565</v>
      </c>
      <c r="D303" s="221" t="s">
        <v>566</v>
      </c>
      <c r="E303" s="222">
        <v>1830000</v>
      </c>
    </row>
    <row r="304" spans="1:5" ht="60" hidden="1" outlineLevel="1" x14ac:dyDescent="0.2">
      <c r="A304" s="220" t="s">
        <v>567</v>
      </c>
      <c r="B304" s="221" t="s">
        <v>560</v>
      </c>
      <c r="C304" s="221" t="s">
        <v>565</v>
      </c>
      <c r="D304" s="221" t="s">
        <v>562</v>
      </c>
      <c r="E304" s="222">
        <v>1186622.83</v>
      </c>
    </row>
    <row r="305" spans="1:5" ht="60" hidden="1" outlineLevel="1" x14ac:dyDescent="0.2">
      <c r="A305" s="220" t="s">
        <v>568</v>
      </c>
      <c r="B305" s="221" t="s">
        <v>560</v>
      </c>
      <c r="C305" s="221" t="s">
        <v>569</v>
      </c>
      <c r="D305" s="221" t="s">
        <v>562</v>
      </c>
      <c r="E305" s="222">
        <v>985007.7</v>
      </c>
    </row>
    <row r="306" spans="1:5" ht="60" hidden="1" outlineLevel="1" x14ac:dyDescent="0.2">
      <c r="A306" s="220" t="s">
        <v>570</v>
      </c>
      <c r="B306" s="221" t="s">
        <v>560</v>
      </c>
      <c r="C306" s="221" t="s">
        <v>571</v>
      </c>
      <c r="D306" s="221" t="s">
        <v>562</v>
      </c>
      <c r="E306" s="222">
        <v>1230451.08</v>
      </c>
    </row>
    <row r="307" spans="1:5" ht="24" hidden="1" outlineLevel="1" x14ac:dyDescent="0.2">
      <c r="A307" s="220" t="s">
        <v>572</v>
      </c>
      <c r="B307" s="221" t="s">
        <v>138</v>
      </c>
      <c r="C307" s="221" t="s">
        <v>573</v>
      </c>
      <c r="D307" s="221" t="s">
        <v>532</v>
      </c>
      <c r="E307" s="222">
        <v>2318.0700000000002</v>
      </c>
    </row>
    <row r="308" spans="1:5" ht="24" hidden="1" outlineLevel="1" x14ac:dyDescent="0.2">
      <c r="A308" s="220" t="s">
        <v>574</v>
      </c>
      <c r="B308" s="221" t="s">
        <v>138</v>
      </c>
      <c r="C308" s="221" t="s">
        <v>575</v>
      </c>
      <c r="D308" s="221" t="s">
        <v>532</v>
      </c>
      <c r="E308" s="222">
        <v>9777.2000000000007</v>
      </c>
    </row>
    <row r="309" spans="1:5" ht="36" hidden="1" outlineLevel="1" x14ac:dyDescent="0.2">
      <c r="A309" s="220" t="s">
        <v>576</v>
      </c>
      <c r="B309" s="221" t="s">
        <v>577</v>
      </c>
      <c r="C309" s="221" t="s">
        <v>578</v>
      </c>
      <c r="D309" s="221" t="s">
        <v>579</v>
      </c>
      <c r="E309" s="222">
        <v>1240</v>
      </c>
    </row>
    <row r="310" spans="1:5" ht="36" hidden="1" outlineLevel="1" x14ac:dyDescent="0.2">
      <c r="A310" s="220" t="s">
        <v>580</v>
      </c>
      <c r="B310" s="221" t="s">
        <v>577</v>
      </c>
      <c r="C310" s="221" t="s">
        <v>581</v>
      </c>
      <c r="D310" s="221" t="s">
        <v>579</v>
      </c>
      <c r="E310" s="222">
        <v>260</v>
      </c>
    </row>
    <row r="311" spans="1:5" ht="36" hidden="1" outlineLevel="1" x14ac:dyDescent="0.2">
      <c r="A311" s="220" t="s">
        <v>582</v>
      </c>
      <c r="B311" s="221" t="s">
        <v>577</v>
      </c>
      <c r="C311" s="221" t="s">
        <v>583</v>
      </c>
      <c r="D311" s="221" t="s">
        <v>579</v>
      </c>
      <c r="E311" s="222">
        <v>2300</v>
      </c>
    </row>
    <row r="312" spans="1:5" ht="60" hidden="1" outlineLevel="1" x14ac:dyDescent="0.2">
      <c r="A312" s="220" t="s">
        <v>584</v>
      </c>
      <c r="B312" s="221" t="s">
        <v>560</v>
      </c>
      <c r="C312" s="221" t="s">
        <v>585</v>
      </c>
      <c r="D312" s="221" t="s">
        <v>562</v>
      </c>
      <c r="E312" s="222">
        <v>814463.26</v>
      </c>
    </row>
    <row r="313" spans="1:5" ht="24" hidden="1" outlineLevel="1" x14ac:dyDescent="0.2">
      <c r="A313" s="220" t="s">
        <v>586</v>
      </c>
      <c r="B313" s="221" t="s">
        <v>138</v>
      </c>
      <c r="C313" s="221" t="s">
        <v>587</v>
      </c>
      <c r="D313" s="221" t="s">
        <v>532</v>
      </c>
      <c r="E313" s="222">
        <v>6126.3</v>
      </c>
    </row>
    <row r="314" spans="1:5" ht="36" hidden="1" outlineLevel="1" x14ac:dyDescent="0.2">
      <c r="A314" s="220" t="s">
        <v>588</v>
      </c>
      <c r="B314" s="221" t="s">
        <v>589</v>
      </c>
      <c r="C314" s="221" t="s">
        <v>590</v>
      </c>
      <c r="D314" s="221" t="s">
        <v>591</v>
      </c>
      <c r="E314" s="222">
        <v>190320</v>
      </c>
    </row>
    <row r="315" spans="1:5" ht="24" hidden="1" outlineLevel="1" x14ac:dyDescent="0.2">
      <c r="A315" s="220" t="s">
        <v>592</v>
      </c>
      <c r="B315" s="221" t="s">
        <v>138</v>
      </c>
      <c r="C315" s="221" t="s">
        <v>593</v>
      </c>
      <c r="D315" s="221" t="s">
        <v>532</v>
      </c>
      <c r="E315" s="222">
        <v>12830.6</v>
      </c>
    </row>
    <row r="316" spans="1:5" ht="60" hidden="1" outlineLevel="1" x14ac:dyDescent="0.2">
      <c r="A316" s="220" t="s">
        <v>594</v>
      </c>
      <c r="B316" s="221" t="s">
        <v>560</v>
      </c>
      <c r="C316" s="221" t="s">
        <v>595</v>
      </c>
      <c r="D316" s="221" t="s">
        <v>562</v>
      </c>
      <c r="E316" s="222">
        <v>922308.07</v>
      </c>
    </row>
    <row r="317" spans="1:5" ht="36" hidden="1" outlineLevel="1" x14ac:dyDescent="0.2">
      <c r="A317" s="220" t="s">
        <v>596</v>
      </c>
      <c r="B317" s="221" t="s">
        <v>597</v>
      </c>
      <c r="C317" s="221" t="s">
        <v>598</v>
      </c>
      <c r="D317" s="221" t="s">
        <v>599</v>
      </c>
      <c r="E317" s="222">
        <v>107448.24</v>
      </c>
    </row>
    <row r="318" spans="1:5" ht="24" hidden="1" outlineLevel="1" x14ac:dyDescent="0.2">
      <c r="A318" s="220" t="s">
        <v>600</v>
      </c>
      <c r="B318" s="221" t="s">
        <v>138</v>
      </c>
      <c r="C318" s="221" t="s">
        <v>601</v>
      </c>
      <c r="D318" s="221" t="s">
        <v>532</v>
      </c>
      <c r="E318" s="222">
        <v>7486.86</v>
      </c>
    </row>
    <row r="319" spans="1:5" ht="36" hidden="1" outlineLevel="1" x14ac:dyDescent="0.2">
      <c r="A319" s="220" t="s">
        <v>602</v>
      </c>
      <c r="B319" s="221" t="s">
        <v>603</v>
      </c>
      <c r="C319" s="221" t="s">
        <v>604</v>
      </c>
      <c r="D319" s="221" t="s">
        <v>605</v>
      </c>
      <c r="E319" s="222">
        <v>0.6</v>
      </c>
    </row>
    <row r="320" spans="1:5" ht="24" hidden="1" outlineLevel="1" x14ac:dyDescent="0.2">
      <c r="A320" s="220" t="s">
        <v>606</v>
      </c>
      <c r="B320" s="221" t="s">
        <v>138</v>
      </c>
      <c r="C320" s="221" t="s">
        <v>607</v>
      </c>
      <c r="D320" s="221" t="s">
        <v>532</v>
      </c>
      <c r="E320" s="222">
        <v>18623.900000000001</v>
      </c>
    </row>
    <row r="321" spans="1:5" ht="24" hidden="1" outlineLevel="1" x14ac:dyDescent="0.2">
      <c r="A321" s="220" t="s">
        <v>608</v>
      </c>
      <c r="B321" s="221" t="s">
        <v>138</v>
      </c>
      <c r="C321" s="221" t="s">
        <v>609</v>
      </c>
      <c r="D321" s="221" t="s">
        <v>532</v>
      </c>
      <c r="E321" s="222">
        <v>8710</v>
      </c>
    </row>
    <row r="322" spans="1:5" ht="24" hidden="1" outlineLevel="1" x14ac:dyDescent="0.2">
      <c r="A322" s="220" t="s">
        <v>610</v>
      </c>
      <c r="B322" s="221" t="s">
        <v>611</v>
      </c>
      <c r="C322" s="221" t="s">
        <v>612</v>
      </c>
      <c r="D322" s="221" t="s">
        <v>613</v>
      </c>
      <c r="E322" s="222">
        <v>165616.46</v>
      </c>
    </row>
    <row r="323" spans="1:5" ht="36" hidden="1" outlineLevel="1" x14ac:dyDescent="0.2">
      <c r="A323" s="220" t="s">
        <v>614</v>
      </c>
      <c r="B323" s="221" t="s">
        <v>615</v>
      </c>
      <c r="C323" s="221" t="s">
        <v>616</v>
      </c>
      <c r="D323" s="221" t="s">
        <v>617</v>
      </c>
      <c r="E323" s="222">
        <v>31988.240000000002</v>
      </c>
    </row>
    <row r="324" spans="1:5" ht="36" hidden="1" outlineLevel="1" x14ac:dyDescent="0.2">
      <c r="A324" s="220" t="s">
        <v>618</v>
      </c>
      <c r="B324" s="221" t="s">
        <v>615</v>
      </c>
      <c r="C324" s="221" t="s">
        <v>616</v>
      </c>
      <c r="D324" s="221" t="s">
        <v>617</v>
      </c>
      <c r="E324" s="222">
        <v>100281.85</v>
      </c>
    </row>
    <row r="325" spans="1:5" ht="24" hidden="1" outlineLevel="1" x14ac:dyDescent="0.2">
      <c r="A325" s="220" t="s">
        <v>619</v>
      </c>
      <c r="B325" s="221" t="s">
        <v>138</v>
      </c>
      <c r="C325" s="221" t="s">
        <v>620</v>
      </c>
      <c r="D325" s="221" t="s">
        <v>532</v>
      </c>
      <c r="E325" s="222">
        <v>45501.27</v>
      </c>
    </row>
    <row r="326" spans="1:5" ht="24" hidden="1" outlineLevel="1" x14ac:dyDescent="0.2">
      <c r="A326" s="220" t="s">
        <v>621</v>
      </c>
      <c r="B326" s="221" t="s">
        <v>138</v>
      </c>
      <c r="C326" s="221" t="s">
        <v>620</v>
      </c>
      <c r="D326" s="221" t="s">
        <v>532</v>
      </c>
      <c r="E326" s="222">
        <v>1325</v>
      </c>
    </row>
    <row r="327" spans="1:5" ht="24" hidden="1" outlineLevel="1" x14ac:dyDescent="0.2">
      <c r="A327" s="220" t="s">
        <v>622</v>
      </c>
      <c r="B327" s="221" t="s">
        <v>138</v>
      </c>
      <c r="C327" s="221" t="s">
        <v>620</v>
      </c>
      <c r="D327" s="221" t="s">
        <v>532</v>
      </c>
      <c r="E327" s="222">
        <v>7735.5</v>
      </c>
    </row>
    <row r="328" spans="1:5" ht="24" hidden="1" outlineLevel="1" x14ac:dyDescent="0.2">
      <c r="A328" s="220" t="s">
        <v>623</v>
      </c>
      <c r="B328" s="221" t="s">
        <v>138</v>
      </c>
      <c r="C328" s="221" t="s">
        <v>624</v>
      </c>
      <c r="D328" s="221" t="s">
        <v>532</v>
      </c>
      <c r="E328" s="222">
        <v>16948.259999999998</v>
      </c>
    </row>
    <row r="329" spans="1:5" ht="24" hidden="1" outlineLevel="1" x14ac:dyDescent="0.2">
      <c r="A329" s="220" t="s">
        <v>625</v>
      </c>
      <c r="B329" s="221" t="s">
        <v>138</v>
      </c>
      <c r="C329" s="221" t="s">
        <v>624</v>
      </c>
      <c r="D329" s="221" t="s">
        <v>532</v>
      </c>
      <c r="E329" s="222">
        <v>55523.1</v>
      </c>
    </row>
    <row r="330" spans="1:5" ht="24" hidden="1" outlineLevel="1" x14ac:dyDescent="0.2">
      <c r="A330" s="220" t="s">
        <v>626</v>
      </c>
      <c r="B330" s="221" t="s">
        <v>138</v>
      </c>
      <c r="C330" s="221" t="s">
        <v>624</v>
      </c>
      <c r="D330" s="221" t="s">
        <v>532</v>
      </c>
      <c r="E330" s="222">
        <v>78179.22</v>
      </c>
    </row>
    <row r="331" spans="1:5" ht="24" hidden="1" outlineLevel="1" x14ac:dyDescent="0.2">
      <c r="A331" s="220" t="s">
        <v>627</v>
      </c>
      <c r="B331" s="221" t="s">
        <v>138</v>
      </c>
      <c r="C331" s="221" t="s">
        <v>624</v>
      </c>
      <c r="D331" s="221" t="s">
        <v>532</v>
      </c>
      <c r="E331" s="222">
        <v>43091.360000000001</v>
      </c>
    </row>
    <row r="332" spans="1:5" ht="24" hidden="1" outlineLevel="1" x14ac:dyDescent="0.2">
      <c r="A332" s="220" t="s">
        <v>628</v>
      </c>
      <c r="B332" s="221" t="s">
        <v>138</v>
      </c>
      <c r="C332" s="221" t="s">
        <v>624</v>
      </c>
      <c r="D332" s="221" t="s">
        <v>532</v>
      </c>
      <c r="E332" s="222">
        <v>202845.08</v>
      </c>
    </row>
    <row r="333" spans="1:5" ht="24" hidden="1" outlineLevel="1" x14ac:dyDescent="0.2">
      <c r="A333" s="220" t="s">
        <v>629</v>
      </c>
      <c r="B333" s="221" t="s">
        <v>138</v>
      </c>
      <c r="C333" s="221" t="s">
        <v>624</v>
      </c>
      <c r="D333" s="221" t="s">
        <v>532</v>
      </c>
      <c r="E333" s="222">
        <v>713113.96</v>
      </c>
    </row>
    <row r="334" spans="1:5" ht="24" hidden="1" outlineLevel="1" x14ac:dyDescent="0.2">
      <c r="A334" s="220" t="s">
        <v>630</v>
      </c>
      <c r="B334" s="221" t="s">
        <v>138</v>
      </c>
      <c r="C334" s="221" t="s">
        <v>624</v>
      </c>
      <c r="D334" s="221" t="s">
        <v>532</v>
      </c>
      <c r="E334" s="222">
        <v>146298.98000000001</v>
      </c>
    </row>
    <row r="335" spans="1:5" ht="24" hidden="1" outlineLevel="1" x14ac:dyDescent="0.2">
      <c r="A335" s="220" t="s">
        <v>631</v>
      </c>
      <c r="B335" s="221" t="s">
        <v>138</v>
      </c>
      <c r="C335" s="221" t="s">
        <v>632</v>
      </c>
      <c r="D335" s="221" t="s">
        <v>532</v>
      </c>
      <c r="E335" s="222">
        <v>1069292.43</v>
      </c>
    </row>
    <row r="336" spans="1:5" ht="24" hidden="1" outlineLevel="1" x14ac:dyDescent="0.2">
      <c r="A336" s="220" t="s">
        <v>633</v>
      </c>
      <c r="B336" s="221" t="s">
        <v>138</v>
      </c>
      <c r="C336" s="221" t="s">
        <v>632</v>
      </c>
      <c r="D336" s="221" t="s">
        <v>532</v>
      </c>
      <c r="E336" s="222">
        <v>876969.69</v>
      </c>
    </row>
    <row r="337" spans="1:5" ht="36" hidden="1" outlineLevel="1" x14ac:dyDescent="0.2">
      <c r="A337" s="220" t="s">
        <v>634</v>
      </c>
      <c r="B337" s="221" t="s">
        <v>615</v>
      </c>
      <c r="C337" s="221" t="s">
        <v>635</v>
      </c>
      <c r="D337" s="221" t="s">
        <v>617</v>
      </c>
      <c r="E337" s="222">
        <v>401537.93</v>
      </c>
    </row>
    <row r="338" spans="1:5" ht="36" hidden="1" outlineLevel="1" x14ac:dyDescent="0.2">
      <c r="A338" s="220" t="s">
        <v>636</v>
      </c>
      <c r="B338" s="221" t="s">
        <v>615</v>
      </c>
      <c r="C338" s="221" t="s">
        <v>637</v>
      </c>
      <c r="D338" s="221" t="s">
        <v>617</v>
      </c>
      <c r="E338" s="222">
        <v>401537.93</v>
      </c>
    </row>
    <row r="339" spans="1:5" ht="36" hidden="1" outlineLevel="1" x14ac:dyDescent="0.2">
      <c r="A339" s="220" t="s">
        <v>638</v>
      </c>
      <c r="B339" s="221" t="s">
        <v>615</v>
      </c>
      <c r="C339" s="221" t="s">
        <v>639</v>
      </c>
      <c r="D339" s="221" t="s">
        <v>617</v>
      </c>
      <c r="E339" s="222">
        <v>243870.77</v>
      </c>
    </row>
    <row r="340" spans="1:5" ht="24" hidden="1" outlineLevel="1" x14ac:dyDescent="0.2">
      <c r="A340" s="220" t="s">
        <v>640</v>
      </c>
      <c r="B340" s="221" t="s">
        <v>138</v>
      </c>
      <c r="C340" s="221" t="s">
        <v>641</v>
      </c>
      <c r="D340" s="221" t="s">
        <v>532</v>
      </c>
      <c r="E340" s="222">
        <v>6189.34</v>
      </c>
    </row>
    <row r="341" spans="1:5" ht="24" hidden="1" outlineLevel="1" x14ac:dyDescent="0.2">
      <c r="A341" s="220" t="s">
        <v>642</v>
      </c>
      <c r="B341" s="221" t="s">
        <v>138</v>
      </c>
      <c r="C341" s="221" t="s">
        <v>641</v>
      </c>
      <c r="D341" s="221" t="s">
        <v>532</v>
      </c>
      <c r="E341" s="222">
        <v>2646</v>
      </c>
    </row>
    <row r="342" spans="1:5" ht="24" hidden="1" outlineLevel="1" x14ac:dyDescent="0.2">
      <c r="A342" s="220" t="s">
        <v>643</v>
      </c>
      <c r="B342" s="221" t="s">
        <v>138</v>
      </c>
      <c r="C342" s="221" t="s">
        <v>644</v>
      </c>
      <c r="D342" s="221" t="s">
        <v>532</v>
      </c>
      <c r="E342" s="222">
        <v>13589395.310000001</v>
      </c>
    </row>
    <row r="343" spans="1:5" ht="24" hidden="1" outlineLevel="1" x14ac:dyDescent="0.2">
      <c r="A343" s="220" t="s">
        <v>645</v>
      </c>
      <c r="B343" s="221" t="s">
        <v>138</v>
      </c>
      <c r="C343" s="221" t="s">
        <v>644</v>
      </c>
      <c r="D343" s="221" t="s">
        <v>532</v>
      </c>
      <c r="E343" s="222">
        <v>905010.97</v>
      </c>
    </row>
    <row r="344" spans="1:5" ht="24" hidden="1" outlineLevel="1" x14ac:dyDescent="0.2">
      <c r="A344" s="220" t="s">
        <v>646</v>
      </c>
      <c r="B344" s="221" t="s">
        <v>138</v>
      </c>
      <c r="C344" s="221" t="s">
        <v>644</v>
      </c>
      <c r="D344" s="221" t="s">
        <v>532</v>
      </c>
      <c r="E344" s="222">
        <v>1693185.17</v>
      </c>
    </row>
    <row r="345" spans="1:5" ht="24" hidden="1" outlineLevel="1" x14ac:dyDescent="0.2">
      <c r="A345" s="220" t="s">
        <v>647</v>
      </c>
      <c r="B345" s="221" t="s">
        <v>138</v>
      </c>
      <c r="C345" s="221" t="s">
        <v>644</v>
      </c>
      <c r="D345" s="221" t="s">
        <v>532</v>
      </c>
      <c r="E345" s="222">
        <v>541621.57999999996</v>
      </c>
    </row>
    <row r="346" spans="1:5" ht="24" hidden="1" outlineLevel="1" x14ac:dyDescent="0.2">
      <c r="A346" s="220" t="s">
        <v>648</v>
      </c>
      <c r="B346" s="221" t="s">
        <v>138</v>
      </c>
      <c r="C346" s="221" t="s">
        <v>644</v>
      </c>
      <c r="D346" s="221" t="s">
        <v>532</v>
      </c>
      <c r="E346" s="222">
        <v>219302.26</v>
      </c>
    </row>
    <row r="347" spans="1:5" ht="24" hidden="1" outlineLevel="1" x14ac:dyDescent="0.2">
      <c r="A347" s="220" t="s">
        <v>649</v>
      </c>
      <c r="B347" s="221" t="s">
        <v>138</v>
      </c>
      <c r="C347" s="221" t="s">
        <v>644</v>
      </c>
      <c r="D347" s="221" t="s">
        <v>532</v>
      </c>
      <c r="E347" s="222">
        <v>25403.32</v>
      </c>
    </row>
    <row r="348" spans="1:5" ht="24" hidden="1" outlineLevel="1" x14ac:dyDescent="0.2">
      <c r="A348" s="220" t="s">
        <v>650</v>
      </c>
      <c r="B348" s="221" t="s">
        <v>138</v>
      </c>
      <c r="C348" s="221" t="s">
        <v>644</v>
      </c>
      <c r="D348" s="221" t="s">
        <v>532</v>
      </c>
      <c r="E348" s="222">
        <v>129974.48</v>
      </c>
    </row>
    <row r="349" spans="1:5" ht="24" hidden="1" outlineLevel="1" x14ac:dyDescent="0.2">
      <c r="A349" s="220" t="s">
        <v>651</v>
      </c>
      <c r="B349" s="221" t="s">
        <v>138</v>
      </c>
      <c r="C349" s="221" t="s">
        <v>644</v>
      </c>
      <c r="D349" s="221" t="s">
        <v>532</v>
      </c>
      <c r="E349" s="222">
        <v>69468.960000000006</v>
      </c>
    </row>
    <row r="350" spans="1:5" ht="24" hidden="1" outlineLevel="1" x14ac:dyDescent="0.2">
      <c r="A350" s="220" t="s">
        <v>652</v>
      </c>
      <c r="B350" s="221" t="s">
        <v>138</v>
      </c>
      <c r="C350" s="221" t="s">
        <v>644</v>
      </c>
      <c r="D350" s="221" t="s">
        <v>532</v>
      </c>
      <c r="E350" s="222">
        <v>1096708.18</v>
      </c>
    </row>
    <row r="351" spans="1:5" ht="24" hidden="1" outlineLevel="1" x14ac:dyDescent="0.2">
      <c r="A351" s="220" t="s">
        <v>653</v>
      </c>
      <c r="B351" s="221" t="s">
        <v>138</v>
      </c>
      <c r="C351" s="221" t="s">
        <v>644</v>
      </c>
      <c r="D351" s="221" t="s">
        <v>532</v>
      </c>
      <c r="E351" s="222">
        <v>82355.42</v>
      </c>
    </row>
    <row r="352" spans="1:5" ht="24" hidden="1" outlineLevel="1" x14ac:dyDescent="0.2">
      <c r="A352" s="220" t="s">
        <v>654</v>
      </c>
      <c r="B352" s="221" t="s">
        <v>138</v>
      </c>
      <c r="C352" s="221" t="s">
        <v>644</v>
      </c>
      <c r="D352" s="221" t="s">
        <v>532</v>
      </c>
      <c r="E352" s="222">
        <v>178745.12</v>
      </c>
    </row>
    <row r="353" spans="1:5" ht="24" hidden="1" outlineLevel="1" x14ac:dyDescent="0.2">
      <c r="A353" s="220" t="s">
        <v>655</v>
      </c>
      <c r="B353" s="221" t="s">
        <v>138</v>
      </c>
      <c r="C353" s="221" t="s">
        <v>644</v>
      </c>
      <c r="D353" s="221" t="s">
        <v>532</v>
      </c>
      <c r="E353" s="222">
        <v>247848.8</v>
      </c>
    </row>
    <row r="354" spans="1:5" ht="24" hidden="1" outlineLevel="1" x14ac:dyDescent="0.2">
      <c r="A354" s="220" t="s">
        <v>656</v>
      </c>
      <c r="B354" s="221" t="s">
        <v>138</v>
      </c>
      <c r="C354" s="221" t="s">
        <v>644</v>
      </c>
      <c r="D354" s="221" t="s">
        <v>532</v>
      </c>
      <c r="E354" s="222">
        <v>74757.45</v>
      </c>
    </row>
    <row r="355" spans="1:5" ht="24" hidden="1" outlineLevel="1" x14ac:dyDescent="0.2">
      <c r="A355" s="220" t="s">
        <v>657</v>
      </c>
      <c r="B355" s="221" t="s">
        <v>138</v>
      </c>
      <c r="C355" s="221" t="s">
        <v>644</v>
      </c>
      <c r="D355" s="221" t="s">
        <v>532</v>
      </c>
      <c r="E355" s="222">
        <v>6132.83</v>
      </c>
    </row>
    <row r="356" spans="1:5" ht="24" hidden="1" outlineLevel="1" x14ac:dyDescent="0.2">
      <c r="A356" s="220" t="s">
        <v>658</v>
      </c>
      <c r="B356" s="221" t="s">
        <v>138</v>
      </c>
      <c r="C356" s="221" t="s">
        <v>644</v>
      </c>
      <c r="D356" s="221" t="s">
        <v>532</v>
      </c>
      <c r="E356" s="222">
        <v>88463.22</v>
      </c>
    </row>
    <row r="357" spans="1:5" ht="24" hidden="1" outlineLevel="1" x14ac:dyDescent="0.2">
      <c r="A357" s="220" t="s">
        <v>659</v>
      </c>
      <c r="B357" s="221" t="s">
        <v>138</v>
      </c>
      <c r="C357" s="221" t="s">
        <v>644</v>
      </c>
      <c r="D357" s="221" t="s">
        <v>532</v>
      </c>
      <c r="E357" s="222">
        <v>25633.67</v>
      </c>
    </row>
    <row r="358" spans="1:5" ht="24" hidden="1" outlineLevel="1" x14ac:dyDescent="0.2">
      <c r="A358" s="220" t="s">
        <v>660</v>
      </c>
      <c r="B358" s="221" t="s">
        <v>138</v>
      </c>
      <c r="C358" s="221" t="s">
        <v>644</v>
      </c>
      <c r="D358" s="221" t="s">
        <v>532</v>
      </c>
      <c r="E358" s="222">
        <v>23941.599999999999</v>
      </c>
    </row>
    <row r="359" spans="1:5" ht="24" hidden="1" outlineLevel="1" x14ac:dyDescent="0.2">
      <c r="A359" s="220" t="s">
        <v>661</v>
      </c>
      <c r="B359" s="221" t="s">
        <v>138</v>
      </c>
      <c r="C359" s="221" t="s">
        <v>644</v>
      </c>
      <c r="D359" s="221" t="s">
        <v>532</v>
      </c>
      <c r="E359" s="222">
        <v>24547.88</v>
      </c>
    </row>
    <row r="360" spans="1:5" ht="24" hidden="1" outlineLevel="1" x14ac:dyDescent="0.2">
      <c r="A360" s="220" t="s">
        <v>662</v>
      </c>
      <c r="B360" s="221" t="s">
        <v>138</v>
      </c>
      <c r="C360" s="221" t="s">
        <v>644</v>
      </c>
      <c r="D360" s="221" t="s">
        <v>532</v>
      </c>
      <c r="E360" s="222">
        <v>34801.5</v>
      </c>
    </row>
    <row r="361" spans="1:5" ht="24" hidden="1" outlineLevel="1" x14ac:dyDescent="0.2">
      <c r="A361" s="220" t="s">
        <v>663</v>
      </c>
      <c r="B361" s="221" t="s">
        <v>138</v>
      </c>
      <c r="C361" s="221" t="s">
        <v>644</v>
      </c>
      <c r="D361" s="221" t="s">
        <v>532</v>
      </c>
      <c r="E361" s="222">
        <v>215946.43</v>
      </c>
    </row>
    <row r="362" spans="1:5" ht="24" hidden="1" outlineLevel="1" x14ac:dyDescent="0.2">
      <c r="A362" s="220" t="s">
        <v>664</v>
      </c>
      <c r="B362" s="221" t="s">
        <v>138</v>
      </c>
      <c r="C362" s="221" t="s">
        <v>644</v>
      </c>
      <c r="D362" s="221" t="s">
        <v>532</v>
      </c>
      <c r="E362" s="222">
        <v>300601.68</v>
      </c>
    </row>
    <row r="363" spans="1:5" ht="24" hidden="1" outlineLevel="1" x14ac:dyDescent="0.2">
      <c r="A363" s="220" t="s">
        <v>665</v>
      </c>
      <c r="B363" s="221" t="s">
        <v>138</v>
      </c>
      <c r="C363" s="221" t="s">
        <v>644</v>
      </c>
      <c r="D363" s="221" t="s">
        <v>532</v>
      </c>
      <c r="E363" s="222">
        <v>15836.83</v>
      </c>
    </row>
    <row r="364" spans="1:5" ht="24" hidden="1" outlineLevel="1" x14ac:dyDescent="0.2">
      <c r="A364" s="220" t="s">
        <v>666</v>
      </c>
      <c r="B364" s="221" t="s">
        <v>138</v>
      </c>
      <c r="C364" s="221" t="s">
        <v>644</v>
      </c>
      <c r="D364" s="221" t="s">
        <v>532</v>
      </c>
      <c r="E364" s="222">
        <v>11896</v>
      </c>
    </row>
    <row r="365" spans="1:5" ht="24" hidden="1" outlineLevel="1" x14ac:dyDescent="0.2">
      <c r="A365" s="220" t="s">
        <v>667</v>
      </c>
      <c r="B365" s="221" t="s">
        <v>138</v>
      </c>
      <c r="C365" s="221" t="s">
        <v>644</v>
      </c>
      <c r="D365" s="221" t="s">
        <v>532</v>
      </c>
      <c r="E365" s="222">
        <v>29668.73</v>
      </c>
    </row>
    <row r="366" spans="1:5" ht="24" hidden="1" outlineLevel="1" x14ac:dyDescent="0.2">
      <c r="A366" s="220" t="s">
        <v>668</v>
      </c>
      <c r="B366" s="221" t="s">
        <v>138</v>
      </c>
      <c r="C366" s="221" t="s">
        <v>644</v>
      </c>
      <c r="D366" s="221" t="s">
        <v>532</v>
      </c>
      <c r="E366" s="222">
        <v>205636.88</v>
      </c>
    </row>
    <row r="367" spans="1:5" ht="24" hidden="1" outlineLevel="1" x14ac:dyDescent="0.2">
      <c r="A367" s="220" t="s">
        <v>669</v>
      </c>
      <c r="B367" s="221" t="s">
        <v>138</v>
      </c>
      <c r="C367" s="221" t="s">
        <v>644</v>
      </c>
      <c r="D367" s="221" t="s">
        <v>532</v>
      </c>
      <c r="E367" s="222">
        <v>407984.14</v>
      </c>
    </row>
    <row r="368" spans="1:5" ht="24" hidden="1" outlineLevel="1" x14ac:dyDescent="0.2">
      <c r="A368" s="220" t="s">
        <v>670</v>
      </c>
      <c r="B368" s="221" t="s">
        <v>138</v>
      </c>
      <c r="C368" s="221" t="s">
        <v>644</v>
      </c>
      <c r="D368" s="221" t="s">
        <v>532</v>
      </c>
      <c r="E368" s="222">
        <v>120992.25</v>
      </c>
    </row>
    <row r="369" spans="1:5" ht="24" hidden="1" outlineLevel="1" x14ac:dyDescent="0.2">
      <c r="A369" s="220" t="s">
        <v>671</v>
      </c>
      <c r="B369" s="221" t="s">
        <v>138</v>
      </c>
      <c r="C369" s="221" t="s">
        <v>644</v>
      </c>
      <c r="D369" s="221" t="s">
        <v>532</v>
      </c>
      <c r="E369" s="222">
        <v>518746.1</v>
      </c>
    </row>
    <row r="370" spans="1:5" ht="24" hidden="1" outlineLevel="1" x14ac:dyDescent="0.2">
      <c r="A370" s="220" t="s">
        <v>672</v>
      </c>
      <c r="B370" s="221" t="s">
        <v>138</v>
      </c>
      <c r="C370" s="221" t="s">
        <v>644</v>
      </c>
      <c r="D370" s="221" t="s">
        <v>532</v>
      </c>
      <c r="E370" s="222">
        <v>164199.51</v>
      </c>
    </row>
    <row r="371" spans="1:5" ht="24" hidden="1" outlineLevel="1" x14ac:dyDescent="0.2">
      <c r="A371" s="220" t="s">
        <v>673</v>
      </c>
      <c r="B371" s="221" t="s">
        <v>138</v>
      </c>
      <c r="C371" s="221" t="s">
        <v>644</v>
      </c>
      <c r="D371" s="221" t="s">
        <v>532</v>
      </c>
      <c r="E371" s="222">
        <v>157665.70000000001</v>
      </c>
    </row>
    <row r="372" spans="1:5" ht="24" hidden="1" outlineLevel="1" x14ac:dyDescent="0.2">
      <c r="A372" s="220" t="s">
        <v>674</v>
      </c>
      <c r="B372" s="221" t="s">
        <v>138</v>
      </c>
      <c r="C372" s="221" t="s">
        <v>644</v>
      </c>
      <c r="D372" s="221" t="s">
        <v>532</v>
      </c>
      <c r="E372" s="222">
        <v>60057.279999999999</v>
      </c>
    </row>
    <row r="373" spans="1:5" ht="24" hidden="1" outlineLevel="1" x14ac:dyDescent="0.2">
      <c r="A373" s="220" t="s">
        <v>675</v>
      </c>
      <c r="B373" s="221" t="s">
        <v>138</v>
      </c>
      <c r="C373" s="221" t="s">
        <v>644</v>
      </c>
      <c r="D373" s="221" t="s">
        <v>532</v>
      </c>
      <c r="E373" s="222">
        <v>125911.12</v>
      </c>
    </row>
    <row r="374" spans="1:5" ht="24" hidden="1" outlineLevel="1" x14ac:dyDescent="0.2">
      <c r="A374" s="220" t="s">
        <v>676</v>
      </c>
      <c r="B374" s="221" t="s">
        <v>138</v>
      </c>
      <c r="C374" s="221" t="s">
        <v>644</v>
      </c>
      <c r="D374" s="221" t="s">
        <v>532</v>
      </c>
      <c r="E374" s="222">
        <v>149279.59</v>
      </c>
    </row>
    <row r="375" spans="1:5" ht="24" hidden="1" outlineLevel="1" x14ac:dyDescent="0.2">
      <c r="A375" s="220" t="s">
        <v>677</v>
      </c>
      <c r="B375" s="221" t="s">
        <v>138</v>
      </c>
      <c r="C375" s="221" t="s">
        <v>644</v>
      </c>
      <c r="D375" s="221" t="s">
        <v>532</v>
      </c>
      <c r="E375" s="222">
        <v>26769.47</v>
      </c>
    </row>
    <row r="376" spans="1:5" ht="24" hidden="1" outlineLevel="1" x14ac:dyDescent="0.2">
      <c r="A376" s="220" t="s">
        <v>678</v>
      </c>
      <c r="B376" s="221" t="s">
        <v>138</v>
      </c>
      <c r="C376" s="221" t="s">
        <v>644</v>
      </c>
      <c r="D376" s="221" t="s">
        <v>532</v>
      </c>
      <c r="E376" s="222">
        <v>583878.62</v>
      </c>
    </row>
    <row r="377" spans="1:5" ht="24" hidden="1" outlineLevel="1" x14ac:dyDescent="0.2">
      <c r="A377" s="220" t="s">
        <v>679</v>
      </c>
      <c r="B377" s="221" t="s">
        <v>138</v>
      </c>
      <c r="C377" s="221" t="s">
        <v>644</v>
      </c>
      <c r="D377" s="221" t="s">
        <v>532</v>
      </c>
      <c r="E377" s="222">
        <v>38389</v>
      </c>
    </row>
    <row r="378" spans="1:5" ht="24" hidden="1" outlineLevel="1" x14ac:dyDescent="0.2">
      <c r="A378" s="220" t="s">
        <v>680</v>
      </c>
      <c r="B378" s="221" t="s">
        <v>138</v>
      </c>
      <c r="C378" s="221" t="s">
        <v>644</v>
      </c>
      <c r="D378" s="221" t="s">
        <v>532</v>
      </c>
      <c r="E378" s="222">
        <v>1177237.03</v>
      </c>
    </row>
    <row r="379" spans="1:5" ht="24" hidden="1" outlineLevel="1" x14ac:dyDescent="0.2">
      <c r="A379" s="220" t="s">
        <v>681</v>
      </c>
      <c r="B379" s="221" t="s">
        <v>138</v>
      </c>
      <c r="C379" s="221" t="s">
        <v>644</v>
      </c>
      <c r="D379" s="221" t="s">
        <v>532</v>
      </c>
      <c r="E379" s="222">
        <v>1185472.72</v>
      </c>
    </row>
    <row r="380" spans="1:5" ht="24" hidden="1" outlineLevel="1" x14ac:dyDescent="0.2">
      <c r="A380" s="220" t="s">
        <v>682</v>
      </c>
      <c r="B380" s="221" t="s">
        <v>138</v>
      </c>
      <c r="C380" s="221" t="s">
        <v>644</v>
      </c>
      <c r="D380" s="221" t="s">
        <v>532</v>
      </c>
      <c r="E380" s="222">
        <v>199695.09</v>
      </c>
    </row>
    <row r="381" spans="1:5" ht="24" hidden="1" outlineLevel="1" x14ac:dyDescent="0.2">
      <c r="A381" s="220" t="s">
        <v>683</v>
      </c>
      <c r="B381" s="221" t="s">
        <v>138</v>
      </c>
      <c r="C381" s="221" t="s">
        <v>139</v>
      </c>
      <c r="D381" s="221" t="s">
        <v>532</v>
      </c>
      <c r="E381" s="222">
        <v>100988.93</v>
      </c>
    </row>
    <row r="382" spans="1:5" ht="12.75" collapsed="1" x14ac:dyDescent="0.2">
      <c r="A382" s="425" t="s">
        <v>684</v>
      </c>
      <c r="B382" s="425"/>
      <c r="C382" s="425"/>
      <c r="D382" s="425"/>
      <c r="E382" s="219">
        <v>174723.76</v>
      </c>
    </row>
    <row r="383" spans="1:5" ht="24" hidden="1" outlineLevel="1" x14ac:dyDescent="0.2">
      <c r="A383" s="220" t="s">
        <v>685</v>
      </c>
      <c r="B383" s="221"/>
      <c r="C383" s="221" t="s">
        <v>686</v>
      </c>
      <c r="D383" s="221"/>
      <c r="E383" s="222">
        <v>974.22</v>
      </c>
    </row>
    <row r="384" spans="1:5" ht="24" hidden="1" outlineLevel="1" x14ac:dyDescent="0.2">
      <c r="A384" s="220" t="s">
        <v>687</v>
      </c>
      <c r="B384" s="221"/>
      <c r="C384" s="221" t="s">
        <v>688</v>
      </c>
      <c r="D384" s="221"/>
      <c r="E384" s="222">
        <v>51033.3</v>
      </c>
    </row>
    <row r="385" spans="1:5" ht="24" hidden="1" outlineLevel="1" x14ac:dyDescent="0.2">
      <c r="A385" s="220" t="s">
        <v>689</v>
      </c>
      <c r="B385" s="221"/>
      <c r="C385" s="221" t="s">
        <v>690</v>
      </c>
      <c r="D385" s="221"/>
      <c r="E385" s="222">
        <v>43422.91</v>
      </c>
    </row>
    <row r="386" spans="1:5" ht="24" hidden="1" outlineLevel="1" x14ac:dyDescent="0.2">
      <c r="A386" s="220" t="s">
        <v>691</v>
      </c>
      <c r="B386" s="221"/>
      <c r="C386" s="221" t="s">
        <v>692</v>
      </c>
      <c r="D386" s="221"/>
      <c r="E386" s="222">
        <v>67645.64</v>
      </c>
    </row>
    <row r="387" spans="1:5" ht="24" hidden="1" outlineLevel="1" x14ac:dyDescent="0.2">
      <c r="A387" s="220" t="s">
        <v>693</v>
      </c>
      <c r="B387" s="221"/>
      <c r="C387" s="221" t="s">
        <v>692</v>
      </c>
      <c r="D387" s="221"/>
      <c r="E387" s="222">
        <v>11647.69</v>
      </c>
    </row>
    <row r="388" spans="1:5" ht="12.75" collapsed="1" x14ac:dyDescent="0.2">
      <c r="A388" s="425" t="s">
        <v>694</v>
      </c>
      <c r="B388" s="425"/>
      <c r="C388" s="425"/>
      <c r="D388" s="425"/>
      <c r="E388" s="219">
        <v>2043058.81</v>
      </c>
    </row>
    <row r="389" spans="1:5" ht="24" hidden="1" outlineLevel="1" x14ac:dyDescent="0.2">
      <c r="A389" s="220" t="s">
        <v>695</v>
      </c>
      <c r="B389" s="221"/>
      <c r="C389" s="221" t="s">
        <v>696</v>
      </c>
      <c r="D389" s="221"/>
      <c r="E389" s="222">
        <v>264621.09999999998</v>
      </c>
    </row>
    <row r="390" spans="1:5" ht="24" hidden="1" outlineLevel="1" x14ac:dyDescent="0.2">
      <c r="A390" s="220" t="s">
        <v>697</v>
      </c>
      <c r="B390" s="221"/>
      <c r="C390" s="221" t="s">
        <v>690</v>
      </c>
      <c r="D390" s="221"/>
      <c r="E390" s="222">
        <v>0.35</v>
      </c>
    </row>
    <row r="391" spans="1:5" ht="24" hidden="1" outlineLevel="1" x14ac:dyDescent="0.2">
      <c r="A391" s="220" t="s">
        <v>698</v>
      </c>
      <c r="B391" s="221"/>
      <c r="C391" s="221" t="s">
        <v>690</v>
      </c>
      <c r="D391" s="221"/>
      <c r="E391" s="222">
        <v>16128.9</v>
      </c>
    </row>
    <row r="392" spans="1:5" ht="24" hidden="1" outlineLevel="1" x14ac:dyDescent="0.2">
      <c r="A392" s="220" t="s">
        <v>699</v>
      </c>
      <c r="B392" s="221"/>
      <c r="C392" s="221" t="s">
        <v>700</v>
      </c>
      <c r="D392" s="221"/>
      <c r="E392" s="222">
        <v>195535.74</v>
      </c>
    </row>
    <row r="393" spans="1:5" ht="24" hidden="1" outlineLevel="1" x14ac:dyDescent="0.2">
      <c r="A393" s="220" t="s">
        <v>701</v>
      </c>
      <c r="B393" s="221"/>
      <c r="C393" s="221" t="s">
        <v>692</v>
      </c>
      <c r="D393" s="221"/>
      <c r="E393" s="222">
        <v>1380966.12</v>
      </c>
    </row>
    <row r="394" spans="1:5" ht="24" hidden="1" outlineLevel="1" x14ac:dyDescent="0.2">
      <c r="A394" s="220" t="s">
        <v>702</v>
      </c>
      <c r="B394" s="221"/>
      <c r="C394" s="221" t="s">
        <v>692</v>
      </c>
      <c r="D394" s="221"/>
      <c r="E394" s="222">
        <v>185806.6</v>
      </c>
    </row>
    <row r="395" spans="1:5" ht="12.75" collapsed="1" x14ac:dyDescent="0.2">
      <c r="A395" s="425" t="s">
        <v>703</v>
      </c>
      <c r="B395" s="425"/>
      <c r="C395" s="425"/>
      <c r="D395" s="425"/>
      <c r="E395" s="219">
        <v>91130747.530000001</v>
      </c>
    </row>
    <row r="396" spans="1:5" ht="48" hidden="1" outlineLevel="1" x14ac:dyDescent="0.2">
      <c r="A396" s="220" t="s">
        <v>704</v>
      </c>
      <c r="B396" s="221" t="s">
        <v>249</v>
      </c>
      <c r="C396" s="221" t="s">
        <v>113</v>
      </c>
      <c r="D396" s="221" t="s">
        <v>705</v>
      </c>
      <c r="E396" s="222">
        <v>16013470.76</v>
      </c>
    </row>
    <row r="397" spans="1:5" ht="48" hidden="1" outlineLevel="1" x14ac:dyDescent="0.2">
      <c r="A397" s="220" t="s">
        <v>706</v>
      </c>
      <c r="B397" s="221" t="s">
        <v>249</v>
      </c>
      <c r="C397" s="221" t="s">
        <v>189</v>
      </c>
      <c r="D397" s="221" t="s">
        <v>705</v>
      </c>
      <c r="E397" s="222">
        <v>23660940.329999998</v>
      </c>
    </row>
    <row r="398" spans="1:5" ht="48" hidden="1" outlineLevel="1" x14ac:dyDescent="0.2">
      <c r="A398" s="220" t="s">
        <v>707</v>
      </c>
      <c r="B398" s="221" t="s">
        <v>249</v>
      </c>
      <c r="C398" s="221" t="s">
        <v>708</v>
      </c>
      <c r="D398" s="221" t="s">
        <v>705</v>
      </c>
      <c r="E398" s="222">
        <v>17746876.579999998</v>
      </c>
    </row>
    <row r="399" spans="1:5" ht="48" hidden="1" outlineLevel="1" x14ac:dyDescent="0.2">
      <c r="A399" s="220" t="s">
        <v>709</v>
      </c>
      <c r="B399" s="221" t="s">
        <v>249</v>
      </c>
      <c r="C399" s="221" t="s">
        <v>123</v>
      </c>
      <c r="D399" s="221" t="s">
        <v>705</v>
      </c>
      <c r="E399" s="222">
        <v>16825962.829999998</v>
      </c>
    </row>
    <row r="400" spans="1:5" ht="48" hidden="1" outlineLevel="1" x14ac:dyDescent="0.2">
      <c r="A400" s="220" t="s">
        <v>710</v>
      </c>
      <c r="B400" s="221" t="s">
        <v>249</v>
      </c>
      <c r="C400" s="221" t="s">
        <v>711</v>
      </c>
      <c r="D400" s="221" t="s">
        <v>705</v>
      </c>
      <c r="E400" s="222">
        <v>16652760.609999999</v>
      </c>
    </row>
    <row r="401" spans="1:5" ht="48" hidden="1" outlineLevel="1" x14ac:dyDescent="0.2">
      <c r="A401" s="220" t="s">
        <v>712</v>
      </c>
      <c r="B401" s="221" t="s">
        <v>249</v>
      </c>
      <c r="C401" s="221" t="s">
        <v>214</v>
      </c>
      <c r="D401" s="221" t="s">
        <v>705</v>
      </c>
      <c r="E401" s="222">
        <v>13998</v>
      </c>
    </row>
    <row r="402" spans="1:5" ht="48" hidden="1" outlineLevel="1" x14ac:dyDescent="0.2">
      <c r="A402" s="220" t="s">
        <v>713</v>
      </c>
      <c r="B402" s="221" t="s">
        <v>249</v>
      </c>
      <c r="C402" s="221" t="s">
        <v>223</v>
      </c>
      <c r="D402" s="221" t="s">
        <v>705</v>
      </c>
      <c r="E402" s="222">
        <v>71716.33</v>
      </c>
    </row>
    <row r="403" spans="1:5" ht="48" hidden="1" outlineLevel="1" x14ac:dyDescent="0.2">
      <c r="A403" s="220" t="s">
        <v>714</v>
      </c>
      <c r="B403" s="221" t="s">
        <v>715</v>
      </c>
      <c r="C403" s="221" t="s">
        <v>231</v>
      </c>
      <c r="D403" s="221" t="s">
        <v>716</v>
      </c>
      <c r="E403" s="222">
        <v>142365.31</v>
      </c>
    </row>
    <row r="404" spans="1:5" ht="48" hidden="1" outlineLevel="1" x14ac:dyDescent="0.2">
      <c r="A404" s="220" t="s">
        <v>717</v>
      </c>
      <c r="B404" s="221" t="s">
        <v>249</v>
      </c>
      <c r="C404" s="221" t="s">
        <v>231</v>
      </c>
      <c r="D404" s="221" t="s">
        <v>705</v>
      </c>
      <c r="E404" s="222">
        <v>2656.78</v>
      </c>
    </row>
    <row r="405" spans="1:5" s="224" customFormat="1" ht="12.75" collapsed="1" x14ac:dyDescent="0.2">
      <c r="A405" s="426" t="s">
        <v>718</v>
      </c>
      <c r="B405" s="426"/>
      <c r="C405" s="426"/>
      <c r="D405" s="426"/>
      <c r="E405" s="223">
        <f>SUM(E4,E6,E30,E37,E87,E122,E382,E388,E395)</f>
        <v>351131514.13999999</v>
      </c>
    </row>
  </sheetData>
  <mergeCells count="11">
    <mergeCell ref="A87:D87"/>
    <mergeCell ref="A1:E1"/>
    <mergeCell ref="A4:D4"/>
    <mergeCell ref="A6:D6"/>
    <mergeCell ref="A30:D30"/>
    <mergeCell ref="A37:D37"/>
    <mergeCell ref="A122:D122"/>
    <mergeCell ref="A382:D382"/>
    <mergeCell ref="A388:D388"/>
    <mergeCell ref="A395:D395"/>
    <mergeCell ref="A405:D40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газ руб.</vt:lpstr>
      <vt:lpstr>МРГ</vt:lpstr>
      <vt:lpstr>газ</vt:lpstr>
      <vt:lpstr>Пени МРГ</vt:lpstr>
      <vt:lpstr>Ур.сбора 2017</vt:lpstr>
      <vt:lpstr>Ур.сбора 2018</vt:lpstr>
      <vt:lpstr>ДЗ</vt:lpstr>
      <vt:lpstr>КЗ до окт.2016</vt:lpstr>
      <vt:lpstr>'газ руб.'!Область_печати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Жарлицына Татьяна Леонидовна</cp:lastModifiedBy>
  <cp:lastPrinted>2018-05-14T08:32:51Z</cp:lastPrinted>
  <dcterms:created xsi:type="dcterms:W3CDTF">1996-10-08T23:32:33Z</dcterms:created>
  <dcterms:modified xsi:type="dcterms:W3CDTF">2018-05-14T09:09:14Z</dcterms:modified>
</cp:coreProperties>
</file>