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47F741C5-0003-4732-BB9C-FEC532417F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10" i="1" l="1"/>
  <c r="AL10" i="1"/>
  <c r="F26" i="1"/>
  <c r="W3" i="1"/>
  <c r="W4" i="1"/>
  <c r="W5" i="1"/>
  <c r="W23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3" i="1"/>
  <c r="Q30" i="1"/>
  <c r="P30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3" i="1"/>
  <c r="R23" i="1"/>
  <c r="R3" i="1"/>
  <c r="O6" i="1"/>
  <c r="N6" i="1"/>
  <c r="Q3" i="1"/>
  <c r="P4" i="1"/>
  <c r="P5" i="1" s="1"/>
  <c r="M3" i="1"/>
  <c r="K21" i="1"/>
  <c r="D5" i="1"/>
  <c r="E5" i="1" s="1"/>
  <c r="H5" i="1" s="1"/>
  <c r="D6" i="1"/>
  <c r="E6" i="1" s="1"/>
  <c r="H6" i="1" s="1"/>
  <c r="D7" i="1"/>
  <c r="D8" i="1"/>
  <c r="E8" i="1" s="1"/>
  <c r="H8" i="1" s="1"/>
  <c r="K8" i="1" s="1"/>
  <c r="M8" i="1" s="1"/>
  <c r="D9" i="1"/>
  <c r="E9" i="1" s="1"/>
  <c r="H9" i="1" s="1"/>
  <c r="D10" i="1"/>
  <c r="D11" i="1"/>
  <c r="D12" i="1"/>
  <c r="E12" i="1" s="1"/>
  <c r="H12" i="1" s="1"/>
  <c r="D13" i="1"/>
  <c r="E13" i="1" s="1"/>
  <c r="H13" i="1" s="1"/>
  <c r="D14" i="1"/>
  <c r="D15" i="1"/>
  <c r="D16" i="1"/>
  <c r="D17" i="1"/>
  <c r="E17" i="1" s="1"/>
  <c r="H17" i="1" s="1"/>
  <c r="D18" i="1"/>
  <c r="E18" i="1" s="1"/>
  <c r="H18" i="1" s="1"/>
  <c r="D19" i="1"/>
  <c r="D20" i="1"/>
  <c r="D21" i="1"/>
  <c r="E21" i="1" s="1"/>
  <c r="H21" i="1" s="1"/>
  <c r="D22" i="1"/>
  <c r="D23" i="1"/>
  <c r="D24" i="1"/>
  <c r="E24" i="1" s="1"/>
  <c r="H24" i="1" s="1"/>
  <c r="K24" i="1" s="1"/>
  <c r="M24" i="1" s="1"/>
  <c r="D25" i="1"/>
  <c r="E25" i="1" s="1"/>
  <c r="H25" i="1" s="1"/>
  <c r="D26" i="1"/>
  <c r="D27" i="1"/>
  <c r="D28" i="1"/>
  <c r="D29" i="1"/>
  <c r="D30" i="1"/>
  <c r="D31" i="1"/>
  <c r="D32" i="1"/>
  <c r="E32" i="1" s="1"/>
  <c r="H32" i="1" s="1"/>
  <c r="K32" i="1" s="1"/>
  <c r="M32" i="1" s="1"/>
  <c r="D33" i="1"/>
  <c r="E33" i="1" s="1"/>
  <c r="H33" i="1" s="1"/>
  <c r="D34" i="1"/>
  <c r="D35" i="1"/>
  <c r="D36" i="1"/>
  <c r="D37" i="1"/>
  <c r="E37" i="1" s="1"/>
  <c r="H37" i="1" s="1"/>
  <c r="D3" i="1"/>
  <c r="D4" i="1"/>
  <c r="M19" i="1"/>
  <c r="M28" i="1"/>
  <c r="M31" i="1"/>
  <c r="K10" i="1"/>
  <c r="M10" i="1" s="1"/>
  <c r="K19" i="1"/>
  <c r="K28" i="1"/>
  <c r="K31" i="1"/>
  <c r="K34" i="1"/>
  <c r="M34" i="1" s="1"/>
  <c r="F20" i="1"/>
  <c r="F21" i="1"/>
  <c r="F22" i="1"/>
  <c r="F23" i="1"/>
  <c r="F24" i="1"/>
  <c r="F25" i="1"/>
  <c r="F27" i="1"/>
  <c r="F28" i="1"/>
  <c r="F29" i="1"/>
  <c r="F30" i="1"/>
  <c r="G30" i="1" s="1"/>
  <c r="I30" i="1" s="1"/>
  <c r="F31" i="1"/>
  <c r="G31" i="1" s="1"/>
  <c r="I31" i="1" s="1"/>
  <c r="F32" i="1"/>
  <c r="F33" i="1"/>
  <c r="F34" i="1"/>
  <c r="G34" i="1" s="1"/>
  <c r="I34" i="1" s="1"/>
  <c r="F35" i="1"/>
  <c r="G35" i="1" s="1"/>
  <c r="I35" i="1" s="1"/>
  <c r="F36" i="1"/>
  <c r="F37" i="1"/>
  <c r="F5" i="1"/>
  <c r="F6" i="1"/>
  <c r="F7" i="1"/>
  <c r="F8" i="1"/>
  <c r="F9" i="1"/>
  <c r="F10" i="1"/>
  <c r="F11" i="1"/>
  <c r="F12" i="1"/>
  <c r="F13" i="1"/>
  <c r="G13" i="1" s="1"/>
  <c r="I13" i="1" s="1"/>
  <c r="F14" i="1"/>
  <c r="G14" i="1" s="1"/>
  <c r="I14" i="1" s="1"/>
  <c r="F15" i="1"/>
  <c r="G15" i="1" s="1"/>
  <c r="I15" i="1" s="1"/>
  <c r="F16" i="1"/>
  <c r="G16" i="1" s="1"/>
  <c r="I16" i="1" s="1"/>
  <c r="F17" i="1"/>
  <c r="F18" i="1"/>
  <c r="F19" i="1"/>
  <c r="F4" i="1"/>
  <c r="G4" i="1" s="1"/>
  <c r="I4" i="1" s="1"/>
  <c r="F3" i="1"/>
  <c r="G3" i="1" s="1"/>
  <c r="I3" i="1" s="1"/>
  <c r="E14" i="1"/>
  <c r="H14" i="1" s="1"/>
  <c r="J14" i="1" s="1"/>
  <c r="E23" i="1"/>
  <c r="H23" i="1" s="1"/>
  <c r="J23" i="1" s="1"/>
  <c r="E26" i="1"/>
  <c r="H26" i="1" s="1"/>
  <c r="K26" i="1" s="1"/>
  <c r="M26" i="1" s="1"/>
  <c r="E27" i="1"/>
  <c r="H27" i="1" s="1"/>
  <c r="K27" i="1" s="1"/>
  <c r="M27" i="1" s="1"/>
  <c r="E15" i="1"/>
  <c r="H15" i="1" s="1"/>
  <c r="K15" i="1" s="1"/>
  <c r="M15" i="1" s="1"/>
  <c r="E3" i="1"/>
  <c r="H3" i="1" s="1"/>
  <c r="K3" i="1" s="1"/>
  <c r="G17" i="1"/>
  <c r="I17" i="1" s="1"/>
  <c r="G19" i="1"/>
  <c r="I19" i="1" s="1"/>
  <c r="G25" i="1"/>
  <c r="I25" i="1" s="1"/>
  <c r="G29" i="1"/>
  <c r="I29" i="1" s="1"/>
  <c r="G37" i="1"/>
  <c r="I37" i="1" s="1"/>
  <c r="G7" i="1"/>
  <c r="I7" i="1" s="1"/>
  <c r="G6" i="1"/>
  <c r="I6" i="1" s="1"/>
  <c r="G5" i="1"/>
  <c r="I5" i="1" s="1"/>
  <c r="G11" i="1"/>
  <c r="I11" i="1" s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E4" i="1"/>
  <c r="H4" i="1" s="1"/>
  <c r="K4" i="1" s="1"/>
  <c r="M4" i="1" s="1"/>
  <c r="L3" i="1"/>
  <c r="G8" i="1"/>
  <c r="I8" i="1" s="1"/>
  <c r="G9" i="1"/>
  <c r="I9" i="1" s="1"/>
  <c r="G10" i="1"/>
  <c r="I10" i="1" s="1"/>
  <c r="G12" i="1"/>
  <c r="I12" i="1" s="1"/>
  <c r="G18" i="1"/>
  <c r="I18" i="1" s="1"/>
  <c r="G20" i="1"/>
  <c r="I20" i="1" s="1"/>
  <c r="G21" i="1"/>
  <c r="I21" i="1" s="1"/>
  <c r="G22" i="1"/>
  <c r="I22" i="1" s="1"/>
  <c r="G23" i="1"/>
  <c r="I23" i="1" s="1"/>
  <c r="G24" i="1"/>
  <c r="I24" i="1" s="1"/>
  <c r="G26" i="1"/>
  <c r="I26" i="1" s="1"/>
  <c r="G27" i="1"/>
  <c r="I27" i="1" s="1"/>
  <c r="G28" i="1"/>
  <c r="I28" i="1" s="1"/>
  <c r="G32" i="1"/>
  <c r="I32" i="1" s="1"/>
  <c r="G33" i="1"/>
  <c r="I33" i="1" s="1"/>
  <c r="G36" i="1"/>
  <c r="I36" i="1" s="1"/>
  <c r="E7" i="1"/>
  <c r="H7" i="1" s="1"/>
  <c r="J7" i="1" s="1"/>
  <c r="E10" i="1"/>
  <c r="H10" i="1" s="1"/>
  <c r="E11" i="1"/>
  <c r="H11" i="1" s="1"/>
  <c r="K11" i="1" s="1"/>
  <c r="M11" i="1" s="1"/>
  <c r="E16" i="1"/>
  <c r="H16" i="1" s="1"/>
  <c r="K16" i="1" s="1"/>
  <c r="M16" i="1" s="1"/>
  <c r="E19" i="1"/>
  <c r="H19" i="1" s="1"/>
  <c r="J19" i="1" s="1"/>
  <c r="E20" i="1"/>
  <c r="H20" i="1" s="1"/>
  <c r="J20" i="1" s="1"/>
  <c r="E22" i="1"/>
  <c r="H22" i="1" s="1"/>
  <c r="J22" i="1" s="1"/>
  <c r="E28" i="1"/>
  <c r="H28" i="1" s="1"/>
  <c r="J28" i="1" s="1"/>
  <c r="E29" i="1"/>
  <c r="H29" i="1" s="1"/>
  <c r="J29" i="1" s="1"/>
  <c r="E30" i="1"/>
  <c r="H30" i="1" s="1"/>
  <c r="J30" i="1" s="1"/>
  <c r="E31" i="1"/>
  <c r="H31" i="1" s="1"/>
  <c r="J31" i="1" s="1"/>
  <c r="E34" i="1"/>
  <c r="H34" i="1" s="1"/>
  <c r="J34" i="1" s="1"/>
  <c r="E35" i="1"/>
  <c r="H35" i="1" s="1"/>
  <c r="J35" i="1" s="1"/>
  <c r="E36" i="1"/>
  <c r="H36" i="1" s="1"/>
  <c r="J36" i="1" s="1"/>
  <c r="P6" i="1" l="1"/>
  <c r="R5" i="1"/>
  <c r="Q5" i="1"/>
  <c r="Q4" i="1"/>
  <c r="R4" i="1" s="1"/>
  <c r="J18" i="1"/>
  <c r="K18" i="1"/>
  <c r="M18" i="1" s="1"/>
  <c r="J6" i="1"/>
  <c r="K6" i="1"/>
  <c r="M6" i="1" s="1"/>
  <c r="J17" i="1"/>
  <c r="K17" i="1"/>
  <c r="M17" i="1" s="1"/>
  <c r="J5" i="1"/>
  <c r="K5" i="1"/>
  <c r="M5" i="1" s="1"/>
  <c r="J37" i="1"/>
  <c r="K37" i="1"/>
  <c r="M37" i="1" s="1"/>
  <c r="J25" i="1"/>
  <c r="K25" i="1"/>
  <c r="M25" i="1" s="1"/>
  <c r="J13" i="1"/>
  <c r="K13" i="1"/>
  <c r="M13" i="1" s="1"/>
  <c r="J12" i="1"/>
  <c r="K12" i="1"/>
  <c r="M12" i="1" s="1"/>
  <c r="J33" i="1"/>
  <c r="K33" i="1"/>
  <c r="M33" i="1" s="1"/>
  <c r="J21" i="1"/>
  <c r="M21" i="1"/>
  <c r="J9" i="1"/>
  <c r="K9" i="1"/>
  <c r="M9" i="1" s="1"/>
  <c r="K20" i="1"/>
  <c r="M20" i="1" s="1"/>
  <c r="K22" i="1"/>
  <c r="M22" i="1" s="1"/>
  <c r="K7" i="1"/>
  <c r="M7" i="1" s="1"/>
  <c r="K30" i="1"/>
  <c r="M30" i="1" s="1"/>
  <c r="K29" i="1"/>
  <c r="M29" i="1" s="1"/>
  <c r="K14" i="1"/>
  <c r="M14" i="1" s="1"/>
  <c r="K36" i="1"/>
  <c r="M36" i="1" s="1"/>
  <c r="K35" i="1"/>
  <c r="M35" i="1" s="1"/>
  <c r="K23" i="1"/>
  <c r="M23" i="1" s="1"/>
  <c r="J15" i="1"/>
  <c r="J3" i="1"/>
  <c r="J4" i="1"/>
  <c r="J24" i="1"/>
  <c r="J26" i="1"/>
  <c r="J16" i="1"/>
  <c r="J11" i="1"/>
  <c r="J10" i="1"/>
  <c r="J32" i="1"/>
  <c r="J8" i="1"/>
  <c r="J27" i="1"/>
  <c r="P7" i="1" l="1"/>
  <c r="Q6" i="1"/>
  <c r="R6" i="1" s="1"/>
  <c r="P8" i="1" l="1"/>
  <c r="Q7" i="1"/>
  <c r="R7" i="1" s="1"/>
  <c r="P9" i="1" l="1"/>
  <c r="Q8" i="1"/>
  <c r="R8" i="1"/>
  <c r="P10" i="1" l="1"/>
  <c r="Q9" i="1"/>
  <c r="R9" i="1"/>
  <c r="P11" i="1" l="1"/>
  <c r="Q10" i="1"/>
  <c r="R10" i="1" s="1"/>
  <c r="P12" i="1" l="1"/>
  <c r="Q11" i="1"/>
  <c r="R11" i="1" s="1"/>
  <c r="P13" i="1" l="1"/>
  <c r="Q12" i="1"/>
  <c r="R12" i="1" s="1"/>
  <c r="P14" i="1" l="1"/>
  <c r="Q13" i="1"/>
  <c r="R13" i="1"/>
  <c r="P15" i="1" l="1"/>
  <c r="Q14" i="1"/>
  <c r="R14" i="1"/>
  <c r="P16" i="1" l="1"/>
  <c r="Q15" i="1"/>
  <c r="R15" i="1"/>
  <c r="P17" i="1" l="1"/>
  <c r="Q16" i="1"/>
  <c r="R16" i="1"/>
  <c r="P18" i="1" l="1"/>
  <c r="Q17" i="1"/>
  <c r="R17" i="1" s="1"/>
  <c r="P19" i="1" l="1"/>
  <c r="Q18" i="1"/>
  <c r="R18" i="1" s="1"/>
  <c r="P20" i="1" l="1"/>
  <c r="Q19" i="1"/>
  <c r="R19" i="1"/>
  <c r="P21" i="1" l="1"/>
  <c r="Q20" i="1"/>
  <c r="R20" i="1"/>
  <c r="P22" i="1" l="1"/>
  <c r="Q21" i="1"/>
  <c r="R21" i="1" s="1"/>
  <c r="Q22" i="1" l="1"/>
  <c r="R22" i="1" s="1"/>
</calcChain>
</file>

<file path=xl/sharedStrings.xml><?xml version="1.0" encoding="utf-8"?>
<sst xmlns="http://schemas.openxmlformats.org/spreadsheetml/2006/main" count="46" uniqueCount="35">
  <si>
    <r>
      <t>y</t>
    </r>
    <r>
      <rPr>
        <vertAlign val="subscript"/>
        <sz val="11"/>
        <color theme="1"/>
        <rFont val="Skia"/>
        <charset val="162"/>
      </rPr>
      <t>1</t>
    </r>
  </si>
  <si>
    <r>
      <t>x</t>
    </r>
    <r>
      <rPr>
        <vertAlign val="subscript"/>
        <sz val="11"/>
        <color theme="1"/>
        <rFont val="Skia"/>
        <charset val="162"/>
      </rPr>
      <t>1</t>
    </r>
  </si>
  <si>
    <t>T (K)</t>
  </si>
  <si>
    <t>VLE Data for Ethanol (1) + Water (2) System at 759.81 mmHg</t>
  </si>
  <si>
    <t>ethanol</t>
  </si>
  <si>
    <t>364.8-513.91</t>
  </si>
  <si>
    <t>A</t>
  </si>
  <si>
    <t>B</t>
  </si>
  <si>
    <t>C</t>
  </si>
  <si>
    <t>292.77-366.63</t>
  </si>
  <si>
    <t>water</t>
  </si>
  <si>
    <t>344. - 373.</t>
  </si>
  <si>
    <t>log_psat1</t>
  </si>
  <si>
    <t>psat1</t>
  </si>
  <si>
    <t>logpsat2</t>
  </si>
  <si>
    <t>psat2</t>
  </si>
  <si>
    <t>Antoine Constants</t>
  </si>
  <si>
    <t>Pt(mmHg)</t>
  </si>
  <si>
    <r>
      <t xml:space="preserve">   </t>
    </r>
    <r>
      <rPr>
        <sz val="12"/>
        <color theme="1"/>
        <rFont val="Calibri"/>
        <family val="2"/>
        <charset val="162"/>
        <scheme val="minor"/>
      </rPr>
      <t xml:space="preserve">        Pt(bar)</t>
    </r>
  </si>
  <si>
    <t>GAMA1</t>
  </si>
  <si>
    <t>GAMA2</t>
  </si>
  <si>
    <t>A(two-suffix Margules Equation)</t>
  </si>
  <si>
    <t>X1/X2</t>
  </si>
  <si>
    <t>X1/(Gexcess/RT)</t>
  </si>
  <si>
    <t>P</t>
  </si>
  <si>
    <t>y1</t>
  </si>
  <si>
    <t>Gexcess</t>
  </si>
  <si>
    <t>x1</t>
  </si>
  <si>
    <t>1/B</t>
  </si>
  <si>
    <t>1/A</t>
  </si>
  <si>
    <t>x2</t>
  </si>
  <si>
    <t>gama1</t>
  </si>
  <si>
    <t>gama2</t>
  </si>
  <si>
    <t>ln(gama1)</t>
  </si>
  <si>
    <t>ln(gama2)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</si>
</sst>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"/>
    <numFmt numFmtId="165" formatCode="0.00000"/>
    <numFmt numFmtId="166" formatCode="#,##0.00000000"/>
  </numFmts>
  <fonts count="9">
    <font>
      <sz val="11"/>
      <color theme="1"/>
      <name val="Calibri"/>
      <family val="2"/>
      <charset val="162"/>
      <scheme val="minor"/>
    </font>
    <font>
      <sz val="11"/>
      <color theme="1"/>
      <name val="Skia"/>
      <charset val="162"/>
    </font>
    <font>
      <vertAlign val="subscript"/>
      <sz val="11"/>
      <color theme="1"/>
      <name val="Skia"/>
      <charset val="162"/>
    </font>
    <font>
      <b/>
      <sz val="11"/>
      <color rgb="FFFF000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9"/>
      <color theme="1"/>
      <name val="Skia"/>
      <charset val="162"/>
    </font>
    <font>
      <sz val="9"/>
      <color theme="1"/>
      <name val="Calibri"/>
      <family val="2"/>
      <charset val="162"/>
      <scheme val="minor"/>
    </font>
    <font>
      <sz val="9"/>
      <name val="Skia"/>
      <charset val="162"/>
    </font>
    <font>
      <sz val="11"/>
      <color rgb="FF00000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2" borderId="1" xfId="0" applyNumberFormat="1" applyFill="1" applyBorder="1"/>
    <xf numFmtId="0" fontId="8" fillId="2" borderId="1" xfId="0" applyFont="1" applyFill="1" applyBorder="1" applyAlignment="1">
      <alignment horizontal="right" vertical="center"/>
    </xf>
    <xf numFmtId="164" fontId="8" fillId="2" borderId="1" xfId="0" applyNumberFormat="1" applyFont="1" applyFill="1" applyBorder="1" applyAlignment="1">
      <alignment horizontal="right" vertical="center"/>
    </xf>
    <xf numFmtId="166" fontId="0" fillId="2" borderId="1" xfId="0" applyNumberForma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tr-TR" sz="1800" b="1" i="0" baseline="0">
                <a:solidFill>
                  <a:schemeClr val="tx1"/>
                </a:solidFill>
                <a:effectLst/>
              </a:rPr>
              <a:t>T vs x1y1 Graph for ethanol(1)-water(2) system</a:t>
            </a:r>
            <a:endParaRPr lang="tr-TR" b="1">
              <a:solidFill>
                <a:schemeClr val="tx1"/>
              </a:solidFill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tr-TR" sz="1800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27688356220048582"/>
          <c:y val="3.12828711332758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0.12037985499688844"/>
          <c:y val="9.6086768398524994E-2"/>
          <c:w val="0.77409726560736958"/>
          <c:h val="0.8099481269292241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x1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Sheet1!$B$3:$B$37</c:f>
              <c:numCache>
                <c:formatCode>General</c:formatCode>
                <c:ptCount val="35"/>
                <c:pt idx="0">
                  <c:v>1.4999999999999999E-2</c:v>
                </c:pt>
                <c:pt idx="1">
                  <c:v>3.2000000000000001E-2</c:v>
                </c:pt>
                <c:pt idx="2">
                  <c:v>4.5999999999999999E-2</c:v>
                </c:pt>
                <c:pt idx="3">
                  <c:v>6.8000000000000005E-2</c:v>
                </c:pt>
                <c:pt idx="4">
                  <c:v>7.9000000000000001E-2</c:v>
                </c:pt>
                <c:pt idx="5">
                  <c:v>0.11899999999999999</c:v>
                </c:pt>
                <c:pt idx="6">
                  <c:v>0.16300000000000001</c:v>
                </c:pt>
                <c:pt idx="7">
                  <c:v>0.19</c:v>
                </c:pt>
                <c:pt idx="8">
                  <c:v>0.20599999999999999</c:v>
                </c:pt>
                <c:pt idx="9">
                  <c:v>0.23200000000000001</c:v>
                </c:pt>
                <c:pt idx="10">
                  <c:v>0.23599999999999999</c:v>
                </c:pt>
                <c:pt idx="11">
                  <c:v>0.23899999999999999</c:v>
                </c:pt>
                <c:pt idx="12">
                  <c:v>0.28100000000000003</c:v>
                </c:pt>
                <c:pt idx="13">
                  <c:v>0.28599999999999998</c:v>
                </c:pt>
                <c:pt idx="14">
                  <c:v>0.29099999999999998</c:v>
                </c:pt>
                <c:pt idx="15">
                  <c:v>0.30299999999999999</c:v>
                </c:pt>
                <c:pt idx="16">
                  <c:v>0.34399999999999997</c:v>
                </c:pt>
                <c:pt idx="17">
                  <c:v>0.36699999999999999</c:v>
                </c:pt>
                <c:pt idx="18">
                  <c:v>0.38</c:v>
                </c:pt>
                <c:pt idx="19">
                  <c:v>0.39200000000000002</c:v>
                </c:pt>
                <c:pt idx="20">
                  <c:v>0.39700000000000002</c:v>
                </c:pt>
                <c:pt idx="21">
                  <c:v>0.41</c:v>
                </c:pt>
                <c:pt idx="22">
                  <c:v>0.41199999999999998</c:v>
                </c:pt>
                <c:pt idx="23">
                  <c:v>0.48099999999999998</c:v>
                </c:pt>
                <c:pt idx="24">
                  <c:v>0.52700000000000002</c:v>
                </c:pt>
                <c:pt idx="25">
                  <c:v>0.61699999999999999</c:v>
                </c:pt>
                <c:pt idx="26">
                  <c:v>0.68799999999999994</c:v>
                </c:pt>
                <c:pt idx="27">
                  <c:v>0.72199999999999998</c:v>
                </c:pt>
                <c:pt idx="28">
                  <c:v>0.75700000000000001</c:v>
                </c:pt>
                <c:pt idx="29">
                  <c:v>0.85099999999999998</c:v>
                </c:pt>
                <c:pt idx="30">
                  <c:v>0.89800000000000002</c:v>
                </c:pt>
                <c:pt idx="31">
                  <c:v>0.90800000000000003</c:v>
                </c:pt>
                <c:pt idx="32">
                  <c:v>0.93100000000000005</c:v>
                </c:pt>
                <c:pt idx="33">
                  <c:v>0.94399999999999995</c:v>
                </c:pt>
                <c:pt idx="34">
                  <c:v>0.94399999999999995</c:v>
                </c:pt>
              </c:numCache>
            </c:numRef>
          </c:xVal>
          <c:yVal>
            <c:numRef>
              <c:f>Sheet1!$A$3:$A$37</c:f>
              <c:numCache>
                <c:formatCode>General</c:formatCode>
                <c:ptCount val="35"/>
                <c:pt idx="0">
                  <c:v>369.14</c:v>
                </c:pt>
                <c:pt idx="1">
                  <c:v>365.84</c:v>
                </c:pt>
                <c:pt idx="2">
                  <c:v>363.83</c:v>
                </c:pt>
                <c:pt idx="3">
                  <c:v>361.65</c:v>
                </c:pt>
                <c:pt idx="4">
                  <c:v>360.87</c:v>
                </c:pt>
                <c:pt idx="5">
                  <c:v>358.95</c:v>
                </c:pt>
                <c:pt idx="6">
                  <c:v>357.69</c:v>
                </c:pt>
                <c:pt idx="7">
                  <c:v>357.14</c:v>
                </c:pt>
                <c:pt idx="8">
                  <c:v>356.87</c:v>
                </c:pt>
                <c:pt idx="9">
                  <c:v>356.48</c:v>
                </c:pt>
                <c:pt idx="10">
                  <c:v>356.42</c:v>
                </c:pt>
                <c:pt idx="11">
                  <c:v>356.38</c:v>
                </c:pt>
                <c:pt idx="12">
                  <c:v>355.85</c:v>
                </c:pt>
                <c:pt idx="13">
                  <c:v>355.79</c:v>
                </c:pt>
                <c:pt idx="14">
                  <c:v>355.74</c:v>
                </c:pt>
                <c:pt idx="15">
                  <c:v>355.6</c:v>
                </c:pt>
                <c:pt idx="16">
                  <c:v>355.16</c:v>
                </c:pt>
                <c:pt idx="17">
                  <c:v>354.94</c:v>
                </c:pt>
                <c:pt idx="18">
                  <c:v>354.81</c:v>
                </c:pt>
                <c:pt idx="19">
                  <c:v>354.7</c:v>
                </c:pt>
                <c:pt idx="20">
                  <c:v>354.65</c:v>
                </c:pt>
                <c:pt idx="21">
                  <c:v>354.53</c:v>
                </c:pt>
                <c:pt idx="22">
                  <c:v>354.51</c:v>
                </c:pt>
                <c:pt idx="23">
                  <c:v>353.91</c:v>
                </c:pt>
                <c:pt idx="24">
                  <c:v>353.55</c:v>
                </c:pt>
                <c:pt idx="25">
                  <c:v>352.92</c:v>
                </c:pt>
                <c:pt idx="26">
                  <c:v>352.51</c:v>
                </c:pt>
                <c:pt idx="27">
                  <c:v>352.34</c:v>
                </c:pt>
                <c:pt idx="28">
                  <c:v>352.19</c:v>
                </c:pt>
                <c:pt idx="29">
                  <c:v>351.92</c:v>
                </c:pt>
                <c:pt idx="30">
                  <c:v>351.87</c:v>
                </c:pt>
                <c:pt idx="31">
                  <c:v>351.87</c:v>
                </c:pt>
                <c:pt idx="32">
                  <c:v>351.88</c:v>
                </c:pt>
                <c:pt idx="33">
                  <c:v>351.9</c:v>
                </c:pt>
                <c:pt idx="34">
                  <c:v>351.9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73-4887-9616-88FC81303352}"/>
            </c:ext>
          </c:extLst>
        </c:ser>
        <c:ser>
          <c:idx val="1"/>
          <c:order val="1"/>
          <c:tx>
            <c:v>y1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Sheet1!$C$3:$C$37</c:f>
              <c:numCache>
                <c:formatCode>General</c:formatCode>
                <c:ptCount val="35"/>
                <c:pt idx="0">
                  <c:v>0.17</c:v>
                </c:pt>
                <c:pt idx="1">
                  <c:v>0.27600000000000002</c:v>
                </c:pt>
                <c:pt idx="2">
                  <c:v>0.33600000000000002</c:v>
                </c:pt>
                <c:pt idx="3">
                  <c:v>0.39800000000000002</c:v>
                </c:pt>
                <c:pt idx="4">
                  <c:v>0.42</c:v>
                </c:pt>
                <c:pt idx="5">
                  <c:v>0.47299999999999998</c:v>
                </c:pt>
                <c:pt idx="6">
                  <c:v>0.50800000000000001</c:v>
                </c:pt>
                <c:pt idx="7">
                  <c:v>0.52400000000000002</c:v>
                </c:pt>
                <c:pt idx="8">
                  <c:v>0.53200000000000003</c:v>
                </c:pt>
                <c:pt idx="9">
                  <c:v>0.54400000000000004</c:v>
                </c:pt>
                <c:pt idx="10">
                  <c:v>0.54600000000000004</c:v>
                </c:pt>
                <c:pt idx="11">
                  <c:v>0.54700000000000004</c:v>
                </c:pt>
                <c:pt idx="12">
                  <c:v>0.56499999999999995</c:v>
                </c:pt>
                <c:pt idx="13">
                  <c:v>0.56699999999999995</c:v>
                </c:pt>
                <c:pt idx="14">
                  <c:v>0.56899999999999995</c:v>
                </c:pt>
                <c:pt idx="15">
                  <c:v>0.57399999999999995</c:v>
                </c:pt>
                <c:pt idx="16">
                  <c:v>0.59</c:v>
                </c:pt>
                <c:pt idx="17">
                  <c:v>0.59899999999999998</c:v>
                </c:pt>
                <c:pt idx="18">
                  <c:v>0.60499999999999998</c:v>
                </c:pt>
                <c:pt idx="19">
                  <c:v>0.61</c:v>
                </c:pt>
                <c:pt idx="20">
                  <c:v>0.61199999999999999</c:v>
                </c:pt>
                <c:pt idx="21">
                  <c:v>0.61699999999999999</c:v>
                </c:pt>
                <c:pt idx="22">
                  <c:v>0.61799999999999999</c:v>
                </c:pt>
                <c:pt idx="23">
                  <c:v>0.64800000000000002</c:v>
                </c:pt>
                <c:pt idx="24">
                  <c:v>0.66900000000000004</c:v>
                </c:pt>
                <c:pt idx="25">
                  <c:v>0.71499999999999997</c:v>
                </c:pt>
                <c:pt idx="26">
                  <c:v>0.754</c:v>
                </c:pt>
                <c:pt idx="27">
                  <c:v>0.77500000000000002</c:v>
                </c:pt>
                <c:pt idx="28">
                  <c:v>0.79700000000000004</c:v>
                </c:pt>
                <c:pt idx="29">
                  <c:v>0.86199999999999999</c:v>
                </c:pt>
                <c:pt idx="30">
                  <c:v>0.89900000000000002</c:v>
                </c:pt>
                <c:pt idx="31">
                  <c:v>0.90800000000000003</c:v>
                </c:pt>
                <c:pt idx="32">
                  <c:v>0.92800000000000005</c:v>
                </c:pt>
                <c:pt idx="33">
                  <c:v>0.94099999999999995</c:v>
                </c:pt>
                <c:pt idx="34">
                  <c:v>0.94099999999999995</c:v>
                </c:pt>
              </c:numCache>
            </c:numRef>
          </c:xVal>
          <c:yVal>
            <c:numRef>
              <c:f>Sheet1!$A$3:$A$37</c:f>
              <c:numCache>
                <c:formatCode>General</c:formatCode>
                <c:ptCount val="35"/>
                <c:pt idx="0">
                  <c:v>369.14</c:v>
                </c:pt>
                <c:pt idx="1">
                  <c:v>365.84</c:v>
                </c:pt>
                <c:pt idx="2">
                  <c:v>363.83</c:v>
                </c:pt>
                <c:pt idx="3">
                  <c:v>361.65</c:v>
                </c:pt>
                <c:pt idx="4">
                  <c:v>360.87</c:v>
                </c:pt>
                <c:pt idx="5">
                  <c:v>358.95</c:v>
                </c:pt>
                <c:pt idx="6">
                  <c:v>357.69</c:v>
                </c:pt>
                <c:pt idx="7">
                  <c:v>357.14</c:v>
                </c:pt>
                <c:pt idx="8">
                  <c:v>356.87</c:v>
                </c:pt>
                <c:pt idx="9">
                  <c:v>356.48</c:v>
                </c:pt>
                <c:pt idx="10">
                  <c:v>356.42</c:v>
                </c:pt>
                <c:pt idx="11">
                  <c:v>356.38</c:v>
                </c:pt>
                <c:pt idx="12">
                  <c:v>355.85</c:v>
                </c:pt>
                <c:pt idx="13">
                  <c:v>355.79</c:v>
                </c:pt>
                <c:pt idx="14">
                  <c:v>355.74</c:v>
                </c:pt>
                <c:pt idx="15">
                  <c:v>355.6</c:v>
                </c:pt>
                <c:pt idx="16">
                  <c:v>355.16</c:v>
                </c:pt>
                <c:pt idx="17">
                  <c:v>354.94</c:v>
                </c:pt>
                <c:pt idx="18">
                  <c:v>354.81</c:v>
                </c:pt>
                <c:pt idx="19">
                  <c:v>354.7</c:v>
                </c:pt>
                <c:pt idx="20">
                  <c:v>354.65</c:v>
                </c:pt>
                <c:pt idx="21">
                  <c:v>354.53</c:v>
                </c:pt>
                <c:pt idx="22">
                  <c:v>354.51</c:v>
                </c:pt>
                <c:pt idx="23">
                  <c:v>353.91</c:v>
                </c:pt>
                <c:pt idx="24">
                  <c:v>353.55</c:v>
                </c:pt>
                <c:pt idx="25">
                  <c:v>352.92</c:v>
                </c:pt>
                <c:pt idx="26">
                  <c:v>352.51</c:v>
                </c:pt>
                <c:pt idx="27">
                  <c:v>352.34</c:v>
                </c:pt>
                <c:pt idx="28">
                  <c:v>352.19</c:v>
                </c:pt>
                <c:pt idx="29">
                  <c:v>351.92</c:v>
                </c:pt>
                <c:pt idx="30">
                  <c:v>351.87</c:v>
                </c:pt>
                <c:pt idx="31">
                  <c:v>351.87</c:v>
                </c:pt>
                <c:pt idx="32">
                  <c:v>351.88</c:v>
                </c:pt>
                <c:pt idx="33">
                  <c:v>351.9</c:v>
                </c:pt>
                <c:pt idx="34">
                  <c:v>351.9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973-4887-9616-88FC81303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985192"/>
        <c:axId val="708988144"/>
      </c:scatterChart>
      <c:valAx>
        <c:axId val="708985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708988144"/>
        <c:crosses val="autoZero"/>
        <c:crossBetween val="midCat"/>
      </c:valAx>
      <c:valAx>
        <c:axId val="708988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708985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sz="1800" b="1"/>
              <a:t>Linearized</a:t>
            </a:r>
            <a:r>
              <a:rPr lang="tr-TR" sz="1800" b="1" baseline="0"/>
              <a:t> version of van Laar Model</a:t>
            </a:r>
            <a:endParaRPr lang="en-US" sz="1800" b="1"/>
          </a:p>
        </c:rich>
      </c:tx>
      <c:layout>
        <c:manualLayout>
          <c:xMode val="edge"/>
          <c:yMode val="edge"/>
          <c:x val="0.21212868377384048"/>
          <c:y val="6.63247441673490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0.10117291802640356"/>
          <c:y val="0.17947681499148654"/>
          <c:w val="0.85497544470337972"/>
          <c:h val="0.6900189160564528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Sheet1!$M$2</c:f>
              <c:strCache>
                <c:ptCount val="1"/>
                <c:pt idx="0">
                  <c:v>X1/(Gexcess/RT)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</c:trendlineLbl>
          </c:trendline>
          <c:xVal>
            <c:numRef>
              <c:f>Sheet1!$L$3:$L$37</c:f>
              <c:numCache>
                <c:formatCode>General</c:formatCode>
                <c:ptCount val="35"/>
                <c:pt idx="0">
                  <c:v>1.5228426395939085E-2</c:v>
                </c:pt>
                <c:pt idx="1">
                  <c:v>3.3057851239669422E-2</c:v>
                </c:pt>
                <c:pt idx="2">
                  <c:v>4.8218029350104823E-2</c:v>
                </c:pt>
                <c:pt idx="3">
                  <c:v>7.2961373390557943E-2</c:v>
                </c:pt>
                <c:pt idx="4">
                  <c:v>8.577633007600434E-2</c:v>
                </c:pt>
                <c:pt idx="5">
                  <c:v>0.13507377979568672</c:v>
                </c:pt>
                <c:pt idx="6">
                  <c:v>0.19474313022700121</c:v>
                </c:pt>
                <c:pt idx="7">
                  <c:v>0.23456790123456789</c:v>
                </c:pt>
                <c:pt idx="8">
                  <c:v>0.25944584382871533</c:v>
                </c:pt>
                <c:pt idx="9">
                  <c:v>0.30208333333333331</c:v>
                </c:pt>
                <c:pt idx="10">
                  <c:v>0.30890052356020942</c:v>
                </c:pt>
                <c:pt idx="11">
                  <c:v>0.31406044678055189</c:v>
                </c:pt>
                <c:pt idx="12">
                  <c:v>0.39082058414464538</c:v>
                </c:pt>
                <c:pt idx="13">
                  <c:v>0.40056022408963582</c:v>
                </c:pt>
                <c:pt idx="14">
                  <c:v>0.41043723554301825</c:v>
                </c:pt>
                <c:pt idx="15">
                  <c:v>0.4347202295552367</c:v>
                </c:pt>
                <c:pt idx="16">
                  <c:v>0.52439024390243894</c:v>
                </c:pt>
                <c:pt idx="17">
                  <c:v>0.57977883096366511</c:v>
                </c:pt>
                <c:pt idx="18">
                  <c:v>0.61290322580645162</c:v>
                </c:pt>
                <c:pt idx="19">
                  <c:v>0.64473684210526316</c:v>
                </c:pt>
                <c:pt idx="20">
                  <c:v>0.65837479270315091</c:v>
                </c:pt>
                <c:pt idx="21">
                  <c:v>0.69491525423728795</c:v>
                </c:pt>
                <c:pt idx="22">
                  <c:v>0.70068027210884343</c:v>
                </c:pt>
                <c:pt idx="23">
                  <c:v>0.92678227360308274</c:v>
                </c:pt>
                <c:pt idx="24">
                  <c:v>1.1141649048625795</c:v>
                </c:pt>
                <c:pt idx="25">
                  <c:v>1.6109660574412532</c:v>
                </c:pt>
                <c:pt idx="26">
                  <c:v>2.2051282051282044</c:v>
                </c:pt>
                <c:pt idx="27">
                  <c:v>2.5971223021582732</c:v>
                </c:pt>
                <c:pt idx="28">
                  <c:v>3.1152263374485596</c:v>
                </c:pt>
                <c:pt idx="29">
                  <c:v>5.7114093959731536</c:v>
                </c:pt>
                <c:pt idx="30">
                  <c:v>8.8039215686274535</c:v>
                </c:pt>
                <c:pt idx="31">
                  <c:v>9.8695652173913082</c:v>
                </c:pt>
                <c:pt idx="32">
                  <c:v>13.492753623188417</c:v>
                </c:pt>
                <c:pt idx="33">
                  <c:v>16.85714285714284</c:v>
                </c:pt>
                <c:pt idx="34">
                  <c:v>16.85714285714284</c:v>
                </c:pt>
              </c:numCache>
            </c:numRef>
          </c:xVal>
          <c:yVal>
            <c:numRef>
              <c:f>Sheet1!$M$3:$M$37</c:f>
              <c:numCache>
                <c:formatCode>General</c:formatCode>
                <c:ptCount val="35"/>
                <c:pt idx="0">
                  <c:v>11.38046309539193</c:v>
                </c:pt>
                <c:pt idx="1">
                  <c:v>1.1229046506783631</c:v>
                </c:pt>
                <c:pt idx="2">
                  <c:v>0.91036883252877276</c:v>
                </c:pt>
                <c:pt idx="3">
                  <c:v>0.8241648334917282</c:v>
                </c:pt>
                <c:pt idx="4">
                  <c:v>0.81669475843571182</c:v>
                </c:pt>
                <c:pt idx="5">
                  <c:v>0.82863071369485586</c:v>
                </c:pt>
                <c:pt idx="6">
                  <c:v>0.87786854706523443</c:v>
                </c:pt>
                <c:pt idx="7">
                  <c:v>0.91954231136487052</c:v>
                </c:pt>
                <c:pt idx="8">
                  <c:v>0.9464637769108214</c:v>
                </c:pt>
                <c:pt idx="9">
                  <c:v>0.99475153937975769</c:v>
                </c:pt>
                <c:pt idx="10">
                  <c:v>1.0031883764056861</c:v>
                </c:pt>
                <c:pt idx="11">
                  <c:v>1.0077280984613193</c:v>
                </c:pt>
                <c:pt idx="12">
                  <c:v>1.1006670267805752</c:v>
                </c:pt>
                <c:pt idx="13">
                  <c:v>1.1119286409913554</c:v>
                </c:pt>
                <c:pt idx="14">
                  <c:v>1.1249949476364349</c:v>
                </c:pt>
                <c:pt idx="15">
                  <c:v>1.1543046244588719</c:v>
                </c:pt>
                <c:pt idx="16">
                  <c:v>1.2604652271351375</c:v>
                </c:pt>
                <c:pt idx="17">
                  <c:v>1.3287086405203392</c:v>
                </c:pt>
                <c:pt idx="18">
                  <c:v>1.3718044010253669</c:v>
                </c:pt>
                <c:pt idx="19">
                  <c:v>1.4119718354052619</c:v>
                </c:pt>
                <c:pt idx="20">
                  <c:v>1.4277666717491069</c:v>
                </c:pt>
                <c:pt idx="21">
                  <c:v>1.4707582896242084</c:v>
                </c:pt>
                <c:pt idx="22">
                  <c:v>1.478228112695634</c:v>
                </c:pt>
                <c:pt idx="23">
                  <c:v>1.7561344739311455</c:v>
                </c:pt>
                <c:pt idx="24">
                  <c:v>1.9871158745902435</c:v>
                </c:pt>
                <c:pt idx="25">
                  <c:v>2.6071372770246133</c:v>
                </c:pt>
                <c:pt idx="26">
                  <c:v>3.3514919390705127</c:v>
                </c:pt>
                <c:pt idx="27">
                  <c:v>3.8537510007700484</c:v>
                </c:pt>
                <c:pt idx="28">
                  <c:v>4.5262519224967557</c:v>
                </c:pt>
                <c:pt idx="29">
                  <c:v>8.1594533110411991</c:v>
                </c:pt>
                <c:pt idx="30">
                  <c:v>13.242205367050143</c:v>
                </c:pt>
                <c:pt idx="31">
                  <c:v>15.25278460730579</c:v>
                </c:pt>
                <c:pt idx="32">
                  <c:v>23.273820960099588</c:v>
                </c:pt>
                <c:pt idx="33">
                  <c:v>33.213703037571392</c:v>
                </c:pt>
                <c:pt idx="34">
                  <c:v>33.213703037571392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6D-44D9-A800-AB95DF734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984432"/>
        <c:axId val="710984760"/>
      </c:scatterChart>
      <c:valAx>
        <c:axId val="71098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600" b="1"/>
                  <a:t>X1/X2</a:t>
                </a:r>
              </a:p>
            </c:rich>
          </c:tx>
          <c:layout>
            <c:manualLayout>
              <c:xMode val="edge"/>
              <c:yMode val="edge"/>
              <c:x val="0.45369727241437247"/>
              <c:y val="0.910545764322528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710984760"/>
        <c:crosses val="autoZero"/>
        <c:crossBetween val="midCat"/>
      </c:valAx>
      <c:valAx>
        <c:axId val="710984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600" b="1"/>
                  <a:t>x1/(Gexcess/RT)</a:t>
                </a:r>
              </a:p>
            </c:rich>
          </c:tx>
          <c:layout>
            <c:manualLayout>
              <c:xMode val="edge"/>
              <c:yMode val="edge"/>
              <c:x val="1.181884078335302E-2"/>
              <c:y val="0.421684401741555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71098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P</a:t>
            </a:r>
            <a:r>
              <a:rPr lang="tr-TR" sz="1800" b="1"/>
              <a:t> vs x1y1</a:t>
            </a:r>
            <a:r>
              <a:rPr lang="tr-TR" sz="1800" b="1" baseline="0"/>
              <a:t> at 362K</a:t>
            </a:r>
          </a:p>
        </c:rich>
      </c:tx>
      <c:layout>
        <c:manualLayout>
          <c:xMode val="edge"/>
          <c:yMode val="edge"/>
          <c:x val="0.39994360982652688"/>
          <c:y val="5.8309755378179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9.9888478544729098E-2"/>
          <c:y val="0.1462645078824597"/>
          <c:w val="0.67087641554216715"/>
          <c:h val="0.69971964020953992"/>
        </c:manualLayout>
      </c:layout>
      <c:scatterChart>
        <c:scatterStyle val="lineMarker"/>
        <c:varyColors val="0"/>
        <c:ser>
          <c:idx val="0"/>
          <c:order val="0"/>
          <c:tx>
            <c:v>Bubble Point Curve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Sheet1!$P$3:$P$23</c:f>
              <c:numCache>
                <c:formatCode>General</c:formatCode>
                <c:ptCount val="21"/>
                <c:pt idx="0">
                  <c:v>0.01</c:v>
                </c:pt>
                <c:pt idx="1">
                  <c:v>6.0000000000000005E-2</c:v>
                </c:pt>
                <c:pt idx="2">
                  <c:v>0.11000000000000001</c:v>
                </c:pt>
                <c:pt idx="3">
                  <c:v>0.16000000000000003</c:v>
                </c:pt>
                <c:pt idx="4">
                  <c:v>0.21000000000000002</c:v>
                </c:pt>
                <c:pt idx="5">
                  <c:v>0.26</c:v>
                </c:pt>
                <c:pt idx="6">
                  <c:v>0.31</c:v>
                </c:pt>
                <c:pt idx="7">
                  <c:v>0.36</c:v>
                </c:pt>
                <c:pt idx="8">
                  <c:v>0.41</c:v>
                </c:pt>
                <c:pt idx="9">
                  <c:v>0.45999999999999996</c:v>
                </c:pt>
                <c:pt idx="10">
                  <c:v>0.51</c:v>
                </c:pt>
                <c:pt idx="11">
                  <c:v>0.56000000000000005</c:v>
                </c:pt>
                <c:pt idx="12">
                  <c:v>0.6100000000000001</c:v>
                </c:pt>
                <c:pt idx="13">
                  <c:v>0.66000000000000014</c:v>
                </c:pt>
                <c:pt idx="14">
                  <c:v>0.71000000000000019</c:v>
                </c:pt>
                <c:pt idx="15">
                  <c:v>0.76000000000000023</c:v>
                </c:pt>
                <c:pt idx="16">
                  <c:v>0.81000000000000028</c:v>
                </c:pt>
                <c:pt idx="17">
                  <c:v>0.86000000000000032</c:v>
                </c:pt>
                <c:pt idx="18">
                  <c:v>0.91000000000000036</c:v>
                </c:pt>
                <c:pt idx="19">
                  <c:v>0.96000000000000041</c:v>
                </c:pt>
                <c:pt idx="20">
                  <c:v>0.99</c:v>
                </c:pt>
              </c:numCache>
            </c:numRef>
          </c:xVal>
          <c:yVal>
            <c:numRef>
              <c:f>Sheet1!$V$3:$V$23</c:f>
              <c:numCache>
                <c:formatCode>General</c:formatCode>
                <c:ptCount val="21"/>
                <c:pt idx="0">
                  <c:v>0.74060302029921055</c:v>
                </c:pt>
                <c:pt idx="1">
                  <c:v>0.95145432495392879</c:v>
                </c:pt>
                <c:pt idx="2">
                  <c:v>1.038182520554898</c:v>
                </c:pt>
                <c:pt idx="3">
                  <c:v>1.0878064667431424</c:v>
                </c:pt>
                <c:pt idx="4">
                  <c:v>1.1247407960245357</c:v>
                </c:pt>
                <c:pt idx="5">
                  <c:v>1.1567770951195802</c:v>
                </c:pt>
                <c:pt idx="6">
                  <c:v>1.1865780728309223</c:v>
                </c:pt>
                <c:pt idx="7">
                  <c:v>1.2150644219897428</c:v>
                </c:pt>
                <c:pt idx="8">
                  <c:v>1.2425349318539016</c:v>
                </c:pt>
                <c:pt idx="9">
                  <c:v>1.2690668820417019</c:v>
                </c:pt>
                <c:pt idx="10">
                  <c:v>1.2946655581528406</c:v>
                </c:pt>
                <c:pt idx="11">
                  <c:v>1.3193203521878403</c:v>
                </c:pt>
                <c:pt idx="12">
                  <c:v>1.3430246352850594</c:v>
                </c:pt>
                <c:pt idx="13">
                  <c:v>1.365781405152561</c:v>
                </c:pt>
                <c:pt idx="14">
                  <c:v>1.3876035055050644</c:v>
                </c:pt>
                <c:pt idx="15">
                  <c:v>1.4085119974921743</c:v>
                </c:pt>
                <c:pt idx="16">
                  <c:v>1.4285341250866253</c:v>
                </c:pt>
                <c:pt idx="17">
                  <c:v>1.4477014219326882</c:v>
                </c:pt>
                <c:pt idx="18">
                  <c:v>1.4660481325883437</c:v>
                </c:pt>
                <c:pt idx="19">
                  <c:v>1.4836099688032023</c:v>
                </c:pt>
                <c:pt idx="20">
                  <c:v>1.4937854049264123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04-42D0-8FD3-08E9F39DD0DB}"/>
            </c:ext>
          </c:extLst>
        </c:ser>
        <c:ser>
          <c:idx val="1"/>
          <c:order val="1"/>
          <c:tx>
            <c:v>Dew Point Curve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Sheet1!$W$3:$W$23</c:f>
              <c:numCache>
                <c:formatCode>General</c:formatCode>
                <c:ptCount val="21"/>
                <c:pt idx="0">
                  <c:v>0.11436758598740127</c:v>
                </c:pt>
                <c:pt idx="1">
                  <c:v>0.33469614163319433</c:v>
                </c:pt>
                <c:pt idx="2">
                  <c:v>0.40512733185933736</c:v>
                </c:pt>
                <c:pt idx="3">
                  <c:v>0.44426437331038282</c:v>
                </c:pt>
                <c:pt idx="4">
                  <c:v>0.47441105276181361</c:v>
                </c:pt>
                <c:pt idx="5">
                  <c:v>0.50209736184753484</c:v>
                </c:pt>
                <c:pt idx="6">
                  <c:v>0.5296159168011344</c:v>
                </c:pt>
                <c:pt idx="7">
                  <c:v>0.55782671395354866</c:v>
                </c:pt>
                <c:pt idx="8">
                  <c:v>0.58703943950399096</c:v>
                </c:pt>
                <c:pt idx="9">
                  <c:v>0.617336851373958</c:v>
                </c:pt>
                <c:pt idx="10">
                  <c:v>0.64870560152330847</c:v>
                </c:pt>
                <c:pt idx="11">
                  <c:v>0.68109270702320046</c:v>
                </c:pt>
                <c:pt idx="12">
                  <c:v>0.71443089961831774</c:v>
                </c:pt>
                <c:pt idx="13">
                  <c:v>0.74865016829132391</c:v>
                </c:pt>
                <c:pt idx="14">
                  <c:v>0.78368292077817181</c:v>
                </c:pt>
                <c:pt idx="15">
                  <c:v>0.81946611995894247</c:v>
                </c:pt>
                <c:pt idx="16">
                  <c:v>0.85594197318302967</c:v>
                </c:pt>
                <c:pt idx="17">
                  <c:v>0.89305793829402713</c:v>
                </c:pt>
                <c:pt idx="18">
                  <c:v>0.93076642281350663</c:v>
                </c:pt>
                <c:pt idx="19">
                  <c:v>0.96902436301292849</c:v>
                </c:pt>
                <c:pt idx="20">
                  <c:v>0.99222649191071643</c:v>
                </c:pt>
              </c:numCache>
            </c:numRef>
          </c:xVal>
          <c:yVal>
            <c:numRef>
              <c:f>Sheet1!$V$3:$V$23</c:f>
              <c:numCache>
                <c:formatCode>General</c:formatCode>
                <c:ptCount val="21"/>
                <c:pt idx="0">
                  <c:v>0.74060302029921055</c:v>
                </c:pt>
                <c:pt idx="1">
                  <c:v>0.95145432495392879</c:v>
                </c:pt>
                <c:pt idx="2">
                  <c:v>1.038182520554898</c:v>
                </c:pt>
                <c:pt idx="3">
                  <c:v>1.0878064667431424</c:v>
                </c:pt>
                <c:pt idx="4">
                  <c:v>1.1247407960245357</c:v>
                </c:pt>
                <c:pt idx="5">
                  <c:v>1.1567770951195802</c:v>
                </c:pt>
                <c:pt idx="6">
                  <c:v>1.1865780728309223</c:v>
                </c:pt>
                <c:pt idx="7">
                  <c:v>1.2150644219897428</c:v>
                </c:pt>
                <c:pt idx="8">
                  <c:v>1.2425349318539016</c:v>
                </c:pt>
                <c:pt idx="9">
                  <c:v>1.2690668820417019</c:v>
                </c:pt>
                <c:pt idx="10">
                  <c:v>1.2946655581528406</c:v>
                </c:pt>
                <c:pt idx="11">
                  <c:v>1.3193203521878403</c:v>
                </c:pt>
                <c:pt idx="12">
                  <c:v>1.3430246352850594</c:v>
                </c:pt>
                <c:pt idx="13">
                  <c:v>1.365781405152561</c:v>
                </c:pt>
                <c:pt idx="14">
                  <c:v>1.3876035055050644</c:v>
                </c:pt>
                <c:pt idx="15">
                  <c:v>1.4085119974921743</c:v>
                </c:pt>
                <c:pt idx="16">
                  <c:v>1.4285341250866253</c:v>
                </c:pt>
                <c:pt idx="17">
                  <c:v>1.4477014219326882</c:v>
                </c:pt>
                <c:pt idx="18">
                  <c:v>1.4660481325883437</c:v>
                </c:pt>
                <c:pt idx="19">
                  <c:v>1.4836099688032023</c:v>
                </c:pt>
                <c:pt idx="20">
                  <c:v>1.4937854049264123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F04-42D0-8FD3-08E9F39DD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3104623"/>
        <c:axId val="1193105039"/>
      </c:scatterChart>
      <c:valAx>
        <c:axId val="1193104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193105039"/>
        <c:crosses val="autoZero"/>
        <c:crossBetween val="midCat"/>
      </c:valAx>
      <c:valAx>
        <c:axId val="119310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1931046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272175524275646"/>
          <c:y val="0.48626022832502175"/>
          <c:w val="0.19555025089691966"/>
          <c:h val="0.128663280549344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263505</xdr:colOff>
      <xdr:row>11</xdr:row>
      <xdr:rowOff>72067</xdr:rowOff>
    </xdr:from>
    <xdr:to>
      <xdr:col>52</xdr:col>
      <xdr:colOff>165998</xdr:colOff>
      <xdr:row>49</xdr:row>
      <xdr:rowOff>149269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988637-7096-49A8-9C54-7E0C177601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414658</xdr:colOff>
      <xdr:row>1</xdr:row>
      <xdr:rowOff>14828</xdr:rowOff>
    </xdr:from>
    <xdr:to>
      <xdr:col>36</xdr:col>
      <xdr:colOff>1238331</xdr:colOff>
      <xdr:row>29</xdr:row>
      <xdr:rowOff>138710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9E5F2B-FBE4-43A2-879F-4E78D41D7B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519902</xdr:colOff>
      <xdr:row>29</xdr:row>
      <xdr:rowOff>169251</xdr:rowOff>
    </xdr:from>
    <xdr:to>
      <xdr:col>33</xdr:col>
      <xdr:colOff>922951</xdr:colOff>
      <xdr:row>62</xdr:row>
      <xdr:rowOff>102944</xdr:rowOff>
    </xdr:to>
    <xdr:graphicFrame macro="">
      <xdr:nvGraphicFramePr>
        <xdr:cNvPr id="5" name="Grafik 4">
          <a:extLst>
            <a:ext uri="{FF2B5EF4-FFF2-40B4-BE49-F238E27FC236}">
              <a16:creationId xmlns:a16="http://schemas.microsoft.com/office/drawing/2014/main" id="{58D58C68-4E35-59B2-97F0-607B49AF13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1.48466E-7</cdr:x>
      <cdr:y>0.32507</cdr:y>
    </cdr:from>
    <cdr:to>
      <cdr:x>0.09158</cdr:x>
      <cdr:y>0.53844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7B447DC-CEBD-4898-A708-6D81B7155419}"/>
            </a:ext>
          </a:extLst>
        </cdr:cNvPr>
        <cdr:cNvSpPr txBox="1"/>
      </cdr:nvSpPr>
      <cdr:spPr>
        <a:xfrm xmlns:a="http://schemas.openxmlformats.org/drawingml/2006/main" rot="16200000">
          <a:off x="-198894" y="1744669"/>
          <a:ext cx="1014645" cy="6168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tr-TR" sz="2800" b="1"/>
            <a:t>T(K)</a:t>
          </a:r>
          <a:endParaRPr lang="tr-TR" sz="1050" b="1"/>
        </a:p>
      </cdr:txBody>
    </cdr:sp>
  </cdr:relSizeAnchor>
  <cdr:relSizeAnchor xmlns:cdr="http://schemas.openxmlformats.org/drawingml/2006/chartDrawing">
    <cdr:from>
      <cdr:x>0.42424</cdr:x>
      <cdr:y>0.92942</cdr:y>
    </cdr:from>
    <cdr:to>
      <cdr:x>0.56</cdr:x>
      <cdr:y>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5AEF071-1387-490F-9B60-44D6BA59EFE5}"/>
            </a:ext>
          </a:extLst>
        </cdr:cNvPr>
        <cdr:cNvSpPr txBox="1"/>
      </cdr:nvSpPr>
      <cdr:spPr>
        <a:xfrm xmlns:a="http://schemas.openxmlformats.org/drawingml/2006/main">
          <a:off x="2857500" y="4419601"/>
          <a:ext cx="914400" cy="3356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tr-TR" sz="1100"/>
        </a:p>
      </cdr:txBody>
    </cdr:sp>
  </cdr:relSizeAnchor>
  <cdr:relSizeAnchor xmlns:cdr="http://schemas.openxmlformats.org/drawingml/2006/chartDrawing">
    <cdr:from>
      <cdr:x>0.50157</cdr:x>
      <cdr:y>0.94468</cdr:y>
    </cdr:from>
    <cdr:to>
      <cdr:x>0.67396</cdr:x>
      <cdr:y>1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F38137A9-1825-46ED-88C1-7CE142CEBF49}"/>
            </a:ext>
          </a:extLst>
        </cdr:cNvPr>
        <cdr:cNvSpPr txBox="1"/>
      </cdr:nvSpPr>
      <cdr:spPr>
        <a:xfrm xmlns:a="http://schemas.openxmlformats.org/drawingml/2006/main">
          <a:off x="5091531" y="6917092"/>
          <a:ext cx="1749970" cy="4050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tr-TR" sz="1600" b="1"/>
            <a:t>X1,Y1</a:t>
          </a:r>
        </a:p>
      </cdr:txBody>
    </cdr:sp>
  </cdr:relSizeAnchor>
  <cdr:relSizeAnchor xmlns:cdr="http://schemas.openxmlformats.org/drawingml/2006/chartDrawing">
    <cdr:from>
      <cdr:x>0.61983</cdr:x>
      <cdr:y>0.22163</cdr:y>
    </cdr:from>
    <cdr:to>
      <cdr:x>0.71783</cdr:x>
      <cdr:y>0.33511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31866BE0-7D1C-4300-BFC1-EA1B493D752C}"/>
            </a:ext>
          </a:extLst>
        </cdr:cNvPr>
        <cdr:cNvSpPr txBox="1"/>
      </cdr:nvSpPr>
      <cdr:spPr>
        <a:xfrm xmlns:a="http://schemas.openxmlformats.org/drawingml/2006/main">
          <a:off x="4762500" y="1133927"/>
          <a:ext cx="752929" cy="5805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tr-TR" sz="2800"/>
            <a:t>V</a:t>
          </a:r>
        </a:p>
      </cdr:txBody>
    </cdr:sp>
  </cdr:relSizeAnchor>
  <cdr:relSizeAnchor xmlns:cdr="http://schemas.openxmlformats.org/drawingml/2006/chartDrawing">
    <cdr:from>
      <cdr:x>0.30238</cdr:x>
      <cdr:y>0.47601</cdr:y>
    </cdr:from>
    <cdr:to>
      <cdr:x>0.40628</cdr:x>
      <cdr:y>0.55225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E045DA2B-026A-4C9F-A9A0-A72B1A1CE79B}"/>
            </a:ext>
          </a:extLst>
        </cdr:cNvPr>
        <cdr:cNvSpPr txBox="1"/>
      </cdr:nvSpPr>
      <cdr:spPr>
        <a:xfrm xmlns:a="http://schemas.openxmlformats.org/drawingml/2006/main">
          <a:off x="2698706" y="2696624"/>
          <a:ext cx="927249" cy="4319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tr-TR" sz="2800"/>
            <a:t>V+L</a:t>
          </a:r>
        </a:p>
      </cdr:txBody>
    </cdr:sp>
  </cdr:relSizeAnchor>
  <cdr:relSizeAnchor xmlns:cdr="http://schemas.openxmlformats.org/drawingml/2006/chartDrawing">
    <cdr:from>
      <cdr:x>0.22668</cdr:x>
      <cdr:y>0.72872</cdr:y>
    </cdr:from>
    <cdr:to>
      <cdr:x>0.33412</cdr:x>
      <cdr:y>0.82269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80183AEC-9D97-4FA8-B5F8-315C6C3EF41E}"/>
            </a:ext>
          </a:extLst>
        </cdr:cNvPr>
        <cdr:cNvSpPr txBox="1"/>
      </cdr:nvSpPr>
      <cdr:spPr>
        <a:xfrm xmlns:a="http://schemas.openxmlformats.org/drawingml/2006/main">
          <a:off x="1741715" y="3728355"/>
          <a:ext cx="825500" cy="4807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tr-TR" sz="2800"/>
            <a:t>L</a:t>
          </a:r>
          <a:endParaRPr lang="tr-TR" sz="1100"/>
        </a:p>
      </cdr:txBody>
    </cdr:sp>
  </cdr:relSizeAnchor>
  <cdr:relSizeAnchor xmlns:cdr="http://schemas.openxmlformats.org/drawingml/2006/chartDrawing">
    <cdr:from>
      <cdr:x>0.83212</cdr:x>
      <cdr:y>0.08377</cdr:y>
    </cdr:from>
    <cdr:to>
      <cdr:x>0.93458</cdr:x>
      <cdr:y>0.21571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35AA0C92-06AD-4495-A856-13ECA12AB723}"/>
            </a:ext>
          </a:extLst>
        </cdr:cNvPr>
        <cdr:cNvSpPr txBox="1"/>
      </cdr:nvSpPr>
      <cdr:spPr>
        <a:xfrm xmlns:a="http://schemas.openxmlformats.org/drawingml/2006/main">
          <a:off x="7426478" y="580572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tr-TR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0.04672</cdr:x>
      <cdr:y>0.47165</cdr:y>
    </cdr:from>
    <cdr:to>
      <cdr:x>0.09911</cdr:x>
      <cdr:y>0.57595</cdr:y>
    </cdr:to>
    <cdr:sp macro="" textlink="">
      <cdr:nvSpPr>
        <cdr:cNvPr id="2" name="Metin kutusu 1">
          <a:extLst xmlns:a="http://schemas.openxmlformats.org/drawingml/2006/main">
            <a:ext uri="{FF2B5EF4-FFF2-40B4-BE49-F238E27FC236}">
              <a16:creationId xmlns:a16="http://schemas.microsoft.com/office/drawing/2014/main" id="{F1835F75-3C8D-579D-45DC-B43005B08474}"/>
            </a:ext>
          </a:extLst>
        </cdr:cNvPr>
        <cdr:cNvSpPr txBox="1"/>
      </cdr:nvSpPr>
      <cdr:spPr>
        <a:xfrm xmlns:a="http://schemas.openxmlformats.org/drawingml/2006/main" rot="16200000">
          <a:off x="173946" y="2397534"/>
          <a:ext cx="508000" cy="3074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tr-TR" sz="1100"/>
        </a:p>
      </cdr:txBody>
    </cdr:sp>
  </cdr:relSizeAnchor>
  <cdr:relSizeAnchor xmlns:cdr="http://schemas.openxmlformats.org/drawingml/2006/chartDrawing">
    <cdr:from>
      <cdr:x>0.02879</cdr:x>
      <cdr:y>0.4017</cdr:y>
    </cdr:from>
    <cdr:to>
      <cdr:x>0.0817</cdr:x>
      <cdr:y>0.55247</cdr:y>
    </cdr:to>
    <cdr:sp macro="" textlink="">
      <cdr:nvSpPr>
        <cdr:cNvPr id="3" name="Metin kutusu 2">
          <a:extLst xmlns:a="http://schemas.openxmlformats.org/drawingml/2006/main">
            <a:ext uri="{FF2B5EF4-FFF2-40B4-BE49-F238E27FC236}">
              <a16:creationId xmlns:a16="http://schemas.microsoft.com/office/drawing/2014/main" id="{95A0FE80-2308-D8BB-FA33-63BAA0F3DDE4}"/>
            </a:ext>
          </a:extLst>
        </cdr:cNvPr>
        <cdr:cNvSpPr txBox="1"/>
      </cdr:nvSpPr>
      <cdr:spPr>
        <a:xfrm xmlns:a="http://schemas.openxmlformats.org/drawingml/2006/main" rot="16200000">
          <a:off x="88417" y="2612117"/>
          <a:ext cx="907584" cy="5192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tr-TR" sz="1400" b="1"/>
            <a:t>P (bar)</a:t>
          </a:r>
        </a:p>
      </cdr:txBody>
    </cdr:sp>
  </cdr:relSizeAnchor>
  <cdr:relSizeAnchor xmlns:cdr="http://schemas.openxmlformats.org/drawingml/2006/chartDrawing">
    <cdr:from>
      <cdr:x>0.40228</cdr:x>
      <cdr:y>0.88608</cdr:y>
    </cdr:from>
    <cdr:to>
      <cdr:x>0.56166</cdr:x>
      <cdr:y>0.94909</cdr:y>
    </cdr:to>
    <cdr:sp macro="" textlink="">
      <cdr:nvSpPr>
        <cdr:cNvPr id="4" name="Metin kutusu 3">
          <a:extLst xmlns:a="http://schemas.openxmlformats.org/drawingml/2006/main">
            <a:ext uri="{FF2B5EF4-FFF2-40B4-BE49-F238E27FC236}">
              <a16:creationId xmlns:a16="http://schemas.microsoft.com/office/drawing/2014/main" id="{CBCEB9BF-3749-1EDA-7862-ABB74709C68C}"/>
            </a:ext>
          </a:extLst>
        </cdr:cNvPr>
        <cdr:cNvSpPr txBox="1"/>
      </cdr:nvSpPr>
      <cdr:spPr>
        <a:xfrm xmlns:a="http://schemas.openxmlformats.org/drawingml/2006/main">
          <a:off x="3948043" y="5333582"/>
          <a:ext cx="1564232" cy="3793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tr-TR" sz="1600" b="1"/>
            <a:t>x1,y1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8"/>
  <sheetViews>
    <sheetView tabSelected="1" topLeftCell="A10" zoomScale="37" zoomScaleNormal="85" workbookViewId="0">
      <selection activeCell="B2" sqref="B2"/>
    </sheetView>
  </sheetViews>
  <sheetFormatPr defaultRowHeight="14.4"/>
  <cols>
    <col min="4" max="4" width="11.5546875" bestFit="1" customWidth="1"/>
    <col min="5" max="5" width="9.5546875" customWidth="1"/>
    <col min="10" max="10" width="25.21875" customWidth="1"/>
    <col min="11" max="11" width="29.33203125" customWidth="1"/>
    <col min="12" max="12" width="34.21875" customWidth="1"/>
    <col min="13" max="13" width="31.5546875" customWidth="1"/>
    <col min="14" max="14" width="16.109375" customWidth="1"/>
    <col min="15" max="15" width="17.77734375" customWidth="1"/>
    <col min="16" max="16" width="13.77734375" customWidth="1"/>
    <col min="17" max="18" width="9" bestFit="1" customWidth="1"/>
    <col min="32" max="32" width="3.21875" customWidth="1"/>
    <col min="33" max="33" width="8.77734375" hidden="1" customWidth="1"/>
    <col min="34" max="34" width="14.77734375" customWidth="1"/>
    <col min="37" max="37" width="19.6640625" customWidth="1"/>
    <col min="38" max="38" width="13.77734375" customWidth="1"/>
    <col min="40" max="40" width="9" bestFit="1" customWidth="1"/>
    <col min="41" max="41" width="19.21875" customWidth="1"/>
    <col min="42" max="42" width="10" bestFit="1" customWidth="1"/>
    <col min="44" max="44" width="9" bestFit="1" customWidth="1"/>
    <col min="45" max="45" width="10.88671875" bestFit="1" customWidth="1"/>
    <col min="46" max="46" width="9.109375" bestFit="1" customWidth="1"/>
  </cols>
  <sheetData>
    <row r="1" spans="1:46" s="2" customFormat="1" ht="26.4" customHeight="1">
      <c r="A1" s="6" t="s">
        <v>3</v>
      </c>
      <c r="B1" s="6"/>
      <c r="C1" s="6"/>
      <c r="D1" s="6"/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3"/>
      <c r="R1" s="3"/>
      <c r="S1" s="7"/>
      <c r="T1" s="7"/>
      <c r="U1" s="7"/>
      <c r="V1" s="7"/>
      <c r="W1" s="7"/>
      <c r="AL1" s="5" t="s">
        <v>16</v>
      </c>
      <c r="AM1" s="4"/>
      <c r="AO1"/>
      <c r="AP1"/>
      <c r="AQ1"/>
      <c r="AR1"/>
      <c r="AS1"/>
      <c r="AT1"/>
    </row>
    <row r="2" spans="1:46" ht="32.549999999999997" customHeight="1">
      <c r="A2" s="10" t="s">
        <v>2</v>
      </c>
      <c r="B2" s="10" t="s">
        <v>1</v>
      </c>
      <c r="C2" s="10" t="s">
        <v>0</v>
      </c>
      <c r="D2" s="10" t="s">
        <v>12</v>
      </c>
      <c r="E2" s="10" t="s">
        <v>13</v>
      </c>
      <c r="F2" s="10" t="s">
        <v>14</v>
      </c>
      <c r="G2" s="10" t="s">
        <v>15</v>
      </c>
      <c r="H2" s="10" t="s">
        <v>19</v>
      </c>
      <c r="I2" s="10" t="s">
        <v>20</v>
      </c>
      <c r="J2" s="11" t="s">
        <v>21</v>
      </c>
      <c r="K2" s="15" t="s">
        <v>26</v>
      </c>
      <c r="L2" s="13" t="s">
        <v>22</v>
      </c>
      <c r="M2" s="14" t="s">
        <v>23</v>
      </c>
      <c r="N2" s="12" t="s">
        <v>29</v>
      </c>
      <c r="O2" s="12" t="s">
        <v>28</v>
      </c>
      <c r="P2" s="12" t="s">
        <v>27</v>
      </c>
      <c r="Q2" s="12" t="s">
        <v>30</v>
      </c>
      <c r="R2" s="12" t="s">
        <v>33</v>
      </c>
      <c r="S2" s="12" t="s">
        <v>34</v>
      </c>
      <c r="T2" s="12" t="s">
        <v>31</v>
      </c>
      <c r="U2" s="12" t="s">
        <v>32</v>
      </c>
      <c r="V2" s="12" t="s">
        <v>24</v>
      </c>
      <c r="W2" s="12" t="s">
        <v>25</v>
      </c>
      <c r="AL2" s="4" t="s">
        <v>17</v>
      </c>
      <c r="AM2" s="3"/>
      <c r="AN2" s="12" t="s">
        <v>4</v>
      </c>
      <c r="AO2" s="3"/>
      <c r="AP2" s="3"/>
      <c r="AQ2" s="12" t="s">
        <v>10</v>
      </c>
      <c r="AR2" s="3"/>
      <c r="AS2" s="3"/>
      <c r="AT2" s="3"/>
    </row>
    <row r="3" spans="1:46">
      <c r="A3" s="8">
        <v>369.14</v>
      </c>
      <c r="B3" s="8">
        <v>1.4999999999999999E-2</v>
      </c>
      <c r="C3" s="8">
        <v>0.17</v>
      </c>
      <c r="D3" s="9">
        <f>$AN$4-($AO$4/(A3+$AP$4))</f>
        <v>0.2639754345130978</v>
      </c>
      <c r="E3" s="9">
        <f>10^D3</f>
        <v>1.8364344641038139</v>
      </c>
      <c r="F3" s="9">
        <f>$AR$4-($AS$4/(A3+$AT$4))</f>
        <v>-5.7209510073628067E-2</v>
      </c>
      <c r="G3" s="9">
        <f>10^F3</f>
        <v>0.87657784502530312</v>
      </c>
      <c r="H3" s="9">
        <f t="shared" ref="H3:H37" si="0">C3*$AL$5/(B3*E3)</f>
        <v>6.2515874998036409</v>
      </c>
      <c r="I3" s="9">
        <f t="shared" ref="I3:I37" si="1">(1-C3)*$AL$5/((1-B3)*G3)</f>
        <v>0.97377687823867998</v>
      </c>
      <c r="J3" s="9">
        <f>LN(H3)/((1-B3)^2)</f>
        <v>1.8890828740388694</v>
      </c>
      <c r="K3" s="9">
        <f>(LN(H3) * B3 + LN(I3) * (1 - B3))*8.314*A3</f>
        <v>4.045129711693388</v>
      </c>
      <c r="L3" s="9">
        <f t="shared" ref="L3:L37" si="2">B3/(1-B3)</f>
        <v>1.5228426395939085E-2</v>
      </c>
      <c r="M3" s="9">
        <f>B3* 8.314 * A3/(K3)</f>
        <v>11.38046309539193</v>
      </c>
      <c r="N3" s="9">
        <v>0.54069999999999996</v>
      </c>
      <c r="O3" s="9">
        <v>1.7693000000000001</v>
      </c>
      <c r="P3" s="9">
        <v>0.01</v>
      </c>
      <c r="Q3" s="9">
        <f>1-P3</f>
        <v>0.99</v>
      </c>
      <c r="R3" s="9">
        <f>$N$6/(1+($N$6/$O$6)*(P3/Q3))^2</f>
        <v>1.7329996940168346</v>
      </c>
      <c r="S3" s="9">
        <f>$O$6/(1+($O$6/$N$6)*(Q3/P3))^2</f>
        <v>5.7859303951557882E-4</v>
      </c>
      <c r="T3" s="9">
        <f>EXP(R3)</f>
        <v>5.6575995473677025</v>
      </c>
      <c r="U3" s="9">
        <f>EXP(S3)</f>
        <v>1.0005787604567555</v>
      </c>
      <c r="V3" s="9">
        <f>P3*T3*$P$30 + Q3*U3*$Q$30</f>
        <v>0.74060302029921055</v>
      </c>
      <c r="W3" s="9">
        <f>T3*P3*$P$30/V3</f>
        <v>0.11436758598740127</v>
      </c>
      <c r="AL3" s="20">
        <v>759.81</v>
      </c>
      <c r="AM3" s="20"/>
      <c r="AN3" s="12" t="s">
        <v>6</v>
      </c>
      <c r="AO3" s="12" t="s">
        <v>7</v>
      </c>
      <c r="AP3" s="12" t="s">
        <v>8</v>
      </c>
      <c r="AQ3" s="12"/>
      <c r="AR3" s="12" t="s">
        <v>6</v>
      </c>
      <c r="AS3" s="12" t="s">
        <v>7</v>
      </c>
      <c r="AT3" s="12" t="s">
        <v>8</v>
      </c>
    </row>
    <row r="4" spans="1:46" ht="15.6">
      <c r="A4" s="8">
        <v>365.84</v>
      </c>
      <c r="B4" s="8">
        <v>3.2000000000000001E-2</v>
      </c>
      <c r="C4" s="8">
        <v>0.27600000000000002</v>
      </c>
      <c r="D4" s="9">
        <f>$AN$5-($AO$5/(A4+$AP$5))</f>
        <v>0.24178277331129294</v>
      </c>
      <c r="E4" s="9">
        <f t="shared" ref="E4:E37" si="3">10^D4</f>
        <v>1.7449491408227666</v>
      </c>
      <c r="F4" s="9">
        <f>$AR$4-($AS$4/(A4+$AT$4))</f>
        <v>-0.1101873982099697</v>
      </c>
      <c r="G4" s="9">
        <f t="shared" ref="G4:G37" si="4">10^F4</f>
        <v>0.77591223800110998</v>
      </c>
      <c r="H4" s="9">
        <f t="shared" si="0"/>
        <v>5.0070786903452928</v>
      </c>
      <c r="I4" s="9">
        <f t="shared" si="1"/>
        <v>0.97646952417560839</v>
      </c>
      <c r="J4" s="9">
        <f t="shared" ref="J4:J37" si="5">LN(H4)/((1-B4)^2)</f>
        <v>1.7191156782439694</v>
      </c>
      <c r="K4" s="9">
        <f t="shared" ref="K4:K37" si="6">(LN(H4) * B4 + LN(I4) * (1 - B4))*8.314*A4</f>
        <v>86.677885126934797</v>
      </c>
      <c r="L4" s="9">
        <f t="shared" si="2"/>
        <v>3.3057851239669422E-2</v>
      </c>
      <c r="M4" s="9">
        <f t="shared" ref="M4:M37" si="7">B4* 8.314* A4/(K4)</f>
        <v>1.1229046506783631</v>
      </c>
      <c r="P4" s="9">
        <f>0.05+P3</f>
        <v>6.0000000000000005E-2</v>
      </c>
      <c r="Q4" s="9">
        <f t="shared" ref="Q4:Q22" si="8">1-P4</f>
        <v>0.94</v>
      </c>
      <c r="R4" s="9">
        <f t="shared" ref="R4:R23" si="9">$N$6/(1+($N$6/$O$6)*(P4/Q4))^2</f>
        <v>1.2655725413094447</v>
      </c>
      <c r="S4" s="9">
        <f t="shared" ref="S4:S23" si="10">$O$6/(1+($O$6/$N$6)*(Q4/P4))^2</f>
        <v>1.6872480893686859E-2</v>
      </c>
      <c r="T4" s="9">
        <f t="shared" ref="T4:T23" si="11">EXP(R4)</f>
        <v>3.5451218838936325</v>
      </c>
      <c r="U4" s="9">
        <f t="shared" ref="U4:U23" si="12">EXP(S4)</f>
        <v>1.0170156251323581</v>
      </c>
      <c r="V4" s="9">
        <f t="shared" ref="V4:V23" si="13">P4*T4*$P$30 + Q4*U4*$Q$30</f>
        <v>0.95145432495392879</v>
      </c>
      <c r="W4" s="9">
        <f t="shared" ref="W4:W23" si="14">T4*P4*$P$30/V4</f>
        <v>0.33469614163319433</v>
      </c>
      <c r="AL4" s="12" t="s">
        <v>18</v>
      </c>
      <c r="AM4" s="12" t="s">
        <v>5</v>
      </c>
      <c r="AN4" s="16">
        <v>4.9253099999999996</v>
      </c>
      <c r="AO4" s="16">
        <v>1432.5260000000001</v>
      </c>
      <c r="AP4" s="16">
        <v>-61.819000000000003</v>
      </c>
      <c r="AQ4" s="17" t="s">
        <v>11</v>
      </c>
      <c r="AR4" s="18">
        <v>5.0835400000000002</v>
      </c>
      <c r="AS4" s="18">
        <v>1663.125</v>
      </c>
      <c r="AT4" s="18">
        <v>-45.622</v>
      </c>
    </row>
    <row r="5" spans="1:46">
      <c r="A5" s="8">
        <v>363.83</v>
      </c>
      <c r="B5" s="8">
        <v>4.5999999999999999E-2</v>
      </c>
      <c r="C5" s="8">
        <v>0.33600000000000002</v>
      </c>
      <c r="D5" s="9">
        <f t="shared" ref="D5:D37" si="15">$AN$5-($AO$5/(A5+$AP$5))</f>
        <v>0.21008827375663941</v>
      </c>
      <c r="E5" s="9">
        <f t="shared" si="3"/>
        <v>1.6221397764737469</v>
      </c>
      <c r="F5" s="9">
        <f t="shared" ref="F5:F37" si="16">$AR$4-($AS$4/(A5+$AT$4))</f>
        <v>-0.14299421661303313</v>
      </c>
      <c r="G5" s="9">
        <f t="shared" si="4"/>
        <v>0.71945855878291887</v>
      </c>
      <c r="H5" s="9">
        <f t="shared" si="0"/>
        <v>4.5614325598551346</v>
      </c>
      <c r="I5" s="9">
        <f t="shared" si="1"/>
        <v>0.97999082023206785</v>
      </c>
      <c r="J5" s="9">
        <f t="shared" si="5"/>
        <v>1.6675201095816516</v>
      </c>
      <c r="K5" s="9">
        <f t="shared" si="6"/>
        <v>152.84420506081224</v>
      </c>
      <c r="L5" s="9">
        <f t="shared" si="2"/>
        <v>4.8218029350104823E-2</v>
      </c>
      <c r="M5" s="9">
        <f t="shared" si="7"/>
        <v>0.91036883252877276</v>
      </c>
      <c r="N5" s="9" t="s">
        <v>6</v>
      </c>
      <c r="O5" s="9" t="s">
        <v>7</v>
      </c>
      <c r="P5" s="9">
        <f t="shared" ref="P5:P22" si="17">0.05+P4</f>
        <v>0.11000000000000001</v>
      </c>
      <c r="Q5" s="9">
        <f t="shared" si="8"/>
        <v>0.89</v>
      </c>
      <c r="R5" s="9">
        <f t="shared" si="9"/>
        <v>0.93765027934081202</v>
      </c>
      <c r="S5" s="9">
        <f t="shared" si="10"/>
        <v>4.6869611350443686E-2</v>
      </c>
      <c r="T5" s="9">
        <f t="shared" si="11"/>
        <v>2.5539732386398128</v>
      </c>
      <c r="U5" s="9">
        <f t="shared" si="12"/>
        <v>1.0479853547756002</v>
      </c>
      <c r="V5" s="9">
        <f t="shared" si="13"/>
        <v>1.038182520554898</v>
      </c>
      <c r="W5" s="9">
        <f t="shared" si="14"/>
        <v>0.40512733185933736</v>
      </c>
      <c r="AL5" s="19">
        <v>1.0129968300000001</v>
      </c>
      <c r="AM5" s="12" t="s">
        <v>9</v>
      </c>
      <c r="AN5" s="16">
        <v>5.2467699999999997</v>
      </c>
      <c r="AO5" s="16">
        <v>1598.673</v>
      </c>
      <c r="AP5" s="16">
        <v>-46.423999999999999</v>
      </c>
      <c r="AQ5" s="12"/>
      <c r="AR5" s="12"/>
      <c r="AS5" s="12"/>
      <c r="AT5" s="12"/>
    </row>
    <row r="6" spans="1:46">
      <c r="A6" s="8">
        <v>361.65</v>
      </c>
      <c r="B6" s="8">
        <v>6.8000000000000005E-2</v>
      </c>
      <c r="C6" s="8">
        <v>0.39800000000000002</v>
      </c>
      <c r="D6" s="9">
        <f t="shared" si="15"/>
        <v>0.17525622892781634</v>
      </c>
      <c r="E6" s="9">
        <f t="shared" si="3"/>
        <v>1.4971186789988991</v>
      </c>
      <c r="F6" s="9">
        <f t="shared" si="16"/>
        <v>-0.17904749224752248</v>
      </c>
      <c r="G6" s="9">
        <f t="shared" si="4"/>
        <v>0.66214409101436733</v>
      </c>
      <c r="H6" s="9">
        <f t="shared" si="0"/>
        <v>3.9602811327595075</v>
      </c>
      <c r="I6" s="9">
        <f t="shared" si="1"/>
        <v>0.98818022209000678</v>
      </c>
      <c r="J6" s="9">
        <f t="shared" si="5"/>
        <v>1.584477306484261</v>
      </c>
      <c r="K6" s="9">
        <f t="shared" si="6"/>
        <v>248.08089655290067</v>
      </c>
      <c r="L6" s="9">
        <f t="shared" si="2"/>
        <v>7.2961373390557943E-2</v>
      </c>
      <c r="M6" s="9">
        <f t="shared" si="7"/>
        <v>0.8241648334917282</v>
      </c>
      <c r="N6" s="9">
        <f>1/N3</f>
        <v>1.8494544109487703</v>
      </c>
      <c r="O6" s="9">
        <f>1/O3</f>
        <v>0.56519527496750122</v>
      </c>
      <c r="P6" s="9">
        <f t="shared" si="17"/>
        <v>0.16000000000000003</v>
      </c>
      <c r="Q6" s="9">
        <f t="shared" si="8"/>
        <v>0.84</v>
      </c>
      <c r="R6" s="9">
        <f t="shared" si="9"/>
        <v>0.70186687797687741</v>
      </c>
      <c r="S6" s="9">
        <f t="shared" si="10"/>
        <v>8.3326137132523029E-2</v>
      </c>
      <c r="T6" s="9">
        <f t="shared" si="11"/>
        <v>2.017515649434777</v>
      </c>
      <c r="U6" s="9">
        <f t="shared" si="12"/>
        <v>1.0868962279695698</v>
      </c>
      <c r="V6" s="9">
        <f t="shared" si="13"/>
        <v>1.0878064667431424</v>
      </c>
      <c r="W6" s="9">
        <f t="shared" si="14"/>
        <v>0.44426437331038282</v>
      </c>
    </row>
    <row r="7" spans="1:46">
      <c r="A7" s="8">
        <v>360.87</v>
      </c>
      <c r="B7" s="8">
        <v>7.9000000000000001E-2</v>
      </c>
      <c r="C7" s="8">
        <v>0.42</v>
      </c>
      <c r="D7" s="9">
        <f t="shared" si="15"/>
        <v>0.1626760697226235</v>
      </c>
      <c r="E7" s="9">
        <f t="shared" si="3"/>
        <v>1.4543738918477591</v>
      </c>
      <c r="F7" s="9">
        <f t="shared" si="16"/>
        <v>-0.1920684098868195</v>
      </c>
      <c r="G7" s="9">
        <f t="shared" si="4"/>
        <v>0.64258648938701513</v>
      </c>
      <c r="H7" s="9">
        <f t="shared" si="0"/>
        <v>3.7030042943402592</v>
      </c>
      <c r="I7" s="9">
        <f t="shared" si="1"/>
        <v>0.99276134683915152</v>
      </c>
      <c r="J7" s="9">
        <f t="shared" si="5"/>
        <v>1.5433638100763989</v>
      </c>
      <c r="K7" s="9">
        <f t="shared" si="6"/>
        <v>290.22052458618509</v>
      </c>
      <c r="L7" s="9">
        <f t="shared" si="2"/>
        <v>8.577633007600434E-2</v>
      </c>
      <c r="M7" s="9">
        <f t="shared" si="7"/>
        <v>0.81669475843571182</v>
      </c>
      <c r="P7" s="9">
        <f t="shared" si="17"/>
        <v>0.21000000000000002</v>
      </c>
      <c r="Q7" s="9">
        <f t="shared" si="8"/>
        <v>0.79</v>
      </c>
      <c r="R7" s="9">
        <f t="shared" si="9"/>
        <v>0.52897684048856641</v>
      </c>
      <c r="S7" s="9">
        <f t="shared" si="10"/>
        <v>0.12231118480432475</v>
      </c>
      <c r="T7" s="9">
        <f t="shared" si="11"/>
        <v>1.6971949188327142</v>
      </c>
      <c r="U7" s="9">
        <f t="shared" si="12"/>
        <v>1.1301057187955148</v>
      </c>
      <c r="V7" s="9">
        <f t="shared" si="13"/>
        <v>1.1247407960245357</v>
      </c>
      <c r="W7" s="9">
        <f t="shared" si="14"/>
        <v>0.47441105276181361</v>
      </c>
    </row>
    <row r="8" spans="1:46">
      <c r="A8" s="8">
        <v>358.95</v>
      </c>
      <c r="B8" s="8">
        <v>0.11899999999999999</v>
      </c>
      <c r="C8" s="8">
        <v>0.47299999999999998</v>
      </c>
      <c r="D8" s="9">
        <f t="shared" si="15"/>
        <v>0.13144199528999145</v>
      </c>
      <c r="E8" s="9">
        <f t="shared" si="3"/>
        <v>1.3534493108527317</v>
      </c>
      <c r="F8" s="9">
        <f t="shared" si="16"/>
        <v>-0.22439609252923454</v>
      </c>
      <c r="G8" s="9">
        <f t="shared" si="4"/>
        <v>0.59649101669427718</v>
      </c>
      <c r="H8" s="9">
        <f t="shared" si="0"/>
        <v>2.9749541061519906</v>
      </c>
      <c r="I8" s="9">
        <f t="shared" si="1"/>
        <v>1.0158717553417516</v>
      </c>
      <c r="J8" s="9">
        <f t="shared" si="5"/>
        <v>1.4046423517479889</v>
      </c>
      <c r="K8" s="9">
        <f t="shared" si="6"/>
        <v>428.57803823909194</v>
      </c>
      <c r="L8" s="9">
        <f t="shared" si="2"/>
        <v>0.13507377979568672</v>
      </c>
      <c r="M8" s="9">
        <f t="shared" si="7"/>
        <v>0.82863071369485586</v>
      </c>
      <c r="P8" s="9">
        <f t="shared" si="17"/>
        <v>0.26</v>
      </c>
      <c r="Q8" s="9">
        <f t="shared" si="8"/>
        <v>0.74</v>
      </c>
      <c r="R8" s="9">
        <f t="shared" si="9"/>
        <v>0.40020780960915703</v>
      </c>
      <c r="S8" s="9">
        <f t="shared" si="10"/>
        <v>0.1616642246003786</v>
      </c>
      <c r="T8" s="9">
        <f t="shared" si="11"/>
        <v>1.4921347453629501</v>
      </c>
      <c r="U8" s="9">
        <f t="shared" si="12"/>
        <v>1.175465482657404</v>
      </c>
      <c r="V8" s="9">
        <f t="shared" si="13"/>
        <v>1.1567770951195802</v>
      </c>
      <c r="W8" s="9">
        <f t="shared" si="14"/>
        <v>0.50209736184753484</v>
      </c>
    </row>
    <row r="9" spans="1:46">
      <c r="A9" s="8">
        <v>357.69</v>
      </c>
      <c r="B9" s="8">
        <v>0.16300000000000001</v>
      </c>
      <c r="C9" s="8">
        <v>0.50800000000000001</v>
      </c>
      <c r="D9" s="9">
        <f t="shared" si="15"/>
        <v>0.11073522588397022</v>
      </c>
      <c r="E9" s="9">
        <f t="shared" si="3"/>
        <v>1.290432302420885</v>
      </c>
      <c r="F9" s="9">
        <f t="shared" si="16"/>
        <v>-0.245827317379546</v>
      </c>
      <c r="G9" s="9">
        <f t="shared" si="4"/>
        <v>0.56777031533711075</v>
      </c>
      <c r="H9" s="9">
        <f t="shared" si="0"/>
        <v>2.4465211147994967</v>
      </c>
      <c r="I9" s="9">
        <f t="shared" si="1"/>
        <v>1.0487574247517564</v>
      </c>
      <c r="J9" s="9">
        <f t="shared" si="5"/>
        <v>1.2770577378170551</v>
      </c>
      <c r="K9" s="9">
        <f t="shared" si="6"/>
        <v>552.17270421693252</v>
      </c>
      <c r="L9" s="9">
        <f t="shared" si="2"/>
        <v>0.19474313022700121</v>
      </c>
      <c r="M9" s="9">
        <f t="shared" si="7"/>
        <v>0.87786854706523443</v>
      </c>
      <c r="P9" s="9">
        <f t="shared" si="17"/>
        <v>0.31</v>
      </c>
      <c r="Q9" s="9">
        <f t="shared" si="8"/>
        <v>0.69</v>
      </c>
      <c r="R9" s="9">
        <f t="shared" si="9"/>
        <v>0.30311097657329922</v>
      </c>
      <c r="S9" s="9">
        <f t="shared" si="10"/>
        <v>0.20020364395269552</v>
      </c>
      <c r="T9" s="9">
        <f t="shared" si="11"/>
        <v>1.3540647255676705</v>
      </c>
      <c r="U9" s="9">
        <f t="shared" si="12"/>
        <v>1.221651514773705</v>
      </c>
      <c r="V9" s="9">
        <f t="shared" si="13"/>
        <v>1.1865780728309223</v>
      </c>
      <c r="W9" s="9">
        <f t="shared" si="14"/>
        <v>0.5296159168011344</v>
      </c>
      <c r="AL9" t="s">
        <v>4</v>
      </c>
      <c r="AM9" t="s">
        <v>10</v>
      </c>
    </row>
    <row r="10" spans="1:46">
      <c r="A10" s="8">
        <v>357.14</v>
      </c>
      <c r="B10" s="8">
        <v>0.19</v>
      </c>
      <c r="C10" s="8">
        <v>0.52400000000000002</v>
      </c>
      <c r="D10" s="9">
        <f t="shared" si="15"/>
        <v>0.10164390414397673</v>
      </c>
      <c r="E10" s="9">
        <f t="shared" si="3"/>
        <v>1.2636997633003413</v>
      </c>
      <c r="F10" s="9">
        <f t="shared" si="16"/>
        <v>-0.25523657149827628</v>
      </c>
      <c r="G10" s="9">
        <f t="shared" si="4"/>
        <v>0.55560152422574582</v>
      </c>
      <c r="H10" s="9">
        <f t="shared" si="0"/>
        <v>2.2107613746784835</v>
      </c>
      <c r="I10" s="9">
        <f t="shared" si="1"/>
        <v>1.0714368811818158</v>
      </c>
      <c r="J10" s="9">
        <f t="shared" si="5"/>
        <v>1.2091708118087403</v>
      </c>
      <c r="K10" s="9">
        <f t="shared" si="6"/>
        <v>613.52236371007371</v>
      </c>
      <c r="L10" s="9">
        <f t="shared" si="2"/>
        <v>0.23456790123456789</v>
      </c>
      <c r="M10" s="9">
        <f t="shared" si="7"/>
        <v>0.91954231136487052</v>
      </c>
      <c r="P10" s="9">
        <f t="shared" si="17"/>
        <v>0.36</v>
      </c>
      <c r="Q10" s="9">
        <f t="shared" si="8"/>
        <v>0.64</v>
      </c>
      <c r="R10" s="9">
        <f t="shared" si="9"/>
        <v>0.22919905164777299</v>
      </c>
      <c r="S10" s="9">
        <f t="shared" si="10"/>
        <v>0.23730286295913278</v>
      </c>
      <c r="T10" s="9">
        <f t="shared" si="11"/>
        <v>1.2575923399250966</v>
      </c>
      <c r="U10" s="9">
        <f t="shared" si="12"/>
        <v>1.2678250368772426</v>
      </c>
      <c r="V10" s="9">
        <f t="shared" si="13"/>
        <v>1.2150644219897428</v>
      </c>
      <c r="W10" s="9">
        <f t="shared" si="14"/>
        <v>0.55782671395354866</v>
      </c>
      <c r="AL10">
        <f>10^(AN5-(AO5/(360+AP5)))</f>
        <v>1.4078958229859264</v>
      </c>
      <c r="AM10">
        <f>10^(AR4-AS4/(360+AT4))</f>
        <v>0.62134389249761812</v>
      </c>
    </row>
    <row r="11" spans="1:46">
      <c r="A11" s="8">
        <v>356.87</v>
      </c>
      <c r="B11" s="8">
        <v>0.20599999999999999</v>
      </c>
      <c r="C11" s="8">
        <v>0.53200000000000003</v>
      </c>
      <c r="D11" s="9">
        <f t="shared" si="15"/>
        <v>9.7169103225682285E-2</v>
      </c>
      <c r="E11" s="9">
        <f t="shared" si="3"/>
        <v>1.2507459440755748</v>
      </c>
      <c r="F11" s="9">
        <f t="shared" si="16"/>
        <v>-0.25986782912661255</v>
      </c>
      <c r="G11" s="9">
        <f t="shared" si="4"/>
        <v>0.54970814365685972</v>
      </c>
      <c r="H11" s="9">
        <f t="shared" si="0"/>
        <v>2.091622933632816</v>
      </c>
      <c r="I11" s="9">
        <f t="shared" si="1"/>
        <v>1.0861786601708565</v>
      </c>
      <c r="J11" s="9">
        <f t="shared" si="5"/>
        <v>1.170523713601068</v>
      </c>
      <c r="K11" s="9">
        <f t="shared" si="6"/>
        <v>645.77805721728066</v>
      </c>
      <c r="L11" s="9">
        <f t="shared" si="2"/>
        <v>0.25944584382871533</v>
      </c>
      <c r="M11" s="9">
        <f t="shared" si="7"/>
        <v>0.9464637769108214</v>
      </c>
      <c r="P11" s="9">
        <f t="shared" si="17"/>
        <v>0.41</v>
      </c>
      <c r="Q11" s="9">
        <f t="shared" si="8"/>
        <v>0.59000000000000008</v>
      </c>
      <c r="R11" s="9">
        <f t="shared" si="9"/>
        <v>0.17254605870286693</v>
      </c>
      <c r="S11" s="9">
        <f t="shared" si="10"/>
        <v>0.27265523568295863</v>
      </c>
      <c r="T11" s="9">
        <f t="shared" si="11"/>
        <v>1.1883265521341209</v>
      </c>
      <c r="U11" s="9">
        <f t="shared" si="12"/>
        <v>1.3134473369818895</v>
      </c>
      <c r="V11" s="9">
        <f t="shared" si="13"/>
        <v>1.2425349318539016</v>
      </c>
      <c r="W11" s="9">
        <f t="shared" si="14"/>
        <v>0.58703943950399096</v>
      </c>
    </row>
    <row r="12" spans="1:46">
      <c r="A12" s="8">
        <v>356.48</v>
      </c>
      <c r="B12" s="8">
        <v>0.23200000000000001</v>
      </c>
      <c r="C12" s="8">
        <v>0.54400000000000004</v>
      </c>
      <c r="D12" s="9">
        <f t="shared" si="15"/>
        <v>9.0691743168976657E-2</v>
      </c>
      <c r="E12" s="9">
        <f t="shared" si="3"/>
        <v>1.2322299012732536</v>
      </c>
      <c r="F12" s="9">
        <f t="shared" si="16"/>
        <v>-0.26657162653044164</v>
      </c>
      <c r="G12" s="9">
        <f t="shared" si="4"/>
        <v>0.5412879679630741</v>
      </c>
      <c r="H12" s="9">
        <f t="shared" si="0"/>
        <v>1.9276458956804701</v>
      </c>
      <c r="I12" s="9">
        <f t="shared" si="1"/>
        <v>1.111177235429573</v>
      </c>
      <c r="J12" s="9">
        <f t="shared" si="5"/>
        <v>1.1127039850089138</v>
      </c>
      <c r="K12" s="9">
        <f t="shared" si="6"/>
        <v>691.22359485739139</v>
      </c>
      <c r="L12" s="9">
        <f t="shared" si="2"/>
        <v>0.30208333333333331</v>
      </c>
      <c r="M12" s="9">
        <f t="shared" si="7"/>
        <v>0.99475153937975769</v>
      </c>
      <c r="P12" s="9">
        <f t="shared" si="17"/>
        <v>0.45999999999999996</v>
      </c>
      <c r="Q12" s="9">
        <f t="shared" si="8"/>
        <v>0.54</v>
      </c>
      <c r="R12" s="9">
        <f t="shared" si="9"/>
        <v>0.12892784749300903</v>
      </c>
      <c r="S12" s="9">
        <f t="shared" si="10"/>
        <v>0.30613993357998431</v>
      </c>
      <c r="T12" s="9">
        <f t="shared" si="11"/>
        <v>1.1376080399324213</v>
      </c>
      <c r="U12" s="9">
        <f t="shared" si="12"/>
        <v>1.3581723471698253</v>
      </c>
      <c r="V12" s="9">
        <f t="shared" si="13"/>
        <v>1.2690668820417019</v>
      </c>
      <c r="W12" s="9">
        <f t="shared" si="14"/>
        <v>0.617336851373958</v>
      </c>
    </row>
    <row r="13" spans="1:46">
      <c r="A13" s="8">
        <v>356.42</v>
      </c>
      <c r="B13" s="8">
        <v>0.23599999999999999</v>
      </c>
      <c r="C13" s="8">
        <v>0.54600000000000004</v>
      </c>
      <c r="D13" s="9">
        <f t="shared" si="15"/>
        <v>8.9693779661673467E-2</v>
      </c>
      <c r="E13" s="9">
        <f t="shared" si="3"/>
        <v>1.2294016160381291</v>
      </c>
      <c r="F13" s="9">
        <f t="shared" si="16"/>
        <v>-0.26760447325915848</v>
      </c>
      <c r="G13" s="9">
        <f t="shared" si="4"/>
        <v>0.5400021969829969</v>
      </c>
      <c r="H13" s="9">
        <f t="shared" si="0"/>
        <v>1.9063162343887812</v>
      </c>
      <c r="I13" s="9">
        <f t="shared" si="1"/>
        <v>1.1147437699441174</v>
      </c>
      <c r="J13" s="9">
        <f t="shared" si="5"/>
        <v>1.1053231591082147</v>
      </c>
      <c r="K13" s="9">
        <f t="shared" si="6"/>
        <v>697.11045714627778</v>
      </c>
      <c r="L13" s="9">
        <f t="shared" si="2"/>
        <v>0.30890052356020942</v>
      </c>
      <c r="M13" s="9">
        <f t="shared" si="7"/>
        <v>1.0031883764056861</v>
      </c>
      <c r="P13" s="9">
        <f t="shared" si="17"/>
        <v>0.51</v>
      </c>
      <c r="Q13" s="9">
        <f t="shared" si="8"/>
        <v>0.49</v>
      </c>
      <c r="R13" s="9">
        <f t="shared" si="9"/>
        <v>9.5278294822957799E-2</v>
      </c>
      <c r="S13" s="9">
        <f t="shared" si="10"/>
        <v>0.33774371504452549</v>
      </c>
      <c r="T13" s="9">
        <f t="shared" si="11"/>
        <v>1.099964927079649</v>
      </c>
      <c r="U13" s="9">
        <f t="shared" si="12"/>
        <v>1.4017812019325839</v>
      </c>
      <c r="V13" s="9">
        <f t="shared" si="13"/>
        <v>1.2946655581528406</v>
      </c>
      <c r="W13" s="9">
        <f t="shared" si="14"/>
        <v>0.64870560152330847</v>
      </c>
    </row>
    <row r="14" spans="1:46">
      <c r="A14" s="8">
        <v>356.38</v>
      </c>
      <c r="B14" s="8">
        <v>0.23899999999999999</v>
      </c>
      <c r="C14" s="8">
        <v>0.54700000000000004</v>
      </c>
      <c r="D14" s="9">
        <f t="shared" si="15"/>
        <v>8.9028256010530882E-2</v>
      </c>
      <c r="E14" s="9">
        <f t="shared" si="3"/>
        <v>1.2275190932463835</v>
      </c>
      <c r="F14" s="9">
        <f t="shared" si="16"/>
        <v>-0.26829325932075765</v>
      </c>
      <c r="G14" s="9">
        <f t="shared" si="4"/>
        <v>0.5391464384899991</v>
      </c>
      <c r="H14" s="9">
        <f t="shared" si="0"/>
        <v>1.8887272910971915</v>
      </c>
      <c r="I14" s="9">
        <f t="shared" si="1"/>
        <v>1.1184456657964623</v>
      </c>
      <c r="J14" s="9">
        <f t="shared" si="5"/>
        <v>1.0980489591780649</v>
      </c>
      <c r="K14" s="9">
        <f t="shared" si="6"/>
        <v>702.71281961994578</v>
      </c>
      <c r="L14" s="9">
        <f t="shared" si="2"/>
        <v>0.31406044678055189</v>
      </c>
      <c r="M14" s="9">
        <f t="shared" si="7"/>
        <v>1.0077280984613193</v>
      </c>
      <c r="P14" s="9">
        <f t="shared" si="17"/>
        <v>0.56000000000000005</v>
      </c>
      <c r="Q14" s="9">
        <f t="shared" si="8"/>
        <v>0.43999999999999995</v>
      </c>
      <c r="R14" s="9">
        <f t="shared" si="9"/>
        <v>6.9335985925967319E-2</v>
      </c>
      <c r="S14" s="9">
        <f t="shared" si="10"/>
        <v>0.36751452188802619</v>
      </c>
      <c r="T14" s="9">
        <f t="shared" si="11"/>
        <v>1.0717962571173298</v>
      </c>
      <c r="U14" s="9">
        <f t="shared" si="12"/>
        <v>1.444140770027833</v>
      </c>
      <c r="V14" s="9">
        <f t="shared" si="13"/>
        <v>1.3193203521878403</v>
      </c>
      <c r="W14" s="9">
        <f t="shared" si="14"/>
        <v>0.68109270702320046</v>
      </c>
    </row>
    <row r="15" spans="1:46">
      <c r="A15" s="8">
        <v>355.85</v>
      </c>
      <c r="B15" s="8">
        <v>0.28100000000000003</v>
      </c>
      <c r="C15" s="8">
        <v>0.56499999999999995</v>
      </c>
      <c r="D15" s="9">
        <f t="shared" si="15"/>
        <v>8.0193823466677472E-2</v>
      </c>
      <c r="E15" s="9">
        <f t="shared" si="3"/>
        <v>1.2028011190042478</v>
      </c>
      <c r="F15" s="9">
        <f t="shared" si="16"/>
        <v>-0.27743644313214766</v>
      </c>
      <c r="G15" s="9">
        <f t="shared" si="4"/>
        <v>0.52791445882111654</v>
      </c>
      <c r="H15" s="9">
        <f t="shared" si="0"/>
        <v>1.6933876603490317</v>
      </c>
      <c r="I15" s="9">
        <f t="shared" si="1"/>
        <v>1.1609269577552619</v>
      </c>
      <c r="J15" s="9">
        <f t="shared" si="5"/>
        <v>1.0188990180901898</v>
      </c>
      <c r="K15" s="9">
        <f t="shared" si="6"/>
        <v>755.31368585799805</v>
      </c>
      <c r="L15" s="9">
        <f t="shared" si="2"/>
        <v>0.39082058414464538</v>
      </c>
      <c r="M15" s="9">
        <f t="shared" si="7"/>
        <v>1.1006670267805752</v>
      </c>
      <c r="P15" s="9">
        <f t="shared" si="17"/>
        <v>0.6100000000000001</v>
      </c>
      <c r="Q15" s="9">
        <f t="shared" si="8"/>
        <v>0.3899999999999999</v>
      </c>
      <c r="R15" s="9">
        <f t="shared" si="9"/>
        <v>4.9409204667735747E-2</v>
      </c>
      <c r="S15" s="9">
        <f t="shared" si="10"/>
        <v>0.39553364098126326</v>
      </c>
      <c r="T15" s="9">
        <f t="shared" si="11"/>
        <v>1.0506501937505872</v>
      </c>
      <c r="U15" s="9">
        <f t="shared" si="12"/>
        <v>1.4851765305507745</v>
      </c>
      <c r="V15" s="9">
        <f t="shared" si="13"/>
        <v>1.3430246352850594</v>
      </c>
      <c r="W15" s="9">
        <f t="shared" si="14"/>
        <v>0.71443089961831774</v>
      </c>
    </row>
    <row r="16" spans="1:46">
      <c r="A16" s="8">
        <v>355.79</v>
      </c>
      <c r="B16" s="8">
        <v>0.28599999999999998</v>
      </c>
      <c r="C16" s="8">
        <v>0.56699999999999995</v>
      </c>
      <c r="D16" s="9">
        <f t="shared" si="15"/>
        <v>7.9191791664242395E-2</v>
      </c>
      <c r="E16" s="9">
        <f t="shared" si="3"/>
        <v>1.2000291389693214</v>
      </c>
      <c r="F16" s="9">
        <f t="shared" si="16"/>
        <v>-0.27847348946377437</v>
      </c>
      <c r="G16" s="9">
        <f t="shared" si="4"/>
        <v>0.52665536241249855</v>
      </c>
      <c r="H16" s="9">
        <f t="shared" si="0"/>
        <v>1.6735293002423768</v>
      </c>
      <c r="I16" s="9">
        <f t="shared" si="1"/>
        <v>1.166463786289295</v>
      </c>
      <c r="J16" s="9">
        <f t="shared" si="5"/>
        <v>1.0100800121560785</v>
      </c>
      <c r="K16" s="9">
        <f t="shared" si="6"/>
        <v>760.83918875022232</v>
      </c>
      <c r="L16" s="9">
        <f t="shared" si="2"/>
        <v>0.40056022408963582</v>
      </c>
      <c r="M16" s="9">
        <f t="shared" si="7"/>
        <v>1.1119286409913554</v>
      </c>
      <c r="P16" s="9">
        <f t="shared" si="17"/>
        <v>0.66000000000000014</v>
      </c>
      <c r="Q16" s="9">
        <f t="shared" si="8"/>
        <v>0.33999999999999986</v>
      </c>
      <c r="R16" s="9">
        <f t="shared" si="9"/>
        <v>3.4216317005328858E-2</v>
      </c>
      <c r="S16" s="9">
        <f t="shared" si="10"/>
        <v>0.42189891239811828</v>
      </c>
      <c r="T16" s="9">
        <f t="shared" si="11"/>
        <v>1.0348084291794331</v>
      </c>
      <c r="U16" s="9">
        <f t="shared" si="12"/>
        <v>1.5248543730202122</v>
      </c>
      <c r="V16" s="9">
        <f t="shared" si="13"/>
        <v>1.365781405152561</v>
      </c>
      <c r="W16" s="9">
        <f t="shared" si="14"/>
        <v>0.74865016829132391</v>
      </c>
    </row>
    <row r="17" spans="1:23">
      <c r="A17" s="8">
        <v>355.74</v>
      </c>
      <c r="B17" s="8">
        <v>0.29099999999999998</v>
      </c>
      <c r="C17" s="8">
        <v>0.56899999999999995</v>
      </c>
      <c r="D17" s="9">
        <f t="shared" si="15"/>
        <v>7.8356468207270602E-2</v>
      </c>
      <c r="E17" s="9">
        <f t="shared" si="3"/>
        <v>1.1977232172351839</v>
      </c>
      <c r="F17" s="9">
        <f t="shared" si="16"/>
        <v>-0.27933800127693331</v>
      </c>
      <c r="G17" s="9">
        <f t="shared" si="4"/>
        <v>0.52560803867444794</v>
      </c>
      <c r="H17" s="9">
        <f t="shared" si="0"/>
        <v>1.6537539538181449</v>
      </c>
      <c r="I17" s="9">
        <f t="shared" si="1"/>
        <v>1.1715939559537853</v>
      </c>
      <c r="J17" s="9">
        <f t="shared" si="5"/>
        <v>1.0007297416530765</v>
      </c>
      <c r="K17" s="9">
        <f t="shared" si="6"/>
        <v>765.04175291473621</v>
      </c>
      <c r="L17" s="9">
        <f t="shared" si="2"/>
        <v>0.41043723554301825</v>
      </c>
      <c r="M17" s="9">
        <f t="shared" si="7"/>
        <v>1.1249949476364349</v>
      </c>
      <c r="P17" s="9">
        <f t="shared" si="17"/>
        <v>0.71000000000000019</v>
      </c>
      <c r="Q17" s="9">
        <f t="shared" si="8"/>
        <v>0.28999999999999981</v>
      </c>
      <c r="R17" s="9">
        <f t="shared" si="9"/>
        <v>2.2775312959869381E-2</v>
      </c>
      <c r="S17" s="9">
        <f t="shared" si="10"/>
        <v>0.44671461667033707</v>
      </c>
      <c r="T17" s="9">
        <f t="shared" si="11"/>
        <v>1.0230366506446775</v>
      </c>
      <c r="U17" s="9">
        <f t="shared" si="12"/>
        <v>1.5631681334985463</v>
      </c>
      <c r="V17" s="9">
        <f t="shared" si="13"/>
        <v>1.3876035055050644</v>
      </c>
      <c r="W17" s="9">
        <f t="shared" si="14"/>
        <v>0.78368292077817181</v>
      </c>
    </row>
    <row r="18" spans="1:23">
      <c r="A18" s="8">
        <v>355.6</v>
      </c>
      <c r="B18" s="8">
        <v>0.30299999999999999</v>
      </c>
      <c r="C18" s="8">
        <v>0.57399999999999995</v>
      </c>
      <c r="D18" s="9">
        <f t="shared" si="15"/>
        <v>7.6016125184361627E-2</v>
      </c>
      <c r="E18" s="9">
        <f t="shared" si="3"/>
        <v>1.1912862391986536</v>
      </c>
      <c r="F18" s="9">
        <f t="shared" si="16"/>
        <v>-0.28176011807289481</v>
      </c>
      <c r="G18" s="9">
        <f t="shared" si="4"/>
        <v>0.52268481347966034</v>
      </c>
      <c r="H18" s="9">
        <f t="shared" si="0"/>
        <v>1.6108727132838458</v>
      </c>
      <c r="I18" s="9">
        <f t="shared" si="1"/>
        <v>1.1845271662384129</v>
      </c>
      <c r="J18" s="9">
        <f t="shared" si="5"/>
        <v>0.98140645825069517</v>
      </c>
      <c r="K18" s="9">
        <f t="shared" si="6"/>
        <v>776.05761617731252</v>
      </c>
      <c r="L18" s="9">
        <f t="shared" si="2"/>
        <v>0.4347202295552367</v>
      </c>
      <c r="M18" s="9">
        <f t="shared" si="7"/>
        <v>1.1543046244588719</v>
      </c>
      <c r="P18" s="9">
        <f t="shared" si="17"/>
        <v>0.76000000000000023</v>
      </c>
      <c r="Q18" s="9">
        <f t="shared" si="8"/>
        <v>0.23999999999999977</v>
      </c>
      <c r="R18" s="9">
        <f t="shared" si="9"/>
        <v>1.4326067752697276E-2</v>
      </c>
      <c r="S18" s="9">
        <f t="shared" si="10"/>
        <v>0.47008545068223778</v>
      </c>
      <c r="T18" s="9">
        <f t="shared" si="11"/>
        <v>1.014429177659437</v>
      </c>
      <c r="U18" s="9">
        <f t="shared" si="12"/>
        <v>1.6001309196543476</v>
      </c>
      <c r="V18" s="9">
        <f t="shared" si="13"/>
        <v>1.4085119974921743</v>
      </c>
      <c r="W18" s="9">
        <f t="shared" si="14"/>
        <v>0.81946611995894247</v>
      </c>
    </row>
    <row r="19" spans="1:23">
      <c r="A19" s="8">
        <v>355.16</v>
      </c>
      <c r="B19" s="8">
        <v>0.34399999999999997</v>
      </c>
      <c r="C19" s="8">
        <v>0.59</v>
      </c>
      <c r="D19" s="9">
        <f t="shared" si="15"/>
        <v>6.8646943407960848E-2</v>
      </c>
      <c r="E19" s="9">
        <f t="shared" si="3"/>
        <v>1.171242824944807</v>
      </c>
      <c r="F19" s="9">
        <f t="shared" si="16"/>
        <v>-0.28938674889674232</v>
      </c>
      <c r="G19" s="9">
        <f t="shared" si="4"/>
        <v>0.51358608804160844</v>
      </c>
      <c r="H19" s="9">
        <f t="shared" si="0"/>
        <v>1.4833878310938149</v>
      </c>
      <c r="I19" s="9">
        <f t="shared" si="1"/>
        <v>1.2327495496698644</v>
      </c>
      <c r="J19" s="9">
        <f t="shared" si="5"/>
        <v>0.91632711857336013</v>
      </c>
      <c r="K19" s="9">
        <f t="shared" si="6"/>
        <v>805.8637879830203</v>
      </c>
      <c r="L19" s="9">
        <f t="shared" si="2"/>
        <v>0.52439024390243894</v>
      </c>
      <c r="M19" s="9">
        <f t="shared" si="7"/>
        <v>1.2604652271351375</v>
      </c>
      <c r="P19" s="9">
        <f t="shared" si="17"/>
        <v>0.81000000000000028</v>
      </c>
      <c r="Q19" s="9">
        <f t="shared" si="8"/>
        <v>0.18999999999999972</v>
      </c>
      <c r="R19" s="9">
        <f t="shared" si="9"/>
        <v>8.2747888148345401E-3</v>
      </c>
      <c r="S19" s="9">
        <f t="shared" si="10"/>
        <v>0.49211302799961043</v>
      </c>
      <c r="T19" s="9">
        <f t="shared" si="11"/>
        <v>1.0083091195075438</v>
      </c>
      <c r="U19" s="9">
        <f t="shared" si="12"/>
        <v>1.6357689964543842</v>
      </c>
      <c r="V19" s="9">
        <f t="shared" si="13"/>
        <v>1.4285341250866253</v>
      </c>
      <c r="W19" s="9">
        <f t="shared" si="14"/>
        <v>0.85594197318302967</v>
      </c>
    </row>
    <row r="20" spans="1:23">
      <c r="A20" s="8">
        <v>354.94</v>
      </c>
      <c r="B20" s="8">
        <v>0.36699999999999999</v>
      </c>
      <c r="C20" s="8">
        <v>0.59899999999999998</v>
      </c>
      <c r="D20" s="9">
        <f t="shared" si="15"/>
        <v>6.4954470173345769E-2</v>
      </c>
      <c r="E20" s="9">
        <f t="shared" si="3"/>
        <v>1.1613268582471787</v>
      </c>
      <c r="F20" s="9">
        <f t="shared" si="16"/>
        <v>-0.29320820088064714</v>
      </c>
      <c r="G20" s="9">
        <f t="shared" si="4"/>
        <v>0.50908675623229804</v>
      </c>
      <c r="H20" s="9">
        <f t="shared" si="0"/>
        <v>1.4236865242046042</v>
      </c>
      <c r="I20" s="9">
        <f t="shared" si="1"/>
        <v>1.2605409239952132</v>
      </c>
      <c r="J20" s="9">
        <f t="shared" si="5"/>
        <v>0.88160556256648415</v>
      </c>
      <c r="K20" s="9">
        <f t="shared" si="6"/>
        <v>815.08193948063808</v>
      </c>
      <c r="L20" s="9">
        <f t="shared" si="2"/>
        <v>0.57977883096366511</v>
      </c>
      <c r="M20" s="9">
        <f t="shared" si="7"/>
        <v>1.3287086405203392</v>
      </c>
      <c r="P20" s="9">
        <f t="shared" si="17"/>
        <v>0.86000000000000032</v>
      </c>
      <c r="Q20" s="9">
        <f t="shared" si="8"/>
        <v>0.13999999999999968</v>
      </c>
      <c r="R20" s="9">
        <f t="shared" si="9"/>
        <v>4.1537622277695403E-3</v>
      </c>
      <c r="S20" s="9">
        <f t="shared" si="10"/>
        <v>0.51289394478196748</v>
      </c>
      <c r="T20" s="9">
        <f t="shared" si="11"/>
        <v>1.0041624010551622</v>
      </c>
      <c r="U20" s="9">
        <f t="shared" si="12"/>
        <v>1.6701174357789141</v>
      </c>
      <c r="V20" s="9">
        <f t="shared" si="13"/>
        <v>1.4477014219326882</v>
      </c>
      <c r="W20" s="9">
        <f t="shared" si="14"/>
        <v>0.89305793829402713</v>
      </c>
    </row>
    <row r="21" spans="1:23">
      <c r="A21" s="8">
        <v>354.81</v>
      </c>
      <c r="B21" s="8">
        <v>0.38</v>
      </c>
      <c r="C21" s="8">
        <v>0.60499999999999998</v>
      </c>
      <c r="D21" s="9">
        <f t="shared" si="15"/>
        <v>6.2770077824544579E-2</v>
      </c>
      <c r="E21" s="9">
        <f t="shared" si="3"/>
        <v>1.1555003405866495</v>
      </c>
      <c r="F21" s="9">
        <f t="shared" si="16"/>
        <v>-0.29546888779642178</v>
      </c>
      <c r="G21" s="9">
        <f t="shared" si="4"/>
        <v>0.50644362908431095</v>
      </c>
      <c r="H21" s="9">
        <f t="shared" si="0"/>
        <v>1.3957569097612237</v>
      </c>
      <c r="I21" s="9">
        <f t="shared" si="1"/>
        <v>1.2743313877364431</v>
      </c>
      <c r="J21" s="9">
        <f t="shared" si="5"/>
        <v>0.86742158108307199</v>
      </c>
      <c r="K21" s="9">
        <f>(LN(H21) * B21 + LN(I21) * (1 - B21))*8.314*A21</f>
        <v>817.14151694084819</v>
      </c>
      <c r="L21" s="9">
        <f t="shared" si="2"/>
        <v>0.61290322580645162</v>
      </c>
      <c r="M21" s="9">
        <f t="shared" si="7"/>
        <v>1.3718044010253669</v>
      </c>
      <c r="P21" s="9">
        <f t="shared" si="17"/>
        <v>0.91000000000000036</v>
      </c>
      <c r="Q21" s="9">
        <f t="shared" si="8"/>
        <v>8.9999999999999636E-2</v>
      </c>
      <c r="R21" s="9">
        <f t="shared" si="9"/>
        <v>1.5918131356328154E-3</v>
      </c>
      <c r="S21" s="9">
        <f t="shared" si="10"/>
        <v>0.53251881618083674</v>
      </c>
      <c r="T21" s="9">
        <f t="shared" si="11"/>
        <v>1.0015930807426707</v>
      </c>
      <c r="U21" s="9">
        <f t="shared" si="12"/>
        <v>1.7032170007182117</v>
      </c>
      <c r="V21" s="9">
        <f t="shared" si="13"/>
        <v>1.4660481325883437</v>
      </c>
      <c r="W21" s="9">
        <f t="shared" si="14"/>
        <v>0.93076642281350663</v>
      </c>
    </row>
    <row r="22" spans="1:23">
      <c r="A22" s="8">
        <v>354.7</v>
      </c>
      <c r="B22" s="8">
        <v>0.39200000000000002</v>
      </c>
      <c r="C22" s="8">
        <v>0.61</v>
      </c>
      <c r="D22" s="9">
        <f t="shared" si="15"/>
        <v>6.0920306867871865E-2</v>
      </c>
      <c r="E22" s="9">
        <f t="shared" si="3"/>
        <v>1.1505892361960102</v>
      </c>
      <c r="F22" s="9">
        <f t="shared" si="16"/>
        <v>-0.29738326208918142</v>
      </c>
      <c r="G22" s="9">
        <f t="shared" si="4"/>
        <v>0.50421613366778539</v>
      </c>
      <c r="H22" s="9">
        <f t="shared" si="0"/>
        <v>1.370034638182225</v>
      </c>
      <c r="I22" s="9">
        <f t="shared" si="1"/>
        <v>1.2887016250267271</v>
      </c>
      <c r="J22" s="9">
        <f t="shared" si="5"/>
        <v>0.85168158886206113</v>
      </c>
      <c r="K22" s="9">
        <f t="shared" si="6"/>
        <v>818.71216168289016</v>
      </c>
      <c r="L22" s="9">
        <f t="shared" si="2"/>
        <v>0.64473684210526316</v>
      </c>
      <c r="M22" s="9">
        <f t="shared" si="7"/>
        <v>1.4119718354052619</v>
      </c>
      <c r="P22" s="9">
        <f t="shared" si="17"/>
        <v>0.96000000000000041</v>
      </c>
      <c r="Q22" s="9">
        <f t="shared" si="8"/>
        <v>3.9999999999999591E-2</v>
      </c>
      <c r="R22" s="9">
        <f t="shared" si="9"/>
        <v>2.9237530171809831E-4</v>
      </c>
      <c r="S22" s="9">
        <f t="shared" si="10"/>
        <v>0.55107191027554903</v>
      </c>
      <c r="T22" s="9">
        <f t="shared" si="11"/>
        <v>1.0002924180475425</v>
      </c>
      <c r="U22" s="9">
        <f t="shared" si="12"/>
        <v>1.7351119056898654</v>
      </c>
      <c r="V22" s="9">
        <f t="shared" si="13"/>
        <v>1.4836099688032023</v>
      </c>
      <c r="W22" s="9">
        <f t="shared" si="14"/>
        <v>0.96902436301292849</v>
      </c>
    </row>
    <row r="23" spans="1:23">
      <c r="A23" s="8">
        <v>354.65</v>
      </c>
      <c r="B23" s="8">
        <v>0.39700000000000002</v>
      </c>
      <c r="C23" s="8">
        <v>0.61199999999999999</v>
      </c>
      <c r="D23" s="9">
        <f t="shared" si="15"/>
        <v>6.0079065426018374E-2</v>
      </c>
      <c r="E23" s="9">
        <f t="shared" si="3"/>
        <v>1.1483626674850442</v>
      </c>
      <c r="F23" s="9">
        <f t="shared" si="16"/>
        <v>-0.29825388275496145</v>
      </c>
      <c r="G23" s="9">
        <f t="shared" si="4"/>
        <v>0.50320635507205635</v>
      </c>
      <c r="H23" s="9">
        <f t="shared" si="0"/>
        <v>1.3598466517399723</v>
      </c>
      <c r="I23" s="9">
        <f t="shared" si="1"/>
        <v>1.2953179460446627</v>
      </c>
      <c r="J23" s="9">
        <f t="shared" si="5"/>
        <v>0.84533643918870816</v>
      </c>
      <c r="K23" s="9">
        <f t="shared" si="6"/>
        <v>819.86670711816339</v>
      </c>
      <c r="L23" s="9">
        <f t="shared" si="2"/>
        <v>0.65837479270315091</v>
      </c>
      <c r="M23" s="9">
        <f t="shared" si="7"/>
        <v>1.4277666717491069</v>
      </c>
      <c r="P23" s="9">
        <v>0.99</v>
      </c>
      <c r="Q23" s="9">
        <v>0.01</v>
      </c>
      <c r="R23" s="9">
        <f t="shared" si="9"/>
        <v>1.751482996771091E-5</v>
      </c>
      <c r="S23" s="9">
        <f t="shared" si="10"/>
        <v>0.56172198608284973</v>
      </c>
      <c r="T23" s="9">
        <f t="shared" si="11"/>
        <v>1.0000175149833532</v>
      </c>
      <c r="U23" s="9">
        <f t="shared" si="12"/>
        <v>1.7536897310463524</v>
      </c>
      <c r="V23" s="9">
        <f t="shared" si="13"/>
        <v>1.4937854049264123</v>
      </c>
      <c r="W23" s="9">
        <f t="shared" si="14"/>
        <v>0.99222649191071643</v>
      </c>
    </row>
    <row r="24" spans="1:23">
      <c r="A24" s="8">
        <v>354.53</v>
      </c>
      <c r="B24" s="8">
        <v>0.41</v>
      </c>
      <c r="C24" s="8">
        <v>0.61699999999999999</v>
      </c>
      <c r="D24" s="9">
        <f t="shared" si="15"/>
        <v>5.8058971977176022E-2</v>
      </c>
      <c r="E24" s="9">
        <f t="shared" si="3"/>
        <v>1.1430335344848994</v>
      </c>
      <c r="F24" s="9">
        <f t="shared" si="16"/>
        <v>-0.30034452225258068</v>
      </c>
      <c r="G24" s="9">
        <f t="shared" si="4"/>
        <v>0.50078980356291747</v>
      </c>
      <c r="H24" s="9">
        <f t="shared" si="0"/>
        <v>1.3336762631712265</v>
      </c>
      <c r="I24" s="9">
        <f t="shared" si="1"/>
        <v>1.3131047456072102</v>
      </c>
      <c r="J24" s="9">
        <f t="shared" si="5"/>
        <v>0.82717390623563658</v>
      </c>
      <c r="K24" s="9">
        <f t="shared" si="6"/>
        <v>821.68538550871074</v>
      </c>
      <c r="L24" s="9">
        <f t="shared" si="2"/>
        <v>0.69491525423728795</v>
      </c>
      <c r="M24" s="9">
        <f t="shared" si="7"/>
        <v>1.4707582896242084</v>
      </c>
    </row>
    <row r="25" spans="1:23">
      <c r="A25" s="8">
        <v>354.51</v>
      </c>
      <c r="B25" s="8">
        <v>0.41199999999999998</v>
      </c>
      <c r="C25" s="8">
        <v>0.61799999999999999</v>
      </c>
      <c r="D25" s="9">
        <f t="shared" si="15"/>
        <v>5.7722136741039876E-2</v>
      </c>
      <c r="E25" s="9">
        <f t="shared" si="3"/>
        <v>1.1421473507586681</v>
      </c>
      <c r="F25" s="9">
        <f t="shared" si="16"/>
        <v>-0.30069312009530957</v>
      </c>
      <c r="G25" s="9">
        <f t="shared" si="4"/>
        <v>0.50038799279188328</v>
      </c>
      <c r="H25" s="9">
        <f t="shared" si="0"/>
        <v>1.3303845987916356</v>
      </c>
      <c r="I25" s="9">
        <f t="shared" si="1"/>
        <v>1.3151861999790515</v>
      </c>
      <c r="J25" s="9">
        <f t="shared" si="5"/>
        <v>0.82566312779188444</v>
      </c>
      <c r="K25" s="9">
        <f t="shared" si="6"/>
        <v>821.47484495177423</v>
      </c>
      <c r="L25" s="9">
        <f t="shared" si="2"/>
        <v>0.70068027210884343</v>
      </c>
      <c r="M25" s="9">
        <f t="shared" si="7"/>
        <v>1.478228112695634</v>
      </c>
    </row>
    <row r="26" spans="1:23">
      <c r="A26" s="8">
        <v>353.91</v>
      </c>
      <c r="B26" s="8">
        <v>0.48099999999999998</v>
      </c>
      <c r="C26" s="8">
        <v>0.64800000000000002</v>
      </c>
      <c r="D26" s="9">
        <f t="shared" si="15"/>
        <v>4.759670430523677E-2</v>
      </c>
      <c r="E26" s="9">
        <f t="shared" si="3"/>
        <v>1.1158265846752433</v>
      </c>
      <c r="F26" s="9">
        <f>$AR$4-($AS$4/(A26+$AT$4))</f>
        <v>-0.31117208739879576</v>
      </c>
      <c r="G26" s="9">
        <f t="shared" si="4"/>
        <v>0.48845877121588427</v>
      </c>
      <c r="H26" s="9">
        <f t="shared" si="0"/>
        <v>1.2230418318103984</v>
      </c>
      <c r="I26" s="9">
        <f t="shared" si="1"/>
        <v>1.4065509854626164</v>
      </c>
      <c r="J26" s="9">
        <f t="shared" si="5"/>
        <v>0.74747665913188988</v>
      </c>
      <c r="K26" s="9">
        <f t="shared" si="6"/>
        <v>805.91671307028332</v>
      </c>
      <c r="L26" s="9">
        <f t="shared" si="2"/>
        <v>0.92678227360308274</v>
      </c>
      <c r="M26" s="9">
        <f t="shared" si="7"/>
        <v>1.7561344739311455</v>
      </c>
    </row>
    <row r="27" spans="1:23">
      <c r="A27" s="8">
        <v>353.55</v>
      </c>
      <c r="B27" s="8">
        <v>0.52700000000000002</v>
      </c>
      <c r="C27" s="8">
        <v>0.66900000000000004</v>
      </c>
      <c r="D27" s="9">
        <f t="shared" si="15"/>
        <v>4.1502455083581857E-2</v>
      </c>
      <c r="E27" s="9">
        <f t="shared" si="3"/>
        <v>1.1002780651928112</v>
      </c>
      <c r="F27" s="9">
        <f t="shared" si="16"/>
        <v>-0.31747906939284487</v>
      </c>
      <c r="G27" s="9">
        <f t="shared" si="4"/>
        <v>0.48141645506833858</v>
      </c>
      <c r="H27" s="9">
        <f t="shared" si="0"/>
        <v>1.1687486810789813</v>
      </c>
      <c r="I27" s="9">
        <f t="shared" si="1"/>
        <v>1.4724956101982418</v>
      </c>
      <c r="J27" s="9">
        <f t="shared" si="5"/>
        <v>0.69697568545673949</v>
      </c>
      <c r="K27" s="9">
        <f t="shared" si="6"/>
        <v>779.55773324966719</v>
      </c>
      <c r="L27" s="9">
        <f t="shared" si="2"/>
        <v>1.1141649048625795</v>
      </c>
      <c r="M27" s="9">
        <f t="shared" si="7"/>
        <v>1.9871158745902435</v>
      </c>
    </row>
    <row r="28" spans="1:23">
      <c r="A28" s="8">
        <v>352.92</v>
      </c>
      <c r="B28" s="8">
        <v>0.61699999999999999</v>
      </c>
      <c r="C28" s="8">
        <v>0.71499999999999997</v>
      </c>
      <c r="D28" s="9">
        <f t="shared" si="15"/>
        <v>3.0803070578409475E-2</v>
      </c>
      <c r="E28" s="9">
        <f t="shared" si="3"/>
        <v>1.0735025257290376</v>
      </c>
      <c r="F28" s="9">
        <f t="shared" si="16"/>
        <v>-0.32855184570026452</v>
      </c>
      <c r="G28" s="9">
        <f t="shared" si="4"/>
        <v>0.4692974066537961</v>
      </c>
      <c r="H28" s="9">
        <f t="shared" si="0"/>
        <v>1.0935178925012479</v>
      </c>
      <c r="I28" s="9">
        <f t="shared" si="1"/>
        <v>1.6062236570004604</v>
      </c>
      <c r="J28" s="9">
        <f t="shared" si="5"/>
        <v>0.60945213069232085</v>
      </c>
      <c r="K28" s="9">
        <f t="shared" si="6"/>
        <v>694.39655169446939</v>
      </c>
      <c r="L28" s="9">
        <f t="shared" si="2"/>
        <v>1.6109660574412532</v>
      </c>
      <c r="M28" s="9">
        <f t="shared" si="7"/>
        <v>2.6071372770246133</v>
      </c>
      <c r="P28" s="9" t="s">
        <v>4</v>
      </c>
      <c r="Q28" s="9" t="s">
        <v>10</v>
      </c>
    </row>
    <row r="29" spans="1:23">
      <c r="A29" s="8">
        <v>352.51</v>
      </c>
      <c r="B29" s="8">
        <v>0.68799999999999994</v>
      </c>
      <c r="C29" s="8">
        <v>0.754</v>
      </c>
      <c r="D29" s="9">
        <f t="shared" si="15"/>
        <v>2.381632031520553E-2</v>
      </c>
      <c r="E29" s="9">
        <f t="shared" si="3"/>
        <v>1.0563706353265974</v>
      </c>
      <c r="F29" s="9">
        <f t="shared" si="16"/>
        <v>-0.33578235864549999</v>
      </c>
      <c r="G29" s="9">
        <f t="shared" si="4"/>
        <v>0.46154881614352311</v>
      </c>
      <c r="H29" s="9">
        <f t="shared" si="0"/>
        <v>1.0509321391154787</v>
      </c>
      <c r="I29" s="9">
        <f t="shared" si="1"/>
        <v>1.7304974275789176</v>
      </c>
      <c r="J29" s="9">
        <f t="shared" si="5"/>
        <v>0.51032957233773002</v>
      </c>
      <c r="K29" s="9">
        <f t="shared" si="6"/>
        <v>601.63309862508879</v>
      </c>
      <c r="L29" s="9">
        <f t="shared" si="2"/>
        <v>2.2051282051282044</v>
      </c>
      <c r="M29" s="9">
        <f t="shared" si="7"/>
        <v>3.3514919390705127</v>
      </c>
      <c r="P29" s="9" t="s">
        <v>13</v>
      </c>
      <c r="Q29" s="9" t="s">
        <v>15</v>
      </c>
    </row>
    <row r="30" spans="1:23">
      <c r="A30" s="8">
        <v>352.34</v>
      </c>
      <c r="B30" s="8">
        <v>0.72199999999999998</v>
      </c>
      <c r="C30" s="8">
        <v>0.77500000000000002</v>
      </c>
      <c r="D30" s="9">
        <f t="shared" si="15"/>
        <v>2.0913882634448377E-2</v>
      </c>
      <c r="E30" s="9">
        <f t="shared" si="3"/>
        <v>1.0493343328276508</v>
      </c>
      <c r="F30" s="9">
        <f t="shared" si="16"/>
        <v>-0.33878604542283153</v>
      </c>
      <c r="G30" s="9">
        <f t="shared" si="4"/>
        <v>0.45836764528803076</v>
      </c>
      <c r="H30" s="9">
        <f t="shared" si="0"/>
        <v>1.0362360776035324</v>
      </c>
      <c r="I30" s="9">
        <f t="shared" si="1"/>
        <v>1.7886767172598936</v>
      </c>
      <c r="J30" s="9">
        <f t="shared" si="5"/>
        <v>0.46057388350251094</v>
      </c>
      <c r="K30" s="9">
        <f t="shared" si="6"/>
        <v>548.81442425766124</v>
      </c>
      <c r="L30" s="9">
        <f t="shared" si="2"/>
        <v>2.5971223021582732</v>
      </c>
      <c r="M30" s="9">
        <f t="shared" si="7"/>
        <v>3.8537510007700484</v>
      </c>
      <c r="P30" s="9">
        <f>E6</f>
        <v>1.4971186789988991</v>
      </c>
      <c r="Q30" s="9">
        <f>G6</f>
        <v>0.66214409101436733</v>
      </c>
    </row>
    <row r="31" spans="1:23">
      <c r="A31" s="8">
        <v>352.19</v>
      </c>
      <c r="B31" s="8">
        <v>0.75700000000000001</v>
      </c>
      <c r="C31" s="8">
        <v>0.79700000000000004</v>
      </c>
      <c r="D31" s="9">
        <f t="shared" si="15"/>
        <v>1.8350228017503412E-2</v>
      </c>
      <c r="E31" s="9">
        <f t="shared" si="3"/>
        <v>1.0431583242579694</v>
      </c>
      <c r="F31" s="9">
        <f t="shared" si="16"/>
        <v>-0.34143912371806628</v>
      </c>
      <c r="G31" s="9">
        <f t="shared" si="4"/>
        <v>0.45557604106835464</v>
      </c>
      <c r="H31" s="9">
        <f t="shared" si="0"/>
        <v>1.0223987272848447</v>
      </c>
      <c r="I31" s="9">
        <f t="shared" si="1"/>
        <v>1.8575348664797602</v>
      </c>
      <c r="J31" s="9">
        <f t="shared" si="5"/>
        <v>0.37513861046616065</v>
      </c>
      <c r="K31" s="9">
        <f t="shared" si="6"/>
        <v>489.71589221602562</v>
      </c>
      <c r="L31" s="9">
        <f t="shared" si="2"/>
        <v>3.1152263374485596</v>
      </c>
      <c r="M31" s="9">
        <f t="shared" si="7"/>
        <v>4.5262519224967557</v>
      </c>
    </row>
    <row r="32" spans="1:23">
      <c r="A32" s="8">
        <v>351.92</v>
      </c>
      <c r="B32" s="8">
        <v>0.85099999999999998</v>
      </c>
      <c r="C32" s="8">
        <v>0.86199999999999999</v>
      </c>
      <c r="D32" s="9">
        <f t="shared" si="15"/>
        <v>1.3729305522822699E-2</v>
      </c>
      <c r="E32" s="9">
        <f t="shared" si="3"/>
        <v>1.0321178891771756</v>
      </c>
      <c r="F32" s="9">
        <f t="shared" si="16"/>
        <v>-0.34622121293642127</v>
      </c>
      <c r="G32" s="9">
        <f t="shared" si="4"/>
        <v>0.45058713429121827</v>
      </c>
      <c r="H32" s="9">
        <f t="shared" si="0"/>
        <v>0.99416046057803076</v>
      </c>
      <c r="I32" s="9">
        <f t="shared" si="1"/>
        <v>2.0821984422687549</v>
      </c>
      <c r="J32" s="9">
        <f t="shared" si="5"/>
        <v>-0.2638014594341786</v>
      </c>
      <c r="K32" s="9">
        <f t="shared" si="6"/>
        <v>305.15638927803013</v>
      </c>
      <c r="L32" s="9">
        <f t="shared" si="2"/>
        <v>5.7114093959731536</v>
      </c>
      <c r="M32" s="9">
        <f t="shared" si="7"/>
        <v>8.1594533110411991</v>
      </c>
    </row>
    <row r="33" spans="1:13">
      <c r="A33" s="8">
        <v>351.87</v>
      </c>
      <c r="B33" s="8">
        <v>0.89800000000000002</v>
      </c>
      <c r="C33" s="8">
        <v>0.89900000000000002</v>
      </c>
      <c r="D33" s="9">
        <f t="shared" si="15"/>
        <v>1.2872682634573529E-2</v>
      </c>
      <c r="E33" s="9">
        <f t="shared" si="3"/>
        <v>1.0300840976796846</v>
      </c>
      <c r="F33" s="9">
        <f t="shared" si="16"/>
        <v>-0.34710771035239407</v>
      </c>
      <c r="G33" s="9">
        <f t="shared" si="4"/>
        <v>0.44966831781052208</v>
      </c>
      <c r="H33" s="9">
        <f t="shared" si="0"/>
        <v>0.98450688746200576</v>
      </c>
      <c r="I33" s="9">
        <f t="shared" si="1"/>
        <v>2.2306785886393627</v>
      </c>
      <c r="J33" s="9">
        <f t="shared" si="5"/>
        <v>-1.5008059428101268</v>
      </c>
      <c r="K33" s="9">
        <f t="shared" si="6"/>
        <v>198.38474746636606</v>
      </c>
      <c r="L33" s="9">
        <f t="shared" si="2"/>
        <v>8.8039215686274535</v>
      </c>
      <c r="M33" s="9">
        <f t="shared" si="7"/>
        <v>13.242205367050143</v>
      </c>
    </row>
    <row r="34" spans="1:13">
      <c r="A34" s="8">
        <v>351.87</v>
      </c>
      <c r="B34" s="8">
        <v>0.90800000000000003</v>
      </c>
      <c r="C34" s="8">
        <v>0.90800000000000003</v>
      </c>
      <c r="D34" s="9">
        <f t="shared" si="15"/>
        <v>1.2872682634573529E-2</v>
      </c>
      <c r="E34" s="9">
        <f t="shared" si="3"/>
        <v>1.0300840976796846</v>
      </c>
      <c r="F34" s="9">
        <f t="shared" si="16"/>
        <v>-0.34710771035239407</v>
      </c>
      <c r="G34" s="9">
        <f t="shared" si="4"/>
        <v>0.44966831781052208</v>
      </c>
      <c r="H34" s="9">
        <f t="shared" si="0"/>
        <v>0.9834117741277878</v>
      </c>
      <c r="I34" s="9">
        <f t="shared" si="1"/>
        <v>2.2527645152595546</v>
      </c>
      <c r="J34" s="9">
        <f t="shared" si="5"/>
        <v>-1.9762938561456964</v>
      </c>
      <c r="K34" s="9">
        <f t="shared" si="6"/>
        <v>174.15220288154339</v>
      </c>
      <c r="L34" s="9">
        <f t="shared" si="2"/>
        <v>9.8695652173913082</v>
      </c>
      <c r="M34" s="9">
        <f t="shared" si="7"/>
        <v>15.25278460730579</v>
      </c>
    </row>
    <row r="35" spans="1:13">
      <c r="A35" s="8">
        <v>351.88</v>
      </c>
      <c r="B35" s="8">
        <v>0.93100000000000005</v>
      </c>
      <c r="C35" s="8">
        <v>0.92800000000000005</v>
      </c>
      <c r="D35" s="9">
        <f t="shared" si="15"/>
        <v>1.3044029647478084E-2</v>
      </c>
      <c r="E35" s="9">
        <f t="shared" si="3"/>
        <v>1.0304905883530073</v>
      </c>
      <c r="F35" s="9">
        <f t="shared" si="16"/>
        <v>-0.34693038771232132</v>
      </c>
      <c r="G35" s="9">
        <f t="shared" si="4"/>
        <v>0.44985195508202669</v>
      </c>
      <c r="H35" s="9">
        <f t="shared" si="0"/>
        <v>0.9798562156885352</v>
      </c>
      <c r="I35" s="9">
        <f t="shared" si="1"/>
        <v>2.3497511981292614</v>
      </c>
      <c r="J35" s="9">
        <f t="shared" si="5"/>
        <v>-4.2741938178800281</v>
      </c>
      <c r="K35" s="9">
        <f t="shared" si="6"/>
        <v>117.02714103496075</v>
      </c>
      <c r="L35" s="9">
        <f t="shared" si="2"/>
        <v>13.492753623188417</v>
      </c>
      <c r="M35" s="9">
        <f t="shared" si="7"/>
        <v>23.273820960099588</v>
      </c>
    </row>
    <row r="36" spans="1:13">
      <c r="A36" s="8">
        <v>351.9</v>
      </c>
      <c r="B36" s="8">
        <v>0.94399999999999995</v>
      </c>
      <c r="C36" s="8">
        <v>0.94099999999999995</v>
      </c>
      <c r="D36" s="9">
        <f t="shared" si="15"/>
        <v>1.3386690018200476E-2</v>
      </c>
      <c r="E36" s="9">
        <f t="shared" si="3"/>
        <v>1.0313039710701191</v>
      </c>
      <c r="F36" s="9">
        <f t="shared" si="16"/>
        <v>-0.34657577716976107</v>
      </c>
      <c r="G36" s="9">
        <f t="shared" si="4"/>
        <v>0.45021941862777842</v>
      </c>
      <c r="H36" s="9">
        <f t="shared" si="0"/>
        <v>0.97912699721824326</v>
      </c>
      <c r="I36" s="9">
        <f t="shared" si="1"/>
        <v>2.3705430578146518</v>
      </c>
      <c r="J36" s="9">
        <f t="shared" si="5"/>
        <v>-6.7263786663795928</v>
      </c>
      <c r="K36" s="9">
        <f t="shared" si="6"/>
        <v>83.154160416132513</v>
      </c>
      <c r="L36" s="9">
        <f t="shared" si="2"/>
        <v>16.85714285714284</v>
      </c>
      <c r="M36" s="9">
        <f t="shared" si="7"/>
        <v>33.213703037571392</v>
      </c>
    </row>
    <row r="37" spans="1:13">
      <c r="A37" s="8">
        <v>351.9</v>
      </c>
      <c r="B37" s="8">
        <v>0.94399999999999995</v>
      </c>
      <c r="C37" s="8">
        <v>0.94099999999999995</v>
      </c>
      <c r="D37" s="9">
        <f t="shared" si="15"/>
        <v>1.3386690018200476E-2</v>
      </c>
      <c r="E37" s="9">
        <f t="shared" si="3"/>
        <v>1.0313039710701191</v>
      </c>
      <c r="F37" s="9">
        <f t="shared" si="16"/>
        <v>-0.34657577716976107</v>
      </c>
      <c r="G37" s="9">
        <f t="shared" si="4"/>
        <v>0.45021941862777842</v>
      </c>
      <c r="H37" s="9">
        <f t="shared" si="0"/>
        <v>0.97912699721824326</v>
      </c>
      <c r="I37" s="9">
        <f t="shared" si="1"/>
        <v>2.3705430578146518</v>
      </c>
      <c r="J37" s="9">
        <f t="shared" si="5"/>
        <v>-6.7263786663795928</v>
      </c>
      <c r="K37" s="9">
        <f t="shared" si="6"/>
        <v>83.154160416132513</v>
      </c>
      <c r="L37" s="9">
        <f t="shared" si="2"/>
        <v>16.85714285714284</v>
      </c>
      <c r="M37" s="9">
        <f t="shared" si="7"/>
        <v>33.213703037571392</v>
      </c>
    </row>
    <row r="38" spans="1:13">
      <c r="A38" s="1"/>
      <c r="B38" s="1"/>
      <c r="C38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Ozge Batir</dc:creator>
  <cp:lastModifiedBy>Nazmi Eren Varilci</cp:lastModifiedBy>
  <dcterms:created xsi:type="dcterms:W3CDTF">2022-11-29T17:34:12Z</dcterms:created>
  <dcterms:modified xsi:type="dcterms:W3CDTF">2022-12-10T11:01:44Z</dcterms:modified>
</cp:coreProperties>
</file>