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8" activeTab="23"/>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s>
  <functionGroups builtInGroupCount="18"/>
  <definedNames>
    <definedName name="_xlnm._FilterDatabase" localSheetId="9" hidden="1">'Add IES Files'!$A$19:$C$19</definedName>
    <definedName name="_xlnm._FilterDatabase" localSheetId="10" hidden="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F27" i="33" l="1"/>
  <c r="H527" i="33"/>
  <c r="C16" i="58"/>
  <c r="A10" i="59"/>
  <c r="A13" i="59"/>
  <c r="L3" i="10"/>
  <c r="M3" i="10"/>
  <c r="D7" i="39"/>
  <c r="D4" i="39"/>
  <c r="C50" i="59"/>
  <c r="D50" i="59" s="1"/>
  <c r="C51" i="59"/>
  <c r="D51" i="59"/>
  <c r="C52" i="59"/>
  <c r="D52" i="59" s="1"/>
  <c r="C53" i="59"/>
  <c r="D53" i="59"/>
  <c r="C38" i="59"/>
  <c r="D38" i="59" s="1"/>
  <c r="C39" i="59"/>
  <c r="D39" i="59"/>
  <c r="C40" i="59"/>
  <c r="D40" i="59" s="1"/>
  <c r="C42" i="59"/>
  <c r="D42" i="59"/>
  <c r="C43" i="59"/>
  <c r="D43" i="59" s="1"/>
  <c r="C45" i="59"/>
  <c r="D45" i="59"/>
  <c r="C46" i="59"/>
  <c r="D46" i="59" s="1"/>
  <c r="C47" i="59"/>
  <c r="D47" i="59"/>
  <c r="C35" i="59"/>
  <c r="D35" i="59" s="1"/>
  <c r="C36" i="59"/>
  <c r="D36" i="59"/>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s="1"/>
  <c r="P36" i="48"/>
  <c r="R36" i="48" s="1"/>
  <c r="P37" i="48"/>
  <c r="R37" i="48" s="1"/>
  <c r="P38" i="48"/>
  <c r="R38" i="48" s="1"/>
  <c r="P39" i="48"/>
  <c r="R39" i="48" s="1"/>
  <c r="P40" i="48"/>
  <c r="R40" i="48" s="1"/>
  <c r="P41" i="48"/>
  <c r="R41" i="48" s="1"/>
  <c r="P42" i="48"/>
  <c r="R42" i="48" s="1"/>
  <c r="P43" i="48"/>
  <c r="R43" i="48" s="1"/>
  <c r="P44" i="48"/>
  <c r="R44" i="48" s="1"/>
  <c r="P45" i="48"/>
  <c r="R45" i="48" s="1"/>
  <c r="P46" i="48"/>
  <c r="R46" i="48" s="1"/>
  <c r="P47" i="48"/>
  <c r="R47" i="48" s="1"/>
  <c r="P48" i="48"/>
  <c r="R48" i="48" s="1"/>
  <c r="P49" i="48"/>
  <c r="R49" i="48" s="1"/>
  <c r="P50" i="48"/>
  <c r="R50" i="48" s="1"/>
  <c r="P51" i="48"/>
  <c r="P52" i="48"/>
  <c r="R52" i="48" s="1"/>
  <c r="P53" i="48"/>
  <c r="R53" i="48" s="1"/>
  <c r="P54" i="48"/>
  <c r="R54" i="48" s="1"/>
  <c r="P55" i="48"/>
  <c r="R55" i="48" s="1"/>
  <c r="P56" i="48"/>
  <c r="R56" i="48" s="1"/>
  <c r="P57" i="48"/>
  <c r="R57" i="48" s="1"/>
  <c r="P58" i="48"/>
  <c r="R58" i="48" s="1"/>
  <c r="P59" i="48"/>
  <c r="R59" i="48" s="1"/>
  <c r="P60" i="48"/>
  <c r="P61" i="48"/>
  <c r="R61" i="48" s="1"/>
  <c r="P62" i="48"/>
  <c r="R62" i="48" s="1"/>
  <c r="P63" i="48"/>
  <c r="R63" i="48" s="1"/>
  <c r="P64" i="48"/>
  <c r="R64" i="48" s="1"/>
  <c r="P65" i="48"/>
  <c r="R65" i="48" s="1"/>
  <c r="P66" i="48"/>
  <c r="R66" i="48" s="1"/>
  <c r="P67" i="48"/>
  <c r="R67" i="48" s="1"/>
  <c r="P68" i="48"/>
  <c r="R68" i="48" s="1"/>
  <c r="P69" i="48"/>
  <c r="R69" i="48" s="1"/>
  <c r="P70" i="48"/>
  <c r="R70" i="48" s="1"/>
  <c r="P71" i="48"/>
  <c r="R71" i="48" s="1"/>
  <c r="P72" i="48"/>
  <c r="R72" i="48" s="1"/>
  <c r="P73" i="48"/>
  <c r="R73" i="48" s="1"/>
  <c r="P74" i="48"/>
  <c r="R74" i="48" s="1"/>
  <c r="P75" i="48"/>
  <c r="R75" i="48" s="1"/>
  <c r="P76" i="48"/>
  <c r="R76" i="48" s="1"/>
  <c r="P77" i="48"/>
  <c r="R77" i="48" s="1"/>
  <c r="P78" i="48"/>
  <c r="R78" i="48" s="1"/>
  <c r="P79" i="48"/>
  <c r="R79" i="48" s="1"/>
  <c r="P80" i="48"/>
  <c r="R80" i="48" s="1"/>
  <c r="P81" i="48"/>
  <c r="R81" i="48" s="1"/>
  <c r="P82" i="48"/>
  <c r="R82" i="48" s="1"/>
  <c r="P83" i="48"/>
  <c r="R83" i="48" s="1"/>
  <c r="P84" i="48"/>
  <c r="R84" i="48" s="1"/>
  <c r="P85" i="48"/>
  <c r="R85" i="48" s="1"/>
  <c r="P86" i="48"/>
  <c r="R86" i="48" s="1"/>
  <c r="P87" i="48"/>
  <c r="R87" i="48" s="1"/>
  <c r="P88" i="48"/>
  <c r="R88" i="48"/>
  <c r="P89" i="48"/>
  <c r="R89" i="48"/>
  <c r="P90" i="48"/>
  <c r="R90" i="48" s="1"/>
  <c r="P91" i="48"/>
  <c r="R91" i="48" s="1"/>
  <c r="P92" i="48"/>
  <c r="R92" i="48" s="1"/>
  <c r="P93" i="48"/>
  <c r="R93" i="48" s="1"/>
  <c r="P94" i="48"/>
  <c r="R94" i="48" s="1"/>
  <c r="P95" i="48"/>
  <c r="R95" i="48" s="1"/>
  <c r="P96" i="48"/>
  <c r="R96" i="48" s="1"/>
  <c r="P97" i="48"/>
  <c r="R97" i="48" s="1"/>
  <c r="P98" i="48"/>
  <c r="R98" i="48" s="1"/>
  <c r="P99" i="48"/>
  <c r="R99" i="48" s="1"/>
  <c r="P100" i="48"/>
  <c r="R100" i="48" s="1"/>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s="1"/>
  <c r="C4" i="36"/>
  <c r="H34" i="36"/>
  <c r="C3" i="35"/>
  <c r="C4" i="35"/>
  <c r="C5" i="35"/>
  <c r="B46" i="35"/>
  <c r="B47" i="35"/>
  <c r="D4" i="43"/>
  <c r="D7" i="43"/>
  <c r="D8" i="43"/>
  <c r="C4" i="39"/>
  <c r="H3" i="10" s="1"/>
  <c r="C5" i="39"/>
  <c r="I3" i="10" s="1"/>
  <c r="C6" i="39"/>
  <c r="J3" i="10" s="1"/>
  <c r="G5" i="2"/>
  <c r="B9" i="35" s="1"/>
  <c r="H5" i="2"/>
  <c r="B10" i="35" s="1"/>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s="1"/>
  <c r="F52" i="26"/>
  <c r="C54" i="26"/>
  <c r="C55" i="26"/>
  <c r="C56" i="26"/>
  <c r="C58" i="26"/>
  <c r="C59" i="26"/>
  <c r="C60" i="26"/>
  <c r="AF65" i="26"/>
  <c r="AG65" i="26"/>
  <c r="C5" i="43"/>
  <c r="B4" i="2" a="1"/>
  <c r="B4" i="2" s="1"/>
  <c r="D40" i="17" s="1"/>
  <c r="C6" i="43"/>
  <c r="C8" i="43" s="1"/>
  <c r="U3" i="10" s="1"/>
  <c r="C4" i="43"/>
  <c r="Q3" i="10" s="1"/>
  <c r="U14" i="36"/>
  <c r="C7" i="36"/>
  <c r="M9" i="36"/>
  <c r="B16" i="33"/>
  <c r="D15" i="26" s="1"/>
  <c r="C7" i="39"/>
  <c r="K3" i="10" s="1"/>
  <c r="P3" i="10" s="1"/>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s="1"/>
  <c r="B522" i="33"/>
  <c r="B373" i="33"/>
  <c r="Z2" i="10"/>
  <c r="B442" i="33"/>
  <c r="G3" i="47" s="1"/>
  <c r="B341" i="33"/>
  <c r="A244" i="28" s="1"/>
  <c r="B322" i="33"/>
  <c r="A1" i="29" s="1"/>
  <c r="B435" i="33"/>
  <c r="L3" i="46"/>
  <c r="B109" i="33"/>
  <c r="B58" i="26" s="1"/>
  <c r="B362" i="33"/>
  <c r="A439" i="28" s="1"/>
  <c r="B401" i="33"/>
  <c r="B33" i="33"/>
  <c r="D43" i="21" s="1"/>
  <c r="B284" i="33"/>
  <c r="B3" i="26" s="1"/>
  <c r="B370" i="33"/>
  <c r="B220" i="33"/>
  <c r="C220" i="6"/>
  <c r="B128" i="33"/>
  <c r="B51" i="8" s="1"/>
  <c r="B18" i="35" s="1"/>
  <c r="B60" i="33"/>
  <c r="H44" i="21" s="1"/>
  <c r="B232" i="33"/>
  <c r="B36" i="17" s="1"/>
  <c r="B503" i="33"/>
  <c r="AC31" i="53" s="1"/>
  <c r="B351" i="33"/>
  <c r="B494" i="33"/>
  <c r="AC21" i="53" s="1"/>
  <c r="B287" i="33"/>
  <c r="C75" i="6" s="1"/>
  <c r="B184" i="33"/>
  <c r="B536" i="33"/>
  <c r="B10" i="59" s="1"/>
  <c r="B499" i="33"/>
  <c r="AC27" i="53" s="1"/>
  <c r="B526" i="33"/>
  <c r="B160" i="33"/>
  <c r="B40" i="33"/>
  <c r="F26" i="21" s="1"/>
  <c r="B52" i="33"/>
  <c r="C69" i="21" s="1"/>
  <c r="B466" i="33"/>
  <c r="J3" i="54" s="1"/>
  <c r="B556" i="33"/>
  <c r="B38" i="33"/>
  <c r="C5" i="21" s="1"/>
  <c r="B297" i="33"/>
  <c r="AC65" i="26" s="1"/>
  <c r="B114" i="33"/>
  <c r="AI65" i="26" s="1"/>
  <c r="B26" i="26"/>
  <c r="B273" i="33"/>
  <c r="B6" i="43" s="1"/>
  <c r="B144" i="33"/>
  <c r="I19" i="6"/>
  <c r="B361" i="33"/>
  <c r="A419" i="28" s="1"/>
  <c r="B250" i="33"/>
  <c r="K65" i="26"/>
  <c r="B122" i="33"/>
  <c r="B441" i="33"/>
  <c r="F3" i="47"/>
  <c r="B225" i="33"/>
  <c r="C225" i="6" s="1"/>
  <c r="B256" i="33"/>
  <c r="I17" i="2"/>
  <c r="I5" i="2" s="1"/>
  <c r="B11" i="35" s="1"/>
  <c r="B131" i="33"/>
  <c r="A222" i="28" s="1"/>
  <c r="B79" i="33"/>
  <c r="D88" i="21" s="1"/>
  <c r="B207" i="33"/>
  <c r="H170" i="6" s="1"/>
  <c r="B444" i="33"/>
  <c r="F3" i="49" s="1"/>
  <c r="B364" i="33"/>
  <c r="A459" i="28" s="1"/>
  <c r="B163" i="33"/>
  <c r="G18" i="6"/>
  <c r="B44" i="59" s="1"/>
  <c r="B334" i="33"/>
  <c r="A160" i="28" s="1"/>
  <c r="B242" i="33"/>
  <c r="C8" i="8" s="1"/>
  <c r="B12" i="33"/>
  <c r="C3" i="21" s="1"/>
  <c r="B267" i="33"/>
  <c r="B7" i="43" s="1"/>
  <c r="B189" i="33"/>
  <c r="D24" i="8" s="1"/>
  <c r="D30" i="59" s="1"/>
  <c r="B291" i="33"/>
  <c r="H194" i="6"/>
  <c r="B315" i="33"/>
  <c r="B26" i="22" s="1"/>
  <c r="B345" i="33"/>
  <c r="A285" i="28"/>
  <c r="B428" i="33"/>
  <c r="E3" i="49" s="1"/>
  <c r="B447" i="33"/>
  <c r="I3" i="48" s="1"/>
  <c r="V13" i="36"/>
  <c r="B492" i="33"/>
  <c r="B437" i="33"/>
  <c r="N3" i="46" s="1"/>
  <c r="B171" i="33"/>
  <c r="E183" i="6" s="1"/>
  <c r="B429" i="33"/>
  <c r="F3" i="46" s="1"/>
  <c r="B90" i="33"/>
  <c r="A121" i="28" s="1"/>
  <c r="B575" i="33"/>
  <c r="B374" i="33"/>
  <c r="AA2" i="10"/>
  <c r="B154" i="33"/>
  <c r="H55" i="6" s="1"/>
  <c r="B272" i="33"/>
  <c r="B5" i="43" s="1"/>
  <c r="B533" i="33"/>
  <c r="B167" i="33"/>
  <c r="E180" i="6" s="1"/>
  <c r="B458" i="33"/>
  <c r="N3" i="49" s="1"/>
  <c r="B120" i="33"/>
  <c r="B51" i="26" s="1"/>
  <c r="B124" i="33"/>
  <c r="B204" i="33"/>
  <c r="B34" i="6" s="1"/>
  <c r="B63" i="33"/>
  <c r="D36" i="21" s="1"/>
  <c r="B41" i="33"/>
  <c r="D87" i="21"/>
  <c r="B527" i="33"/>
  <c r="B140" i="33"/>
  <c r="G12" i="6" s="1"/>
  <c r="B100" i="33"/>
  <c r="A31" i="28"/>
  <c r="B156" i="33"/>
  <c r="B37" i="6" s="1"/>
  <c r="B368" i="33"/>
  <c r="C5" i="6" s="1"/>
  <c r="B463" i="33"/>
  <c r="G3" i="54" s="1"/>
  <c r="B577" i="33"/>
  <c r="A492" i="28"/>
  <c r="B352" i="33"/>
  <c r="A332" i="28" s="1"/>
  <c r="B222" i="33"/>
  <c r="C222" i="6" s="1"/>
  <c r="B241" i="33"/>
  <c r="Z65" i="26" s="1"/>
  <c r="B161" i="33"/>
  <c r="B39" i="33"/>
  <c r="D102" i="21" s="1"/>
  <c r="B409" i="33"/>
  <c r="C1" i="55" s="1"/>
  <c r="B385" i="33"/>
  <c r="F14" i="36"/>
  <c r="E26" i="36"/>
  <c r="I20" i="36"/>
  <c r="I30" i="36"/>
  <c r="E27" i="36"/>
  <c r="B574" i="33"/>
  <c r="A14" i="59"/>
  <c r="R3" i="10"/>
  <c r="C3" i="33"/>
  <c r="E91" i="6"/>
  <c r="B265" i="33"/>
  <c r="C13" i="6"/>
  <c r="B36" i="59" s="1"/>
  <c r="B397" i="33"/>
  <c r="B248" i="33"/>
  <c r="G2" i="10" s="1"/>
  <c r="B547" i="33"/>
  <c r="B32" i="17" s="1"/>
  <c r="B55" i="59" s="1"/>
  <c r="B433" i="33"/>
  <c r="J3" i="46" s="1"/>
  <c r="B488" i="33"/>
  <c r="B327" i="33"/>
  <c r="A81" i="28" s="1"/>
  <c r="B15" i="33"/>
  <c r="D14" i="26"/>
  <c r="B158" i="33"/>
  <c r="C202" i="6" s="1"/>
  <c r="B146" i="33"/>
  <c r="D203" i="6" s="1"/>
  <c r="B309" i="33"/>
  <c r="B558" i="33"/>
  <c r="B6" i="17" s="1"/>
  <c r="B206" i="33"/>
  <c r="I170" i="6" s="1"/>
  <c r="B221" i="33"/>
  <c r="C221" i="6"/>
  <c r="B44" i="33"/>
  <c r="E25" i="21" s="1"/>
  <c r="B180" i="33"/>
  <c r="E79" i="6" s="1"/>
  <c r="B166" i="33"/>
  <c r="E181" i="6" s="1"/>
  <c r="B257" i="33"/>
  <c r="B312" i="33"/>
  <c r="B20" i="34" s="1"/>
  <c r="B22" i="33"/>
  <c r="B24" i="26" s="1"/>
  <c r="B303" i="33"/>
  <c r="B103" i="33"/>
  <c r="A31" i="9" s="1"/>
  <c r="B431" i="33"/>
  <c r="H3" i="46" s="1"/>
  <c r="B307" i="33"/>
  <c r="B514" i="33"/>
  <c r="A6" i="29" s="1"/>
  <c r="B497" i="33"/>
  <c r="AC25" i="53" s="1"/>
  <c r="B387" i="33"/>
  <c r="B294" i="33"/>
  <c r="V65" i="26" s="1"/>
  <c r="B355" i="33"/>
  <c r="A356" i="28" s="1"/>
  <c r="B91" i="33"/>
  <c r="A123" i="28"/>
  <c r="B275" i="33"/>
  <c r="B20" i="7" s="1"/>
  <c r="B330" i="33"/>
  <c r="A93" i="28" s="1"/>
  <c r="B386" i="33"/>
  <c r="B348" i="33"/>
  <c r="B342" i="33"/>
  <c r="A245" i="28" s="1"/>
  <c r="B47" i="33"/>
  <c r="D97" i="21" s="1"/>
  <c r="B182" i="33"/>
  <c r="E187" i="6" s="1"/>
  <c r="B356" i="33"/>
  <c r="E26" i="17" s="1"/>
  <c r="B202" i="33"/>
  <c r="E172" i="6" s="1"/>
  <c r="B532" i="33"/>
  <c r="B544" i="33"/>
  <c r="B7" i="59" s="1"/>
  <c r="B338" i="33"/>
  <c r="A200" i="28" s="1"/>
  <c r="B125" i="33"/>
  <c r="B476" i="33"/>
  <c r="M3" i="57" s="1"/>
  <c r="B264" i="33"/>
  <c r="B18" i="8" s="1"/>
  <c r="B141" i="33"/>
  <c r="B14" i="33"/>
  <c r="C13" i="26" s="1"/>
  <c r="B302" i="33"/>
  <c r="B173" i="33"/>
  <c r="B482" i="33"/>
  <c r="B150" i="33"/>
  <c r="B477" i="33"/>
  <c r="O3" i="51" s="1"/>
  <c r="B164" i="33"/>
  <c r="I12" i="6" s="1"/>
  <c r="B308" i="33"/>
  <c r="B18" i="33"/>
  <c r="F15" i="26" s="1"/>
  <c r="B569" i="33"/>
  <c r="B432" i="33"/>
  <c r="B424" i="33"/>
  <c r="B234" i="33"/>
  <c r="E36" i="17" s="1"/>
  <c r="B293" i="33"/>
  <c r="B98" i="33"/>
  <c r="A104" i="28" s="1"/>
  <c r="B390" i="33"/>
  <c r="B142" i="33"/>
  <c r="B216" i="33"/>
  <c r="C216" i="6" s="1"/>
  <c r="B426" i="33"/>
  <c r="B344" i="33"/>
  <c r="A266" i="28" s="1"/>
  <c r="B203" i="33"/>
  <c r="E179" i="6" s="1"/>
  <c r="B430" i="33"/>
  <c r="G3" i="46" s="1"/>
  <c r="B186" i="33"/>
  <c r="B306" i="33"/>
  <c r="B425" i="33"/>
  <c r="B209" i="33"/>
  <c r="E184" i="6" s="1"/>
  <c r="B305" i="33"/>
  <c r="B543" i="33"/>
  <c r="B14" i="59" s="1"/>
  <c r="B87" i="33"/>
  <c r="B440" i="33"/>
  <c r="B1" i="47"/>
  <c r="B317" i="33"/>
  <c r="B16" i="29" s="1"/>
  <c r="B218" i="33"/>
  <c r="C218" i="6"/>
  <c r="B550" i="33"/>
  <c r="B227" i="33"/>
  <c r="C1" i="17" s="1"/>
  <c r="B127" i="33"/>
  <c r="CC2" i="10"/>
  <c r="B68" i="33"/>
  <c r="D31" i="21" s="1"/>
  <c r="B247" i="33"/>
  <c r="J65" i="26" s="1"/>
  <c r="B244" i="33"/>
  <c r="I65" i="26" s="1"/>
  <c r="B200" i="33"/>
  <c r="B249" i="33"/>
  <c r="B562" i="33"/>
  <c r="B169" i="33"/>
  <c r="E193" i="6" s="1"/>
  <c r="B237" i="33"/>
  <c r="B269" i="33"/>
  <c r="B5" i="39" s="1"/>
  <c r="B408" i="33"/>
  <c r="B1" i="55"/>
  <c r="B329" i="33"/>
  <c r="A88" i="28" s="1"/>
  <c r="B320" i="33"/>
  <c r="B19" i="29" s="1"/>
  <c r="B324" i="33"/>
  <c r="E24" i="17" s="1"/>
  <c r="B64" i="59" s="1"/>
  <c r="B105" i="33"/>
  <c r="B56" i="26" s="1"/>
  <c r="B571" i="33"/>
  <c r="L17" i="29" s="1"/>
  <c r="B491" i="33"/>
  <c r="B378" i="33"/>
  <c r="AM2" i="10" s="1"/>
  <c r="BG2" i="10" s="1"/>
  <c r="B478" i="33"/>
  <c r="P3" i="51" s="1"/>
  <c r="B559" i="33"/>
  <c r="B5" i="8" s="1"/>
  <c r="B384" i="33"/>
  <c r="B276" i="33"/>
  <c r="B502" i="33"/>
  <c r="AC30" i="53" s="1"/>
  <c r="B205" i="33"/>
  <c r="C192" i="6" s="1"/>
  <c r="B50" i="33"/>
  <c r="D99" i="21" s="1"/>
  <c r="B405" i="33"/>
  <c r="B10" i="39" s="1"/>
  <c r="B65" i="33"/>
  <c r="D7" i="21" s="1"/>
  <c r="B489" i="33"/>
  <c r="B453" i="33"/>
  <c r="B194" i="33"/>
  <c r="C156" i="6" s="1"/>
  <c r="B136" i="33"/>
  <c r="B481" i="33"/>
  <c r="R3" i="57"/>
  <c r="B261" i="33"/>
  <c r="BV2" i="10" s="1"/>
  <c r="B36" i="33"/>
  <c r="C86" i="21" s="1"/>
  <c r="B228" i="33"/>
  <c r="B34" i="17" s="1"/>
  <c r="B46" i="33"/>
  <c r="D89" i="21" s="1"/>
  <c r="B468" i="33"/>
  <c r="F3" i="51" s="1"/>
  <c r="B459" i="33"/>
  <c r="B555" i="33"/>
  <c r="B454" i="33"/>
  <c r="G20" i="6" s="1"/>
  <c r="B46" i="59" s="1"/>
  <c r="B540" i="33"/>
  <c r="B12" i="59" s="1"/>
  <c r="B17" i="33"/>
  <c r="E15" i="26" s="1"/>
  <c r="C15" i="26" s="1"/>
  <c r="B115" i="33"/>
  <c r="B52" i="26" s="1"/>
  <c r="B92" i="33"/>
  <c r="A15" i="28" s="1"/>
  <c r="B281" i="33"/>
  <c r="B253" i="33"/>
  <c r="O65" i="26"/>
  <c r="B505" i="33"/>
  <c r="D15" i="29"/>
  <c r="B285" i="33"/>
  <c r="B8" i="22"/>
  <c r="B19" i="33"/>
  <c r="B20" i="26"/>
  <c r="B252" i="33"/>
  <c r="L2" i="10"/>
  <c r="B243" i="33"/>
  <c r="B198" i="33"/>
  <c r="C175" i="6" s="1"/>
  <c r="B465" i="33"/>
  <c r="I3" i="54"/>
  <c r="B21" i="33"/>
  <c r="E20" i="26" s="1"/>
  <c r="C20" i="26"/>
  <c r="B274" i="33"/>
  <c r="B8" i="43"/>
  <c r="B153" i="33"/>
  <c r="C11" i="6"/>
  <c r="B113" i="33"/>
  <c r="B50" i="26"/>
  <c r="B96" i="33"/>
  <c r="A53" i="28"/>
  <c r="B254" i="33"/>
  <c r="H65" i="26"/>
  <c r="B457" i="33"/>
  <c r="B326" i="33"/>
  <c r="A80" i="28" s="1"/>
  <c r="B259" i="33"/>
  <c r="B55" i="26" s="1"/>
  <c r="B126" i="33"/>
  <c r="B122" i="6" s="1"/>
  <c r="B59" i="33"/>
  <c r="C55" i="21" s="1"/>
  <c r="B365" i="33"/>
  <c r="A3" i="29" s="1"/>
  <c r="B67" i="33"/>
  <c r="C72" i="21" s="1"/>
  <c r="B208" i="33"/>
  <c r="G203" i="6"/>
  <c r="B548" i="33"/>
  <c r="B14" i="17" s="1"/>
  <c r="B58" i="33"/>
  <c r="C95" i="21" s="1"/>
  <c r="B86" i="33"/>
  <c r="B127" i="28" s="1"/>
  <c r="B415" i="33"/>
  <c r="B283" i="33"/>
  <c r="B507" i="33"/>
  <c r="B99" i="33"/>
  <c r="B53" i="33"/>
  <c r="D23" i="21"/>
  <c r="B568" i="33"/>
  <c r="B7" i="58" s="1"/>
  <c r="B414" i="33"/>
  <c r="B152" i="33"/>
  <c r="C39" i="6"/>
  <c r="B484" i="33"/>
  <c r="B464" i="33"/>
  <c r="H3" i="54" s="1"/>
  <c r="B240" i="33"/>
  <c r="B102" i="33"/>
  <c r="A30" i="28" s="1"/>
  <c r="B210" i="33"/>
  <c r="C96" i="6" s="1"/>
  <c r="B233" i="33"/>
  <c r="P36" i="17" s="1"/>
  <c r="I19" i="29" s="1"/>
  <c r="B119" i="33"/>
  <c r="C7" i="6"/>
  <c r="B32" i="59" s="1"/>
  <c r="B162" i="33"/>
  <c r="C18" i="6" s="1"/>
  <c r="B37" i="59" s="1"/>
  <c r="B214" i="33"/>
  <c r="C214" i="6" s="1"/>
  <c r="B94" i="33"/>
  <c r="A68" i="28" s="1"/>
  <c r="B427" i="33"/>
  <c r="B517" i="33"/>
  <c r="A9" i="29" s="1"/>
  <c r="B448" i="33"/>
  <c r="B534" i="33"/>
  <c r="B112" i="33"/>
  <c r="B423" i="33"/>
  <c r="B1" i="53" s="1"/>
  <c r="B174" i="33"/>
  <c r="E170" i="6" s="1"/>
  <c r="B421" i="33"/>
  <c r="AC9" i="53" s="1"/>
  <c r="B56" i="33"/>
  <c r="D32" i="21" s="1"/>
  <c r="B82" i="33"/>
  <c r="C96" i="21" s="1"/>
  <c r="B545" i="33"/>
  <c r="B8" i="59" s="1"/>
  <c r="B511" i="33"/>
  <c r="B2" i="57" s="1"/>
  <c r="B332" i="33"/>
  <c r="A158" i="28" s="1"/>
  <c r="B535" i="33"/>
  <c r="B83" i="33"/>
  <c r="B125" i="28" s="1"/>
  <c r="B148" i="33"/>
  <c r="C81" i="6"/>
  <c r="B191" i="33"/>
  <c r="C54" i="6" s="1"/>
  <c r="B170" i="33"/>
  <c r="E182" i="6"/>
  <c r="B516" i="33"/>
  <c r="A8" i="29" s="1"/>
  <c r="B31" i="33"/>
  <c r="E9" i="21" s="1"/>
  <c r="B289" i="33"/>
  <c r="A63" i="26" s="1"/>
  <c r="B176" i="33"/>
  <c r="B393" i="33"/>
  <c r="B135" i="33"/>
  <c r="B151" i="33"/>
  <c r="B369" i="33"/>
  <c r="B404" i="33"/>
  <c r="B2" i="43" s="1"/>
  <c r="B121" i="33"/>
  <c r="E8" i="8" s="1"/>
  <c r="B436" i="33"/>
  <c r="M3" i="46" s="1"/>
  <c r="B518" i="33"/>
  <c r="A10" i="29" s="1"/>
  <c r="B262" i="33"/>
  <c r="B15" i="8" s="1"/>
  <c r="B561" i="33"/>
  <c r="B557" i="33"/>
  <c r="A286" i="28" s="1"/>
  <c r="B129" i="33"/>
  <c r="AL65" i="26"/>
  <c r="B396" i="33"/>
  <c r="BT1" i="10" s="1"/>
  <c r="B412" i="33"/>
  <c r="B268" i="33"/>
  <c r="B4" i="39"/>
  <c r="B28" i="33"/>
  <c r="D34" i="21" s="1"/>
  <c r="B108" i="33"/>
  <c r="D8" i="58" s="1"/>
  <c r="B296" i="33"/>
  <c r="B73" i="33"/>
  <c r="B45" i="33"/>
  <c r="D78" i="21" s="1"/>
  <c r="B266" i="33"/>
  <c r="G13" i="6"/>
  <c r="B43" i="59"/>
  <c r="B239" i="33"/>
  <c r="AC17" i="53" s="1"/>
  <c r="B500" i="33"/>
  <c r="AC28" i="53" s="1"/>
  <c r="B542" i="33"/>
  <c r="B80" i="33"/>
  <c r="C15" i="21" s="1"/>
  <c r="B183" i="33"/>
  <c r="B179" i="33"/>
  <c r="G56" i="6"/>
  <c r="B93" i="33"/>
  <c r="A124" i="28" s="1"/>
  <c r="B212" i="33"/>
  <c r="C137" i="6" s="1"/>
  <c r="B389" i="33"/>
  <c r="B472" i="33"/>
  <c r="B279" i="33"/>
  <c r="B21" i="7" s="1"/>
  <c r="B177" i="33"/>
  <c r="C170" i="6" s="1"/>
  <c r="B89" i="33"/>
  <c r="A103" i="28" s="1"/>
  <c r="B13" i="33"/>
  <c r="C6" i="21" s="1"/>
  <c r="B42" i="7"/>
  <c r="B76" i="33"/>
  <c r="D100" i="21" s="1"/>
  <c r="B226" i="33"/>
  <c r="C226" i="6" s="1"/>
  <c r="B422" i="33"/>
  <c r="AC10" i="53" s="1"/>
  <c r="B55" i="33"/>
  <c r="J42" i="21" s="1"/>
  <c r="B27" i="33"/>
  <c r="B1" i="39" s="1"/>
  <c r="B402" i="33"/>
  <c r="B147" i="33"/>
  <c r="F14" i="26" s="1"/>
  <c r="B438" i="33"/>
  <c r="O3" i="46"/>
  <c r="B213" i="33"/>
  <c r="C145" i="6" s="1"/>
  <c r="B376" i="33"/>
  <c r="AC2" i="10" s="1"/>
  <c r="B452" i="33"/>
  <c r="B399" i="33"/>
  <c r="B211" i="33"/>
  <c r="C136" i="6" s="1"/>
  <c r="B57" i="33"/>
  <c r="D37" i="21" s="1"/>
  <c r="B23" i="33"/>
  <c r="A23" i="9"/>
  <c r="B217" i="33"/>
  <c r="C217" i="6" s="1"/>
  <c r="B313" i="33"/>
  <c r="B22" i="34" s="1"/>
  <c r="B29" i="33"/>
  <c r="E10" i="21" s="1"/>
  <c r="B573" i="33"/>
  <c r="B172" i="33"/>
  <c r="E188" i="6" s="1"/>
  <c r="B319" i="33"/>
  <c r="A19" i="29" s="1"/>
  <c r="B576" i="33"/>
  <c r="B403" i="33"/>
  <c r="B2" i="39" s="1"/>
  <c r="B229" i="33"/>
  <c r="E21" i="17" s="1"/>
  <c r="B61" i="59" s="1"/>
  <c r="B181" i="33"/>
  <c r="E192" i="6" s="1"/>
  <c r="B407" i="33"/>
  <c r="A1" i="55" s="1"/>
  <c r="B395" i="33"/>
  <c r="C23" i="17"/>
  <c r="B563" i="33"/>
  <c r="B255" i="33"/>
  <c r="F1" i="10" s="1"/>
  <c r="B133" i="33"/>
  <c r="B50" i="8" s="1"/>
  <c r="B333" i="33"/>
  <c r="A159" i="28"/>
  <c r="B515" i="33"/>
  <c r="A7" i="29" s="1"/>
  <c r="B37" i="33"/>
  <c r="D101" i="21" s="1"/>
  <c r="B350" i="33"/>
  <c r="A2" i="7" s="1"/>
  <c r="B95" i="33"/>
  <c r="B546" i="33"/>
  <c r="B19" i="59" s="1"/>
  <c r="B71" i="33"/>
  <c r="D98" i="21" s="1"/>
  <c r="B366" i="33"/>
  <c r="B363" i="33"/>
  <c r="A440" i="28" s="1"/>
  <c r="B70" i="33"/>
  <c r="D21" i="21" s="1"/>
  <c r="B138" i="33"/>
  <c r="B40" i="26" s="1"/>
  <c r="B51" i="33"/>
  <c r="D17" i="21" s="1"/>
  <c r="B549" i="33"/>
  <c r="E14" i="17" s="1"/>
  <c r="B175" i="33"/>
  <c r="C20" i="6" s="1"/>
  <c r="B39" i="59" s="1"/>
  <c r="B446" i="33"/>
  <c r="H3" i="48" s="1"/>
  <c r="B394" i="33"/>
  <c r="B24" i="17" s="1"/>
  <c r="B286" i="33"/>
  <c r="B10" i="22" s="1"/>
  <c r="B496" i="33"/>
  <c r="AC24" i="53" s="1"/>
  <c r="B445" i="33"/>
  <c r="B258" i="33"/>
  <c r="B375" i="33"/>
  <c r="AB2" i="10" s="1"/>
  <c r="B509" i="33"/>
  <c r="B316" i="33"/>
  <c r="A16" i="29" s="1"/>
  <c r="B483" i="33"/>
  <c r="U3" i="51" s="1"/>
  <c r="B506" i="33"/>
  <c r="D16" i="29" s="1"/>
  <c r="B137" i="33"/>
  <c r="AB17" i="8" s="1"/>
  <c r="B311" i="33"/>
  <c r="B3" i="34" s="1"/>
  <c r="B449" i="33"/>
  <c r="B54" i="33"/>
  <c r="D24" i="21" s="1"/>
  <c r="B30" i="33"/>
  <c r="E11" i="21" s="1"/>
  <c r="B260" i="33"/>
  <c r="B8" i="8" s="1"/>
  <c r="B187" i="33"/>
  <c r="C183" i="6" s="1"/>
  <c r="B564" i="33"/>
  <c r="B263" i="33"/>
  <c r="B118" i="33"/>
  <c r="C6" i="6" s="1"/>
  <c r="B530" i="33"/>
  <c r="B143" i="58" s="1"/>
  <c r="B199" i="33"/>
  <c r="J55" i="6" s="1"/>
  <c r="B48" i="33"/>
  <c r="D19" i="21" s="1"/>
  <c r="B35" i="33"/>
  <c r="D45" i="21" s="1"/>
  <c r="B379" i="33"/>
  <c r="B271" i="33"/>
  <c r="B4" i="43"/>
  <c r="B304" i="33"/>
  <c r="B520" i="33"/>
  <c r="A12" i="29" s="1"/>
  <c r="B34" i="33"/>
  <c r="D44" i="21"/>
  <c r="B282" i="33"/>
  <c r="B398" i="33"/>
  <c r="B145" i="33"/>
  <c r="C89" i="6"/>
  <c r="B411" i="33"/>
  <c r="E1" i="55" s="1"/>
  <c r="B149" i="33"/>
  <c r="C82" i="6" s="1"/>
  <c r="B230" i="33"/>
  <c r="B246" i="33"/>
  <c r="A65" i="26" s="1"/>
  <c r="B101" i="33"/>
  <c r="A14" i="28" s="1"/>
  <c r="B321" i="33"/>
  <c r="C19" i="29" s="1"/>
  <c r="B443" i="33"/>
  <c r="B1" i="48" s="1"/>
  <c r="B130" i="33"/>
  <c r="E20" i="8" s="1"/>
  <c r="B64" i="33"/>
  <c r="C76" i="21" s="1"/>
  <c r="B88" i="33"/>
  <c r="R36" i="17" s="1"/>
  <c r="K19" i="29" s="1"/>
  <c r="B504" i="33"/>
  <c r="G6" i="55" s="1"/>
  <c r="B77" i="33"/>
  <c r="F28" i="21"/>
  <c r="B470" i="33"/>
  <c r="H3" i="51" s="1"/>
  <c r="B359" i="33"/>
  <c r="A398" i="28"/>
  <c r="B410" i="33"/>
  <c r="D1" i="55" s="1"/>
  <c r="B84" i="33"/>
  <c r="B126" i="28"/>
  <c r="B460" i="33"/>
  <c r="B486" i="33"/>
  <c r="B280" i="33"/>
  <c r="B346" i="33"/>
  <c r="A308" i="28" s="1"/>
  <c r="B231" i="33"/>
  <c r="D36" i="17" s="1"/>
  <c r="B455" i="33"/>
  <c r="G21" i="6" s="1"/>
  <c r="B47" i="59" s="1"/>
  <c r="B165" i="33"/>
  <c r="C86" i="6" s="1"/>
  <c r="B270" i="33"/>
  <c r="B6" i="39"/>
  <c r="B439" i="33"/>
  <c r="P3" i="46" s="1"/>
  <c r="B132" i="33"/>
  <c r="B474" i="33"/>
  <c r="B353" i="33"/>
  <c r="A333" i="28" s="1"/>
  <c r="B75" i="33"/>
  <c r="D8" i="21" s="1"/>
  <c r="B24" i="33"/>
  <c r="B47" i="26" s="1"/>
  <c r="B201" i="33"/>
  <c r="L55" i="6" s="1"/>
  <c r="B570" i="33"/>
  <c r="B143" i="33"/>
  <c r="B382" i="33"/>
  <c r="B501" i="33"/>
  <c r="AC29" i="53" s="1"/>
  <c r="B413" i="33"/>
  <c r="B381" i="33"/>
  <c r="B74" i="33"/>
  <c r="C77" i="21" s="1"/>
  <c r="B521" i="33"/>
  <c r="B32" i="33"/>
  <c r="F25" i="21" s="1"/>
  <c r="B479" i="33"/>
  <c r="Q3" i="51" s="1"/>
  <c r="B354" i="33"/>
  <c r="E25" i="17" s="1"/>
  <c r="B65" i="59" s="1"/>
  <c r="B419" i="33"/>
  <c r="AC7" i="53" s="1"/>
  <c r="B383" i="33"/>
  <c r="B493" i="33"/>
  <c r="B111" i="33"/>
  <c r="E16" i="17" s="1"/>
  <c r="B367" i="33"/>
  <c r="B495" i="33"/>
  <c r="AC22" i="53" s="1"/>
  <c r="B490" i="33"/>
  <c r="AC19" i="53" s="1"/>
  <c r="B110" i="33"/>
  <c r="B54" i="26" s="1"/>
  <c r="B62" i="33"/>
  <c r="C85" i="21"/>
  <c r="B469" i="33"/>
  <c r="B529" i="33"/>
  <c r="B41" i="59" s="1"/>
  <c r="B473" i="33"/>
  <c r="J3" i="57" s="1"/>
  <c r="B336" i="33"/>
  <c r="A178" i="28" s="1"/>
  <c r="B480" i="33"/>
  <c r="R3" i="51" s="1"/>
  <c r="B318" i="33"/>
  <c r="C16" i="29" s="1"/>
  <c r="B531" i="33"/>
  <c r="B485" i="33"/>
  <c r="W3" i="51" s="1"/>
  <c r="B380" i="33"/>
  <c r="B512" i="33"/>
  <c r="A15" i="29" s="1"/>
  <c r="B288" i="33"/>
  <c r="B66" i="33"/>
  <c r="C73" i="21" s="1"/>
  <c r="B42" i="33"/>
  <c r="J43" i="21" s="1"/>
  <c r="B537" i="33"/>
  <c r="B392" i="33"/>
  <c r="B20" i="33"/>
  <c r="D20" i="26" s="1"/>
  <c r="B155" i="33"/>
  <c r="B154" i="6"/>
  <c r="B528" i="33"/>
  <c r="B33" i="59" s="1"/>
  <c r="B450" i="33"/>
  <c r="L3" i="48" s="1"/>
  <c r="B278" i="33"/>
  <c r="B197" i="33"/>
  <c r="C180" i="6" s="1"/>
  <c r="B418" i="33"/>
  <c r="AC6" i="53" s="1"/>
  <c r="B371" i="33"/>
  <c r="A491" i="28" s="1"/>
  <c r="B310" i="33"/>
  <c r="B508" i="33"/>
  <c r="U22" i="35" s="1"/>
  <c r="B97" i="33"/>
  <c r="A33" i="28" s="1"/>
  <c r="B357" i="33"/>
  <c r="A378" i="28" s="1"/>
  <c r="B168" i="33"/>
  <c r="B43" i="33"/>
  <c r="E27" i="21" s="1"/>
  <c r="B541" i="33"/>
  <c r="B13" i="59" s="1"/>
  <c r="B85" i="33"/>
  <c r="B128" i="28" s="1"/>
  <c r="B157" i="33"/>
  <c r="C185" i="6" s="1"/>
  <c r="B434" i="33"/>
  <c r="K3" i="46" s="1"/>
  <c r="B107" i="33"/>
  <c r="B30" i="17"/>
  <c r="B323" i="33"/>
  <c r="B524" i="33"/>
  <c r="B27" i="8" s="1"/>
  <c r="B61" i="33"/>
  <c r="D35" i="21" s="1"/>
  <c r="B106" i="33"/>
  <c r="B12" i="17" s="1"/>
  <c r="B360" i="33"/>
  <c r="A418" i="28" s="1"/>
  <c r="B188" i="33"/>
  <c r="C172" i="6"/>
  <c r="B554" i="33"/>
  <c r="B6" i="59" s="1"/>
  <c r="B417" i="33"/>
  <c r="AC5" i="53" s="1"/>
  <c r="B328" i="33"/>
  <c r="A87" i="28" s="1"/>
  <c r="B331" i="33"/>
  <c r="A94" i="28"/>
  <c r="B467" i="33"/>
  <c r="B1" i="51" s="1"/>
  <c r="B78" i="33"/>
  <c r="F29" i="21" s="1"/>
  <c r="B26" i="33"/>
  <c r="B15" i="26" s="1"/>
  <c r="B451" i="33"/>
  <c r="B1" i="49" s="1"/>
  <c r="B238" i="33"/>
  <c r="B25" i="33"/>
  <c r="A66" i="26" s="1"/>
  <c r="B400" i="33"/>
  <c r="B565" i="33"/>
  <c r="B391" i="33"/>
  <c r="B552" i="33"/>
  <c r="B525" i="33"/>
  <c r="B337" i="33"/>
  <c r="A179" i="28" s="1"/>
  <c r="B117" i="33"/>
  <c r="E7" i="6" s="1"/>
  <c r="B196" i="33"/>
  <c r="H202" i="6" s="1"/>
  <c r="B347" i="33"/>
  <c r="A309" i="28"/>
  <c r="B420" i="33"/>
  <c r="AC8" i="53" s="1"/>
  <c r="B567" i="33"/>
  <c r="B13" i="58" s="1"/>
  <c r="B416" i="33"/>
  <c r="AC4" i="53" s="1"/>
  <c r="B553" i="33"/>
  <c r="B290" i="33"/>
  <c r="H198" i="6" s="1"/>
  <c r="B123" i="33"/>
  <c r="B134" i="33"/>
  <c r="B298" i="33"/>
  <c r="B35" i="26" s="1"/>
  <c r="B295" i="33"/>
  <c r="X2" i="10" s="1"/>
  <c r="B245" i="33"/>
  <c r="M65" i="26" s="1"/>
  <c r="B343" i="33"/>
  <c r="A265" i="28"/>
  <c r="B358" i="33"/>
  <c r="B551" i="33"/>
  <c r="B519" i="33"/>
  <c r="A11" i="29" s="1"/>
  <c r="B461" i="33"/>
  <c r="B1" i="54" s="1"/>
  <c r="B185" i="33"/>
  <c r="D202" i="6" s="1"/>
  <c r="B539" i="33"/>
  <c r="B377" i="33"/>
  <c r="AE1" i="10" s="1"/>
  <c r="B192" i="33"/>
  <c r="C169" i="6"/>
  <c r="B538" i="33"/>
  <c r="B11" i="59" s="1"/>
  <c r="B456" i="33"/>
  <c r="B195" i="33"/>
  <c r="K193" i="6" s="1"/>
  <c r="B193" i="33"/>
  <c r="C201" i="6" s="1"/>
  <c r="B219" i="33"/>
  <c r="C219" i="6" s="1"/>
  <c r="B277" i="33"/>
  <c r="B19" i="7" s="1"/>
  <c r="B292" i="33"/>
  <c r="P2" i="10" s="1"/>
  <c r="B69" i="33"/>
  <c r="D42" i="21" s="1"/>
  <c r="B325" i="33"/>
  <c r="A76" i="28"/>
  <c r="B224" i="33"/>
  <c r="C224" i="6" s="1"/>
  <c r="B178" i="33"/>
  <c r="C187" i="6" s="1"/>
  <c r="B190" i="33"/>
  <c r="I202" i="6" s="1"/>
  <c r="B72" i="33"/>
  <c r="D18" i="21" s="1"/>
  <c r="B471" i="33"/>
  <c r="H3" i="57" s="1"/>
  <c r="B388" i="33"/>
  <c r="B498" i="33"/>
  <c r="AC26" i="53" s="1"/>
  <c r="B236" i="33"/>
  <c r="K34" i="17" s="1"/>
  <c r="B49" i="33"/>
  <c r="C40" i="21"/>
  <c r="B340" i="33"/>
  <c r="A223" i="28" s="1"/>
  <c r="B116" i="33"/>
  <c r="AM65" i="26" s="1"/>
  <c r="B159" i="33"/>
  <c r="C92" i="6" s="1"/>
  <c r="B406" i="33"/>
  <c r="B10" i="43" s="1"/>
  <c r="B139" i="33"/>
  <c r="C189" i="6" s="1"/>
  <c r="B510" i="33"/>
  <c r="B314" i="33"/>
  <c r="B25" i="22"/>
  <c r="B81" i="33"/>
  <c r="D90" i="21" s="1"/>
  <c r="B566" i="33"/>
  <c r="B6" i="58"/>
  <c r="B49" i="59" s="1"/>
  <c r="E19" i="6"/>
  <c r="B9" i="58"/>
  <c r="B3" i="35" s="1"/>
  <c r="I2" i="10"/>
  <c r="B44" i="26"/>
  <c r="A36" i="9"/>
  <c r="W21" i="8"/>
  <c r="A9" i="59" s="1"/>
  <c r="E3" i="46"/>
  <c r="C3" i="51"/>
  <c r="A33" i="9"/>
  <c r="A34" i="9"/>
  <c r="F2" i="10"/>
  <c r="AB3" i="51" s="1"/>
  <c r="B11" i="58"/>
  <c r="B53" i="59" s="1"/>
  <c r="B59" i="26"/>
  <c r="E12" i="6"/>
  <c r="B10" i="8"/>
  <c r="B22" i="59" s="1"/>
  <c r="BU2" i="10"/>
  <c r="N3" i="57"/>
  <c r="AE65" i="26"/>
  <c r="AP2" i="10"/>
  <c r="BJ2" i="10" s="1"/>
  <c r="C65" i="6"/>
  <c r="B36" i="26"/>
  <c r="AQ65" i="26"/>
  <c r="B20" i="8"/>
  <c r="B29" i="59" s="1"/>
  <c r="H3" i="49"/>
  <c r="B66" i="59"/>
  <c r="I36" i="17"/>
  <c r="K36" i="17"/>
  <c r="K17" i="2" s="1"/>
  <c r="E23" i="17"/>
  <c r="B63" i="59" s="1"/>
  <c r="L36" i="17"/>
  <c r="E19" i="29" s="1"/>
  <c r="Q36" i="17"/>
  <c r="J19" i="29" s="1"/>
  <c r="B251" i="33"/>
  <c r="L65" i="26" s="1"/>
  <c r="B572" i="33"/>
  <c r="B223" i="33"/>
  <c r="C223" i="6" s="1"/>
  <c r="B462" i="33"/>
  <c r="F3" i="54" s="1"/>
  <c r="B487" i="33"/>
  <c r="B513" i="33"/>
  <c r="A5" i="29"/>
  <c r="B235" i="33"/>
  <c r="G36" i="17" s="1"/>
  <c r="B215" i="33"/>
  <c r="C215" i="6" s="1"/>
  <c r="B104" i="33"/>
  <c r="B60" i="26" s="1"/>
  <c r="B475" i="33"/>
  <c r="M3" i="51" s="1"/>
  <c r="B339" i="33"/>
  <c r="A201" i="28" s="1"/>
  <c r="B372" i="33"/>
  <c r="AD2" i="10" s="1"/>
  <c r="B335" i="33"/>
  <c r="A161" i="28" s="1"/>
  <c r="B349" i="33"/>
  <c r="B35" i="6" s="1"/>
  <c r="B3" i="49"/>
  <c r="G65" i="26"/>
  <c r="B44" i="7"/>
  <c r="AC11" i="53"/>
  <c r="AQ2" i="10"/>
  <c r="BK2" i="10" s="1"/>
  <c r="AW2" i="10"/>
  <c r="BQ2" i="10" s="1"/>
  <c r="B21" i="59"/>
  <c r="A29" i="9"/>
  <c r="A35" i="9"/>
  <c r="Q65" i="26"/>
  <c r="A18" i="9"/>
  <c r="D3" i="54"/>
  <c r="D3" i="49"/>
  <c r="D3" i="48"/>
  <c r="D3" i="51"/>
  <c r="D3" i="57"/>
  <c r="D3" i="46"/>
  <c r="C3" i="46"/>
  <c r="N3" i="51"/>
  <c r="C68" i="6"/>
  <c r="CB2" i="10"/>
  <c r="E90" i="6"/>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AH65" i="26"/>
  <c r="A85" i="58"/>
  <c r="A55" i="58"/>
  <c r="A114" i="58"/>
  <c r="A128" i="58"/>
  <c r="A30" i="58"/>
  <c r="A25" i="58"/>
  <c r="A111" i="58"/>
  <c r="A119" i="58"/>
  <c r="A26" i="58"/>
  <c r="A110" i="58"/>
  <c r="A65" i="58"/>
  <c r="A57" i="58"/>
  <c r="A127" i="58"/>
  <c r="A129" i="58"/>
  <c r="A91" i="58"/>
  <c r="A116" i="58"/>
  <c r="A58" i="58"/>
  <c r="A71" i="58"/>
  <c r="A137" i="58"/>
  <c r="A15" i="9"/>
  <c r="A13" i="9"/>
  <c r="A63" i="58"/>
  <c r="A122" i="58"/>
  <c r="I13" i="6"/>
  <c r="S3" i="51"/>
  <c r="A121" i="58"/>
  <c r="A113" i="58"/>
  <c r="E19" i="17"/>
  <c r="B59" i="59" s="1"/>
  <c r="Q3" i="57"/>
  <c r="E71" i="6"/>
  <c r="E86" i="6"/>
  <c r="B34" i="26"/>
  <c r="AO65" i="26"/>
  <c r="B27" i="59"/>
  <c r="CA2" i="10"/>
  <c r="B18" i="26"/>
  <c r="A59" i="58"/>
  <c r="A19" i="58"/>
  <c r="A117" i="58"/>
  <c r="A90" i="58"/>
  <c r="A88" i="58"/>
  <c r="A66" i="58"/>
  <c r="A68" i="58"/>
  <c r="A38" i="58"/>
  <c r="A32" i="58"/>
  <c r="A74" i="58"/>
  <c r="A80" i="58"/>
  <c r="A112" i="58"/>
  <c r="A60" i="58"/>
  <c r="A36" i="58"/>
  <c r="A83" i="58"/>
  <c r="A50" i="58"/>
  <c r="A95" i="58"/>
  <c r="A84" i="58"/>
  <c r="A104" i="58"/>
  <c r="A75" i="58"/>
  <c r="A61" i="58"/>
  <c r="A107" i="58"/>
  <c r="A86" i="58"/>
  <c r="A78" i="58"/>
  <c r="A138" i="58"/>
  <c r="A97" i="58"/>
  <c r="A96" i="58"/>
  <c r="A103" i="58"/>
  <c r="A52" i="58"/>
  <c r="A130" i="58"/>
  <c r="A28" i="58"/>
  <c r="A76" i="58"/>
  <c r="D8" i="8"/>
  <c r="A136" i="58"/>
  <c r="A33" i="58"/>
  <c r="A46" i="58"/>
  <c r="A139" i="58"/>
  <c r="A54" i="58"/>
  <c r="A20" i="58"/>
  <c r="A42" i="58"/>
  <c r="A40" i="58"/>
  <c r="A102" i="58"/>
  <c r="A27" i="58"/>
  <c r="A39" i="58"/>
  <c r="A53" i="58"/>
  <c r="A69" i="58"/>
  <c r="A44" i="58"/>
  <c r="A101" i="58"/>
  <c r="A45" i="58"/>
  <c r="A99" i="58"/>
  <c r="A81" i="58"/>
  <c r="B56" i="59"/>
  <c r="A73" i="58"/>
  <c r="S36" i="17"/>
  <c r="C60" i="6"/>
  <c r="AG2" i="10"/>
  <c r="BA2" i="10" s="1"/>
  <c r="AU2" i="10"/>
  <c r="BO2" i="10" s="1"/>
  <c r="C62" i="6"/>
  <c r="B41" i="26"/>
  <c r="B42" i="59"/>
  <c r="C12" i="6"/>
  <c r="B35" i="59" s="1"/>
  <c r="T3" i="57"/>
  <c r="E3" i="54"/>
  <c r="D66" i="17"/>
  <c r="BG67" i="59" a="1"/>
  <c r="BG67" i="59" s="1"/>
  <c r="DE59" i="59" a="1"/>
  <c r="DE59" i="59" s="1"/>
  <c r="Z62" i="59" a="1"/>
  <c r="Z62" i="59" s="1"/>
  <c r="BB63" i="59" a="1"/>
  <c r="BB63" i="59" s="1"/>
  <c r="G107" i="58" a="1"/>
  <c r="G107" i="58" s="1"/>
  <c r="CS57" i="59" a="1"/>
  <c r="CS57" i="59" s="1"/>
  <c r="G55" i="58" a="1"/>
  <c r="G55" i="58" s="1"/>
  <c r="BQ65" i="59" a="1"/>
  <c r="BQ65" i="59" s="1"/>
  <c r="BA63" i="59" a="1"/>
  <c r="BA63" i="59" s="1"/>
  <c r="DH66" i="59" a="1"/>
  <c r="DH66" i="59" s="1"/>
  <c r="BF67" i="59" a="1"/>
  <c r="BF67" i="59" s="1"/>
  <c r="CQ63" i="59" a="1"/>
  <c r="CQ63" i="59" s="1"/>
  <c r="N18" i="2"/>
  <c r="G17" i="58" s="1"/>
  <c r="G74" i="58" a="1"/>
  <c r="G74" i="58" s="1"/>
  <c r="CG61" i="59" a="1"/>
  <c r="CG61" i="59" s="1"/>
  <c r="CQ68" i="59" a="1"/>
  <c r="CQ68" i="59" s="1"/>
  <c r="F71" i="58" a="1"/>
  <c r="F71" i="58" s="1"/>
  <c r="O19" i="2"/>
  <c r="O6" i="2" s="1"/>
  <c r="C17" i="35" s="1"/>
  <c r="C36" i="35" s="1"/>
  <c r="F36" i="35" s="1"/>
  <c r="CK66" i="59" a="1"/>
  <c r="CK66" i="59" s="1"/>
  <c r="AN57" i="59" a="1"/>
  <c r="AN57" i="59" s="1"/>
  <c r="R58" i="59" a="1"/>
  <c r="R58" i="59" s="1"/>
  <c r="BE67" i="59" a="1"/>
  <c r="BE67" i="59" s="1"/>
  <c r="E87" i="58" a="1"/>
  <c r="E87" i="58" s="1"/>
  <c r="C101" i="58" a="1"/>
  <c r="C101" i="58" s="1"/>
  <c r="DD61" i="59" a="1"/>
  <c r="DD61" i="59" s="1"/>
  <c r="C23" i="58" a="1"/>
  <c r="C23" i="58" s="1"/>
  <c r="CZ60" i="59" a="1"/>
  <c r="CZ60" i="59" s="1"/>
  <c r="BK65" i="59" a="1"/>
  <c r="BK65" i="59" s="1"/>
  <c r="C72" i="58" a="1"/>
  <c r="C72" i="58" s="1"/>
  <c r="U64" i="59" a="1"/>
  <c r="U64" i="59" s="1"/>
  <c r="BO58" i="59" a="1"/>
  <c r="BO58" i="59" s="1"/>
  <c r="BZ61" i="59" a="1"/>
  <c r="BZ61" i="59" s="1"/>
  <c r="BZ62" i="59" a="1"/>
  <c r="BZ62" i="59" s="1"/>
  <c r="H28" i="58" a="1"/>
  <c r="H28" i="58" s="1"/>
  <c r="F53" i="58" a="1"/>
  <c r="F53" i="58" s="1"/>
  <c r="CE65" i="59" a="1"/>
  <c r="CE65" i="59" s="1"/>
  <c r="D38" i="58" a="1"/>
  <c r="D38" i="58" s="1"/>
  <c r="AC65" i="59" a="1"/>
  <c r="AC65" i="59" s="1"/>
  <c r="BD57" i="59" a="1"/>
  <c r="BD57" i="59" s="1"/>
  <c r="E60" i="59" a="1"/>
  <c r="E60" i="59" s="1"/>
  <c r="F58" i="59" a="1"/>
  <c r="F58" i="59" s="1"/>
  <c r="AV65" i="59" a="1"/>
  <c r="AV65" i="59" s="1"/>
  <c r="F80" i="58" a="1"/>
  <c r="F80" i="58" s="1"/>
  <c r="CP67" i="59" a="1"/>
  <c r="CP67" i="59" s="1"/>
  <c r="BA67" i="59" a="1"/>
  <c r="BA67" i="59" s="1"/>
  <c r="F68" i="59" a="1"/>
  <c r="F68" i="59" s="1"/>
  <c r="D32" i="58" a="1"/>
  <c r="D32" i="58" s="1"/>
  <c r="P61" i="59" a="1"/>
  <c r="P61" i="59" s="1"/>
  <c r="AX65" i="59" a="1"/>
  <c r="AX65" i="59" s="1"/>
  <c r="AT57" i="59" a="1"/>
  <c r="AT57" i="59" s="1"/>
  <c r="E129" i="58" a="1"/>
  <c r="E129" i="58" s="1"/>
  <c r="AU61" i="59" a="1"/>
  <c r="AU61" i="59" s="1"/>
  <c r="E44" i="58" a="1"/>
  <c r="E44" i="58" s="1"/>
  <c r="CK60" i="59" a="1"/>
  <c r="CK60" i="59" s="1"/>
  <c r="AZ66" i="59" a="1"/>
  <c r="AZ66" i="59" s="1"/>
  <c r="D43" i="58" a="1"/>
  <c r="D43" i="58" s="1"/>
  <c r="BN61" i="59" a="1"/>
  <c r="BN61" i="59" s="1"/>
  <c r="BP65" i="59" a="1"/>
  <c r="BP65" i="59" s="1"/>
  <c r="M62" i="59" a="1"/>
  <c r="M62" i="59" s="1"/>
  <c r="AC63" i="59" a="1"/>
  <c r="AC63" i="59" s="1"/>
  <c r="CD61" i="59" a="1"/>
  <c r="CD61" i="59" s="1"/>
  <c r="BY59" i="59" a="1"/>
  <c r="BY59" i="59" s="1"/>
  <c r="K61" i="59" a="1"/>
  <c r="K61" i="59" s="1"/>
  <c r="C49" i="58" a="1"/>
  <c r="C49" i="58" s="1"/>
  <c r="G19" i="2"/>
  <c r="I19" i="2" s="1"/>
  <c r="I6" i="2" s="1"/>
  <c r="F3" i="10" s="1"/>
  <c r="U66" i="59" a="1"/>
  <c r="U66" i="59" s="1"/>
  <c r="CS68" i="59" a="1"/>
  <c r="CS68" i="59" s="1"/>
  <c r="DA58" i="59" a="1"/>
  <c r="DA58" i="59" s="1"/>
  <c r="F104" i="58" a="1"/>
  <c r="F104" i="58" s="1"/>
  <c r="AG67" i="59" a="1"/>
  <c r="AG67" i="59" s="1"/>
  <c r="AW60" i="59" a="1"/>
  <c r="AW60" i="59" s="1"/>
  <c r="G26" i="58" a="1"/>
  <c r="G26" i="58" s="1"/>
  <c r="Y57" i="59" a="1"/>
  <c r="Y57" i="59" s="1"/>
  <c r="CH67" i="59" a="1"/>
  <c r="CH67" i="59" s="1"/>
  <c r="BP61" i="59" a="1"/>
  <c r="BP61" i="59" s="1"/>
  <c r="R59" i="59" a="1"/>
  <c r="R59" i="59" s="1"/>
  <c r="AK65" i="59" a="1"/>
  <c r="AK65" i="59" s="1"/>
  <c r="H65" i="59" a="1"/>
  <c r="H65" i="59" s="1"/>
  <c r="F132" i="58" a="1"/>
  <c r="F132" i="58" s="1"/>
  <c r="L58" i="59" a="1"/>
  <c r="L58" i="59" s="1"/>
  <c r="B18" i="2"/>
  <c r="B17" i="58" s="1"/>
  <c r="AM62" i="59" a="1"/>
  <c r="AM62" i="59" s="1"/>
  <c r="H59" i="58" a="1"/>
  <c r="H59" i="58" s="1"/>
  <c r="DD65" i="59" a="1"/>
  <c r="DD65" i="59" s="1"/>
  <c r="AE59" i="59" a="1"/>
  <c r="AE59" i="59" s="1"/>
  <c r="D109" i="58" a="1"/>
  <c r="D109" i="58" s="1"/>
  <c r="BY67" i="59" a="1"/>
  <c r="BY67" i="59" s="1"/>
  <c r="BR60" i="59" a="1"/>
  <c r="BR60" i="59" s="1"/>
  <c r="CW59" i="59" a="1"/>
  <c r="CW59" i="59" s="1"/>
  <c r="V59" i="59" a="1"/>
  <c r="V59" i="59" s="1"/>
  <c r="AC57" i="59" a="1"/>
  <c r="AC57" i="59" s="1"/>
  <c r="BM67" i="59" a="1"/>
  <c r="BM67" i="59" s="1"/>
  <c r="AX57" i="59" a="1"/>
  <c r="AX57" i="59" s="1"/>
  <c r="H62" i="58" a="1"/>
  <c r="H62" i="58" s="1"/>
  <c r="CX66" i="59" a="1"/>
  <c r="CX66" i="59" s="1"/>
  <c r="CN59" i="59" a="1"/>
  <c r="CN59" i="59" s="1"/>
  <c r="G21" i="58" a="1"/>
  <c r="G21" i="58" s="1"/>
  <c r="AL65" i="59" a="1"/>
  <c r="AL65" i="59" s="1"/>
  <c r="DH59" i="59" a="1"/>
  <c r="DH59" i="59" s="1"/>
  <c r="BL63" i="59" a="1"/>
  <c r="BL63" i="59" s="1"/>
  <c r="F27" i="58" a="1"/>
  <c r="F27" i="58" s="1"/>
  <c r="AA68" i="59" a="1"/>
  <c r="AA68" i="59" s="1"/>
  <c r="DH57" i="59" a="1"/>
  <c r="DH57" i="59" s="1"/>
  <c r="G124" i="58" a="1"/>
  <c r="G124" i="58" s="1"/>
  <c r="AS66" i="59" a="1"/>
  <c r="AS66" i="59" s="1"/>
  <c r="B19" i="8"/>
  <c r="B28" i="59" s="1"/>
  <c r="E178" i="6"/>
  <c r="E94" i="6"/>
  <c r="AP65" i="26"/>
  <c r="V3" i="57"/>
  <c r="K3" i="51"/>
  <c r="E92" i="6"/>
  <c r="E83" i="6"/>
  <c r="A7" i="9"/>
  <c r="A19" i="9"/>
  <c r="B9" i="8"/>
  <c r="A8" i="9"/>
  <c r="A14" i="9"/>
  <c r="T65" i="26"/>
  <c r="B3" i="46"/>
  <c r="A21" i="9"/>
  <c r="S2" i="10"/>
  <c r="B3" i="47"/>
  <c r="E58" i="6"/>
  <c r="N65" i="26"/>
  <c r="D2" i="10"/>
  <c r="B25" i="26"/>
  <c r="H1" i="10"/>
  <c r="E189" i="6"/>
  <c r="E89" i="6"/>
  <c r="E185" i="6"/>
  <c r="A24" i="9"/>
  <c r="A9" i="9"/>
  <c r="A17" i="9"/>
  <c r="A12" i="9"/>
  <c r="S65" i="26"/>
  <c r="A6" i="9"/>
  <c r="B3" i="51"/>
  <c r="A10" i="9"/>
  <c r="R65" i="26"/>
  <c r="C54" i="21"/>
  <c r="F65" i="26"/>
  <c r="E176" i="6"/>
  <c r="E68" i="6"/>
  <c r="E62" i="6"/>
  <c r="A22" i="9"/>
  <c r="A20" i="9"/>
  <c r="A25" i="9"/>
  <c r="A16" i="9"/>
  <c r="G3" i="57"/>
  <c r="B3" i="48"/>
  <c r="I62" i="59" a="1"/>
  <c r="I62" i="59" s="1"/>
  <c r="C34" i="58" a="1"/>
  <c r="C34" i="58" s="1"/>
  <c r="H45" i="58" a="1"/>
  <c r="H45" i="58" s="1"/>
  <c r="BD59" i="59" a="1"/>
  <c r="BD59" i="59" s="1"/>
  <c r="AJ58" i="59" a="1"/>
  <c r="AJ58" i="59" s="1"/>
  <c r="BW68" i="59" a="1"/>
  <c r="BW68" i="59" s="1"/>
  <c r="BN57" i="59" a="1"/>
  <c r="BN57" i="59" s="1"/>
  <c r="H37" i="58" a="1"/>
  <c r="H37" i="58" s="1"/>
  <c r="AR67" i="59" a="1"/>
  <c r="AR67" i="59" s="1"/>
  <c r="H131" i="58" a="1"/>
  <c r="H131" i="58" s="1"/>
  <c r="CO59" i="59" a="1"/>
  <c r="CO59" i="59" s="1"/>
  <c r="D99" i="58" a="1"/>
  <c r="D99" i="58" s="1"/>
  <c r="D79" i="58" a="1"/>
  <c r="D79" i="58" s="1"/>
  <c r="E106" i="58" a="1"/>
  <c r="E106" i="58" s="1"/>
  <c r="H38" i="58" a="1"/>
  <c r="H38" i="58" s="1"/>
  <c r="BC58" i="59" a="1"/>
  <c r="BC58" i="59" s="1"/>
  <c r="G63" i="58" a="1"/>
  <c r="G63" i="58" s="1"/>
  <c r="G58" i="58" a="1"/>
  <c r="G58" i="58" s="1"/>
  <c r="G100" i="58" a="1"/>
  <c r="G100" i="58" s="1"/>
  <c r="AX61" i="59" a="1"/>
  <c r="AX61" i="59" s="1"/>
  <c r="G22" i="58" a="1"/>
  <c r="G22" i="58" s="1"/>
  <c r="Q64" i="59" a="1"/>
  <c r="Q64" i="59" s="1"/>
  <c r="CL62" i="59" a="1"/>
  <c r="CL62" i="59" s="1"/>
  <c r="N19" i="2"/>
  <c r="N6" i="2" s="1"/>
  <c r="C16" i="35" s="1"/>
  <c r="E77" i="58" a="1"/>
  <c r="E77" i="58" s="1"/>
  <c r="CP63" i="59" a="1"/>
  <c r="CP63" i="59" s="1"/>
  <c r="H109" i="58" a="1"/>
  <c r="H109" i="58" s="1"/>
  <c r="BT60" i="59" a="1"/>
  <c r="BT60" i="59" s="1"/>
  <c r="G65" i="58" a="1"/>
  <c r="G65" i="58" s="1"/>
  <c r="BM68" i="59" a="1"/>
  <c r="BM68" i="59" s="1"/>
  <c r="H47" i="58" a="1"/>
  <c r="H47" i="58" s="1"/>
  <c r="F77" i="58" a="1"/>
  <c r="F77" i="58" s="1"/>
  <c r="CD62" i="59" a="1"/>
  <c r="CD62" i="59" s="1"/>
  <c r="BM57" i="59" a="1"/>
  <c r="BM57" i="59" s="1"/>
  <c r="CI61" i="59" a="1"/>
  <c r="CI61" i="59" s="1"/>
  <c r="BA62" i="59" a="1"/>
  <c r="BA62" i="59" s="1"/>
  <c r="H85" i="58" a="1"/>
  <c r="H85" i="58" s="1"/>
  <c r="CE66" i="59" a="1"/>
  <c r="CE66" i="59" s="1"/>
  <c r="F94" i="58" a="1"/>
  <c r="F94" i="58" s="1"/>
  <c r="CD58" i="59" a="1"/>
  <c r="CD58" i="59" s="1"/>
  <c r="D49" i="58" a="1"/>
  <c r="D49" i="58" s="1"/>
  <c r="D112" i="58" a="1"/>
  <c r="D112" i="58" s="1"/>
  <c r="AK60" i="59" a="1"/>
  <c r="AK60" i="59" s="1"/>
  <c r="D27" i="58" a="1"/>
  <c r="D27" i="58" s="1"/>
  <c r="BW67" i="59" a="1"/>
  <c r="BW67" i="59" s="1"/>
  <c r="G62" i="59" a="1"/>
  <c r="G62" i="59" s="1"/>
  <c r="AA67" i="59" a="1"/>
  <c r="AA67" i="59" s="1"/>
  <c r="CK62" i="59" a="1"/>
  <c r="CK62" i="59" s="1"/>
  <c r="F108" i="58" a="1"/>
  <c r="F108" i="58" s="1"/>
  <c r="G129" i="58" a="1"/>
  <c r="G129" i="58" s="1"/>
  <c r="G24" i="58" a="1"/>
  <c r="G24" i="58" s="1"/>
  <c r="T58" i="59" a="1"/>
  <c r="T58" i="59" s="1"/>
  <c r="AV61" i="59" a="1"/>
  <c r="AV61" i="59" s="1"/>
  <c r="CD63" i="59" a="1"/>
  <c r="CD63" i="59" s="1"/>
  <c r="CZ57" i="59" a="1"/>
  <c r="CZ57" i="59" s="1"/>
  <c r="DA63" i="59" a="1"/>
  <c r="DA63" i="59" s="1"/>
  <c r="P63" i="59" a="1"/>
  <c r="P63" i="59" s="1"/>
  <c r="AB66" i="59" a="1"/>
  <c r="AB66" i="59" s="1"/>
  <c r="D44" i="58" a="1"/>
  <c r="D44" i="58" s="1"/>
  <c r="BN68" i="59" a="1"/>
  <c r="BN68" i="59" s="1"/>
  <c r="AI58" i="59" a="1"/>
  <c r="AI58" i="59" s="1"/>
  <c r="CB59" i="59" a="1"/>
  <c r="CB59" i="59" s="1"/>
  <c r="BO66" i="59" a="1"/>
  <c r="BO66" i="59" s="1"/>
  <c r="BJ62" i="59" a="1"/>
  <c r="BJ62" i="59" s="1"/>
  <c r="G101" i="58" a="1"/>
  <c r="G101" i="58" s="1"/>
  <c r="BC62" i="59" a="1"/>
  <c r="BC62" i="59" s="1"/>
  <c r="E61" i="59" a="1"/>
  <c r="E61" i="59" s="1"/>
  <c r="J64" i="59" a="1"/>
  <c r="J64" i="59" s="1"/>
  <c r="CN62" i="59" a="1"/>
  <c r="CN62" i="59" s="1"/>
  <c r="E61" i="58" a="1"/>
  <c r="E61" i="58" s="1"/>
  <c r="BX65" i="59" a="1"/>
  <c r="BX65" i="59" s="1"/>
  <c r="AL62" i="59" a="1"/>
  <c r="AL62" i="59" s="1"/>
  <c r="D63" i="58" a="1"/>
  <c r="D63" i="58" s="1"/>
  <c r="F137" i="58" a="1"/>
  <c r="F137" i="58" s="1"/>
  <c r="E141" i="58" a="1"/>
  <c r="E141" i="58" s="1"/>
  <c r="E47" i="58" a="1"/>
  <c r="E47" i="58" s="1"/>
  <c r="L63" i="59" a="1"/>
  <c r="L63" i="59" s="1"/>
  <c r="E128" i="58" a="1"/>
  <c r="E128" i="58" s="1"/>
  <c r="F93" i="58" a="1"/>
  <c r="F93" i="58" s="1"/>
  <c r="BP57" i="59" a="1"/>
  <c r="BP57" i="59" s="1"/>
  <c r="BO59" i="59" a="1"/>
  <c r="BO59" i="59" s="1"/>
  <c r="D53" i="58" a="1"/>
  <c r="D53" i="58" s="1"/>
  <c r="H30" i="58" a="1"/>
  <c r="H30" i="58" s="1"/>
  <c r="CQ66" i="59" a="1"/>
  <c r="CQ66" i="59" s="1"/>
  <c r="D82" i="58" a="1"/>
  <c r="D82" i="58" s="1"/>
  <c r="C19" i="58" a="1"/>
  <c r="C19" i="58" s="1"/>
  <c r="CX59" i="59" a="1"/>
  <c r="CX59" i="59" s="1"/>
  <c r="E127" i="58" a="1"/>
  <c r="E127" i="58" s="1"/>
  <c r="AO68" i="59" a="1"/>
  <c r="AO68" i="59" s="1"/>
  <c r="F86" i="58" a="1"/>
  <c r="F86" i="58" s="1"/>
  <c r="N62" i="59" a="1"/>
  <c r="N62" i="59" s="1"/>
  <c r="CS64" i="59" a="1"/>
  <c r="CS64" i="59" s="1"/>
  <c r="C122" i="58" a="1"/>
  <c r="C122" i="58" s="1"/>
  <c r="G32" i="58" a="1"/>
  <c r="G32" i="58" s="1"/>
  <c r="C38" i="58" a="1"/>
  <c r="C38" i="58" s="1"/>
  <c r="G116" i="58" a="1"/>
  <c r="G116" i="58" s="1"/>
  <c r="G73" i="58" a="1"/>
  <c r="G73" i="58" s="1"/>
  <c r="DG67" i="59" a="1"/>
  <c r="DG67" i="59" s="1"/>
  <c r="CX61" i="59" a="1"/>
  <c r="CX61" i="59" s="1"/>
  <c r="AN63" i="59" a="1"/>
  <c r="AN63" i="59" s="1"/>
  <c r="DD64" i="59" a="1"/>
  <c r="DD64" i="59" s="1"/>
  <c r="CQ61" i="59" a="1"/>
  <c r="CQ61" i="59" s="1"/>
  <c r="AA63" i="59" a="1"/>
  <c r="AA63" i="59" s="1"/>
  <c r="S59" i="59" a="1"/>
  <c r="S59" i="59" s="1"/>
  <c r="E59" i="59" a="1"/>
  <c r="E59" i="59" s="1"/>
  <c r="CI60" i="59" a="1"/>
  <c r="CI60" i="59" s="1"/>
  <c r="E67" i="59" a="1"/>
  <c r="E67" i="59" s="1"/>
  <c r="CU65" i="59" a="1"/>
  <c r="CU65" i="59" s="1"/>
  <c r="BS59" i="59" a="1"/>
  <c r="BS59" i="59" s="1"/>
  <c r="V67" i="59" a="1"/>
  <c r="V67" i="59" s="1"/>
  <c r="D135" i="58" a="1"/>
  <c r="D135" i="58" s="1"/>
  <c r="G113" i="58" a="1"/>
  <c r="G113" i="58" s="1"/>
  <c r="CQ62" i="59" a="1"/>
  <c r="CQ62" i="59" s="1"/>
  <c r="BE64" i="59" a="1"/>
  <c r="BE64" i="59" s="1"/>
  <c r="F78" i="58" a="1"/>
  <c r="F78" i="58" s="1"/>
  <c r="H53" i="58" a="1"/>
  <c r="H53" i="58" s="1"/>
  <c r="BY68" i="59" a="1"/>
  <c r="BY68" i="59" s="1"/>
  <c r="DH64" i="59" a="1"/>
  <c r="DH64" i="59" s="1"/>
  <c r="BN66" i="59" a="1"/>
  <c r="BN66" i="59" s="1"/>
  <c r="N60" i="59" a="1"/>
  <c r="N60" i="59" s="1"/>
  <c r="BJ65" i="59" a="1"/>
  <c r="BJ65" i="59" s="1"/>
  <c r="H70" i="58" a="1"/>
  <c r="H70" i="58" s="1"/>
  <c r="BS57" i="59" a="1"/>
  <c r="BS57" i="59" s="1"/>
  <c r="H67" i="58" a="1"/>
  <c r="H67" i="58" s="1"/>
  <c r="Z64" i="59" a="1"/>
  <c r="Z64" i="59" s="1"/>
  <c r="G63" i="59" a="1"/>
  <c r="G63" i="59" s="1"/>
  <c r="H62" i="59" a="1"/>
  <c r="H62" i="59" s="1"/>
  <c r="H84" i="58" a="1"/>
  <c r="H84" i="58" s="1"/>
  <c r="E28" i="58" a="1"/>
  <c r="E28" i="58" s="1"/>
  <c r="CP62" i="59" a="1"/>
  <c r="CP62" i="59" s="1"/>
  <c r="AV59" i="59" a="1"/>
  <c r="AV59" i="59" s="1"/>
  <c r="E81" i="58" a="1"/>
  <c r="E81" i="58" s="1"/>
  <c r="F120" i="58" a="1"/>
  <c r="F120" i="58" s="1"/>
  <c r="AU63" i="59" a="1"/>
  <c r="AU63" i="59" s="1"/>
  <c r="D71" i="58" a="1"/>
  <c r="D71" i="58" s="1"/>
  <c r="AL66" i="59" a="1"/>
  <c r="AL66" i="59" s="1"/>
  <c r="AZ68" i="59" a="1"/>
  <c r="AZ68" i="59" s="1"/>
  <c r="I58" i="59" a="1"/>
  <c r="I58" i="59" s="1"/>
  <c r="R64" i="59" a="1"/>
  <c r="R64" i="59" s="1"/>
  <c r="C63" i="58" a="1"/>
  <c r="C63" i="58" s="1"/>
  <c r="DA57" i="59" a="1"/>
  <c r="DA57" i="59" s="1"/>
  <c r="CR64" i="59" a="1"/>
  <c r="CR64" i="59" s="1"/>
  <c r="G43" i="58" a="1"/>
  <c r="G43" i="58" s="1"/>
  <c r="AN66" i="59" a="1"/>
  <c r="AN66" i="59" s="1"/>
  <c r="P65" i="59" a="1"/>
  <c r="P65" i="59" s="1"/>
  <c r="H32" i="58" a="1"/>
  <c r="H32" i="58" s="1"/>
  <c r="AP66" i="59" a="1"/>
  <c r="AP66" i="59" s="1"/>
  <c r="CF60" i="59" a="1"/>
  <c r="CF60" i="59" s="1"/>
  <c r="DB61" i="59" a="1"/>
  <c r="DB61" i="59" s="1"/>
  <c r="AU60" i="59" a="1"/>
  <c r="AU60" i="59" s="1"/>
  <c r="E52" i="58" a="1"/>
  <c r="E52" i="58" s="1"/>
  <c r="M59" i="59" a="1"/>
  <c r="M59" i="59" s="1"/>
  <c r="C71" i="58" a="1"/>
  <c r="C71" i="58" s="1"/>
  <c r="AJ65" i="59" a="1"/>
  <c r="AJ65" i="59" s="1"/>
  <c r="C106" i="58" a="1"/>
  <c r="C106" i="58" s="1"/>
  <c r="D58" i="58" a="1"/>
  <c r="D58" i="58" s="1"/>
  <c r="AN58" i="59" a="1"/>
  <c r="AN58" i="59" s="1"/>
  <c r="I66" i="59" a="1"/>
  <c r="I66" i="59" s="1"/>
  <c r="CI59" i="59" a="1"/>
  <c r="CI59" i="59" s="1"/>
  <c r="U61" i="59" a="1"/>
  <c r="U61" i="59" s="1"/>
  <c r="K59" i="59" a="1"/>
  <c r="K59" i="59" s="1"/>
  <c r="H105" i="58" a="1"/>
  <c r="H105" i="58" s="1"/>
  <c r="CD65" i="59" a="1"/>
  <c r="CD65" i="59" s="1"/>
  <c r="AW58" i="59" a="1"/>
  <c r="AW58" i="59" s="1"/>
  <c r="H138" i="58" a="1"/>
  <c r="H138" i="58" s="1"/>
  <c r="CM68" i="59" a="1"/>
  <c r="CM68" i="59" s="1"/>
  <c r="E59" i="58" a="1"/>
  <c r="E59" i="58" s="1"/>
  <c r="E138" i="58" a="1"/>
  <c r="E138" i="58" s="1"/>
  <c r="CS61" i="59" a="1"/>
  <c r="CS61" i="59" s="1"/>
  <c r="E57" i="58" a="1"/>
  <c r="E57" i="58" s="1"/>
  <c r="C40" i="58" a="1"/>
  <c r="C40" i="58" s="1"/>
  <c r="H77" i="58" a="1"/>
  <c r="H77" i="58" s="1"/>
  <c r="V68" i="59" a="1"/>
  <c r="V68" i="59" s="1"/>
  <c r="H126" i="58" a="1"/>
  <c r="H126" i="58" s="1"/>
  <c r="O63" i="59" a="1"/>
  <c r="O63" i="59" s="1"/>
  <c r="F52" i="58" a="1"/>
  <c r="F52" i="58" s="1"/>
  <c r="E116" i="58" a="1"/>
  <c r="E116" i="58" s="1"/>
  <c r="BW66" i="59" a="1"/>
  <c r="BW66" i="59" s="1"/>
  <c r="AM63" i="59" a="1"/>
  <c r="AM63" i="59" s="1"/>
  <c r="H97" i="58" a="1"/>
  <c r="H97" i="58" s="1"/>
  <c r="D21" i="58" a="1"/>
  <c r="D21" i="58" s="1"/>
  <c r="F129" i="58" a="1"/>
  <c r="F129" i="58" s="1"/>
  <c r="Q62" i="59" a="1"/>
  <c r="Q62" i="59" s="1"/>
  <c r="CL61" i="59" a="1"/>
  <c r="CL61" i="59" s="1"/>
  <c r="D132" i="58" a="1"/>
  <c r="D132" i="58" s="1"/>
  <c r="G142" i="58" a="1"/>
  <c r="G142" i="58" s="1"/>
  <c r="CT58" i="59" a="1"/>
  <c r="CT58" i="59" s="1"/>
  <c r="C99" i="58" a="1"/>
  <c r="C99" i="58" s="1"/>
  <c r="E123" i="58" a="1"/>
  <c r="E123" i="58" s="1"/>
  <c r="AJ61" i="59" a="1"/>
  <c r="AJ61" i="59" s="1"/>
  <c r="F111" i="58" a="1"/>
  <c r="F111" i="58" s="1"/>
  <c r="CF65" i="59" a="1"/>
  <c r="CF65" i="59" s="1"/>
  <c r="D89" i="58" a="1"/>
  <c r="D89" i="58" s="1"/>
  <c r="CD66" i="59" a="1"/>
  <c r="CD66" i="59" s="1"/>
  <c r="E62" i="59" a="1"/>
  <c r="E62" i="59" s="1"/>
  <c r="L19" i="2"/>
  <c r="L6" i="2" s="1"/>
  <c r="C14" i="35" s="1"/>
  <c r="H54" i="58" a="1"/>
  <c r="H54" i="58" s="1"/>
  <c r="DC58" i="59" a="1"/>
  <c r="DC58" i="59" s="1"/>
  <c r="D60" i="58" a="1"/>
  <c r="D60" i="58" s="1"/>
  <c r="H56" i="58" a="1"/>
  <c r="H56" i="58" s="1"/>
  <c r="BL65" i="59" a="1"/>
  <c r="BL65" i="59" s="1"/>
  <c r="O64" i="59" a="1"/>
  <c r="O64" i="59" s="1"/>
  <c r="M67" i="59" a="1"/>
  <c r="M67" i="59" s="1"/>
  <c r="BX61" i="59" a="1"/>
  <c r="BX61" i="59" s="1"/>
  <c r="AS57" i="59" a="1"/>
  <c r="AS57" i="59" s="1"/>
  <c r="CT61" i="59" a="1"/>
  <c r="CT61" i="59" s="1"/>
  <c r="BR64" i="59" a="1"/>
  <c r="BR64" i="59" s="1"/>
  <c r="Y67" i="59" a="1"/>
  <c r="Y67" i="59" s="1"/>
  <c r="CQ64" i="59" a="1"/>
  <c r="CQ64" i="59" s="1"/>
  <c r="AG59" i="59" a="1"/>
  <c r="AG59" i="59" s="1"/>
  <c r="H130" i="58" a="1"/>
  <c r="H130" i="58" s="1"/>
  <c r="AI68" i="59" a="1"/>
  <c r="AI68" i="59" s="1"/>
  <c r="AF65" i="59" a="1"/>
  <c r="AF65" i="59" s="1"/>
  <c r="BH66" i="59" a="1"/>
  <c r="BH66" i="59" s="1"/>
  <c r="F59" i="58" a="1"/>
  <c r="F59" i="58" s="1"/>
  <c r="AF61" i="59" a="1"/>
  <c r="AF61" i="59" s="1"/>
  <c r="BW58" i="59" a="1"/>
  <c r="BW58" i="59" s="1"/>
  <c r="D98" i="58" a="1"/>
  <c r="D98" i="58" s="1"/>
  <c r="D131" i="58" a="1"/>
  <c r="D131" i="58" s="1"/>
  <c r="P60" i="59" a="1"/>
  <c r="P60" i="59" s="1"/>
  <c r="G56" i="58" a="1"/>
  <c r="G56" i="58" s="1"/>
  <c r="BD58" i="59" a="1"/>
  <c r="BD58" i="59" s="1"/>
  <c r="BR57" i="59" a="1"/>
  <c r="BR57" i="59" s="1"/>
  <c r="G37" i="58" a="1"/>
  <c r="G37" i="58" s="1"/>
  <c r="E63" i="58" a="1"/>
  <c r="E63" i="58" s="1"/>
  <c r="V62" i="59" a="1"/>
  <c r="V62" i="59" s="1"/>
  <c r="X58" i="59" a="1"/>
  <c r="X58" i="59" s="1"/>
  <c r="Q68" i="59" a="1"/>
  <c r="Q68" i="59" s="1"/>
  <c r="BG62" i="59" a="1"/>
  <c r="BG62" i="59" s="1"/>
  <c r="BO61" i="59" a="1"/>
  <c r="BO61" i="59" s="1"/>
  <c r="F115" i="58" a="1"/>
  <c r="F115" i="58" s="1"/>
  <c r="BH59" i="59" a="1"/>
  <c r="BH59" i="59" s="1"/>
  <c r="H96" i="58" a="1"/>
  <c r="H96" i="58" s="1"/>
  <c r="C79" i="58" a="1"/>
  <c r="C79" i="58" s="1"/>
  <c r="G94" i="58" a="1"/>
  <c r="G94" i="58" s="1"/>
  <c r="D124" i="58" a="1"/>
  <c r="D124" i="58" s="1"/>
  <c r="DG61" i="59" a="1"/>
  <c r="DG61" i="59" s="1"/>
  <c r="D34" i="58" a="1"/>
  <c r="D34" i="58" s="1"/>
  <c r="E50" i="58" a="1"/>
  <c r="E50" i="58" s="1"/>
  <c r="AW64" i="59" a="1"/>
  <c r="AW64" i="59" s="1"/>
  <c r="E115" i="58" a="1"/>
  <c r="E115" i="58" s="1"/>
  <c r="AP57" i="59" a="1"/>
  <c r="AP57" i="59" s="1"/>
  <c r="BD64" i="59" a="1"/>
  <c r="BD64" i="59" s="1"/>
  <c r="AP68" i="59" a="1"/>
  <c r="AP68" i="59" s="1"/>
  <c r="D37" i="58" a="1"/>
  <c r="D37" i="58" s="1"/>
  <c r="CN67" i="59" a="1"/>
  <c r="CN67" i="59" s="1"/>
  <c r="F118" i="58" a="1"/>
  <c r="F118" i="58" s="1"/>
  <c r="CA68" i="59" a="1"/>
  <c r="CA68" i="59" s="1"/>
  <c r="AE65" i="59" a="1"/>
  <c r="AE65" i="59" s="1"/>
  <c r="DF62" i="59" a="1"/>
  <c r="DF62" i="59" s="1"/>
  <c r="AW63" i="59" a="1"/>
  <c r="AW63" i="59" s="1"/>
  <c r="BB66" i="59" a="1"/>
  <c r="BB66" i="59" s="1"/>
  <c r="AU67" i="59" a="1"/>
  <c r="AU67" i="59" s="1"/>
  <c r="Z61" i="59" a="1"/>
  <c r="Z61" i="59" s="1"/>
  <c r="AK62" i="59" a="1"/>
  <c r="AK62" i="59" s="1"/>
  <c r="Z57" i="59" a="1"/>
  <c r="Z57" i="59" s="1"/>
  <c r="AZ67" i="59" a="1"/>
  <c r="AZ67" i="59" s="1"/>
  <c r="E124" i="58" a="1"/>
  <c r="E124" i="58" s="1"/>
  <c r="G62" i="58" a="1"/>
  <c r="G62" i="58" s="1"/>
  <c r="DG57" i="59" a="1"/>
  <c r="DG57" i="59" s="1"/>
  <c r="G52" i="58" a="1"/>
  <c r="G52" i="58" s="1"/>
  <c r="H50" i="58" a="1"/>
  <c r="H50" i="58" s="1"/>
  <c r="AU62" i="59" a="1"/>
  <c r="AU62" i="59" s="1"/>
  <c r="BX59" i="59" a="1"/>
  <c r="BX59" i="59" s="1"/>
  <c r="BX67" i="59" a="1"/>
  <c r="BX67" i="59" s="1"/>
  <c r="H139" i="58" a="1"/>
  <c r="H139" i="58" s="1"/>
  <c r="C30" i="58" a="1"/>
  <c r="C30" i="58" s="1"/>
  <c r="AJ59" i="59" a="1"/>
  <c r="AJ59" i="59" s="1"/>
  <c r="F123" i="58" a="1"/>
  <c r="F123" i="58" s="1"/>
  <c r="F64" i="58" a="1"/>
  <c r="F64" i="58" s="1"/>
  <c r="DE64" i="59" a="1"/>
  <c r="DE64" i="59" s="1"/>
  <c r="DD57" i="59" a="1"/>
  <c r="DD57" i="59" s="1"/>
  <c r="BH65" i="59" a="1"/>
  <c r="BH65" i="59" s="1"/>
  <c r="F51" i="58" a="1"/>
  <c r="F51" i="58" s="1"/>
  <c r="BJ63" i="59" a="1"/>
  <c r="BJ63" i="59" s="1"/>
  <c r="D61" i="59" a="1"/>
  <c r="D61" i="59" s="1"/>
  <c r="CJ63" i="59" a="1"/>
  <c r="CJ63" i="59" s="1"/>
  <c r="C84" i="58" a="1"/>
  <c r="C84" i="58" s="1"/>
  <c r="DG59" i="59" a="1"/>
  <c r="DG59" i="59" s="1"/>
  <c r="BR62" i="59" a="1"/>
  <c r="BR62" i="59" s="1"/>
  <c r="C128" i="58" a="1"/>
  <c r="C128" i="58" s="1"/>
  <c r="BM61" i="59" a="1"/>
  <c r="BM61" i="59" s="1"/>
  <c r="CW67" i="59" a="1"/>
  <c r="CW67" i="59" s="1"/>
  <c r="G91" i="58" a="1"/>
  <c r="G91" i="58" s="1"/>
  <c r="G115" i="58" a="1"/>
  <c r="G115" i="58" s="1"/>
  <c r="BX64" i="59" a="1"/>
  <c r="BX64" i="59" s="1"/>
  <c r="BL59" i="59" a="1"/>
  <c r="BL59" i="59" s="1"/>
  <c r="AR57" i="59" a="1"/>
  <c r="AR57" i="59" s="1"/>
  <c r="AS62" i="59" a="1"/>
  <c r="AS62" i="59" s="1"/>
  <c r="C92" i="58" a="1"/>
  <c r="C92" i="58" s="1"/>
  <c r="D31" i="58" a="1"/>
  <c r="D31" i="58" s="1"/>
  <c r="E119" i="58" a="1"/>
  <c r="E119" i="58" s="1"/>
  <c r="AW66" i="59" a="1"/>
  <c r="AW66" i="59" s="1"/>
  <c r="Z68" i="59" a="1"/>
  <c r="Z68" i="59" s="1"/>
  <c r="O59" i="59" a="1"/>
  <c r="O59" i="59" s="1"/>
  <c r="CN68" i="59" a="1"/>
  <c r="CN68" i="59" s="1"/>
  <c r="Z66" i="59" a="1"/>
  <c r="Z66" i="59" s="1"/>
  <c r="CI66" i="59" a="1"/>
  <c r="CI66" i="59" s="1"/>
  <c r="AN60" i="59" a="1"/>
  <c r="AN60" i="59" s="1"/>
  <c r="F25" i="58" a="1"/>
  <c r="F25" i="58" s="1"/>
  <c r="AU59" i="59" a="1"/>
  <c r="AU59" i="59" s="1"/>
  <c r="H65" i="58" a="1"/>
  <c r="H65" i="58" s="1"/>
  <c r="G38" i="58" a="1"/>
  <c r="G38" i="58" s="1"/>
  <c r="F83" i="58" a="1"/>
  <c r="F83" i="58" s="1"/>
  <c r="C62" i="58" a="1"/>
  <c r="C62" i="58" s="1"/>
  <c r="CV59" i="59" a="1"/>
  <c r="CV59" i="59" s="1"/>
  <c r="C119" i="58" a="1"/>
  <c r="C119" i="58" s="1"/>
  <c r="C60" i="58" a="1"/>
  <c r="C60" i="58" s="1"/>
  <c r="D77" i="58" a="1"/>
  <c r="D77" i="58" s="1"/>
  <c r="CX67" i="59" a="1"/>
  <c r="CX67" i="59" s="1"/>
  <c r="H99" i="58" a="1"/>
  <c r="H99" i="58" s="1"/>
  <c r="AW67" i="59" a="1"/>
  <c r="AW67" i="59" s="1"/>
  <c r="E120" i="58" a="1"/>
  <c r="E120" i="58" s="1"/>
  <c r="BX68" i="59" a="1"/>
  <c r="BX68" i="59" s="1"/>
  <c r="DE65" i="59" a="1"/>
  <c r="DE65" i="59" s="1"/>
  <c r="CV67" i="59" a="1"/>
  <c r="CV67" i="59" s="1"/>
  <c r="AQ58" i="59" a="1"/>
  <c r="AQ58" i="59" s="1"/>
  <c r="AF57" i="59" a="1"/>
  <c r="AF57" i="59" s="1"/>
  <c r="BU60" i="59" a="1"/>
  <c r="BU60" i="59" s="1"/>
  <c r="AI66" i="59" a="1"/>
  <c r="AI66" i="59" s="1"/>
  <c r="Q66" i="59" a="1"/>
  <c r="Q66" i="59" s="1"/>
  <c r="O60" i="59" a="1"/>
  <c r="O60" i="59" s="1"/>
  <c r="D95" i="58" a="1"/>
  <c r="D95" i="58" s="1"/>
  <c r="CG59" i="59" a="1"/>
  <c r="CG59" i="59" s="1"/>
  <c r="K58" i="59" a="1"/>
  <c r="K58" i="59" s="1"/>
  <c r="DB60" i="59" a="1"/>
  <c r="DB60" i="59" s="1"/>
  <c r="H140" i="58" a="1"/>
  <c r="H140" i="58" s="1"/>
  <c r="M66" i="59" a="1"/>
  <c r="M66" i="59" s="1"/>
  <c r="CZ61" i="59" a="1"/>
  <c r="CZ61" i="59" s="1"/>
  <c r="E53" i="58" a="1"/>
  <c r="E53" i="58" s="1"/>
  <c r="CC67" i="59" a="1"/>
  <c r="CC67" i="59" s="1"/>
  <c r="DF63" i="59" a="1"/>
  <c r="DF63" i="59" s="1"/>
  <c r="E91" i="58" a="1"/>
  <c r="E91" i="58" s="1"/>
  <c r="H24" i="58" a="1"/>
  <c r="H24" i="58" s="1"/>
  <c r="D42" i="58" a="1"/>
  <c r="D42" i="58" s="1"/>
  <c r="BJ64" i="59" a="1"/>
  <c r="BJ64" i="59" s="1"/>
  <c r="J68" i="59" a="1"/>
  <c r="J68" i="59" s="1"/>
  <c r="CC60" i="59" a="1"/>
  <c r="CC60" i="59" s="1"/>
  <c r="G61" i="58" a="1"/>
  <c r="G61" i="58" s="1"/>
  <c r="AD62" i="59" a="1"/>
  <c r="AD62" i="59" s="1"/>
  <c r="E108" i="58" a="1"/>
  <c r="E108" i="58" s="1"/>
  <c r="C123" i="58" a="1"/>
  <c r="C123" i="58" s="1"/>
  <c r="G48" i="58" a="1"/>
  <c r="G48" i="58" s="1"/>
  <c r="AX58" i="59" a="1"/>
  <c r="AX58" i="59" s="1"/>
  <c r="H66" i="58" a="1"/>
  <c r="H66" i="58" s="1"/>
  <c r="C56" i="58" a="1"/>
  <c r="C56" i="58" s="1"/>
  <c r="G109" i="58" a="1"/>
  <c r="G109" i="58" s="1"/>
  <c r="C57" i="58" a="1"/>
  <c r="C57" i="58" s="1"/>
  <c r="BE62" i="59" a="1"/>
  <c r="BE62" i="59" s="1"/>
  <c r="AK63" i="59" a="1"/>
  <c r="AK63" i="59" s="1"/>
  <c r="G47" i="58" a="1"/>
  <c r="G47" i="58" s="1"/>
  <c r="R62" i="59" a="1"/>
  <c r="R62" i="59" s="1"/>
  <c r="F47" i="58" a="1"/>
  <c r="F47" i="58" s="1"/>
  <c r="BM62" i="59" a="1"/>
  <c r="BM62" i="59" s="1"/>
  <c r="DD62" i="59" a="1"/>
  <c r="DD62" i="59" s="1"/>
  <c r="BE61" i="59" a="1"/>
  <c r="BE61" i="59" s="1"/>
  <c r="CY58" i="59" a="1"/>
  <c r="CY58" i="59" s="1"/>
  <c r="CP59" i="59" a="1"/>
  <c r="CP59" i="59" s="1"/>
  <c r="E32" i="58" a="1"/>
  <c r="E32" i="58" s="1"/>
  <c r="E57" i="59" a="1"/>
  <c r="E57" i="59" s="1"/>
  <c r="BG63" i="59" a="1"/>
  <c r="BG63" i="59" s="1"/>
  <c r="DF65" i="59" a="1"/>
  <c r="DF65" i="59" s="1"/>
  <c r="D24" i="58" a="1"/>
  <c r="D24" i="58" s="1"/>
  <c r="K65" i="59" a="1"/>
  <c r="K65" i="59" s="1"/>
  <c r="CM67" i="59" a="1"/>
  <c r="CM67" i="59" s="1"/>
  <c r="AY58" i="59" a="1"/>
  <c r="AY58" i="59" s="1"/>
  <c r="N65" i="59" a="1"/>
  <c r="N65" i="59" s="1"/>
  <c r="F140" i="58" a="1"/>
  <c r="F140" i="58" s="1"/>
  <c r="B19" i="2"/>
  <c r="B6" i="2" s="1"/>
  <c r="C3" i="10" s="1"/>
  <c r="DE58" i="59" a="1"/>
  <c r="DE58" i="59" s="1"/>
  <c r="G70" i="58" a="1"/>
  <c r="G70" i="58" s="1"/>
  <c r="AG68" i="59" a="1"/>
  <c r="AG68" i="59" s="1"/>
  <c r="CW61" i="59" a="1"/>
  <c r="CW61" i="59" s="1"/>
  <c r="G123" i="58" a="1"/>
  <c r="G123" i="58" s="1"/>
  <c r="L66" i="59" a="1"/>
  <c r="L66" i="59" s="1"/>
  <c r="CF58" i="59" a="1"/>
  <c r="CF58" i="59" s="1"/>
  <c r="BA64" i="59" a="1"/>
  <c r="BA64" i="59" s="1"/>
  <c r="G127" i="58" a="1"/>
  <c r="G127" i="58" s="1"/>
  <c r="CJ61" i="59" a="1"/>
  <c r="CJ61" i="59" s="1"/>
  <c r="AI65" i="59" a="1"/>
  <c r="AI65" i="59" s="1"/>
  <c r="H95" i="58" a="1"/>
  <c r="H95" i="58" s="1"/>
  <c r="AE64" i="59" a="1"/>
  <c r="AE64" i="59" s="1"/>
  <c r="BP59" i="59" a="1"/>
  <c r="BP59" i="59" s="1"/>
  <c r="E20" i="58" a="1"/>
  <c r="E20" i="58" s="1"/>
  <c r="H134" i="58" a="1"/>
  <c r="H134" i="58" s="1"/>
  <c r="D48" i="58" a="1"/>
  <c r="D48" i="58" s="1"/>
  <c r="C21" i="58" a="1"/>
  <c r="C21" i="58" s="1"/>
  <c r="AE67" i="59" a="1"/>
  <c r="AE67" i="59" s="1"/>
  <c r="D142" i="58" a="1"/>
  <c r="D142" i="58" s="1"/>
  <c r="AC61" i="59" a="1"/>
  <c r="AC61" i="59" s="1"/>
  <c r="BT64" i="59" a="1"/>
  <c r="BT64" i="59" s="1"/>
  <c r="D108" i="58" a="1"/>
  <c r="D108" i="58" s="1"/>
  <c r="D129" i="58" a="1"/>
  <c r="D129" i="58" s="1"/>
  <c r="D121" i="58" a="1"/>
  <c r="D121" i="58" s="1"/>
  <c r="Q63" i="59" a="1"/>
  <c r="Q63" i="59" s="1"/>
  <c r="F139" i="58" a="1"/>
  <c r="F139" i="58" s="1"/>
  <c r="AO67" i="59" a="1"/>
  <c r="AO67" i="59" s="1"/>
  <c r="F81" i="58" a="1"/>
  <c r="F81" i="58" s="1"/>
  <c r="G96" i="58" a="1"/>
  <c r="G96" i="58" s="1"/>
  <c r="C68" i="58" a="1"/>
  <c r="C68" i="58" s="1"/>
  <c r="BI59" i="59" a="1"/>
  <c r="BI59" i="59" s="1"/>
  <c r="DA68" i="59" a="1"/>
  <c r="DA68" i="59" s="1"/>
  <c r="CC58" i="59" a="1"/>
  <c r="CC58" i="59" s="1"/>
  <c r="C37" i="58" a="1"/>
  <c r="C37" i="58" s="1"/>
  <c r="AR64" i="59" a="1"/>
  <c r="AR64" i="59" s="1"/>
  <c r="L62" i="59" a="1"/>
  <c r="L62" i="59" s="1"/>
  <c r="C32" i="58" a="1"/>
  <c r="C32" i="58" s="1"/>
  <c r="D26" i="58" a="1"/>
  <c r="D26" i="58" s="1"/>
  <c r="R57" i="59" a="1"/>
  <c r="R57" i="59" s="1"/>
  <c r="C111" i="58" a="1"/>
  <c r="C111" i="58" s="1"/>
  <c r="CQ59" i="59" a="1"/>
  <c r="CQ59" i="59" s="1"/>
  <c r="T68" i="59" a="1"/>
  <c r="T68" i="59" s="1"/>
  <c r="AI60" i="59" a="1"/>
  <c r="AI60" i="59" s="1"/>
  <c r="T67" i="59" a="1"/>
  <c r="T67" i="59" s="1"/>
  <c r="CH66" i="59" a="1"/>
  <c r="CH66" i="59" s="1"/>
  <c r="H132" i="58" a="1"/>
  <c r="H132" i="58" s="1"/>
  <c r="CJ58" i="59" a="1"/>
  <c r="CJ58" i="59" s="1"/>
  <c r="CD60" i="59" a="1"/>
  <c r="CD60" i="59" s="1"/>
  <c r="BQ64" i="59" a="1"/>
  <c r="BQ64" i="59" s="1"/>
  <c r="BG57" i="59" a="1"/>
  <c r="BG57" i="59" s="1"/>
  <c r="H107" i="58" a="1"/>
  <c r="H107" i="58" s="1"/>
  <c r="CI64" i="59" a="1"/>
  <c r="CI64" i="59" s="1"/>
  <c r="AQ63" i="59" a="1"/>
  <c r="AQ63" i="59" s="1"/>
  <c r="CT65" i="59" a="1"/>
  <c r="CT65" i="59" s="1"/>
  <c r="AY61" i="59" a="1"/>
  <c r="AY61" i="59" s="1"/>
  <c r="I60" i="59" a="1"/>
  <c r="I60" i="59" s="1"/>
  <c r="F65" i="58" a="1"/>
  <c r="F65" i="58" s="1"/>
  <c r="D58" i="59" a="1"/>
  <c r="D58" i="59" s="1"/>
  <c r="CC61" i="59" a="1"/>
  <c r="CC61" i="59" s="1"/>
  <c r="R68" i="59" a="1"/>
  <c r="R68" i="59" s="1"/>
  <c r="CE62" i="59" a="1"/>
  <c r="CE62" i="59" s="1"/>
  <c r="G60" i="59" a="1"/>
  <c r="G60" i="59" s="1"/>
  <c r="AN62" i="59" a="1"/>
  <c r="AN62" i="59" s="1"/>
  <c r="BU57" i="59" a="1"/>
  <c r="BU57" i="59" s="1"/>
  <c r="O58" i="59" a="1"/>
  <c r="O58" i="59" s="1"/>
  <c r="AT62" i="59" a="1"/>
  <c r="AT62" i="59" s="1"/>
  <c r="W63" i="59" a="1"/>
  <c r="W63" i="59" s="1"/>
  <c r="D35" i="58" a="1"/>
  <c r="D35" i="58" s="1"/>
  <c r="F63" i="58" a="1"/>
  <c r="F63" i="58" s="1"/>
  <c r="H100" i="58" a="1"/>
  <c r="H100" i="58" s="1"/>
  <c r="BU63" i="59" a="1"/>
  <c r="BU63" i="59" s="1"/>
  <c r="E71" i="58" a="1"/>
  <c r="E71" i="58" s="1"/>
  <c r="BQ61" i="59" a="1"/>
  <c r="BQ61" i="59" s="1"/>
  <c r="V65" i="59" a="1"/>
  <c r="V65" i="59" s="1"/>
  <c r="U60" i="59" a="1"/>
  <c r="U60" i="59" s="1"/>
  <c r="CO64" i="59" a="1"/>
  <c r="CO64" i="59" s="1"/>
  <c r="AR59" i="59" a="1"/>
  <c r="AR59" i="59" s="1"/>
  <c r="BL60" i="59" a="1"/>
  <c r="BL60" i="59" s="1"/>
  <c r="D104" i="58" a="1"/>
  <c r="D104" i="58" s="1"/>
  <c r="C29" i="58" a="1"/>
  <c r="C29" i="58" s="1"/>
  <c r="H78" i="58" a="1"/>
  <c r="H78" i="58" s="1"/>
  <c r="D118" i="58" a="1"/>
  <c r="D118" i="58" s="1"/>
  <c r="BA66" i="59" a="1"/>
  <c r="BA66" i="59" s="1"/>
  <c r="F75" i="58" a="1"/>
  <c r="F75" i="58" s="1"/>
  <c r="F122" i="58" a="1"/>
  <c r="F122" i="58" s="1"/>
  <c r="BB64" i="59" a="1"/>
  <c r="BB64" i="59" s="1"/>
  <c r="AR60" i="59" a="1"/>
  <c r="AR60" i="59" s="1"/>
  <c r="CJ66" i="59" a="1"/>
  <c r="CJ66" i="59" s="1"/>
  <c r="CO61" i="59" a="1"/>
  <c r="CO61" i="59" s="1"/>
  <c r="N68" i="59" a="1"/>
  <c r="N68" i="59" s="1"/>
  <c r="D23" i="58" a="1"/>
  <c r="D23" i="58" s="1"/>
  <c r="C95" i="58" a="1"/>
  <c r="C95" i="58" s="1"/>
  <c r="BH60" i="59" a="1"/>
  <c r="BH60" i="59" s="1"/>
  <c r="BZ60" i="59" a="1"/>
  <c r="BZ60" i="59" s="1"/>
  <c r="D92" i="58" a="1"/>
  <c r="D92" i="58" s="1"/>
  <c r="H91" i="58" a="1"/>
  <c r="H91" i="58" s="1"/>
  <c r="R60" i="59" a="1"/>
  <c r="R60" i="59" s="1"/>
  <c r="U58" i="59" a="1"/>
  <c r="U58" i="59" s="1"/>
  <c r="AJ62" i="59" a="1"/>
  <c r="AJ62" i="59" s="1"/>
  <c r="BV61" i="59" a="1"/>
  <c r="BV61" i="59" s="1"/>
  <c r="W65" i="59" a="1"/>
  <c r="W65" i="59" s="1"/>
  <c r="BX63" i="59" a="1"/>
  <c r="BX63" i="59" s="1"/>
  <c r="D117" i="58" a="1"/>
  <c r="D117" i="58" s="1"/>
  <c r="AI57" i="59" a="1"/>
  <c r="AI57" i="59" s="1"/>
  <c r="G18" i="2"/>
  <c r="I18" i="2" s="1"/>
  <c r="J18" i="2" s="1"/>
  <c r="DE68" i="59" a="1"/>
  <c r="DE68" i="59" s="1"/>
  <c r="N58" i="59" a="1"/>
  <c r="N58" i="59" s="1"/>
  <c r="CK68" i="59" a="1"/>
  <c r="CK68" i="59" s="1"/>
  <c r="AG66" i="59" a="1"/>
  <c r="AG66" i="59" s="1"/>
  <c r="CI67" i="59" a="1"/>
  <c r="CI67" i="59" s="1"/>
  <c r="C93" i="58" a="1"/>
  <c r="C93" i="58" s="1"/>
  <c r="H83" i="58" a="1"/>
  <c r="H83" i="58" s="1"/>
  <c r="X64" i="59" a="1"/>
  <c r="X64" i="59" s="1"/>
  <c r="AG62" i="59" a="1"/>
  <c r="AG62" i="59" s="1"/>
  <c r="CK67" i="59" a="1"/>
  <c r="CK67" i="59" s="1"/>
  <c r="CZ62" i="59" a="1"/>
  <c r="CZ62" i="59" s="1"/>
  <c r="BI67" i="59" a="1"/>
  <c r="BI67" i="59" s="1"/>
  <c r="H141" i="58" a="1"/>
  <c r="H141" i="58" s="1"/>
  <c r="DA67" i="59" a="1"/>
  <c r="DA67" i="59" s="1"/>
  <c r="BO63" i="59" a="1"/>
  <c r="BO63" i="59" s="1"/>
  <c r="T65" i="59" a="1"/>
  <c r="T65" i="59" s="1"/>
  <c r="C42" i="58" a="1"/>
  <c r="C42" i="58" s="1"/>
  <c r="AD67" i="59" a="1"/>
  <c r="AD67" i="59" s="1"/>
  <c r="E89" i="58" a="1"/>
  <c r="E89" i="58" s="1"/>
  <c r="H102" i="58" a="1"/>
  <c r="H102" i="58" s="1"/>
  <c r="Y63" i="59" a="1"/>
  <c r="Y63" i="59" s="1"/>
  <c r="AH60" i="59" a="1"/>
  <c r="AH60" i="59" s="1"/>
  <c r="BM59" i="59" a="1"/>
  <c r="BM59" i="59" s="1"/>
  <c r="BG59" i="59" a="1"/>
  <c r="BG59" i="59" s="1"/>
  <c r="Q60" i="59" a="1"/>
  <c r="Q60" i="59" s="1"/>
  <c r="BP63" i="59" a="1"/>
  <c r="BP63" i="59" s="1"/>
  <c r="AP59" i="59" a="1"/>
  <c r="AP59" i="59" s="1"/>
  <c r="N61" i="59" a="1"/>
  <c r="N61" i="59" s="1"/>
  <c r="AZ60" i="59" a="1"/>
  <c r="AZ60" i="59" s="1"/>
  <c r="H66" i="59" a="1"/>
  <c r="H66" i="59" s="1"/>
  <c r="Q58" i="59" a="1"/>
  <c r="Q58" i="59" s="1"/>
  <c r="CW62" i="59" a="1"/>
  <c r="CW62" i="59" s="1"/>
  <c r="R65" i="59" a="1"/>
  <c r="R65" i="59" s="1"/>
  <c r="C130" i="58" a="1"/>
  <c r="C130" i="58" s="1"/>
  <c r="F135" i="58" a="1"/>
  <c r="F135" i="58" s="1"/>
  <c r="BW59" i="59" a="1"/>
  <c r="BW59" i="59" s="1"/>
  <c r="F65" i="59" a="1"/>
  <c r="F65" i="59" s="1"/>
  <c r="G40" i="58" a="1"/>
  <c r="G40" i="58" s="1"/>
  <c r="BR58" i="59" a="1"/>
  <c r="BR58" i="59" s="1"/>
  <c r="BS58" i="59" a="1"/>
  <c r="BS58" i="59" s="1"/>
  <c r="CI57" i="59" a="1"/>
  <c r="CI57" i="59" s="1"/>
  <c r="CJ59" i="59" a="1"/>
  <c r="CJ59" i="59" s="1"/>
  <c r="D39" i="58" a="1"/>
  <c r="D39" i="58" s="1"/>
  <c r="H44" i="58" a="1"/>
  <c r="H44" i="58" s="1"/>
  <c r="D84" i="58" a="1"/>
  <c r="D84" i="58" s="1"/>
  <c r="D19" i="58" a="1"/>
  <c r="D19" i="58" s="1"/>
  <c r="CM66" i="59" a="1"/>
  <c r="CM66" i="59" s="1"/>
  <c r="D114" i="58" a="1"/>
  <c r="D114" i="58" s="1"/>
  <c r="E69" i="58" a="1"/>
  <c r="E69" i="58" s="1"/>
  <c r="E84" i="58" a="1"/>
  <c r="E84" i="58" s="1"/>
  <c r="AB59" i="59" a="1"/>
  <c r="AB59" i="59" s="1"/>
  <c r="G99" i="58" a="1"/>
  <c r="G99" i="58" s="1"/>
  <c r="CH59" i="59" a="1"/>
  <c r="CH59" i="59" s="1"/>
  <c r="F109" i="58" a="1"/>
  <c r="F109" i="58" s="1"/>
  <c r="BM63" i="59" a="1"/>
  <c r="BM63" i="59" s="1"/>
  <c r="F62" i="59" a="1"/>
  <c r="F62" i="59" s="1"/>
  <c r="G66" i="59" a="1"/>
  <c r="G66" i="59" s="1"/>
  <c r="AU64" i="59" a="1"/>
  <c r="AU64" i="59" s="1"/>
  <c r="BG58" i="59" a="1"/>
  <c r="BG58" i="59" s="1"/>
  <c r="G64" i="59" a="1"/>
  <c r="G64" i="59" s="1"/>
  <c r="D107" i="58" a="1"/>
  <c r="D107" i="58" s="1"/>
  <c r="F125" i="58" a="1"/>
  <c r="F125" i="58" s="1"/>
  <c r="CE60" i="59" a="1"/>
  <c r="CE60" i="59" s="1"/>
  <c r="F76" i="58" a="1"/>
  <c r="F76" i="58" s="1"/>
  <c r="C46" i="58" a="1"/>
  <c r="C46" i="58" s="1"/>
  <c r="D66" i="59" a="1"/>
  <c r="D66" i="59" s="1"/>
  <c r="BF68" i="59" a="1"/>
  <c r="BF68" i="59" s="1"/>
  <c r="P57" i="59" a="1"/>
  <c r="P57" i="59" s="1"/>
  <c r="BF63" i="59" a="1"/>
  <c r="BF63" i="59" s="1"/>
  <c r="F72" i="58" a="1"/>
  <c r="F72" i="58" s="1"/>
  <c r="CA67" i="59" a="1"/>
  <c r="CA67" i="59" s="1"/>
  <c r="CL67" i="59" a="1"/>
  <c r="CL67" i="59" s="1"/>
  <c r="DF66" i="59" a="1"/>
  <c r="DF66" i="59" s="1"/>
  <c r="G128" i="58" a="1"/>
  <c r="G128" i="58" s="1"/>
  <c r="S64" i="59" a="1"/>
  <c r="S64" i="59" s="1"/>
  <c r="CF61" i="59" a="1"/>
  <c r="CF61" i="59" s="1"/>
  <c r="G82" i="58" a="1"/>
  <c r="G82" i="58" s="1"/>
  <c r="AA66" i="59" a="1"/>
  <c r="AA66" i="59" s="1"/>
  <c r="J66" i="59" a="1"/>
  <c r="J66" i="59" s="1"/>
  <c r="G68" i="59" a="1"/>
  <c r="G68" i="59" s="1"/>
  <c r="BH62" i="59" a="1"/>
  <c r="BH62" i="59" s="1"/>
  <c r="AO64" i="59" a="1"/>
  <c r="AO64" i="59" s="1"/>
  <c r="BK59" i="59" a="1"/>
  <c r="BK59" i="59" s="1"/>
  <c r="D103" i="58" a="1"/>
  <c r="D103" i="58" s="1"/>
  <c r="G130" i="58" a="1"/>
  <c r="G130" i="58" s="1"/>
  <c r="G138" i="58" a="1"/>
  <c r="G138" i="58" s="1"/>
  <c r="BY64" i="59" a="1"/>
  <c r="BY64" i="59" s="1"/>
  <c r="AM58" i="59" a="1"/>
  <c r="AM58" i="59" s="1"/>
  <c r="CO62" i="59" a="1"/>
  <c r="CO62" i="59" s="1"/>
  <c r="E86" i="58" a="1"/>
  <c r="E86" i="58" s="1"/>
  <c r="BE68" i="59" a="1"/>
  <c r="BE68" i="59" s="1"/>
  <c r="V66" i="59" a="1"/>
  <c r="V66" i="59" s="1"/>
  <c r="DF68" i="59" a="1"/>
  <c r="DF68" i="59" s="1"/>
  <c r="BO62" i="59" a="1"/>
  <c r="BO62" i="59" s="1"/>
  <c r="W68" i="59" a="1"/>
  <c r="W68" i="59" s="1"/>
  <c r="CM60" i="59" a="1"/>
  <c r="CM60" i="59" s="1"/>
  <c r="CD67" i="59" a="1"/>
  <c r="CD67" i="59" s="1"/>
  <c r="F100" i="58" a="1"/>
  <c r="F100" i="58" s="1"/>
  <c r="BZ57" i="59" a="1"/>
  <c r="BZ57" i="59" s="1"/>
  <c r="C24" i="58" a="1"/>
  <c r="C24" i="58" s="1"/>
  <c r="E63" i="59" a="1"/>
  <c r="E63" i="59" s="1"/>
  <c r="AX67" i="59" a="1"/>
  <c r="AX67" i="59" s="1"/>
  <c r="H73" i="58" a="1"/>
  <c r="H73" i="58" s="1"/>
  <c r="Z59" i="59" a="1"/>
  <c r="Z59" i="59" s="1"/>
  <c r="CA63" i="59" a="1"/>
  <c r="CA63" i="59" s="1"/>
  <c r="E125" i="58" a="1"/>
  <c r="E125" i="58" s="1"/>
  <c r="M58" i="59" a="1"/>
  <c r="M58" i="59" s="1"/>
  <c r="G104" i="58" a="1"/>
  <c r="G104" i="58" s="1"/>
  <c r="C28" i="58" a="1"/>
  <c r="C28" i="58" s="1"/>
  <c r="CZ58" i="59" a="1"/>
  <c r="CZ58" i="59" s="1"/>
  <c r="J58" i="59" a="1"/>
  <c r="J58" i="59" s="1"/>
  <c r="CE61" i="59" a="1"/>
  <c r="CE61" i="59" s="1"/>
  <c r="BS67" i="59" a="1"/>
  <c r="BS67" i="59" s="1"/>
  <c r="D61" i="58" a="1"/>
  <c r="D61" i="58" s="1"/>
  <c r="H123" i="58" a="1"/>
  <c r="H123" i="58" s="1"/>
  <c r="E65" i="58" a="1"/>
  <c r="E65" i="58" s="1"/>
  <c r="E51" i="58" a="1"/>
  <c r="E51" i="58" s="1"/>
  <c r="BG64" i="59" a="1"/>
  <c r="BG64" i="59" s="1"/>
  <c r="CY64" i="59" a="1"/>
  <c r="CY64" i="59" s="1"/>
  <c r="C65" i="58" a="1"/>
  <c r="C65" i="58" s="1"/>
  <c r="AG65" i="59" a="1"/>
  <c r="AG65" i="59" s="1"/>
  <c r="BD62" i="59" a="1"/>
  <c r="BD62" i="59" s="1"/>
  <c r="L64" i="59" a="1"/>
  <c r="L64" i="59" s="1"/>
  <c r="AI62" i="59" a="1"/>
  <c r="AI62" i="59" s="1"/>
  <c r="BT59" i="59" a="1"/>
  <c r="BT59" i="59" s="1"/>
  <c r="BR67" i="59" a="1"/>
  <c r="BR67" i="59" s="1"/>
  <c r="AC58" i="59" a="1"/>
  <c r="AC58" i="59" s="1"/>
  <c r="T59" i="59" a="1"/>
  <c r="T59" i="59" s="1"/>
  <c r="CV62" i="59" a="1"/>
  <c r="CV62" i="59" s="1"/>
  <c r="C109" i="58" a="1"/>
  <c r="C109" i="58" s="1"/>
  <c r="CV60" i="59" a="1"/>
  <c r="CV60" i="59" s="1"/>
  <c r="D76" i="58" a="1"/>
  <c r="D76" i="58" s="1"/>
  <c r="CR67" i="59" a="1"/>
  <c r="CR67" i="59" s="1"/>
  <c r="R63" i="59" a="1"/>
  <c r="R63" i="59" s="1"/>
  <c r="CV66" i="59" a="1"/>
  <c r="CV66" i="59" s="1"/>
  <c r="BW65" i="59" a="1"/>
  <c r="BW65" i="59" s="1"/>
  <c r="BT68" i="59" a="1"/>
  <c r="BT68" i="59" s="1"/>
  <c r="K57" i="59" a="1"/>
  <c r="K57" i="59" s="1"/>
  <c r="G19" i="58" a="1"/>
  <c r="G19" i="58" s="1"/>
  <c r="BL64" i="59" a="1"/>
  <c r="BL64" i="59" s="1"/>
  <c r="R61" i="59" a="1"/>
  <c r="R61" i="59" s="1"/>
  <c r="AH58" i="59" a="1"/>
  <c r="AH58" i="59" s="1"/>
  <c r="AL64" i="59" a="1"/>
  <c r="AL64" i="59" s="1"/>
  <c r="E18" i="58" a="1"/>
  <c r="E18" i="58" s="1"/>
  <c r="F43" i="58" a="1"/>
  <c r="F43" i="58" s="1"/>
  <c r="CQ58" i="59" a="1"/>
  <c r="CQ58" i="59" s="1"/>
  <c r="CH60" i="59" a="1"/>
  <c r="CH60" i="59" s="1"/>
  <c r="G34" i="58" a="1"/>
  <c r="G34" i="58" s="1"/>
  <c r="O68" i="59" a="1"/>
  <c r="O68" i="59" s="1"/>
  <c r="BO60" i="59" a="1"/>
  <c r="BO60" i="59" s="1"/>
  <c r="CH64" i="59" a="1"/>
  <c r="CH64" i="59" s="1"/>
  <c r="E95" i="58" a="1"/>
  <c r="E95" i="58" s="1"/>
  <c r="AA64" i="59" a="1"/>
  <c r="AA64" i="59" s="1"/>
  <c r="BH68" i="59" a="1"/>
  <c r="BH68" i="59" s="1"/>
  <c r="DD63" i="59" a="1"/>
  <c r="DD63" i="59" s="1"/>
  <c r="D87" i="58" a="1"/>
  <c r="D87" i="58" s="1"/>
  <c r="H39" i="58" a="1"/>
  <c r="H39" i="58" s="1"/>
  <c r="BT58" i="59" a="1"/>
  <c r="BT58" i="59" s="1"/>
  <c r="D116" i="58" a="1"/>
  <c r="D116" i="58" s="1"/>
  <c r="F133" i="58" a="1"/>
  <c r="F133" i="58" s="1"/>
  <c r="H108" i="58" a="1"/>
  <c r="H108" i="58" s="1"/>
  <c r="BO57" i="59" a="1"/>
  <c r="BO57" i="59" s="1"/>
  <c r="BU66" i="59" a="1"/>
  <c r="BU66" i="59" s="1"/>
  <c r="D91" i="58" a="1"/>
  <c r="D91" i="58" s="1"/>
  <c r="D86" i="58" a="1"/>
  <c r="D86" i="58" s="1"/>
  <c r="G31" i="58" a="1"/>
  <c r="G31" i="58" s="1"/>
  <c r="E94" i="58" a="1"/>
  <c r="E94" i="58" s="1"/>
  <c r="BL61" i="59" a="1"/>
  <c r="BL61" i="59" s="1"/>
  <c r="C113" i="58" a="1"/>
  <c r="C113" i="58" s="1"/>
  <c r="X60" i="59" a="1"/>
  <c r="X60" i="59" s="1"/>
  <c r="T64" i="59" a="1"/>
  <c r="T64" i="59" s="1"/>
  <c r="CN57" i="59" a="1"/>
  <c r="CN57" i="59" s="1"/>
  <c r="DC65" i="59" a="1"/>
  <c r="DC65" i="59" s="1"/>
  <c r="F90" i="58" a="1"/>
  <c r="F90" i="58" s="1"/>
  <c r="AD57" i="59" a="1"/>
  <c r="AD57" i="59" s="1"/>
  <c r="DG60" i="59" a="1"/>
  <c r="DG60" i="59" s="1"/>
  <c r="V61" i="59" a="1"/>
  <c r="V61" i="59" s="1"/>
  <c r="C18" i="58" a="1"/>
  <c r="C18" i="58" s="1"/>
  <c r="AF59" i="59" a="1"/>
  <c r="AF59" i="59" s="1"/>
  <c r="C108" i="58" a="1"/>
  <c r="C108" i="58" s="1"/>
  <c r="BM66" i="59" a="1"/>
  <c r="BM66" i="59" s="1"/>
  <c r="CO66" i="59" a="1"/>
  <c r="CO66" i="59" s="1"/>
  <c r="DB63" i="59" a="1"/>
  <c r="DB63" i="59" s="1"/>
  <c r="C20" i="58" a="1"/>
  <c r="C20" i="58" s="1"/>
  <c r="BU59" i="59" a="1"/>
  <c r="BU59" i="59" s="1"/>
  <c r="F97" i="58" a="1"/>
  <c r="F97" i="58" s="1"/>
  <c r="V58" i="59" a="1"/>
  <c r="V58" i="59" s="1"/>
  <c r="AB65" i="59" a="1"/>
  <c r="AB65" i="59" s="1"/>
  <c r="H43" i="58" a="1"/>
  <c r="H43" i="58" s="1"/>
  <c r="F60" i="58" a="1"/>
  <c r="F60" i="58" s="1"/>
  <c r="E45" i="58" a="1"/>
  <c r="E45" i="58" s="1"/>
  <c r="E113" i="58" a="1"/>
  <c r="E113" i="58" s="1"/>
  <c r="AF68" i="59" a="1"/>
  <c r="AF68" i="59" s="1"/>
  <c r="BV67" i="59" a="1"/>
  <c r="BV67" i="59" s="1"/>
  <c r="E105" i="58" a="1"/>
  <c r="E105" i="58" s="1"/>
  <c r="AC67" i="59" a="1"/>
  <c r="AC67" i="59" s="1"/>
  <c r="F117" i="58" a="1"/>
  <c r="F117" i="58" s="1"/>
  <c r="G33" i="58" a="1"/>
  <c r="G33" i="58" s="1"/>
  <c r="CG57" i="59" a="1"/>
  <c r="CG57" i="59" s="1"/>
  <c r="BU64" i="59" a="1"/>
  <c r="BU64" i="59" s="1"/>
  <c r="CD68" i="59" a="1"/>
  <c r="CD68" i="59" s="1"/>
  <c r="J59" i="59" a="1"/>
  <c r="J59" i="59" s="1"/>
  <c r="BK63" i="59" a="1"/>
  <c r="BK63" i="59" s="1"/>
  <c r="E66" i="59" a="1"/>
  <c r="E66" i="59" s="1"/>
  <c r="G58" i="59" a="1"/>
  <c r="G58" i="59" s="1"/>
  <c r="P59" i="59" a="1"/>
  <c r="P59" i="59" s="1"/>
  <c r="AD65" i="59" a="1"/>
  <c r="AD65" i="59" s="1"/>
  <c r="Z65" i="59" a="1"/>
  <c r="Z65" i="59" s="1"/>
  <c r="X66" i="59" a="1"/>
  <c r="X66" i="59" s="1"/>
  <c r="G132" i="58" a="1"/>
  <c r="G132" i="58" s="1"/>
  <c r="AN68" i="59" a="1"/>
  <c r="AN68" i="59" s="1"/>
  <c r="AI67" i="59" a="1"/>
  <c r="AI67" i="59" s="1"/>
  <c r="AK61" i="59" a="1"/>
  <c r="AK61" i="59" s="1"/>
  <c r="BV57" i="59" a="1"/>
  <c r="BV57" i="59" s="1"/>
  <c r="H58" i="59" a="1"/>
  <c r="H58" i="59" s="1"/>
  <c r="CP66" i="59" a="1"/>
  <c r="CP66" i="59" s="1"/>
  <c r="CH68" i="59" a="1"/>
  <c r="CH68" i="59" s="1"/>
  <c r="E68" i="58" a="1"/>
  <c r="E68" i="58" s="1"/>
  <c r="K64" i="59" a="1"/>
  <c r="K64" i="59" s="1"/>
  <c r="X61" i="59" a="1"/>
  <c r="X61" i="59" s="1"/>
  <c r="C45" i="58" a="1"/>
  <c r="C45" i="58" s="1"/>
  <c r="DE66" i="59" a="1"/>
  <c r="DE66" i="59" s="1"/>
  <c r="DF58" i="59" a="1"/>
  <c r="DF58" i="59" s="1"/>
  <c r="AH67" i="59" a="1"/>
  <c r="AH67" i="59" s="1"/>
  <c r="H90" i="58" a="1"/>
  <c r="H90" i="58" s="1"/>
  <c r="CA60" i="59" a="1"/>
  <c r="CA60" i="59" s="1"/>
  <c r="CY59" i="59" a="1"/>
  <c r="CY59" i="59" s="1"/>
  <c r="C136" i="58" a="1"/>
  <c r="C136" i="58" s="1"/>
  <c r="AO58" i="59" a="1"/>
  <c r="AO58" i="59" s="1"/>
  <c r="M63" i="59" a="1"/>
  <c r="M63" i="59" s="1"/>
  <c r="BV58" i="59" a="1"/>
  <c r="BV58" i="59" s="1"/>
  <c r="CB62" i="59" a="1"/>
  <c r="CB62" i="59" s="1"/>
  <c r="AX59" i="59" a="1"/>
  <c r="AX59" i="59" s="1"/>
  <c r="E79" i="58" a="1"/>
  <c r="E79" i="58" s="1"/>
  <c r="H55" i="58" a="1"/>
  <c r="H55" i="58" s="1"/>
  <c r="BB62" i="59" a="1"/>
  <c r="BB62" i="59" s="1"/>
  <c r="H19" i="58" a="1"/>
  <c r="H19" i="58" s="1"/>
  <c r="AH61" i="59" a="1"/>
  <c r="AH61" i="59" s="1"/>
  <c r="C86" i="58" a="1"/>
  <c r="C86" i="58" s="1"/>
  <c r="F136" i="58" a="1"/>
  <c r="F136" i="58" s="1"/>
  <c r="S58" i="59" a="1"/>
  <c r="S58" i="59" s="1"/>
  <c r="DC66" i="59" a="1"/>
  <c r="DC66" i="59" s="1"/>
  <c r="C33" i="58" a="1"/>
  <c r="C33" i="58" s="1"/>
  <c r="L59" i="59" a="1"/>
  <c r="L59" i="59" s="1"/>
  <c r="CV61" i="59" a="1"/>
  <c r="CV61" i="59" s="1"/>
  <c r="D59" i="59" a="1"/>
  <c r="D59" i="59" s="1"/>
  <c r="CF64" i="59" a="1"/>
  <c r="CF64" i="59" s="1"/>
  <c r="G119" i="58" a="1"/>
  <c r="G119" i="58" s="1"/>
  <c r="F91" i="58" a="1"/>
  <c r="F91" i="58" s="1"/>
  <c r="G135" i="58" a="1"/>
  <c r="G135" i="58" s="1"/>
  <c r="F19" i="58" a="1"/>
  <c r="F19" i="58" s="1"/>
  <c r="CH61" i="59" a="1"/>
  <c r="CH61" i="59" s="1"/>
  <c r="D66" i="58" a="1"/>
  <c r="D66" i="58" s="1"/>
  <c r="AF64" i="59" a="1"/>
  <c r="AF64" i="59" s="1"/>
  <c r="G97" i="58" a="1"/>
  <c r="G97" i="58" s="1"/>
  <c r="BD67" i="59" a="1"/>
  <c r="BD67" i="59" s="1"/>
  <c r="AL67" i="59" a="1"/>
  <c r="AL67" i="59" s="1"/>
  <c r="C94" i="58" a="1"/>
  <c r="C94" i="58" s="1"/>
  <c r="CB63" i="59" a="1"/>
  <c r="CB63" i="59" s="1"/>
  <c r="C70" i="58" a="1"/>
  <c r="C70" i="58" s="1"/>
  <c r="DA65" i="59" a="1"/>
  <c r="DA65" i="59" s="1"/>
  <c r="E48" i="58" a="1"/>
  <c r="E48" i="58" s="1"/>
  <c r="BF57" i="59" a="1"/>
  <c r="BF57" i="59" s="1"/>
  <c r="F70" i="58" a="1"/>
  <c r="F70" i="58" s="1"/>
  <c r="CT67" i="59" a="1"/>
  <c r="CT67" i="59" s="1"/>
  <c r="E101" i="58" a="1"/>
  <c r="E101" i="58" s="1"/>
  <c r="AT63" i="59" a="1"/>
  <c r="AT63" i="59" s="1"/>
  <c r="CW57" i="59" a="1"/>
  <c r="CW57" i="59" s="1"/>
  <c r="AO61" i="59" a="1"/>
  <c r="AO61" i="59" s="1"/>
  <c r="DB62" i="59" a="1"/>
  <c r="DB62" i="59" s="1"/>
  <c r="E24" i="58" a="1"/>
  <c r="E24" i="58" s="1"/>
  <c r="C100" i="58" a="1"/>
  <c r="C100" i="58" s="1"/>
  <c r="CS65" i="59" a="1"/>
  <c r="CS65" i="59" s="1"/>
  <c r="BN59" i="59" a="1"/>
  <c r="BN59" i="59" s="1"/>
  <c r="AW61" i="59" a="1"/>
  <c r="AW61" i="59" s="1"/>
  <c r="AC68" i="59" a="1"/>
  <c r="AC68" i="59" s="1"/>
  <c r="AE58" i="59" a="1"/>
  <c r="AE58" i="59" s="1"/>
  <c r="AD66" i="59" a="1"/>
  <c r="AD66" i="59" s="1"/>
  <c r="AY67" i="59" a="1"/>
  <c r="AY67" i="59" s="1"/>
  <c r="H75" i="58" a="1"/>
  <c r="H75" i="58" s="1"/>
  <c r="AK57" i="59" a="1"/>
  <c r="AK57" i="59" s="1"/>
  <c r="AW68" i="59" a="1"/>
  <c r="AW68" i="59" s="1"/>
  <c r="BQ66" i="59" a="1"/>
  <c r="BQ66" i="59" s="1"/>
  <c r="G102" i="58" a="1"/>
  <c r="G102" i="58" s="1"/>
  <c r="BN64" i="59" a="1"/>
  <c r="BN64" i="59" s="1"/>
  <c r="J60" i="59" a="1"/>
  <c r="J60" i="59" s="1"/>
  <c r="D30" i="58" a="1"/>
  <c r="D30" i="58" s="1"/>
  <c r="H48" i="58" a="1"/>
  <c r="H48" i="58" s="1"/>
  <c r="BT65" i="59" a="1"/>
  <c r="BT65" i="59" s="1"/>
  <c r="CH57" i="59" a="1"/>
  <c r="CH57" i="59" s="1"/>
  <c r="H52" i="58" a="1"/>
  <c r="H52" i="58" s="1"/>
  <c r="CH65" i="59" a="1"/>
  <c r="CH65" i="59" s="1"/>
  <c r="CR61" i="59" a="1"/>
  <c r="CR61" i="59" s="1"/>
  <c r="AE66" i="59" a="1"/>
  <c r="AE66" i="59" s="1"/>
  <c r="H115" i="58" a="1"/>
  <c r="H115" i="58" s="1"/>
  <c r="C53" i="58" a="1"/>
  <c r="C53" i="58" s="1"/>
  <c r="C27" i="58" a="1"/>
  <c r="C27" i="58" s="1"/>
  <c r="BV66" i="59" a="1"/>
  <c r="BV66" i="59" s="1"/>
  <c r="CL60" i="59" a="1"/>
  <c r="CL60" i="59" s="1"/>
  <c r="AP65" i="59" a="1"/>
  <c r="AP65" i="59" s="1"/>
  <c r="AR68" i="59" a="1"/>
  <c r="AR68" i="59" s="1"/>
  <c r="Q67" i="59" a="1"/>
  <c r="Q67" i="59" s="1"/>
  <c r="G105" i="58" a="1"/>
  <c r="G105" i="58" s="1"/>
  <c r="D139" i="58" a="1"/>
  <c r="D139" i="58" s="1"/>
  <c r="CK57" i="59" a="1"/>
  <c r="CK57" i="59" s="1"/>
  <c r="AQ62" i="59" a="1"/>
  <c r="AQ62" i="59" s="1"/>
  <c r="AP58" i="59" a="1"/>
  <c r="AP58" i="59" s="1"/>
  <c r="F66" i="59" a="1"/>
  <c r="F66" i="59" s="1"/>
  <c r="BU62" i="59" a="1"/>
  <c r="BU62" i="59" s="1"/>
  <c r="D45" i="58" a="1"/>
  <c r="D45" i="58" s="1"/>
  <c r="CY57" i="59" a="1"/>
  <c r="CY57" i="59" s="1"/>
  <c r="C91" i="58" a="1"/>
  <c r="C91" i="58" s="1"/>
  <c r="G122" i="58" a="1"/>
  <c r="G122" i="58" s="1"/>
  <c r="D74" i="58" a="1"/>
  <c r="D74" i="58" s="1"/>
  <c r="BJ59" i="59" a="1"/>
  <c r="BJ59" i="59" s="1"/>
  <c r="G110" i="58" a="1"/>
  <c r="G110" i="58" s="1"/>
  <c r="CS67" i="59" a="1"/>
  <c r="CS67" i="59" s="1"/>
  <c r="H76" i="58" a="1"/>
  <c r="H76" i="58" s="1"/>
  <c r="BJ57" i="59" a="1"/>
  <c r="BJ57" i="59" s="1"/>
  <c r="F74" i="58" a="1"/>
  <c r="F74" i="58" s="1"/>
  <c r="F29" i="58" a="1"/>
  <c r="F29" i="58" s="1"/>
  <c r="AY68" i="59" a="1"/>
  <c r="AY68" i="59" s="1"/>
  <c r="C139" i="58" a="1"/>
  <c r="C139" i="58" s="1"/>
  <c r="AV66" i="59" a="1"/>
  <c r="AV66" i="59" s="1"/>
  <c r="BN65" i="59" a="1"/>
  <c r="BN65" i="59" s="1"/>
  <c r="G83" i="58" a="1"/>
  <c r="G83" i="58" s="1"/>
  <c r="T61" i="59" a="1"/>
  <c r="T61" i="59" s="1"/>
  <c r="G44" i="58" a="1"/>
  <c r="G44" i="58" s="1"/>
  <c r="C76" i="58" a="1"/>
  <c r="C76" i="58" s="1"/>
  <c r="H25" i="58" a="1"/>
  <c r="H25" i="58" s="1"/>
  <c r="C127" i="58" a="1"/>
  <c r="C127" i="58" s="1"/>
  <c r="Q57" i="59" a="1"/>
  <c r="Q57" i="59" s="1"/>
  <c r="CB68" i="59" a="1"/>
  <c r="CB68" i="59" s="1"/>
  <c r="AR62" i="59" a="1"/>
  <c r="AR62" i="59" s="1"/>
  <c r="BY57" i="59" a="1"/>
  <c r="BY57" i="59" s="1"/>
  <c r="P67" i="59" a="1"/>
  <c r="P67" i="59" s="1"/>
  <c r="AX68" i="59" a="1"/>
  <c r="AX68" i="59" s="1"/>
  <c r="AL63" i="59" a="1"/>
  <c r="AL63" i="59" s="1"/>
  <c r="DH58" i="59" a="1"/>
  <c r="DH58" i="59" s="1"/>
  <c r="Q65" i="59" a="1"/>
  <c r="Q65" i="59" s="1"/>
  <c r="D72" i="58" a="1"/>
  <c r="D72" i="58" s="1"/>
  <c r="AY63" i="59" a="1"/>
  <c r="AY63" i="59" s="1"/>
  <c r="D113" i="58" a="1"/>
  <c r="D113" i="58" s="1"/>
  <c r="BS62" i="59" a="1"/>
  <c r="BS62" i="59" s="1"/>
  <c r="BC64" i="59" a="1"/>
  <c r="BC64" i="59" s="1"/>
  <c r="AB63" i="59" a="1"/>
  <c r="AB63" i="59" s="1"/>
  <c r="X68" i="59" a="1"/>
  <c r="X68" i="59" s="1"/>
  <c r="C44" i="58" a="1"/>
  <c r="C44" i="58" s="1"/>
  <c r="BF58" i="59" a="1"/>
  <c r="BF58" i="59" s="1"/>
  <c r="BZ66" i="59" a="1"/>
  <c r="BZ66" i="59" s="1"/>
  <c r="CP61" i="59" a="1"/>
  <c r="CP61" i="59" s="1"/>
  <c r="BH64" i="59" a="1"/>
  <c r="BH64" i="59" s="1"/>
  <c r="H20" i="58" a="1"/>
  <c r="H20" i="58" s="1"/>
  <c r="AR58" i="59" a="1"/>
  <c r="AR58" i="59" s="1"/>
  <c r="BK62" i="59" a="1"/>
  <c r="BK62" i="59" s="1"/>
  <c r="E92" i="58" a="1"/>
  <c r="E92" i="58" s="1"/>
  <c r="C117" i="58" a="1"/>
  <c r="C117" i="58" s="1"/>
  <c r="M19" i="2"/>
  <c r="M6" i="2" s="1"/>
  <c r="C15" i="35" s="1"/>
  <c r="F142" i="58" a="1"/>
  <c r="F142" i="58" s="1"/>
  <c r="F92" i="58" a="1"/>
  <c r="F92" i="58" s="1"/>
  <c r="F84" i="58" a="1"/>
  <c r="F84" i="58" s="1"/>
  <c r="BI61" i="59" a="1"/>
  <c r="BI61" i="59" s="1"/>
  <c r="BG61" i="59" a="1"/>
  <c r="BG61" i="59" s="1"/>
  <c r="CU68" i="59" a="1"/>
  <c r="CU68" i="59" s="1"/>
  <c r="CN61" i="59" a="1"/>
  <c r="CN61" i="59" s="1"/>
  <c r="T57" i="59" a="1"/>
  <c r="T57" i="59" s="1"/>
  <c r="CA64" i="59" a="1"/>
  <c r="CA64" i="59" s="1"/>
  <c r="CV65" i="59" a="1"/>
  <c r="CV65" i="59" s="1"/>
  <c r="AZ65" i="59" a="1"/>
  <c r="AZ65" i="59" s="1"/>
  <c r="D52" i="58" a="1"/>
  <c r="D52" i="58" s="1"/>
  <c r="C35" i="58" a="1"/>
  <c r="C35" i="58" s="1"/>
  <c r="R67" i="59" a="1"/>
  <c r="R67" i="59" s="1"/>
  <c r="DF61" i="59" a="1"/>
  <c r="DF61" i="59" s="1"/>
  <c r="G23" i="58" a="1"/>
  <c r="G23" i="58" s="1"/>
  <c r="M18" i="2"/>
  <c r="F25" i="17" s="1"/>
  <c r="C65" i="59" s="1"/>
  <c r="C141" i="58" a="1"/>
  <c r="C141" i="58" s="1"/>
  <c r="AP60" i="59" a="1"/>
  <c r="AP60" i="59" s="1"/>
  <c r="C142" i="58" a="1"/>
  <c r="C142" i="58" s="1"/>
  <c r="BB60" i="59" a="1"/>
  <c r="BB60" i="59" s="1"/>
  <c r="G98" i="58" a="1"/>
  <c r="G98" i="58" s="1"/>
  <c r="DH68" i="59" a="1"/>
  <c r="DH68" i="59" s="1"/>
  <c r="G69" i="58" a="1"/>
  <c r="G69" i="58" s="1"/>
  <c r="BP68" i="59" a="1"/>
  <c r="BP68" i="59" s="1"/>
  <c r="C58" i="58" a="1"/>
  <c r="C58" i="58" s="1"/>
  <c r="F124" i="58" a="1"/>
  <c r="F124" i="58" s="1"/>
  <c r="E117" i="58" a="1"/>
  <c r="E117" i="58" s="1"/>
  <c r="AN67" i="59" a="1"/>
  <c r="AN67" i="59" s="1"/>
  <c r="E37" i="58" a="1"/>
  <c r="E37" i="58" s="1"/>
  <c r="AG64" i="59" a="1"/>
  <c r="AG64" i="59" s="1"/>
  <c r="CC66" i="59" a="1"/>
  <c r="CC66" i="59" s="1"/>
  <c r="G141" i="58" a="1"/>
  <c r="G141" i="58" s="1"/>
  <c r="BF61" i="59" a="1"/>
  <c r="BF61" i="59" s="1"/>
  <c r="BN63" i="59" a="1"/>
  <c r="BN63" i="59" s="1"/>
  <c r="AK59" i="59" a="1"/>
  <c r="AK59" i="59" s="1"/>
  <c r="G57" i="59" a="1"/>
  <c r="G57" i="59" s="1"/>
  <c r="BR68" i="59" a="1"/>
  <c r="BR68" i="59" s="1"/>
  <c r="F82" i="58" a="1"/>
  <c r="F82" i="58" s="1"/>
  <c r="G106" i="58" a="1"/>
  <c r="G106" i="58" s="1"/>
  <c r="F60" i="59" a="1"/>
  <c r="F60" i="59" s="1"/>
  <c r="BE60" i="59" a="1"/>
  <c r="BE60" i="59" s="1"/>
  <c r="F31" i="58" a="1"/>
  <c r="F31" i="58" s="1"/>
  <c r="BD63" i="59" a="1"/>
  <c r="BD63" i="59" s="1"/>
  <c r="AU66" i="59" a="1"/>
  <c r="AU66" i="59" s="1"/>
  <c r="BV63" i="59" a="1"/>
  <c r="BV63" i="59" s="1"/>
  <c r="AY62" i="59" a="1"/>
  <c r="AY62" i="59" s="1"/>
  <c r="BS61" i="59" a="1"/>
  <c r="BS61" i="59" s="1"/>
  <c r="N57" i="59" a="1"/>
  <c r="N57" i="59" s="1"/>
  <c r="AX63" i="59" a="1"/>
  <c r="AX63" i="59" s="1"/>
  <c r="AS60" i="59" a="1"/>
  <c r="AS60" i="59" s="1"/>
  <c r="CC65" i="59" a="1"/>
  <c r="CC65" i="59" s="1"/>
  <c r="AT65" i="59" a="1"/>
  <c r="AT65" i="59" s="1"/>
  <c r="D100" i="58" a="1"/>
  <c r="D100" i="58" s="1"/>
  <c r="AF66" i="59" a="1"/>
  <c r="AF66" i="59" s="1"/>
  <c r="BD61" i="59" a="1"/>
  <c r="BD61" i="59" s="1"/>
  <c r="CY62" i="59" a="1"/>
  <c r="CY62" i="59" s="1"/>
  <c r="CX57" i="59" a="1"/>
  <c r="CX57" i="59" s="1"/>
  <c r="AG60" i="59" a="1"/>
  <c r="AG60" i="59" s="1"/>
  <c r="C110" i="58" a="1"/>
  <c r="C110" i="58" s="1"/>
  <c r="H49" i="58" a="1"/>
  <c r="H49" i="58" s="1"/>
  <c r="CO58" i="59" a="1"/>
  <c r="CO58" i="59" s="1"/>
  <c r="BZ59" i="59" a="1"/>
  <c r="BZ59" i="59" s="1"/>
  <c r="DB59" i="59" a="1"/>
  <c r="DB59" i="59" s="1"/>
  <c r="P64" i="59" a="1"/>
  <c r="P64" i="59" s="1"/>
  <c r="H19" i="2"/>
  <c r="CE3" i="10" s="1"/>
  <c r="C125" i="58" a="1"/>
  <c r="C125" i="58" s="1"/>
  <c r="E66" i="58" a="1"/>
  <c r="E66" i="58" s="1"/>
  <c r="D57" i="58" a="1"/>
  <c r="D57" i="58" s="1"/>
  <c r="E118" i="58" a="1"/>
  <c r="E118" i="58" s="1"/>
  <c r="E64" i="59" a="1"/>
  <c r="E64" i="59" s="1"/>
  <c r="BU65" i="59" a="1"/>
  <c r="BU65" i="59" s="1"/>
  <c r="CX64" i="59" a="1"/>
  <c r="CX64" i="59" s="1"/>
  <c r="CR68" i="59" a="1"/>
  <c r="CR68" i="59" s="1"/>
  <c r="E114" i="58" a="1"/>
  <c r="E114" i="58" s="1"/>
  <c r="O65" i="59" a="1"/>
  <c r="O65" i="59" s="1"/>
  <c r="AS61" i="59" a="1"/>
  <c r="AS61" i="59" s="1"/>
  <c r="AO60" i="59" a="1"/>
  <c r="AO60" i="59" s="1"/>
  <c r="G60" i="58" a="1"/>
  <c r="G60" i="58" s="1"/>
  <c r="AH63" i="59" a="1"/>
  <c r="AH63" i="59" s="1"/>
  <c r="Y58" i="59" a="1"/>
  <c r="Y58" i="59" s="1"/>
  <c r="CT66" i="59" a="1"/>
  <c r="CT66" i="59" s="1"/>
  <c r="D57" i="59" a="1"/>
  <c r="D57" i="59" s="1"/>
  <c r="H63" i="58" a="1"/>
  <c r="H63" i="58" s="1"/>
  <c r="CP64" i="59" a="1"/>
  <c r="CP64" i="59" s="1"/>
  <c r="X65" i="59" a="1"/>
  <c r="X65" i="59" s="1"/>
  <c r="CS60" i="59" a="1"/>
  <c r="CS60" i="59" s="1"/>
  <c r="C69" i="58" a="1"/>
  <c r="C69" i="58" s="1"/>
  <c r="E140" i="58" a="1"/>
  <c r="E140" i="58" s="1"/>
  <c r="AT60" i="59" a="1"/>
  <c r="AT60" i="59" s="1"/>
  <c r="H67" i="59" a="1"/>
  <c r="H67" i="59" s="1"/>
  <c r="CB66" i="59" a="1"/>
  <c r="CB66" i="59" s="1"/>
  <c r="I65" i="59" a="1"/>
  <c r="I65" i="59" s="1"/>
  <c r="D51" i="58" a="1"/>
  <c r="D51" i="58" s="1"/>
  <c r="E75" i="58" a="1"/>
  <c r="E75" i="58" s="1"/>
  <c r="BH61" i="59" a="1"/>
  <c r="BH61" i="59" s="1"/>
  <c r="G20" i="58" a="1"/>
  <c r="G20" i="58" s="1"/>
  <c r="BK67" i="59" a="1"/>
  <c r="BK67" i="59" s="1"/>
  <c r="H106" i="58" a="1"/>
  <c r="H106" i="58" s="1"/>
  <c r="AV68" i="59" a="1"/>
  <c r="AV68" i="59" s="1"/>
  <c r="AR61" i="59" a="1"/>
  <c r="AR61" i="59" s="1"/>
  <c r="CE68" i="59" a="1"/>
  <c r="CE68" i="59" s="1"/>
  <c r="H142" i="58" a="1"/>
  <c r="H142" i="58" s="1"/>
  <c r="D73" i="58" a="1"/>
  <c r="D73" i="58" s="1"/>
  <c r="O61" i="59" a="1"/>
  <c r="O61" i="59" s="1"/>
  <c r="CQ65" i="59" a="1"/>
  <c r="CQ65" i="59" s="1"/>
  <c r="CR58" i="59" a="1"/>
  <c r="CR58" i="59" s="1"/>
  <c r="Q59" i="59" a="1"/>
  <c r="Q59" i="59" s="1"/>
  <c r="G87" i="58" a="1"/>
  <c r="G87" i="58" s="1"/>
  <c r="BJ61" i="59" a="1"/>
  <c r="BJ61" i="59" s="1"/>
  <c r="BY60" i="59" a="1"/>
  <c r="BY60" i="59" s="1"/>
  <c r="BD60" i="59" a="1"/>
  <c r="BD60" i="59" s="1"/>
  <c r="H88" i="58" a="1"/>
  <c r="H88" i="58" s="1"/>
  <c r="BV59" i="59" a="1"/>
  <c r="BV59" i="59" s="1"/>
  <c r="AB68" i="59" a="1"/>
  <c r="AB68" i="59" s="1"/>
  <c r="BR59" i="59" a="1"/>
  <c r="BR59" i="59" s="1"/>
  <c r="BD68" i="59" a="1"/>
  <c r="BD68" i="59" s="1"/>
  <c r="G111" i="58" a="1"/>
  <c r="G111" i="58" s="1"/>
  <c r="AZ57" i="59" a="1"/>
  <c r="AZ57" i="59" s="1"/>
  <c r="AO62" i="59" a="1"/>
  <c r="AO62" i="59" s="1"/>
  <c r="G54" i="58" a="1"/>
  <c r="G54" i="58" s="1"/>
  <c r="DB67" i="59" a="1"/>
  <c r="DB67" i="59" s="1"/>
  <c r="CG65" i="59" a="1"/>
  <c r="CG65" i="59" s="1"/>
  <c r="AT64" i="59" a="1"/>
  <c r="AT64" i="59" s="1"/>
  <c r="BA61" i="59" a="1"/>
  <c r="BA61" i="59" s="1"/>
  <c r="AB61" i="59" a="1"/>
  <c r="AB61" i="59" s="1"/>
  <c r="CK61" i="59" a="1"/>
  <c r="CK61" i="59" s="1"/>
  <c r="H29" i="58" a="1"/>
  <c r="H29" i="58" s="1"/>
  <c r="E55" i="58" a="1"/>
  <c r="E55" i="58" s="1"/>
  <c r="C88" i="58" a="1"/>
  <c r="C88" i="58" s="1"/>
  <c r="D40" i="58" a="1"/>
  <c r="D40" i="58" s="1"/>
  <c r="AR65" i="59" a="1"/>
  <c r="AR65" i="59" s="1"/>
  <c r="H34" i="58" a="1"/>
  <c r="H34" i="58" s="1"/>
  <c r="DD67" i="59" a="1"/>
  <c r="DD67" i="59" s="1"/>
  <c r="D123" i="58" a="1"/>
  <c r="D123" i="58" s="1"/>
  <c r="E22" i="58" a="1"/>
  <c r="E22" i="58" s="1"/>
  <c r="CC68" i="59" a="1"/>
  <c r="CC68" i="59" s="1"/>
  <c r="AX64" i="59" a="1"/>
  <c r="AX64" i="59" s="1"/>
  <c r="AD59" i="59" a="1"/>
  <c r="AD59" i="59" s="1"/>
  <c r="DH63" i="59" a="1"/>
  <c r="DH63" i="59" s="1"/>
  <c r="F68" i="58" a="1"/>
  <c r="F68" i="58" s="1"/>
  <c r="CP57" i="59" a="1"/>
  <c r="CP57" i="59" s="1"/>
  <c r="CP65" i="59" a="1"/>
  <c r="CP65" i="59" s="1"/>
  <c r="CX58" i="59" a="1"/>
  <c r="CX58" i="59" s="1"/>
  <c r="S67" i="59" a="1"/>
  <c r="S67" i="59" s="1"/>
  <c r="C54" i="58" a="1"/>
  <c r="C54" i="58" s="1"/>
  <c r="AE61" i="59" a="1"/>
  <c r="AE61" i="59" s="1"/>
  <c r="H64" i="59" a="1"/>
  <c r="H64" i="59" s="1"/>
  <c r="CG66" i="59" a="1"/>
  <c r="CG66" i="59" s="1"/>
  <c r="CT60" i="59" a="1"/>
  <c r="CT60" i="59" s="1"/>
  <c r="CM57" i="59" a="1"/>
  <c r="CM57" i="59" s="1"/>
  <c r="E131" i="58" a="1"/>
  <c r="E131" i="58" s="1"/>
  <c r="C55" i="58" a="1"/>
  <c r="C55" i="58" s="1"/>
  <c r="S60" i="59" a="1"/>
  <c r="S60" i="59" s="1"/>
  <c r="E19" i="58" a="1"/>
  <c r="E19" i="58" s="1"/>
  <c r="C132" i="58" a="1"/>
  <c r="C132" i="58" s="1"/>
  <c r="F24" i="58" a="1"/>
  <c r="F24" i="58" s="1"/>
  <c r="Y61" i="59" a="1"/>
  <c r="Y61" i="59" s="1"/>
  <c r="CF62" i="59" a="1"/>
  <c r="CF62" i="59" s="1"/>
  <c r="CJ57" i="59" a="1"/>
  <c r="CJ57" i="59" s="1"/>
  <c r="AC62" i="59" a="1"/>
  <c r="AC62" i="59" s="1"/>
  <c r="E136" i="58" a="1"/>
  <c r="E136" i="58" s="1"/>
  <c r="AL60" i="59" a="1"/>
  <c r="AL60" i="59" s="1"/>
  <c r="CE63" i="59" a="1"/>
  <c r="CE63" i="59" s="1"/>
  <c r="W59" i="59" a="1"/>
  <c r="W59" i="59" s="1"/>
  <c r="BL68" i="59" a="1"/>
  <c r="BL68" i="59" s="1"/>
  <c r="BS60" i="59" a="1"/>
  <c r="BS60" i="59" s="1"/>
  <c r="I61" i="59" a="1"/>
  <c r="I61" i="59" s="1"/>
  <c r="AJ68" i="59" a="1"/>
  <c r="AJ68" i="59" s="1"/>
  <c r="BX66" i="59" a="1"/>
  <c r="BX66" i="59" s="1"/>
  <c r="CB67" i="59" a="1"/>
  <c r="CB67" i="59" s="1"/>
  <c r="AA60" i="59" a="1"/>
  <c r="AA60" i="59" s="1"/>
  <c r="DG63" i="59" a="1"/>
  <c r="DG63" i="59" s="1"/>
  <c r="V57" i="59" a="1"/>
  <c r="V57" i="59" s="1"/>
  <c r="E111" i="58" a="1"/>
  <c r="E111" i="58" s="1"/>
  <c r="BE65" i="59" a="1"/>
  <c r="BE65" i="59" s="1"/>
  <c r="CQ67" i="59" a="1"/>
  <c r="CQ67" i="59" s="1"/>
  <c r="CZ68" i="59" a="1"/>
  <c r="CZ68" i="59" s="1"/>
  <c r="CT59" i="59" a="1"/>
  <c r="CT59" i="59" s="1"/>
  <c r="AM65" i="59" a="1"/>
  <c r="AM65" i="59" s="1"/>
  <c r="AY64" i="59" a="1"/>
  <c r="AY64" i="59" s="1"/>
  <c r="AF67" i="59" a="1"/>
  <c r="AF67" i="59" s="1"/>
  <c r="F58" i="58" a="1"/>
  <c r="F58" i="58" s="1"/>
  <c r="AD60" i="59" a="1"/>
  <c r="AD60" i="59" s="1"/>
  <c r="G35" i="58" a="1"/>
  <c r="G35" i="58" s="1"/>
  <c r="CU61" i="59" a="1"/>
  <c r="CU61" i="59" s="1"/>
  <c r="H69" i="58" a="1"/>
  <c r="H69" i="58" s="1"/>
  <c r="AQ64" i="59" a="1"/>
  <c r="AQ64" i="59" s="1"/>
  <c r="BH63" i="59" a="1"/>
  <c r="BH63" i="59" s="1"/>
  <c r="C20" i="34"/>
  <c r="B20" i="2" s="1"/>
  <c r="AH59" i="59" a="1"/>
  <c r="AH59" i="59" s="1"/>
  <c r="DA60" i="59" a="1"/>
  <c r="DA60" i="59" s="1"/>
  <c r="F69" i="58" a="1"/>
  <c r="F69" i="58" s="1"/>
  <c r="DD66" i="59" a="1"/>
  <c r="DD66" i="59" s="1"/>
  <c r="AN61" i="59" a="1"/>
  <c r="AN61" i="59" s="1"/>
  <c r="CD57" i="59" a="1"/>
  <c r="CD57" i="59" s="1"/>
  <c r="D68" i="58" a="1"/>
  <c r="D68" i="58" s="1"/>
  <c r="H51" i="58" a="1"/>
  <c r="H51" i="58" s="1"/>
  <c r="U65" i="59" a="1"/>
  <c r="U65" i="59" s="1"/>
  <c r="CB60" i="59" a="1"/>
  <c r="CB60" i="59" s="1"/>
  <c r="C103" i="58" a="1"/>
  <c r="C103" i="58" s="1"/>
  <c r="CO63" i="59" a="1"/>
  <c r="CO63" i="59" s="1"/>
  <c r="AP67" i="59" a="1"/>
  <c r="AP67" i="59" s="1"/>
  <c r="CU66" i="59" a="1"/>
  <c r="CU66" i="59" s="1"/>
  <c r="CM58" i="59" a="1"/>
  <c r="CM58" i="59" s="1"/>
  <c r="DA66" i="59" a="1"/>
  <c r="DA66" i="59" s="1"/>
  <c r="F41" i="58" a="1"/>
  <c r="F41" i="58" s="1"/>
  <c r="DB66" i="59" a="1"/>
  <c r="DB66" i="59" s="1"/>
  <c r="G126" i="58" a="1"/>
  <c r="G126" i="58" s="1"/>
  <c r="F138" i="58" a="1"/>
  <c r="F138" i="58" s="1"/>
  <c r="BL66" i="59" a="1"/>
  <c r="BL66" i="59" s="1"/>
  <c r="F112" i="58" a="1"/>
  <c r="F112" i="58" s="1"/>
  <c r="CO68" i="59" a="1"/>
  <c r="CO68" i="59" s="1"/>
  <c r="G67" i="59" a="1"/>
  <c r="G67" i="59" s="1"/>
  <c r="AM68" i="59" a="1"/>
  <c r="AM68" i="59" s="1"/>
  <c r="S66" i="59" a="1"/>
  <c r="S66" i="59" s="1"/>
  <c r="AV62" i="59" a="1"/>
  <c r="AV62" i="59" s="1"/>
  <c r="C31" i="58" a="1"/>
  <c r="C31" i="58" s="1"/>
  <c r="AS67" i="59" a="1"/>
  <c r="AS67" i="59" s="1"/>
  <c r="C114" i="58" a="1"/>
  <c r="C114" i="58" s="1"/>
  <c r="CA65" i="59" a="1"/>
  <c r="CA65" i="59" s="1"/>
  <c r="AW65" i="59" a="1"/>
  <c r="AW65" i="59" s="1"/>
  <c r="H57" i="58" a="1"/>
  <c r="H57" i="58" s="1"/>
  <c r="DG62" i="59" a="1"/>
  <c r="DG62" i="59" s="1"/>
  <c r="D50" i="58" a="1"/>
  <c r="D50" i="58" s="1"/>
  <c r="H26" i="58" a="1"/>
  <c r="H26" i="58" s="1"/>
  <c r="D28" i="58" a="1"/>
  <c r="D28" i="58" s="1"/>
  <c r="BQ59" i="59" a="1"/>
  <c r="BQ59" i="59" s="1"/>
  <c r="CJ67" i="59" a="1"/>
  <c r="CJ67" i="59" s="1"/>
  <c r="G79" i="58" a="1"/>
  <c r="G79" i="58" s="1"/>
  <c r="E74" i="58" a="1"/>
  <c r="E74" i="58" s="1"/>
  <c r="N59" i="59" a="1"/>
  <c r="N59" i="59" s="1"/>
  <c r="BQ63" i="59" a="1"/>
  <c r="BQ63" i="59" s="1"/>
  <c r="CU63" i="59" a="1"/>
  <c r="CU63" i="59" s="1"/>
  <c r="BB65" i="59" a="1"/>
  <c r="BB65" i="59" s="1"/>
  <c r="CR63" i="59" a="1"/>
  <c r="CR63" i="59" s="1"/>
  <c r="G49" i="58" a="1"/>
  <c r="G49" i="58" s="1"/>
  <c r="K18" i="2"/>
  <c r="D17" i="58" s="1"/>
  <c r="AM66" i="59" a="1"/>
  <c r="AM66" i="59" s="1"/>
  <c r="E43" i="58" a="1"/>
  <c r="E43" i="58" s="1"/>
  <c r="BZ63" i="59" a="1"/>
  <c r="BZ63" i="59" s="1"/>
  <c r="BR61" i="59" a="1"/>
  <c r="BR61" i="59" s="1"/>
  <c r="CP58" i="59" a="1"/>
  <c r="CP58" i="59" s="1"/>
  <c r="T63" i="59" a="1"/>
  <c r="T63" i="59" s="1"/>
  <c r="F89" i="58" a="1"/>
  <c r="F89" i="58" s="1"/>
  <c r="AQ61" i="59" a="1"/>
  <c r="AQ61" i="59" s="1"/>
  <c r="E83" i="58" a="1"/>
  <c r="E83" i="58" s="1"/>
  <c r="F20" i="58" a="1"/>
  <c r="F20" i="58" s="1"/>
  <c r="C48" i="58" a="1"/>
  <c r="C48" i="58" s="1"/>
  <c r="W67" i="59" a="1"/>
  <c r="W67" i="59" s="1"/>
  <c r="CA59" i="59" a="1"/>
  <c r="CA59" i="59" s="1"/>
  <c r="G61" i="59" a="1"/>
  <c r="G61" i="59" s="1"/>
  <c r="H120" i="58" a="1"/>
  <c r="H120" i="58" s="1"/>
  <c r="AV57" i="59" a="1"/>
  <c r="AV57" i="59" s="1"/>
  <c r="F95" i="58" a="1"/>
  <c r="F95" i="58" s="1"/>
  <c r="AF60" i="59" a="1"/>
  <c r="AF60" i="59" s="1"/>
  <c r="CF68" i="59" a="1"/>
  <c r="CF68" i="59" s="1"/>
  <c r="DF57" i="59" a="1"/>
  <c r="DF57" i="59" s="1"/>
  <c r="C98" i="58" a="1"/>
  <c r="C98" i="58" s="1"/>
  <c r="C105" i="58" a="1"/>
  <c r="C105" i="58" s="1"/>
  <c r="H35" i="58" a="1"/>
  <c r="H35" i="58" s="1"/>
  <c r="D80" i="58" a="1"/>
  <c r="D80" i="58" s="1"/>
  <c r="H94" i="58" a="1"/>
  <c r="H94" i="58" s="1"/>
  <c r="D18" i="58" a="1"/>
  <c r="D18" i="58" s="1"/>
  <c r="E29" i="58" a="1"/>
  <c r="E29" i="58" s="1"/>
  <c r="D122" i="58" a="1"/>
  <c r="D122" i="58" s="1"/>
  <c r="BU68" i="59" a="1"/>
  <c r="BU68" i="59" s="1"/>
  <c r="BP60" i="59" a="1"/>
  <c r="BP60" i="59" s="1"/>
  <c r="BG68" i="59" a="1"/>
  <c r="BG68" i="59" s="1"/>
  <c r="AA59" i="59" a="1"/>
  <c r="AA59" i="59" s="1"/>
  <c r="H33" i="58" a="1"/>
  <c r="H33" i="58" s="1"/>
  <c r="L67" i="59" a="1"/>
  <c r="L67" i="59" s="1"/>
  <c r="U57" i="59" a="1"/>
  <c r="U57" i="59" s="1"/>
  <c r="CG58" i="59" a="1"/>
  <c r="CG58" i="59" s="1"/>
  <c r="BS64" i="59" a="1"/>
  <c r="BS64" i="59" s="1"/>
  <c r="J62" i="59" a="1"/>
  <c r="J62" i="59" s="1"/>
  <c r="W66" i="59" a="1"/>
  <c r="W66" i="59" s="1"/>
  <c r="CJ62" i="59" a="1"/>
  <c r="CJ62" i="59" s="1"/>
  <c r="E90" i="58" a="1"/>
  <c r="E90" i="58" s="1"/>
  <c r="AU68" i="59" a="1"/>
  <c r="AU68" i="59" s="1"/>
  <c r="D83" i="58" a="1"/>
  <c r="D83" i="58" s="1"/>
  <c r="F67" i="58" a="1"/>
  <c r="F67" i="58" s="1"/>
  <c r="BA65" i="59" a="1"/>
  <c r="BA65" i="59" s="1"/>
  <c r="CT68" i="59" a="1"/>
  <c r="CT68" i="59" s="1"/>
  <c r="L61" i="59" a="1"/>
  <c r="L61" i="59" s="1"/>
  <c r="D101" i="58" a="1"/>
  <c r="D101" i="58" s="1"/>
  <c r="CY68" i="59" a="1"/>
  <c r="CY68" i="59" s="1"/>
  <c r="DB68" i="59" a="1"/>
  <c r="DB68" i="59" s="1"/>
  <c r="AI64" i="59" a="1"/>
  <c r="AI64" i="59" s="1"/>
  <c r="F55" i="58" a="1"/>
  <c r="F55" i="58" s="1"/>
  <c r="F88" i="58" a="1"/>
  <c r="F88" i="58" s="1"/>
  <c r="AJ66" i="59" a="1"/>
  <c r="AJ66" i="59" s="1"/>
  <c r="N63" i="59" a="1"/>
  <c r="N63" i="59" s="1"/>
  <c r="CO67" i="59" a="1"/>
  <c r="CO67" i="59" s="1"/>
  <c r="F22" i="58" a="1"/>
  <c r="F22" i="58" s="1"/>
  <c r="DC64" i="59" a="1"/>
  <c r="DC64" i="59" s="1"/>
  <c r="CK65" i="59" a="1"/>
  <c r="CK65" i="59" s="1"/>
  <c r="CV57" i="59" a="1"/>
  <c r="CV57" i="59" s="1"/>
  <c r="BH57" i="59" a="1"/>
  <c r="BH57" i="59" s="1"/>
  <c r="H81" i="58" a="1"/>
  <c r="H81" i="58" s="1"/>
  <c r="DF60" i="59" a="1"/>
  <c r="DF60" i="59" s="1"/>
  <c r="BC61" i="59" a="1"/>
  <c r="BC61" i="59" s="1"/>
  <c r="J61" i="59" a="1"/>
  <c r="J61" i="59" s="1"/>
  <c r="BU67" i="59" a="1"/>
  <c r="BU67" i="59" s="1"/>
  <c r="AA57" i="59" a="1"/>
  <c r="AA57" i="59" s="1"/>
  <c r="AH68" i="59" a="1"/>
  <c r="AH68" i="59" s="1"/>
  <c r="AU65" i="59" a="1"/>
  <c r="AU65" i="59" s="1"/>
  <c r="F119" i="58" a="1"/>
  <c r="F119" i="58" s="1"/>
  <c r="H59" i="59" a="1"/>
  <c r="H59" i="59" s="1"/>
  <c r="AY57" i="59" a="1"/>
  <c r="AY57" i="59" s="1"/>
  <c r="CA66" i="59" a="1"/>
  <c r="CA66" i="59" s="1"/>
  <c r="Z63" i="59" a="1"/>
  <c r="Z63" i="59" s="1"/>
  <c r="CW64" i="59" a="1"/>
  <c r="CW64" i="59" s="1"/>
  <c r="CN65" i="59" a="1"/>
  <c r="CN65" i="59" s="1"/>
  <c r="H112" i="58" a="1"/>
  <c r="H112" i="58" s="1"/>
  <c r="BS68" i="59" a="1"/>
  <c r="BS68" i="59" s="1"/>
  <c r="AG63" i="59" a="1"/>
  <c r="AG63" i="59" s="1"/>
  <c r="G89" i="58" a="1"/>
  <c r="G89" i="58" s="1"/>
  <c r="E132" i="58" a="1"/>
  <c r="E132" i="58" s="1"/>
  <c r="M61" i="59" a="1"/>
  <c r="M61" i="59" s="1"/>
  <c r="AU58" i="59" a="1"/>
  <c r="AU58" i="59" s="1"/>
  <c r="G27" i="58" a="1"/>
  <c r="G27" i="58" s="1"/>
  <c r="S68" i="59" a="1"/>
  <c r="S68" i="59" s="1"/>
  <c r="V60" i="59" a="1"/>
  <c r="V60" i="59" s="1"/>
  <c r="D111" i="58" a="1"/>
  <c r="D111" i="58" s="1"/>
  <c r="D128" i="58" a="1"/>
  <c r="D128" i="58" s="1"/>
  <c r="C135" i="58" a="1"/>
  <c r="C135" i="58" s="1"/>
  <c r="AK67" i="59" a="1"/>
  <c r="AK67" i="59" s="1"/>
  <c r="BI64" i="59" a="1"/>
  <c r="BI64" i="59" s="1"/>
  <c r="E99" i="58" a="1"/>
  <c r="E99" i="58" s="1"/>
  <c r="H104" i="58" a="1"/>
  <c r="H104" i="58" s="1"/>
  <c r="E97" i="58" a="1"/>
  <c r="E97" i="58" s="1"/>
  <c r="X67" i="59" a="1"/>
  <c r="X67" i="59" s="1"/>
  <c r="C83" i="58" a="1"/>
  <c r="C83" i="58" s="1"/>
  <c r="AO65" i="59" a="1"/>
  <c r="AO65" i="59" s="1"/>
  <c r="BR65" i="59" a="1"/>
  <c r="BR65" i="59" s="1"/>
  <c r="L57" i="59" a="1"/>
  <c r="L57" i="59" s="1"/>
  <c r="D59" i="58" a="1"/>
  <c r="D59" i="58" s="1"/>
  <c r="CN63" i="59" a="1"/>
  <c r="CN63" i="59" s="1"/>
  <c r="AL68" i="59" a="1"/>
  <c r="AL68" i="59" s="1"/>
  <c r="BE66" i="59" a="1"/>
  <c r="BE66" i="59" s="1"/>
  <c r="CY63" i="59" a="1"/>
  <c r="CY63" i="59" s="1"/>
  <c r="D126" i="58" a="1"/>
  <c r="D126" i="58" s="1"/>
  <c r="H93" i="58" a="1"/>
  <c r="H93" i="58" s="1"/>
  <c r="AT67" i="59" a="1"/>
  <c r="AT67" i="59" s="1"/>
  <c r="G136" i="58" a="1"/>
  <c r="G136" i="58" s="1"/>
  <c r="BJ58" i="59" a="1"/>
  <c r="BJ58" i="59" s="1"/>
  <c r="H124" i="58" a="1"/>
  <c r="H124" i="58" s="1"/>
  <c r="E39" i="58" a="1"/>
  <c r="E39" i="58" s="1"/>
  <c r="CA58" i="59" a="1"/>
  <c r="CA58" i="59" s="1"/>
  <c r="AB60" i="59" a="1"/>
  <c r="AB60" i="59" s="1"/>
  <c r="BR66" i="59" a="1"/>
  <c r="BR66" i="59" s="1"/>
  <c r="BT67" i="59" a="1"/>
  <c r="BT67" i="59" s="1"/>
  <c r="AS68" i="59" a="1"/>
  <c r="AS68" i="59" s="1"/>
  <c r="F37" i="58" a="1"/>
  <c r="F37" i="58" s="1"/>
  <c r="BJ68" i="59" a="1"/>
  <c r="BJ68" i="59" s="1"/>
  <c r="AQ67" i="59" a="1"/>
  <c r="AQ67" i="59" s="1"/>
  <c r="BV62" i="59" a="1"/>
  <c r="BV62" i="59" s="1"/>
  <c r="G134" i="58" a="1"/>
  <c r="G134" i="58" s="1"/>
  <c r="CV58" i="59" a="1"/>
  <c r="CV58" i="59" s="1"/>
  <c r="H61" i="59" a="1"/>
  <c r="H61" i="59" s="1"/>
  <c r="CS62" i="59" a="1"/>
  <c r="CS62" i="59" s="1"/>
  <c r="AM64" i="59" a="1"/>
  <c r="AM64" i="59" s="1"/>
  <c r="G57" i="58" a="1"/>
  <c r="G57" i="58" s="1"/>
  <c r="F67" i="59" a="1"/>
  <c r="F67" i="59" s="1"/>
  <c r="D137" i="58" a="1"/>
  <c r="D137" i="58" s="1"/>
  <c r="D120" i="58" a="1"/>
  <c r="D120" i="58" s="1"/>
  <c r="F106" i="58" a="1"/>
  <c r="F106" i="58" s="1"/>
  <c r="C80" i="58" a="1"/>
  <c r="C80" i="58" s="1"/>
  <c r="BO64" i="59" a="1"/>
  <c r="BO64" i="59" s="1"/>
  <c r="E93" i="58" a="1"/>
  <c r="E93" i="58" s="1"/>
  <c r="AO66" i="59" a="1"/>
  <c r="AO66" i="59" s="1"/>
  <c r="D65" i="58" a="1"/>
  <c r="D65" i="58" s="1"/>
  <c r="V64" i="59" a="1"/>
  <c r="V64" i="59" s="1"/>
  <c r="H118" i="58" a="1"/>
  <c r="H118" i="58" s="1"/>
  <c r="AH65" i="59" a="1"/>
  <c r="AH65" i="59" s="1"/>
  <c r="G67" i="58" a="1"/>
  <c r="G67" i="58" s="1"/>
  <c r="G64" i="58" a="1"/>
  <c r="G64" i="58" s="1"/>
  <c r="F30" i="58" a="1"/>
  <c r="F30" i="58" s="1"/>
  <c r="W64" i="59" a="1"/>
  <c r="W64" i="59" s="1"/>
  <c r="C78" i="58" a="1"/>
  <c r="C78" i="58" s="1"/>
  <c r="AT66" i="59" a="1"/>
  <c r="AT66" i="59" s="1"/>
  <c r="CG64" i="59" a="1"/>
  <c r="CG64" i="59" s="1"/>
  <c r="D64" i="59" a="1"/>
  <c r="D64" i="59" s="1"/>
  <c r="D56" i="58" a="1"/>
  <c r="D56" i="58" s="1"/>
  <c r="H127" i="58" a="1"/>
  <c r="H127" i="58" s="1"/>
  <c r="C59" i="58" a="1"/>
  <c r="C59" i="58" s="1"/>
  <c r="D22" i="58" a="1"/>
  <c r="D22" i="58" s="1"/>
  <c r="T60" i="59" a="1"/>
  <c r="T60" i="59" s="1"/>
  <c r="F34" i="58" a="1"/>
  <c r="F34" i="58" s="1"/>
  <c r="CZ66" i="59" a="1"/>
  <c r="CZ66" i="59" s="1"/>
  <c r="G72" i="58" a="1"/>
  <c r="G72" i="58" s="1"/>
  <c r="G78" i="58" a="1"/>
  <c r="G78" i="58" s="1"/>
  <c r="F103" i="58" a="1"/>
  <c r="F103" i="58" s="1"/>
  <c r="DD59" i="59" a="1"/>
  <c r="DD59" i="59" s="1"/>
  <c r="CT62" i="59" a="1"/>
  <c r="CT62" i="59" s="1"/>
  <c r="E142" i="58" a="1"/>
  <c r="E142" i="58" s="1"/>
  <c r="H125" i="58" a="1"/>
  <c r="H125" i="58" s="1"/>
  <c r="BS66" i="59" a="1"/>
  <c r="BS66" i="59" s="1"/>
  <c r="AE60" i="59" a="1"/>
  <c r="AE60" i="59" s="1"/>
  <c r="C85" i="58" a="1"/>
  <c r="C85" i="58" s="1"/>
  <c r="F48" i="58" a="1"/>
  <c r="F48" i="58" s="1"/>
  <c r="BX62" i="59" a="1"/>
  <c r="BX62" i="59" s="1"/>
  <c r="AD64" i="59" a="1"/>
  <c r="AD64" i="59" s="1"/>
  <c r="F113" i="58" a="1"/>
  <c r="F113" i="58" s="1"/>
  <c r="AK64" i="59" a="1"/>
  <c r="AK64" i="59" s="1"/>
  <c r="DB65" i="59" a="1"/>
  <c r="DB65" i="59" s="1"/>
  <c r="G103" i="58" a="1"/>
  <c r="G103" i="58" s="1"/>
  <c r="C26" i="58" a="1"/>
  <c r="C26" i="58" s="1"/>
  <c r="CY61" i="59" a="1"/>
  <c r="CY61" i="59" s="1"/>
  <c r="C140" i="58" a="1"/>
  <c r="C140" i="58" s="1"/>
  <c r="E100" i="58" a="1"/>
  <c r="E100" i="58" s="1"/>
  <c r="BW57" i="59" a="1"/>
  <c r="BW57" i="59" s="1"/>
  <c r="DF59" i="59" a="1"/>
  <c r="DF59" i="59" s="1"/>
  <c r="DE60" i="59" a="1"/>
  <c r="DE60" i="59" s="1"/>
  <c r="AL59" i="59" a="1"/>
  <c r="AL59" i="59" s="1"/>
  <c r="E78" i="58" a="1"/>
  <c r="E78" i="58" s="1"/>
  <c r="CI58" i="59" a="1"/>
  <c r="CI58" i="59" s="1"/>
  <c r="BI68" i="59" a="1"/>
  <c r="BI68" i="59" s="1"/>
  <c r="CL59" i="59" a="1"/>
  <c r="CL59" i="59" s="1"/>
  <c r="G108" i="58" a="1"/>
  <c r="G108" i="58" s="1"/>
  <c r="CT57" i="59" a="1"/>
  <c r="CT57" i="59" s="1"/>
  <c r="D46" i="58" a="1"/>
  <c r="D46" i="58" s="1"/>
  <c r="H119" i="58" a="1"/>
  <c r="H119" i="58" s="1"/>
  <c r="D141" i="58" a="1"/>
  <c r="D141" i="58" s="1"/>
  <c r="W57" i="59" a="1"/>
  <c r="W57" i="59" s="1"/>
  <c r="BB58" i="59" a="1"/>
  <c r="BB58" i="59" s="1"/>
  <c r="CE59" i="59" a="1"/>
  <c r="CE59" i="59" s="1"/>
  <c r="F40" i="58" a="1"/>
  <c r="F40" i="58" s="1"/>
  <c r="BV60" i="59" a="1"/>
  <c r="BV60" i="59" s="1"/>
  <c r="AI63" i="59" a="1"/>
  <c r="AI63" i="59" s="1"/>
  <c r="F130" i="58" a="1"/>
  <c r="F130" i="58" s="1"/>
  <c r="C131" i="58" a="1"/>
  <c r="C131" i="58" s="1"/>
  <c r="CZ67" i="59" a="1"/>
  <c r="CZ67" i="59" s="1"/>
  <c r="DA64" i="59" a="1"/>
  <c r="DA64" i="59" s="1"/>
  <c r="D106" i="58" a="1"/>
  <c r="D106" i="58" s="1"/>
  <c r="BC63" i="59" a="1"/>
  <c r="BC63" i="59" s="1"/>
  <c r="AK58" i="59" a="1"/>
  <c r="AK58" i="59" s="1"/>
  <c r="G29" i="58" a="1"/>
  <c r="G29" i="58" s="1"/>
  <c r="AG57" i="59" a="1"/>
  <c r="AG57" i="59" s="1"/>
  <c r="C75" i="58" a="1"/>
  <c r="C75" i="58" s="1"/>
  <c r="AX60" i="59" a="1"/>
  <c r="AX60" i="59" s="1"/>
  <c r="AB67" i="59" a="1"/>
  <c r="AB67" i="59" s="1"/>
  <c r="BP62" i="59" a="1"/>
  <c r="BP62" i="59" s="1"/>
  <c r="CY67" i="59" a="1"/>
  <c r="CY67" i="59" s="1"/>
  <c r="DG64" i="59" a="1"/>
  <c r="DG64" i="59" s="1"/>
  <c r="G41" i="58" a="1"/>
  <c r="G41" i="58" s="1"/>
  <c r="D88" i="58" a="1"/>
  <c r="D88" i="58" s="1"/>
  <c r="E68" i="59" a="1"/>
  <c r="E68" i="59" s="1"/>
  <c r="C52" i="58" a="1"/>
  <c r="C52" i="58" s="1"/>
  <c r="BC60" i="59" a="1"/>
  <c r="BC60" i="59" s="1"/>
  <c r="F33" i="58" a="1"/>
  <c r="F33" i="58" s="1"/>
  <c r="E73" i="58" a="1"/>
  <c r="E73" i="58" s="1"/>
  <c r="J57" i="59" a="1"/>
  <c r="J57" i="59" s="1"/>
  <c r="F114" i="58" a="1"/>
  <c r="F114" i="58" s="1"/>
  <c r="G93" i="58" a="1"/>
  <c r="G93" i="58" s="1"/>
  <c r="AZ64" i="59" a="1"/>
  <c r="AZ64" i="59" s="1"/>
  <c r="S63" i="59" a="1"/>
  <c r="S63" i="59" s="1"/>
  <c r="G50" i="58" a="1"/>
  <c r="G50" i="58" s="1"/>
  <c r="C118" i="58" a="1"/>
  <c r="C118" i="58" s="1"/>
  <c r="BB61" i="59" a="1"/>
  <c r="BB61" i="59" s="1"/>
  <c r="K66" i="59" a="1"/>
  <c r="K66" i="59" s="1"/>
  <c r="BA59" i="59" a="1"/>
  <c r="BA59" i="59" s="1"/>
  <c r="BY63" i="59" a="1"/>
  <c r="BY63" i="59" s="1"/>
  <c r="CR62" i="59" a="1"/>
  <c r="CR62" i="59" s="1"/>
  <c r="N64" i="59" a="1"/>
  <c r="N64" i="59" s="1"/>
  <c r="G120" i="58" a="1"/>
  <c r="G120" i="58" s="1"/>
  <c r="CG63" i="59" a="1"/>
  <c r="CG63" i="59" s="1"/>
  <c r="BL67" i="59" a="1"/>
  <c r="BL67" i="59" s="1"/>
  <c r="BK61" i="59" a="1"/>
  <c r="BK61" i="59" s="1"/>
  <c r="BA58" i="59" a="1"/>
  <c r="BA58" i="59" s="1"/>
  <c r="BB68" i="59" a="1"/>
  <c r="BB68" i="59" s="1"/>
  <c r="BE57" i="59" a="1"/>
  <c r="BE57" i="59" s="1"/>
  <c r="AQ57" i="59" a="1"/>
  <c r="AQ57" i="59" s="1"/>
  <c r="D36" i="58" a="1"/>
  <c r="D36" i="58" s="1"/>
  <c r="AA62" i="59" a="1"/>
  <c r="AA62" i="59" s="1"/>
  <c r="C43" i="58" a="1"/>
  <c r="C43" i="58" s="1"/>
  <c r="CL68" i="59" a="1"/>
  <c r="CL68" i="59" s="1"/>
  <c r="CN64" i="59" a="1"/>
  <c r="CN64" i="59" s="1"/>
  <c r="K62" i="59" a="1"/>
  <c r="K62" i="59" s="1"/>
  <c r="DH60" i="59" a="1"/>
  <c r="DH60" i="59" s="1"/>
  <c r="BS65" i="59" a="1"/>
  <c r="BS65" i="59" s="1"/>
  <c r="H27" i="58" a="1"/>
  <c r="H27" i="58" s="1"/>
  <c r="AV63" i="59" a="1"/>
  <c r="AV63" i="59" s="1"/>
  <c r="BB67" i="59" a="1"/>
  <c r="BB67" i="59" s="1"/>
  <c r="Y59" i="59" a="1"/>
  <c r="Y59" i="59" s="1"/>
  <c r="AP61" i="59" a="1"/>
  <c r="AP61" i="59" s="1"/>
  <c r="M65" i="59" a="1"/>
  <c r="M65" i="59" s="1"/>
  <c r="L60" i="59" a="1"/>
  <c r="L60" i="59" s="1"/>
  <c r="AZ59" i="59" a="1"/>
  <c r="AZ59" i="59" s="1"/>
  <c r="BA60" i="59" a="1"/>
  <c r="BA60" i="59" s="1"/>
  <c r="CZ65" i="59" a="1"/>
  <c r="CZ65" i="59" s="1"/>
  <c r="E58" i="58" a="1"/>
  <c r="E58" i="58" s="1"/>
  <c r="BZ64" i="59" a="1"/>
  <c r="BZ64" i="59" s="1"/>
  <c r="CM64" i="59" a="1"/>
  <c r="CM64" i="59" s="1"/>
  <c r="O57" i="59" a="1"/>
  <c r="O57" i="59" s="1"/>
  <c r="BJ67" i="59" a="1"/>
  <c r="BJ67" i="59" s="1"/>
  <c r="E82" i="58" a="1"/>
  <c r="E82" i="58" s="1"/>
  <c r="D85" i="58" a="1"/>
  <c r="D85" i="58" s="1"/>
  <c r="BW63" i="59" a="1"/>
  <c r="BW63" i="59" s="1"/>
  <c r="CS66" i="59" a="1"/>
  <c r="CS66" i="59" s="1"/>
  <c r="E26" i="58" a="1"/>
  <c r="E26" i="58" s="1"/>
  <c r="E96" i="58" a="1"/>
  <c r="E96" i="58" s="1"/>
  <c r="CU60" i="59" a="1"/>
  <c r="CU60" i="59" s="1"/>
  <c r="H128" i="58" a="1"/>
  <c r="H128" i="58" s="1"/>
  <c r="G75" i="58" a="1"/>
  <c r="G75" i="58" s="1"/>
  <c r="BX57" i="59" a="1"/>
  <c r="BX57" i="59" s="1"/>
  <c r="AQ68" i="59" a="1"/>
  <c r="AQ68" i="59" s="1"/>
  <c r="CR60" i="59" a="1"/>
  <c r="CR60" i="59" s="1"/>
  <c r="AX66" i="59" a="1"/>
  <c r="AX66" i="59" s="1"/>
  <c r="D97" i="58" a="1"/>
  <c r="D97" i="58" s="1"/>
  <c r="S61" i="59" a="1"/>
  <c r="S61" i="59" s="1"/>
  <c r="G131" i="58" a="1"/>
  <c r="G131" i="58" s="1"/>
  <c r="D47" i="58" a="1"/>
  <c r="D47" i="58" s="1"/>
  <c r="G140" i="58" a="1"/>
  <c r="G140" i="58" s="1"/>
  <c r="BP66" i="59" a="1"/>
  <c r="BP66" i="59" s="1"/>
  <c r="Y60" i="59" a="1"/>
  <c r="Y60" i="59" s="1"/>
  <c r="CI63" i="59" a="1"/>
  <c r="CI63" i="59" s="1"/>
  <c r="F101" i="58" a="1"/>
  <c r="F101" i="58" s="1"/>
  <c r="CN58" i="59" a="1"/>
  <c r="CN58" i="59" s="1"/>
  <c r="S65" i="59" a="1"/>
  <c r="S65" i="59" s="1"/>
  <c r="F110" i="58" a="1"/>
  <c r="F110" i="58" s="1"/>
  <c r="AF62" i="59" a="1"/>
  <c r="AF62" i="59" s="1"/>
  <c r="H98" i="58" a="1"/>
  <c r="H98" i="58" s="1"/>
  <c r="DH62" i="59" a="1"/>
  <c r="DH62" i="59" s="1"/>
  <c r="AT59" i="59" a="1"/>
  <c r="AT59" i="59" s="1"/>
  <c r="AT61" i="59" a="1"/>
  <c r="AT61" i="59" s="1"/>
  <c r="F62" i="58" a="1"/>
  <c r="F62" i="58" s="1"/>
  <c r="H80" i="58" a="1"/>
  <c r="H80" i="58" s="1"/>
  <c r="CF63" i="59" a="1"/>
  <c r="CF63" i="59" s="1"/>
  <c r="E40" i="58" a="1"/>
  <c r="E40" i="58" s="1"/>
  <c r="F85" i="58" a="1"/>
  <c r="F85" i="58" s="1"/>
  <c r="C104" i="58" a="1"/>
  <c r="C104" i="58" s="1"/>
  <c r="F49" i="58" a="1"/>
  <c r="F49" i="58" s="1"/>
  <c r="C133" i="58" a="1"/>
  <c r="C133" i="58" s="1"/>
  <c r="BQ60" i="59" a="1"/>
  <c r="BQ60" i="59" s="1"/>
  <c r="H87" i="58" a="1"/>
  <c r="H87" i="58" s="1"/>
  <c r="Y68" i="59" a="1"/>
  <c r="Y68" i="59" s="1"/>
  <c r="CA61" i="59" a="1"/>
  <c r="CA61" i="59" s="1"/>
  <c r="CG60" i="59" a="1"/>
  <c r="CG60" i="59" s="1"/>
  <c r="G114" i="58" a="1"/>
  <c r="G114" i="58" s="1"/>
  <c r="H116" i="58" a="1"/>
  <c r="H116" i="58" s="1"/>
  <c r="H41" i="58" a="1"/>
  <c r="H41" i="58" s="1"/>
  <c r="BE59" i="59" a="1"/>
  <c r="BE59" i="59" s="1"/>
  <c r="H31" i="58" a="1"/>
  <c r="H31" i="58" s="1"/>
  <c r="CM62" i="59" a="1"/>
  <c r="CM62" i="59" s="1"/>
  <c r="F45" i="58" a="1"/>
  <c r="F45" i="58" s="1"/>
  <c r="H42" i="58" a="1"/>
  <c r="H42" i="58" s="1"/>
  <c r="F98" i="58" a="1"/>
  <c r="F98" i="58" s="1"/>
  <c r="G36" i="58" a="1"/>
  <c r="G36" i="58" s="1"/>
  <c r="AL61" i="59" a="1"/>
  <c r="AL61" i="59" s="1"/>
  <c r="F57" i="59" a="1"/>
  <c r="F57" i="59" s="1"/>
  <c r="X57" i="59" a="1"/>
  <c r="X57" i="59" s="1"/>
  <c r="AT58" i="59" a="1"/>
  <c r="AT58" i="59" s="1"/>
  <c r="CV64" i="59" a="1"/>
  <c r="CV64" i="59" s="1"/>
  <c r="CW68" i="59" a="1"/>
  <c r="CW68" i="59" s="1"/>
  <c r="C121" i="58" a="1"/>
  <c r="C121" i="58" s="1"/>
  <c r="M68" i="59" a="1"/>
  <c r="M68" i="59" s="1"/>
  <c r="T62" i="59" a="1"/>
  <c r="T62" i="59" s="1"/>
  <c r="I67" i="59" a="1"/>
  <c r="I67" i="59" s="1"/>
  <c r="F66" i="58" a="1"/>
  <c r="F66" i="58" s="1"/>
  <c r="J63" i="59" a="1"/>
  <c r="J63" i="59" s="1"/>
  <c r="E33" i="58" a="1"/>
  <c r="E33" i="58" s="1"/>
  <c r="CO65" i="59" a="1"/>
  <c r="CO65" i="59" s="1"/>
  <c r="D69" i="58" a="1"/>
  <c r="D69" i="58" s="1"/>
  <c r="C115" i="58" a="1"/>
  <c r="C115" i="58" s="1"/>
  <c r="F42" i="58" a="1"/>
  <c r="F42" i="58" s="1"/>
  <c r="L68" i="59" a="1"/>
  <c r="L68" i="59" s="1"/>
  <c r="E56" i="58" a="1"/>
  <c r="E56" i="58" s="1"/>
  <c r="CW63" i="59" a="1"/>
  <c r="CW63" i="59" s="1"/>
  <c r="H18" i="2"/>
  <c r="F28" i="17" s="1"/>
  <c r="C68" i="59" s="1"/>
  <c r="BM65" i="59" a="1"/>
  <c r="BM65" i="59" s="1"/>
  <c r="BO68" i="59" a="1"/>
  <c r="BO68" i="59" s="1"/>
  <c r="BD66" i="59" a="1"/>
  <c r="BD66" i="59" s="1"/>
  <c r="C67" i="58" a="1"/>
  <c r="C67" i="58" s="1"/>
  <c r="C74" i="58" a="1"/>
  <c r="C74" i="58" s="1"/>
  <c r="AR66" i="59" a="1"/>
  <c r="AR66" i="59" s="1"/>
  <c r="BC59" i="59" a="1"/>
  <c r="BC59" i="59" s="1"/>
  <c r="D68" i="59" a="1"/>
  <c r="D68" i="59" s="1"/>
  <c r="K60" i="59" a="1"/>
  <c r="K60" i="59" s="1"/>
  <c r="D90" i="58" a="1"/>
  <c r="D90" i="58" s="1"/>
  <c r="AV60" i="59" a="1"/>
  <c r="AV60" i="59" s="1"/>
  <c r="F126" i="58" a="1"/>
  <c r="F126" i="58" s="1"/>
  <c r="D64" i="58" a="1"/>
  <c r="D64" i="58" s="1"/>
  <c r="BF59" i="59" a="1"/>
  <c r="BF59" i="59" s="1"/>
  <c r="CF59" i="59" a="1"/>
  <c r="CF59" i="59" s="1"/>
  <c r="BK64" i="59" a="1"/>
  <c r="BK64" i="59" s="1"/>
  <c r="BI60" i="59" a="1"/>
  <c r="BI60" i="59" s="1"/>
  <c r="BL62" i="59" a="1"/>
  <c r="BL62" i="59" s="1"/>
  <c r="E80" i="58" a="1"/>
  <c r="E80" i="58" s="1"/>
  <c r="CV63" i="59" a="1"/>
  <c r="CV63" i="59" s="1"/>
  <c r="C89" i="58" a="1"/>
  <c r="C89" i="58" s="1"/>
  <c r="CB65" i="59" a="1"/>
  <c r="CB65" i="59" s="1"/>
  <c r="AM61" i="59" a="1"/>
  <c r="AM61" i="59" s="1"/>
  <c r="T66" i="59" a="1"/>
  <c r="T66" i="59" s="1"/>
  <c r="BG65" i="59" a="1"/>
  <c r="BG65" i="59" s="1"/>
  <c r="E30" i="58" a="1"/>
  <c r="E30" i="58" s="1"/>
  <c r="U59" i="59" a="1"/>
  <c r="U59" i="59" s="1"/>
  <c r="D134" i="58" a="1"/>
  <c r="D134" i="58" s="1"/>
  <c r="F61" i="58" a="1"/>
  <c r="F61" i="58" s="1"/>
  <c r="AF63" i="59" a="1"/>
  <c r="AF63" i="59" s="1"/>
  <c r="BV64" i="59" a="1"/>
  <c r="BV64" i="59" s="1"/>
  <c r="G51" i="58" a="1"/>
  <c r="G51" i="58" s="1"/>
  <c r="L65" i="59" a="1"/>
  <c r="L65" i="59" s="1"/>
  <c r="E58" i="59" a="1"/>
  <c r="E58" i="59" s="1"/>
  <c r="CA62" i="59" a="1"/>
  <c r="CA62" i="59" s="1"/>
  <c r="G25" i="58" a="1"/>
  <c r="G25" i="58" s="1"/>
  <c r="CU59" i="59" a="1"/>
  <c r="CU59" i="59" s="1"/>
  <c r="H22" i="58" a="1"/>
  <c r="H22" i="58" s="1"/>
  <c r="CJ65" i="59" a="1"/>
  <c r="CJ65" i="59" s="1"/>
  <c r="D65" i="59" a="1"/>
  <c r="D65" i="59" s="1"/>
  <c r="D94" i="58" a="1"/>
  <c r="D94" i="58" s="1"/>
  <c r="H60" i="58" a="1"/>
  <c r="H60" i="58" s="1"/>
  <c r="BA57" i="59" a="1"/>
  <c r="BA57" i="59" s="1"/>
  <c r="AN59" i="59" a="1"/>
  <c r="AN59" i="59" s="1"/>
  <c r="DF67" i="59" a="1"/>
  <c r="DF67" i="59" s="1"/>
  <c r="G133" i="58" a="1"/>
  <c r="G133" i="58" s="1"/>
  <c r="CC62" i="59" a="1"/>
  <c r="CC62" i="59" s="1"/>
  <c r="CC63" i="59" a="1"/>
  <c r="CC63" i="59" s="1"/>
  <c r="G117" i="58" a="1"/>
  <c r="G117" i="58" s="1"/>
  <c r="E41" i="58" a="1"/>
  <c r="E41" i="58" s="1"/>
  <c r="BR63" i="59" a="1"/>
  <c r="BR63" i="59" s="1"/>
  <c r="G28" i="58" a="1"/>
  <c r="G28" i="58" s="1"/>
  <c r="E130" i="58" a="1"/>
  <c r="E130" i="58" s="1"/>
  <c r="AV67" i="59" a="1"/>
  <c r="AV67" i="59" s="1"/>
  <c r="CW65" i="59" a="1"/>
  <c r="CW65" i="59" s="1"/>
  <c r="I64" i="59" a="1"/>
  <c r="I64" i="59" s="1"/>
  <c r="C107" i="58" a="1"/>
  <c r="C107" i="58" s="1"/>
  <c r="F121" i="58" a="1"/>
  <c r="F121" i="58" s="1"/>
  <c r="H111" i="58" a="1"/>
  <c r="H111" i="58" s="1"/>
  <c r="AY66" i="59" a="1"/>
  <c r="AY66" i="59" s="1"/>
  <c r="C134" i="58" a="1"/>
  <c r="C134" i="58" s="1"/>
  <c r="BT57" i="59" a="1"/>
  <c r="BT57" i="59" s="1"/>
  <c r="D119" i="58" a="1"/>
  <c r="D119" i="58" s="1"/>
  <c r="K63" i="59" a="1"/>
  <c r="K63" i="59" s="1"/>
  <c r="C82" i="58" a="1"/>
  <c r="C82" i="58" s="1"/>
  <c r="BN60" i="59" a="1"/>
  <c r="BN60" i="59" s="1"/>
  <c r="B6" i="7"/>
  <c r="B10" i="7" s="1"/>
  <c r="B14" i="7" s="1"/>
  <c r="L17" i="2"/>
  <c r="E16" i="58" s="1"/>
  <c r="J67" i="59" a="1"/>
  <c r="J67" i="59" s="1"/>
  <c r="O62" i="59" a="1"/>
  <c r="O62" i="59" s="1"/>
  <c r="AB62" i="59" a="1"/>
  <c r="AB62" i="59" s="1"/>
  <c r="F32" i="58" a="1"/>
  <c r="F32" i="58" s="1"/>
  <c r="CK58" i="59" a="1"/>
  <c r="CK58" i="59" s="1"/>
  <c r="E102" i="58" a="1"/>
  <c r="E102" i="58" s="1"/>
  <c r="DC57" i="59" a="1"/>
  <c r="DC57" i="59" s="1"/>
  <c r="F35" i="58" a="1"/>
  <c r="F35" i="58" s="1"/>
  <c r="CS59" i="59" a="1"/>
  <c r="CS59" i="59" s="1"/>
  <c r="AK66" i="59" a="1"/>
  <c r="AK66" i="59" s="1"/>
  <c r="DB64" i="59" a="1"/>
  <c r="DB64" i="59" s="1"/>
  <c r="BB57" i="59" a="1"/>
  <c r="BB57" i="59" s="1"/>
  <c r="F141" i="58" a="1"/>
  <c r="F141" i="58" s="1"/>
  <c r="BL57" i="59" a="1"/>
  <c r="BL57" i="59" s="1"/>
  <c r="CE67" i="59" a="1"/>
  <c r="CE67" i="59" s="1"/>
  <c r="BS63" i="59" a="1"/>
  <c r="BS63" i="59" s="1"/>
  <c r="AW57" i="59" a="1"/>
  <c r="AW57" i="59" s="1"/>
  <c r="K19" i="2"/>
  <c r="K6" i="2" s="1"/>
  <c r="C13" i="35" s="1"/>
  <c r="BI65" i="59" a="1"/>
  <c r="BI65" i="59" s="1"/>
  <c r="AH57" i="59" a="1"/>
  <c r="AH57" i="59" s="1"/>
  <c r="C73" i="58" a="1"/>
  <c r="C73" i="58" s="1"/>
  <c r="AS65" i="59" a="1"/>
  <c r="AS65" i="59" s="1"/>
  <c r="DA62" i="59" a="1"/>
  <c r="DA62" i="59" s="1"/>
  <c r="BX60" i="59" a="1"/>
  <c r="BX60" i="59" s="1"/>
  <c r="CU64" i="59" a="1"/>
  <c r="CU64" i="59" s="1"/>
  <c r="C90" i="58" a="1"/>
  <c r="C90" i="58" s="1"/>
  <c r="C138" i="58" a="1"/>
  <c r="C138" i="58" s="1"/>
  <c r="R66" i="59" a="1"/>
  <c r="R66" i="59" s="1"/>
  <c r="X63" i="59" a="1"/>
  <c r="X63" i="59" s="1"/>
  <c r="CG67" i="59" a="1"/>
  <c r="CG67" i="59" s="1"/>
  <c r="BY61" i="59" a="1"/>
  <c r="BY61" i="59" s="1"/>
  <c r="BK57" i="59" a="1"/>
  <c r="BK57" i="59" s="1"/>
  <c r="AJ67" i="59" a="1"/>
  <c r="AJ67" i="59" s="1"/>
  <c r="M60" i="59" a="1"/>
  <c r="M60" i="59" s="1"/>
  <c r="BL58" i="59" a="1"/>
  <c r="BL58" i="59" s="1"/>
  <c r="AD58" i="59" a="1"/>
  <c r="AD58" i="59" s="1"/>
  <c r="AM59" i="59" a="1"/>
  <c r="AM59" i="59" s="1"/>
  <c r="W58" i="59" a="1"/>
  <c r="W58" i="59" s="1"/>
  <c r="H68" i="59" a="1"/>
  <c r="H68" i="59" s="1"/>
  <c r="BP58" i="59" a="1"/>
  <c r="BP58" i="59" s="1"/>
  <c r="DC67" i="59" a="1"/>
  <c r="DC67" i="59" s="1"/>
  <c r="C39" i="58" a="1"/>
  <c r="C39" i="58" s="1"/>
  <c r="F64" i="59" a="1"/>
  <c r="F64" i="59" s="1"/>
  <c r="P68" i="59" a="1"/>
  <c r="P68" i="59" s="1"/>
  <c r="G76" i="58" a="1"/>
  <c r="G76" i="58" s="1"/>
  <c r="CS63" i="59" a="1"/>
  <c r="CS63" i="59" s="1"/>
  <c r="AK68" i="59" a="1"/>
  <c r="AK68" i="59" s="1"/>
  <c r="F36" i="58" a="1"/>
  <c r="F36" i="58" s="1"/>
  <c r="F59" i="59" a="1"/>
  <c r="F59" i="59" s="1"/>
  <c r="CC57" i="59" a="1"/>
  <c r="CC57" i="59" s="1"/>
  <c r="F21" i="17"/>
  <c r="C61" i="59" s="1"/>
  <c r="F26" i="58" a="1"/>
  <c r="F26" i="58" s="1"/>
  <c r="CN66" i="59" a="1"/>
  <c r="CN66" i="59" s="1"/>
  <c r="H64" i="58" a="1"/>
  <c r="H64" i="58" s="1"/>
  <c r="W61" i="59" a="1"/>
  <c r="W61" i="59" s="1"/>
  <c r="CR66" i="59" a="1"/>
  <c r="CR66" i="59" s="1"/>
  <c r="D75" i="58" a="1"/>
  <c r="D75" i="58" s="1"/>
  <c r="C124" i="58" a="1"/>
  <c r="C124" i="58" s="1"/>
  <c r="AW59" i="59" a="1"/>
  <c r="AW59" i="59" s="1"/>
  <c r="BU61" i="59" a="1"/>
  <c r="BU61" i="59" s="1"/>
  <c r="H122" i="58" a="1"/>
  <c r="H122" i="58" s="1"/>
  <c r="AS64" i="59" a="1"/>
  <c r="AS64" i="59" s="1"/>
  <c r="BI63" i="59" a="1"/>
  <c r="BI63" i="59" s="1"/>
  <c r="G53" i="58" a="1"/>
  <c r="G53" i="58" s="1"/>
  <c r="CR59" i="59" a="1"/>
  <c r="CR59" i="59" s="1"/>
  <c r="D93" i="58" a="1"/>
  <c r="D93" i="58" s="1"/>
  <c r="D62" i="59" a="1"/>
  <c r="D62" i="59" s="1"/>
  <c r="C96" i="58" a="1"/>
  <c r="C96" i="58" s="1"/>
  <c r="G77" i="58" a="1"/>
  <c r="G77" i="58" s="1"/>
  <c r="I59" i="59" a="1"/>
  <c r="I59" i="59" s="1"/>
  <c r="E103" i="58" a="1"/>
  <c r="E103" i="58" s="1"/>
  <c r="AL57" i="59" a="1"/>
  <c r="AL57" i="59" s="1"/>
  <c r="D81" i="58" a="1"/>
  <c r="D81" i="58" s="1"/>
  <c r="H121" i="58" a="1"/>
  <c r="H121" i="58" s="1"/>
  <c r="BN67" i="59" a="1"/>
  <c r="BN67" i="59" s="1"/>
  <c r="C120" i="58" a="1"/>
  <c r="C120" i="58" s="1"/>
  <c r="BB59" i="59" a="1"/>
  <c r="BB59" i="59" s="1"/>
  <c r="F73" i="58" a="1"/>
  <c r="F73" i="58" s="1"/>
  <c r="CB58" i="59" a="1"/>
  <c r="CB58" i="59" s="1"/>
  <c r="I68" i="59" a="1"/>
  <c r="I68" i="59" s="1"/>
  <c r="CD59" i="59" a="1"/>
  <c r="CD59" i="59" s="1"/>
  <c r="DC62" i="59" a="1"/>
  <c r="DC62" i="59" s="1"/>
  <c r="H61" i="58" a="1"/>
  <c r="H61" i="58" s="1"/>
  <c r="F127" i="58" a="1"/>
  <c r="F127" i="58" s="1"/>
  <c r="D110" i="58" a="1"/>
  <c r="D110" i="58" s="1"/>
  <c r="BY66" i="59" a="1"/>
  <c r="BY66" i="59" s="1"/>
  <c r="C97" i="58" a="1"/>
  <c r="C97" i="58" s="1"/>
  <c r="CX63" i="59" a="1"/>
  <c r="CX63" i="59" s="1"/>
  <c r="BW64" i="59" a="1"/>
  <c r="BW64" i="59" s="1"/>
  <c r="E67" i="58" a="1"/>
  <c r="E67" i="58" s="1"/>
  <c r="C137" i="58" a="1"/>
  <c r="C137" i="58" s="1"/>
  <c r="F18" i="58" a="1"/>
  <c r="F18" i="58" s="1"/>
  <c r="DC68" i="59" a="1"/>
  <c r="DC68" i="59" s="1"/>
  <c r="E76" i="58" a="1"/>
  <c r="E76" i="58" s="1"/>
  <c r="E137" i="58" a="1"/>
  <c r="E137" i="58" s="1"/>
  <c r="G45" i="58" a="1"/>
  <c r="G45" i="58" s="1"/>
  <c r="G125" i="58" a="1"/>
  <c r="G125" i="58" s="1"/>
  <c r="BC68" i="59" a="1"/>
  <c r="BC68" i="59" s="1"/>
  <c r="G88" i="58" a="1"/>
  <c r="G88" i="58" s="1"/>
  <c r="D55" i="58" a="1"/>
  <c r="D55" i="58" s="1"/>
  <c r="D20" i="58" a="1"/>
  <c r="D20" i="58" s="1"/>
  <c r="O67" i="59" a="1"/>
  <c r="O67" i="59" s="1"/>
  <c r="G81" i="58" a="1"/>
  <c r="G81" i="58" s="1"/>
  <c r="G95" i="58" a="1"/>
  <c r="G95" i="58" s="1"/>
  <c r="CL64" i="59" a="1"/>
  <c r="CL64" i="59" s="1"/>
  <c r="DD60" i="59" a="1"/>
  <c r="DD60" i="59" s="1"/>
  <c r="G59" i="58" a="1"/>
  <c r="G59" i="58" s="1"/>
  <c r="D60" i="59" a="1"/>
  <c r="D60" i="59" s="1"/>
  <c r="AB57" i="59" a="1"/>
  <c r="AB57" i="59" s="1"/>
  <c r="AS63" i="59" a="1"/>
  <c r="AS63" i="59" s="1"/>
  <c r="BP67" i="59" a="1"/>
  <c r="BP67" i="59" s="1"/>
  <c r="BQ58" i="59" a="1"/>
  <c r="BQ58" i="59" s="1"/>
  <c r="D105" i="58" a="1"/>
  <c r="D105" i="58" s="1"/>
  <c r="D63" i="59" a="1"/>
  <c r="D63" i="59" s="1"/>
  <c r="F28" i="58" a="1"/>
  <c r="F28" i="58" s="1"/>
  <c r="G59" i="59" a="1"/>
  <c r="G59" i="59" s="1"/>
  <c r="CF66" i="59" a="1"/>
  <c r="CF66" i="59" s="1"/>
  <c r="CE57" i="59" a="1"/>
  <c r="CE57" i="59" s="1"/>
  <c r="BX58" i="59" a="1"/>
  <c r="BX58" i="59" s="1"/>
  <c r="F134" i="58" a="1"/>
  <c r="F134" i="58" s="1"/>
  <c r="DA59" i="59" a="1"/>
  <c r="DA59" i="59" s="1"/>
  <c r="E104" i="58" a="1"/>
  <c r="E104" i="58" s="1"/>
  <c r="CH63" i="59" a="1"/>
  <c r="CH63" i="59" s="1"/>
  <c r="AC60" i="59" a="1"/>
  <c r="AC60" i="59" s="1"/>
  <c r="D140" i="58" a="1"/>
  <c r="D140" i="58" s="1"/>
  <c r="CY65" i="59" a="1"/>
  <c r="CY65" i="59" s="1"/>
  <c r="CX60" i="59" a="1"/>
  <c r="CX60" i="59" s="1"/>
  <c r="BU58" i="59" a="1"/>
  <c r="BU58" i="59" s="1"/>
  <c r="CV68" i="59" a="1"/>
  <c r="CV68" i="59" s="1"/>
  <c r="BQ57" i="59" a="1"/>
  <c r="BQ57" i="59" s="1"/>
  <c r="AV58" i="59" a="1"/>
  <c r="AV58" i="59" s="1"/>
  <c r="AN64" i="59" a="1"/>
  <c r="AN64" i="59" s="1"/>
  <c r="E42" i="58" a="1"/>
  <c r="E42" i="58" s="1"/>
  <c r="BT62" i="59" a="1"/>
  <c r="BT62" i="59" s="1"/>
  <c r="CL57" i="59" a="1"/>
  <c r="CL57" i="59" s="1"/>
  <c r="H46" i="58" a="1"/>
  <c r="H46" i="58" s="1"/>
  <c r="H63" i="59" a="1"/>
  <c r="H63" i="59" s="1"/>
  <c r="DB58" i="59" a="1"/>
  <c r="DB58" i="59" s="1"/>
  <c r="Y66" i="59" a="1"/>
  <c r="Y66" i="59" s="1"/>
  <c r="CD64" i="59" a="1"/>
  <c r="CD64" i="59" s="1"/>
  <c r="AS58" i="59" a="1"/>
  <c r="AS58" i="59" s="1"/>
  <c r="H72" i="58" a="1"/>
  <c r="H72" i="58" s="1"/>
  <c r="C36" i="58" a="1"/>
  <c r="C36" i="58" s="1"/>
  <c r="CI62" i="59" a="1"/>
  <c r="CI62" i="59" s="1"/>
  <c r="Q61" i="59" a="1"/>
  <c r="Q61" i="59" s="1"/>
  <c r="AC66" i="59" a="1"/>
  <c r="AC66" i="59" s="1"/>
  <c r="CA57" i="59" a="1"/>
  <c r="CA57" i="59" s="1"/>
  <c r="E70" i="58" a="1"/>
  <c r="E70" i="58" s="1"/>
  <c r="E139" i="58" a="1"/>
  <c r="E139" i="58" s="1"/>
  <c r="CH58" i="59" a="1"/>
  <c r="CH58" i="59" s="1"/>
  <c r="C41" i="58" a="1"/>
  <c r="C41" i="58" s="1"/>
  <c r="AD63" i="59" a="1"/>
  <c r="AD63" i="59" s="1"/>
  <c r="F87" i="58" a="1"/>
  <c r="F87" i="58" s="1"/>
  <c r="CW58" i="59" a="1"/>
  <c r="CW58" i="59" s="1"/>
  <c r="Y62" i="59" a="1"/>
  <c r="Y62" i="59" s="1"/>
  <c r="G66" i="58" a="1"/>
  <c r="G66" i="58" s="1"/>
  <c r="DH65" i="59" a="1"/>
  <c r="DH65" i="59" s="1"/>
  <c r="BE58" i="59" a="1"/>
  <c r="BE58" i="59" s="1"/>
  <c r="AO59" i="59" a="1"/>
  <c r="AO59" i="59" s="1"/>
  <c r="BW61" i="59" a="1"/>
  <c r="BW61" i="59" s="1"/>
  <c r="AA65" i="59" a="1"/>
  <c r="AA65" i="59" s="1"/>
  <c r="CL65" i="59" a="1"/>
  <c r="CL65" i="59" s="1"/>
  <c r="DC63" i="59" a="1"/>
  <c r="DC63" i="59" s="1"/>
  <c r="BC66" i="59" a="1"/>
  <c r="BC66" i="59" s="1"/>
  <c r="AL58" i="59" a="1"/>
  <c r="AL58" i="59" s="1"/>
  <c r="P58" i="59" a="1"/>
  <c r="P58" i="59" s="1"/>
  <c r="D25" i="58" a="1"/>
  <c r="D25" i="58" s="1"/>
  <c r="C51" i="58" a="1"/>
  <c r="C51" i="58" s="1"/>
  <c r="BC65" i="59" a="1"/>
  <c r="BC65" i="59" s="1"/>
  <c r="F19" i="17"/>
  <c r="C59" i="59" s="1"/>
  <c r="AJ60" i="59" a="1"/>
  <c r="AJ60" i="59" s="1"/>
  <c r="AQ65" i="59" a="1"/>
  <c r="AQ65" i="59" s="1"/>
  <c r="F44" i="58" a="1"/>
  <c r="F44" i="58" s="1"/>
  <c r="H71" i="58" a="1"/>
  <c r="H71" i="58" s="1"/>
  <c r="AH62" i="59" a="1"/>
  <c r="AH62" i="59" s="1"/>
  <c r="AJ57" i="59" a="1"/>
  <c r="AJ57" i="59" s="1"/>
  <c r="CU58" i="59" a="1"/>
  <c r="CU58" i="59" s="1"/>
  <c r="CM63" i="59" a="1"/>
  <c r="CM63" i="59" s="1"/>
  <c r="CQ60" i="59" a="1"/>
  <c r="CQ60" i="59" s="1"/>
  <c r="AI59" i="59" a="1"/>
  <c r="AI59" i="59" s="1"/>
  <c r="AR63" i="59" a="1"/>
  <c r="AR63" i="59" s="1"/>
  <c r="BM58" i="59" a="1"/>
  <c r="BM58" i="59" s="1"/>
  <c r="I63" i="59" a="1"/>
  <c r="I63" i="59" s="1"/>
  <c r="BK58" i="59" a="1"/>
  <c r="BK58" i="59" s="1"/>
  <c r="E98" i="58" a="1"/>
  <c r="E98" i="58" s="1"/>
  <c r="AZ61" i="59" a="1"/>
  <c r="AZ61" i="59" s="1"/>
  <c r="F105" i="58" a="1"/>
  <c r="F105" i="58" s="1"/>
  <c r="CU62" i="59" a="1"/>
  <c r="CU62" i="59" s="1"/>
  <c r="AY60" i="59" a="1"/>
  <c r="AY60" i="59" s="1"/>
  <c r="BK60" i="59" a="1"/>
  <c r="BK60" i="59" s="1"/>
  <c r="DC60" i="59" a="1"/>
  <c r="DC60" i="59" s="1"/>
  <c r="E21" i="58" a="1"/>
  <c r="E21" i="58" s="1"/>
  <c r="H18" i="58" a="1"/>
  <c r="H18" i="58" s="1"/>
  <c r="CR65" i="59" a="1"/>
  <c r="CR65" i="59" s="1"/>
  <c r="E60" i="58" a="1"/>
  <c r="E60" i="58" s="1"/>
  <c r="D102" i="58" a="1"/>
  <c r="D102" i="58" s="1"/>
  <c r="P66" i="59" a="1"/>
  <c r="P66" i="59" s="1"/>
  <c r="AP64" i="59" a="1"/>
  <c r="AP64" i="59" s="1"/>
  <c r="AD68" i="59" a="1"/>
  <c r="AD68" i="59" s="1"/>
  <c r="X59" i="59" a="1"/>
  <c r="X59" i="59" s="1"/>
  <c r="E110" i="58" a="1"/>
  <c r="E110" i="58" s="1"/>
  <c r="AN65" i="59" a="1"/>
  <c r="AN65" i="59" s="1"/>
  <c r="E72" i="58" a="1"/>
  <c r="E72" i="58" s="1"/>
  <c r="C25" i="58" a="1"/>
  <c r="C25" i="58" s="1"/>
  <c r="E34" i="58" a="1"/>
  <c r="E34" i="58" s="1"/>
  <c r="CJ68" i="59" a="1"/>
  <c r="CJ68" i="59" s="1"/>
  <c r="BM64" i="59" a="1"/>
  <c r="BM64" i="59" s="1"/>
  <c r="S57" i="59" a="1"/>
  <c r="S57" i="59" s="1"/>
  <c r="AM60" i="59" a="1"/>
  <c r="AM60" i="59" s="1"/>
  <c r="F61" i="59" a="1"/>
  <c r="F61" i="59" s="1"/>
  <c r="E36" i="58" a="1"/>
  <c r="E36" i="58" s="1"/>
  <c r="F50" i="58" a="1"/>
  <c r="F50" i="58" s="1"/>
  <c r="F57" i="58" a="1"/>
  <c r="F57" i="58" s="1"/>
  <c r="Z60" i="59" a="1"/>
  <c r="Z60" i="59" s="1"/>
  <c r="BF62" i="59" a="1"/>
  <c r="BF62" i="59" s="1"/>
  <c r="AD61" i="59" a="1"/>
  <c r="AD61" i="59" s="1"/>
  <c r="F63" i="59" a="1"/>
  <c r="F63" i="59" s="1"/>
  <c r="E112" i="58" a="1"/>
  <c r="E112" i="58" s="1"/>
  <c r="E65" i="59" a="1"/>
  <c r="E65" i="59" s="1"/>
  <c r="G68" i="58" a="1"/>
  <c r="G68" i="58" s="1"/>
  <c r="BJ66" i="59" a="1"/>
  <c r="BJ66" i="59" s="1"/>
  <c r="D96" i="58" a="1"/>
  <c r="D96" i="58" s="1"/>
  <c r="AE68" i="59" a="1"/>
  <c r="AE68" i="59" s="1"/>
  <c r="D70" i="58" a="1"/>
  <c r="D70" i="58" s="1"/>
  <c r="AM67" i="59" a="1"/>
  <c r="AM67" i="59" s="1"/>
  <c r="CP60" i="59" a="1"/>
  <c r="CP60" i="59" s="1"/>
  <c r="AQ60" i="59" a="1"/>
  <c r="AQ60" i="59" s="1"/>
  <c r="AA58" i="59" a="1"/>
  <c r="AA58" i="59" s="1"/>
  <c r="CC64" i="59" a="1"/>
  <c r="CC64" i="59" s="1"/>
  <c r="CI65" i="59" a="1"/>
  <c r="CI65" i="59" s="1"/>
  <c r="CX62" i="59" a="1"/>
  <c r="CX62" i="59" s="1"/>
  <c r="E122" i="58" a="1"/>
  <c r="E122" i="58" s="1"/>
  <c r="AU57" i="59" a="1"/>
  <c r="AU57" i="59" s="1"/>
  <c r="H79" i="58" a="1"/>
  <c r="H79" i="58" s="1"/>
  <c r="E62" i="58" a="1"/>
  <c r="E62" i="58" s="1"/>
  <c r="CJ64" i="59" a="1"/>
  <c r="CJ64" i="59" s="1"/>
  <c r="G86" i="58" a="1"/>
  <c r="G86" i="58" s="1"/>
  <c r="BI57" i="59" a="1"/>
  <c r="BI57" i="59" s="1"/>
  <c r="BF64" i="59" a="1"/>
  <c r="BF64" i="59" s="1"/>
  <c r="H137" i="58" a="1"/>
  <c r="H137" i="58" s="1"/>
  <c r="CU67" i="59" a="1"/>
  <c r="CU67" i="59" s="1"/>
  <c r="N66" i="59" a="1"/>
  <c r="N66" i="59" s="1"/>
  <c r="AQ59" i="59" a="1"/>
  <c r="AQ59" i="59" s="1"/>
  <c r="AE63" i="59" a="1"/>
  <c r="AE63" i="59" s="1"/>
  <c r="C61" i="58" a="1"/>
  <c r="C61" i="58" s="1"/>
  <c r="AY65" i="59" a="1"/>
  <c r="AY65" i="59" s="1"/>
  <c r="BC57" i="59" a="1"/>
  <c r="BC57" i="59" s="1"/>
  <c r="M64" i="59" a="1"/>
  <c r="M64" i="59" s="1"/>
  <c r="E85" i="58" a="1"/>
  <c r="E85" i="58" s="1"/>
  <c r="E126" i="58" a="1"/>
  <c r="E126" i="58" s="1"/>
  <c r="BW62" i="59" a="1"/>
  <c r="BW62" i="59" s="1"/>
  <c r="BO67" i="59" a="1"/>
  <c r="BO67" i="59" s="1"/>
  <c r="H21" i="58" a="1"/>
  <c r="H21" i="58" s="1"/>
  <c r="D127" i="58" a="1"/>
  <c r="D127" i="58" s="1"/>
  <c r="CY66" i="59" a="1"/>
  <c r="CY66" i="59" s="1"/>
  <c r="F54" i="58" a="1"/>
  <c r="F54" i="58" s="1"/>
  <c r="DA61" i="59" a="1"/>
  <c r="DA61" i="59" s="1"/>
  <c r="AC64" i="59" a="1"/>
  <c r="AC64" i="59" s="1"/>
  <c r="H57" i="59" a="1"/>
  <c r="H57" i="59" s="1"/>
  <c r="H133" i="58" a="1"/>
  <c r="H133" i="58" s="1"/>
  <c r="BF60" i="59" a="1"/>
  <c r="BF60" i="59" s="1"/>
  <c r="AZ58" i="59" a="1"/>
  <c r="AZ58" i="59" s="1"/>
  <c r="D115" i="58" a="1"/>
  <c r="D115" i="58" s="1"/>
  <c r="DF64" i="59" a="1"/>
  <c r="DF64" i="59" s="1"/>
  <c r="CS58" i="59" a="1"/>
  <c r="CS58" i="59" s="1"/>
  <c r="D29" i="58" a="1"/>
  <c r="D29" i="58" s="1"/>
  <c r="D133" i="58" a="1"/>
  <c r="D133" i="58" s="1"/>
  <c r="CE58" i="59" a="1"/>
  <c r="CE58" i="59" s="1"/>
  <c r="CX68" i="59" a="1"/>
  <c r="CX68" i="59" s="1"/>
  <c r="G139" i="58" a="1"/>
  <c r="G139" i="58" s="1"/>
  <c r="BZ65" i="59" a="1"/>
  <c r="BZ65" i="59" s="1"/>
  <c r="CZ63" i="59" a="1"/>
  <c r="CZ63" i="59" s="1"/>
  <c r="L18" i="2"/>
  <c r="E17" i="58" s="1"/>
  <c r="AF58" i="59" a="1"/>
  <c r="AF58" i="59" s="1"/>
  <c r="BO65" i="59" a="1"/>
  <c r="BO65" i="59" s="1"/>
  <c r="O66" i="59" a="1"/>
  <c r="O66" i="59" s="1"/>
  <c r="CW60" i="59" a="1"/>
  <c r="CW60" i="59" s="1"/>
  <c r="CO57" i="59" a="1"/>
  <c r="CO57" i="59" s="1"/>
  <c r="W62" i="59" a="1"/>
  <c r="W62" i="59" s="1"/>
  <c r="CO60" i="59" a="1"/>
  <c r="CO60" i="59" s="1"/>
  <c r="E135" i="58" a="1"/>
  <c r="E135" i="58" s="1"/>
  <c r="BM60" i="59" a="1"/>
  <c r="BM60" i="59" s="1"/>
  <c r="DC59" i="59" a="1"/>
  <c r="DC59" i="59" s="1"/>
  <c r="AJ64" i="59" a="1"/>
  <c r="AJ64" i="59" s="1"/>
  <c r="F99" i="58" a="1"/>
  <c r="F99" i="58" s="1"/>
  <c r="S62" i="59" a="1"/>
  <c r="S62" i="59" s="1"/>
  <c r="O18" i="2"/>
  <c r="F27" i="17" s="1"/>
  <c r="C67" i="59" s="1"/>
  <c r="CZ59" i="59" a="1"/>
  <c r="CZ59" i="59" s="1"/>
  <c r="C116" i="58" a="1"/>
  <c r="C116" i="58" s="1"/>
  <c r="BW60" i="59" a="1"/>
  <c r="BW60" i="59" s="1"/>
  <c r="M57" i="59" a="1"/>
  <c r="M57" i="59" s="1"/>
  <c r="F128" i="58" a="1"/>
  <c r="F128" i="58" s="1"/>
  <c r="G118" i="58" a="1"/>
  <c r="G118" i="58" s="1"/>
  <c r="U63" i="59" a="1"/>
  <c r="U63" i="59" s="1"/>
  <c r="AZ63" i="59" a="1"/>
  <c r="AZ63" i="59" s="1"/>
  <c r="C87" i="58" a="1"/>
  <c r="C87" i="58" s="1"/>
  <c r="X62" i="59" a="1"/>
  <c r="X62" i="59" s="1"/>
  <c r="G90" i="58" a="1"/>
  <c r="G90" i="58" s="1"/>
  <c r="K68" i="59" a="1"/>
  <c r="K68" i="59" s="1"/>
  <c r="E88" i="58" a="1"/>
  <c r="E88" i="58" s="1"/>
  <c r="AJ63" i="59" a="1"/>
  <c r="AJ63" i="59" s="1"/>
  <c r="C77" i="58" a="1"/>
  <c r="C77" i="58" s="1"/>
  <c r="CJ60" i="59" a="1"/>
  <c r="CJ60" i="59" s="1"/>
  <c r="F39" i="58" a="1"/>
  <c r="F39" i="58" s="1"/>
  <c r="C22" i="58" a="1"/>
  <c r="C22" i="58" s="1"/>
  <c r="B5" i="7"/>
  <c r="B9" i="7" s="1"/>
  <c r="B13" i="7" s="1"/>
  <c r="C31" i="35"/>
  <c r="F31" i="35" s="1"/>
  <c r="F17" i="58"/>
  <c r="L5" i="2"/>
  <c r="B14" i="35" s="1"/>
  <c r="E14" i="26"/>
  <c r="B32" i="26"/>
  <c r="B45" i="26"/>
  <c r="E93" i="6"/>
  <c r="B12" i="8"/>
  <c r="B24" i="59" s="1"/>
  <c r="D56" i="17"/>
  <c r="I3" i="51"/>
  <c r="C76" i="6"/>
  <c r="C55" i="6"/>
  <c r="E190" i="6"/>
  <c r="E17" i="8"/>
  <c r="B10" i="58"/>
  <c r="B4" i="35" s="1"/>
  <c r="A67" i="28"/>
  <c r="D55" i="17"/>
  <c r="D74" i="17"/>
  <c r="D50" i="17"/>
  <c r="D60" i="17"/>
  <c r="D59" i="17"/>
  <c r="D58" i="17"/>
  <c r="D57" i="17"/>
  <c r="D39" i="17"/>
  <c r="D54" i="17"/>
  <c r="D61" i="17"/>
  <c r="E3" i="51"/>
  <c r="B52" i="59"/>
  <c r="D76" i="8" l="1"/>
  <c r="E2" i="10"/>
  <c r="C24" i="35"/>
  <c r="F24" i="35" s="1"/>
  <c r="M24" i="35" s="1"/>
  <c r="C27" i="35"/>
  <c r="F27" i="35" s="1"/>
  <c r="M27" i="35" s="1"/>
  <c r="C39" i="35"/>
  <c r="F39" i="35" s="1"/>
  <c r="AJ65" i="26"/>
  <c r="AA3" i="57"/>
  <c r="H2" i="10"/>
  <c r="W65" i="26"/>
  <c r="C3" i="47"/>
  <c r="C3" i="57"/>
  <c r="C3" i="48"/>
  <c r="C3" i="54"/>
  <c r="C21" i="59"/>
  <c r="A17" i="58"/>
  <c r="I20" i="6"/>
  <c r="I21" i="6" s="1"/>
  <c r="E13" i="6"/>
  <c r="B38" i="26"/>
  <c r="AR65" i="26"/>
  <c r="CD2" i="10"/>
  <c r="D50" i="8"/>
  <c r="C17" i="58"/>
  <c r="C33" i="35"/>
  <c r="F33" i="35" s="1"/>
  <c r="M33" i="35" s="1"/>
  <c r="D19" i="29"/>
  <c r="B31" i="26"/>
  <c r="A52" i="28"/>
  <c r="E28" i="17"/>
  <c r="B68" i="59" s="1"/>
  <c r="S13" i="26" a="1"/>
  <c r="J3" i="51"/>
  <c r="I3" i="57"/>
  <c r="AD65" i="26"/>
  <c r="AB65" i="26"/>
  <c r="BX2" i="10"/>
  <c r="B29" i="26"/>
  <c r="C21" i="6"/>
  <c r="B40" i="59" s="1"/>
  <c r="U2" i="10"/>
  <c r="BT3" i="10"/>
  <c r="C18" i="35"/>
  <c r="M36" i="35" s="1"/>
  <c r="W60" i="59" a="1"/>
  <c r="W60" i="59" s="1"/>
  <c r="F107" i="58" a="1"/>
  <c r="F107" i="58" s="1"/>
  <c r="DD58" i="59" a="1"/>
  <c r="DD58" i="59" s="1"/>
  <c r="H23" i="58" a="1"/>
  <c r="H23" i="58" s="1"/>
  <c r="DE62" i="59" a="1"/>
  <c r="DE62" i="59" s="1"/>
  <c r="DG68" i="59" a="1"/>
  <c r="DG68" i="59" s="1"/>
  <c r="E35" i="58" a="1"/>
  <c r="E35" i="58" s="1"/>
  <c r="F20" i="17"/>
  <c r="C60" i="59" s="1"/>
  <c r="AX62" i="59" a="1"/>
  <c r="AX62" i="59" s="1"/>
  <c r="F38" i="58" a="1"/>
  <c r="F38" i="58" s="1"/>
  <c r="AB58" i="59" a="1"/>
  <c r="AB58" i="59" s="1"/>
  <c r="CP68" i="59" a="1"/>
  <c r="CP68" i="59" s="1"/>
  <c r="H92" i="58" a="1"/>
  <c r="H92" i="58" s="1"/>
  <c r="H129" i="58" a="1"/>
  <c r="H129" i="58" s="1"/>
  <c r="DG58" i="59" a="1"/>
  <c r="DG58" i="59" s="1"/>
  <c r="BH67" i="59" a="1"/>
  <c r="BH67" i="59" s="1"/>
  <c r="D67" i="58" a="1"/>
  <c r="D67" i="58" s="1"/>
  <c r="CG62" i="59" a="1"/>
  <c r="CG62" i="59" s="1"/>
  <c r="DH61" i="59" a="1"/>
  <c r="DH61" i="59" s="1"/>
  <c r="AE62" i="59" a="1"/>
  <c r="AE62" i="59" s="1"/>
  <c r="AE57" i="59" a="1"/>
  <c r="AE57" i="59" s="1"/>
  <c r="G92" i="58" a="1"/>
  <c r="G92" i="58" s="1"/>
  <c r="CL58" i="59" a="1"/>
  <c r="CL58" i="59" s="1"/>
  <c r="F46" i="58" a="1"/>
  <c r="F46" i="58" s="1"/>
  <c r="H58" i="58" a="1"/>
  <c r="H58" i="58" s="1"/>
  <c r="E107" i="58" a="1"/>
  <c r="E107" i="58" s="1"/>
  <c r="CK64" i="59" a="1"/>
  <c r="CK64" i="59" s="1"/>
  <c r="BH58" i="59" a="1"/>
  <c r="BH58" i="59" s="1"/>
  <c r="H82" i="58" a="1"/>
  <c r="H82" i="58" s="1"/>
  <c r="AC59" i="59" a="1"/>
  <c r="AC59" i="59" s="1"/>
  <c r="AH66" i="59" a="1"/>
  <c r="AH66" i="59" s="1"/>
  <c r="CQ57" i="59" a="1"/>
  <c r="CQ57" i="59" s="1"/>
  <c r="CM61" i="59" a="1"/>
  <c r="CM61" i="59" s="1"/>
  <c r="E31" i="58" a="1"/>
  <c r="E31" i="58" s="1"/>
  <c r="CK63" i="59" a="1"/>
  <c r="CK63" i="59" s="1"/>
  <c r="AH64" i="59" a="1"/>
  <c r="AH64" i="59" s="1"/>
  <c r="BY62" i="59" a="1"/>
  <c r="BY62" i="59" s="1"/>
  <c r="AO63" i="59" a="1"/>
  <c r="AO63" i="59" s="1"/>
  <c r="DG65" i="59" a="1"/>
  <c r="DG65" i="59" s="1"/>
  <c r="G18" i="58" a="1"/>
  <c r="G18" i="58" s="1"/>
  <c r="D67" i="59" a="1"/>
  <c r="D67" i="59" s="1"/>
  <c r="CB61" i="59" a="1"/>
  <c r="CB61" i="59" s="1"/>
  <c r="E23" i="58" a="1"/>
  <c r="E23" i="58" s="1"/>
  <c r="F18" i="17"/>
  <c r="C58" i="59" s="1"/>
  <c r="AG58" i="59" a="1"/>
  <c r="AG58" i="59" s="1"/>
  <c r="F23" i="58" a="1"/>
  <c r="F23" i="58" s="1"/>
  <c r="DE61" i="59" a="1"/>
  <c r="DE61" i="59" s="1"/>
  <c r="E133" i="58" a="1"/>
  <c r="E133" i="58" s="1"/>
  <c r="E38" i="58" a="1"/>
  <c r="E38" i="58" s="1"/>
  <c r="BT61" i="59" a="1"/>
  <c r="BT61" i="59" s="1"/>
  <c r="BF66" i="59" a="1"/>
  <c r="BF66" i="59" s="1"/>
  <c r="CW66" i="59" a="1"/>
  <c r="CW66" i="59" s="1"/>
  <c r="E25" i="58" a="1"/>
  <c r="E25" i="58" s="1"/>
  <c r="U67" i="59" a="1"/>
  <c r="U67" i="59" s="1"/>
  <c r="AZ62" i="59" a="1"/>
  <c r="AZ62" i="59" s="1"/>
  <c r="C126" i="58" a="1"/>
  <c r="C126" i="58" s="1"/>
  <c r="V63" i="59" a="1"/>
  <c r="V63" i="59" s="1"/>
  <c r="E134" i="58" a="1"/>
  <c r="E134" i="58" s="1"/>
  <c r="H103" i="58" a="1"/>
  <c r="H103" i="58" s="1"/>
  <c r="F102" i="58" a="1"/>
  <c r="F102" i="58" s="1"/>
  <c r="U68" i="59" a="1"/>
  <c r="U68" i="59" s="1"/>
  <c r="BE63" i="59" a="1"/>
  <c r="BE63" i="59" s="1"/>
  <c r="BQ62" i="59" a="1"/>
  <c r="BQ62" i="59" s="1"/>
  <c r="C112" i="58" a="1"/>
  <c r="C112" i="58" s="1"/>
  <c r="BZ68" i="59" a="1"/>
  <c r="BZ68" i="59" s="1"/>
  <c r="DC61" i="59" a="1"/>
  <c r="DC61" i="59" s="1"/>
  <c r="CK59" i="59" a="1"/>
  <c r="CK59" i="59" s="1"/>
  <c r="CG68" i="59" a="1"/>
  <c r="CG68" i="59" s="1"/>
  <c r="DE67" i="59" a="1"/>
  <c r="DE67" i="59" s="1"/>
  <c r="BF65" i="59" a="1"/>
  <c r="BF65" i="59" s="1"/>
  <c r="E19" i="8"/>
  <c r="E12" i="8"/>
  <c r="E11" i="8"/>
  <c r="E18" i="8"/>
  <c r="D80" i="21"/>
  <c r="D91" i="21"/>
  <c r="E22" i="17"/>
  <c r="B62" i="59" s="1"/>
  <c r="E65" i="26"/>
  <c r="B34" i="59"/>
  <c r="G11" i="6"/>
  <c r="J36" i="17"/>
  <c r="C30" i="35"/>
  <c r="F30" i="35" s="1"/>
  <c r="M30" i="35" s="1"/>
  <c r="B17" i="26"/>
  <c r="AC12" i="53"/>
  <c r="B1" i="46"/>
  <c r="W2" i="10"/>
  <c r="M2" i="10"/>
  <c r="K3" i="48"/>
  <c r="AC18" i="53"/>
  <c r="Q1" i="10"/>
  <c r="AC13" i="53"/>
  <c r="B3" i="57"/>
  <c r="B3" i="54"/>
  <c r="U65" i="26"/>
  <c r="V2" i="10"/>
  <c r="A132" i="58"/>
  <c r="A142" i="58"/>
  <c r="A108" i="58"/>
  <c r="A123" i="58"/>
  <c r="A43" i="58"/>
  <c r="A79" i="58"/>
  <c r="A115" i="58"/>
  <c r="A133" i="58"/>
  <c r="A82" i="58"/>
  <c r="A135" i="58"/>
  <c r="A87" i="58"/>
  <c r="A118" i="58"/>
  <c r="A92" i="58"/>
  <c r="A134" i="58"/>
  <c r="A106" i="58"/>
  <c r="A72" i="58"/>
  <c r="A31" i="58"/>
  <c r="A94" i="58"/>
  <c r="A105" i="58"/>
  <c r="A98" i="58"/>
  <c r="A125" i="58"/>
  <c r="A126" i="58"/>
  <c r="X65" i="26"/>
  <c r="R2" i="10"/>
  <c r="E3" i="57"/>
  <c r="E3" i="48"/>
  <c r="E3" i="47"/>
  <c r="CA56" i="59" a="1"/>
  <c r="CA56" i="59" s="1"/>
  <c r="B9" i="59"/>
  <c r="C4" i="33"/>
  <c r="AA17" i="8"/>
  <c r="D16" i="58"/>
  <c r="K5" i="2"/>
  <c r="B13" i="35" s="1"/>
  <c r="E27" i="17"/>
  <c r="B67" i="59" s="1"/>
  <c r="A397" i="28"/>
  <c r="G3" i="48"/>
  <c r="G3" i="49"/>
  <c r="C58" i="6"/>
  <c r="C79" i="6"/>
  <c r="K3" i="49"/>
  <c r="J3" i="48"/>
  <c r="D73" i="17"/>
  <c r="D70" i="17"/>
  <c r="D43" i="17"/>
  <c r="B28" i="26"/>
  <c r="AK65" i="26"/>
  <c r="B45" i="7"/>
  <c r="B43" i="7"/>
  <c r="A67" i="58"/>
  <c r="A124" i="58"/>
  <c r="A100" i="58"/>
  <c r="A18" i="58"/>
  <c r="A77" i="58"/>
  <c r="A24" i="58"/>
  <c r="A89" i="58"/>
  <c r="A41" i="58"/>
  <c r="A131" i="58"/>
  <c r="A93" i="58"/>
  <c r="A37" i="58"/>
  <c r="A64" i="58"/>
  <c r="A120" i="58"/>
  <c r="A29" i="58"/>
  <c r="A34" i="58"/>
  <c r="A109" i="58"/>
  <c r="A51" i="58"/>
  <c r="A140" i="58"/>
  <c r="A47" i="58"/>
  <c r="A23" i="58"/>
  <c r="A70" i="58"/>
  <c r="A48" i="58"/>
  <c r="D21" i="59"/>
  <c r="A56" i="58"/>
  <c r="A62" i="58"/>
  <c r="A35" i="58"/>
  <c r="A49" i="58"/>
  <c r="A21" i="58"/>
  <c r="A141" i="58"/>
  <c r="A22" i="58"/>
  <c r="H36" i="58" a="1"/>
  <c r="H36" i="58" s="1"/>
  <c r="Y65" i="59" a="1"/>
  <c r="Y65" i="59" s="1"/>
  <c r="E109" i="58" a="1"/>
  <c r="E109" i="58" s="1"/>
  <c r="BC67" i="59" a="1"/>
  <c r="BC67" i="59" s="1"/>
  <c r="BQ67" i="59" a="1"/>
  <c r="BQ67" i="59" s="1"/>
  <c r="F79" i="58" a="1"/>
  <c r="F79" i="58" s="1"/>
  <c r="F116" i="58" a="1"/>
  <c r="F116" i="58" s="1"/>
  <c r="BA68" i="59" a="1"/>
  <c r="BA68" i="59" s="1"/>
  <c r="AI61" i="59" a="1"/>
  <c r="AI61" i="59" s="1"/>
  <c r="BI58" i="59" a="1"/>
  <c r="BI58" i="59" s="1"/>
  <c r="F131" i="58" a="1"/>
  <c r="F131" i="58" s="1"/>
  <c r="AS59" i="59" a="1"/>
  <c r="AS59" i="59" s="1"/>
  <c r="CH62" i="59" a="1"/>
  <c r="CH62" i="59" s="1"/>
  <c r="CN60" i="59" a="1"/>
  <c r="CN60" i="59" s="1"/>
  <c r="D62" i="58" a="1"/>
  <c r="D62" i="58" s="1"/>
  <c r="E46" i="58" a="1"/>
  <c r="E46" i="58" s="1"/>
  <c r="BY58" i="59" a="1"/>
  <c r="BY58" i="59" s="1"/>
  <c r="H117" i="58" a="1"/>
  <c r="H117" i="58" s="1"/>
  <c r="C102" i="58" a="1"/>
  <c r="C102" i="58" s="1"/>
  <c r="CZ64" i="59" a="1"/>
  <c r="CZ64" i="59" s="1"/>
  <c r="BV65" i="59" a="1"/>
  <c r="BV65" i="59" s="1"/>
  <c r="F17" i="17"/>
  <c r="C57" i="59" s="1"/>
  <c r="CL63" i="59" a="1"/>
  <c r="CL63" i="59" s="1"/>
  <c r="BK66" i="59" a="1"/>
  <c r="BK66" i="59" s="1"/>
  <c r="BN62" i="59" a="1"/>
  <c r="BN62" i="59" s="1"/>
  <c r="BP64" i="59" a="1"/>
  <c r="BP64" i="59" s="1"/>
  <c r="H68" i="58" a="1"/>
  <c r="H68" i="58" s="1"/>
  <c r="E121" i="58" a="1"/>
  <c r="E121" i="58" s="1"/>
  <c r="AY59" i="59" a="1"/>
  <c r="AY59" i="59" s="1"/>
  <c r="G80" i="58" a="1"/>
  <c r="G80" i="58" s="1"/>
  <c r="H89" i="58" a="1"/>
  <c r="H89" i="58" s="1"/>
  <c r="CL66" i="59" a="1"/>
  <c r="CL66" i="59" s="1"/>
  <c r="BY65" i="59" a="1"/>
  <c r="BY65" i="59" s="1"/>
  <c r="G39" i="58" a="1"/>
  <c r="G39" i="58" s="1"/>
  <c r="F96" i="58" a="1"/>
  <c r="F96" i="58" s="1"/>
  <c r="BD65" i="59" a="1"/>
  <c r="BD65" i="59" s="1"/>
  <c r="DE57" i="59" a="1"/>
  <c r="DE57" i="59" s="1"/>
  <c r="D54" i="58" a="1"/>
  <c r="D54" i="58" s="1"/>
  <c r="BG60" i="59" a="1"/>
  <c r="BG60" i="59" s="1"/>
  <c r="F21" i="58" a="1"/>
  <c r="F21" i="58" s="1"/>
  <c r="DH67" i="59" a="1"/>
  <c r="DH67" i="59" s="1"/>
  <c r="BI62" i="59" a="1"/>
  <c r="BI62" i="59" s="1"/>
  <c r="C129" i="58" a="1"/>
  <c r="C129" i="58" s="1"/>
  <c r="AG61" i="59" a="1"/>
  <c r="AG61" i="59" s="1"/>
  <c r="CT64" i="59" a="1"/>
  <c r="CT64" i="59" s="1"/>
  <c r="G71" i="58" a="1"/>
  <c r="G71" i="58" s="1"/>
  <c r="D78" i="58" a="1"/>
  <c r="D78" i="58" s="1"/>
  <c r="J65" i="59" a="1"/>
  <c r="J65" i="59" s="1"/>
  <c r="G46" i="58" a="1"/>
  <c r="G46" i="58" s="1"/>
  <c r="K67" i="59" a="1"/>
  <c r="K67" i="59" s="1"/>
  <c r="AP62" i="59" a="1"/>
  <c r="AP62" i="59" s="1"/>
  <c r="AQ66" i="59" a="1"/>
  <c r="AQ66" i="59" s="1"/>
  <c r="G65" i="59" a="1"/>
  <c r="G65" i="59" s="1"/>
  <c r="G137" i="58" a="1"/>
  <c r="G137" i="58" s="1"/>
  <c r="CF57" i="59" a="1"/>
  <c r="CF57" i="59" s="1"/>
  <c r="H40" i="58" a="1"/>
  <c r="H40" i="58" s="1"/>
  <c r="CE64" i="59" a="1"/>
  <c r="CE64" i="59" s="1"/>
  <c r="BJ60" i="59" a="1"/>
  <c r="BJ60" i="59" s="1"/>
  <c r="Z58" i="59" a="1"/>
  <c r="Z58" i="59" s="1"/>
  <c r="BT66" i="59" a="1"/>
  <c r="BT66" i="59" s="1"/>
  <c r="CR57" i="59" a="1"/>
  <c r="CR57" i="59" s="1"/>
  <c r="AM57" i="59" a="1"/>
  <c r="AM57" i="59" s="1"/>
  <c r="G84" i="58" a="1"/>
  <c r="G84" i="58" s="1"/>
  <c r="AW62" i="59" a="1"/>
  <c r="AW62" i="59" s="1"/>
  <c r="DB57" i="59" a="1"/>
  <c r="DB57" i="59" s="1"/>
  <c r="C47" i="58" a="1"/>
  <c r="C47" i="58" s="1"/>
  <c r="E49" i="58" a="1"/>
  <c r="E49" i="58" s="1"/>
  <c r="DE63" i="59" a="1"/>
  <c r="DE63" i="59" s="1"/>
  <c r="G112" i="58" a="1"/>
  <c r="G112" i="58" s="1"/>
  <c r="H114" i="58" a="1"/>
  <c r="H114" i="58" s="1"/>
  <c r="CB64" i="59" a="1"/>
  <c r="CB64" i="59" s="1"/>
  <c r="P62" i="59" a="1"/>
  <c r="P62" i="59" s="1"/>
  <c r="BG66" i="59" a="1"/>
  <c r="BG66" i="59" s="1"/>
  <c r="CT63" i="59" a="1"/>
  <c r="CT63" i="59" s="1"/>
  <c r="C81" i="58" a="1"/>
  <c r="C81" i="58" s="1"/>
  <c r="Y64" i="59" a="1"/>
  <c r="Y64" i="59" s="1"/>
  <c r="BZ67" i="59" a="1"/>
  <c r="BZ67" i="59" s="1"/>
  <c r="E54" i="58" a="1"/>
  <c r="E54" i="58" s="1"/>
  <c r="BN58" i="59" a="1"/>
  <c r="BN58" i="59" s="1"/>
  <c r="D41" i="58" a="1"/>
  <c r="D41" i="58" s="1"/>
  <c r="G42" i="58" a="1"/>
  <c r="G42" i="58" s="1"/>
  <c r="BK68" i="59" a="1"/>
  <c r="BK68" i="59" s="1"/>
  <c r="B128" i="58" a="1"/>
  <c r="B128" i="58" s="1"/>
  <c r="BR56" i="59" a="1"/>
  <c r="BR56" i="59" s="1"/>
  <c r="CK56" i="59" a="1"/>
  <c r="CK56" i="59" s="1"/>
  <c r="AM56" i="59" a="1"/>
  <c r="AM56" i="59" s="1"/>
  <c r="B138" i="58" a="1"/>
  <c r="B138" i="58" s="1"/>
  <c r="H56" i="59" a="1"/>
  <c r="H56" i="59" s="1"/>
  <c r="B125" i="58" a="1"/>
  <c r="B125" i="58" s="1"/>
  <c r="B94" i="58" a="1"/>
  <c r="B94" i="58" s="1"/>
  <c r="B53" i="58" a="1"/>
  <c r="B53" i="58" s="1"/>
  <c r="B67" i="58" a="1"/>
  <c r="B67" i="58" s="1"/>
  <c r="B102" i="58" a="1"/>
  <c r="B102" i="58" s="1"/>
  <c r="B60" i="58" a="1"/>
  <c r="B60" i="58" s="1"/>
  <c r="B93" i="58" a="1"/>
  <c r="B93" i="58" s="1"/>
  <c r="B23" i="58" a="1"/>
  <c r="B23" i="58" s="1"/>
  <c r="B133" i="58" a="1"/>
  <c r="B133" i="58" s="1"/>
  <c r="BG56" i="59" a="1"/>
  <c r="BG56" i="59" s="1"/>
  <c r="BE56" i="59" a="1"/>
  <c r="BE56" i="59" s="1"/>
  <c r="CN56" i="59" a="1"/>
  <c r="CN56" i="59" s="1"/>
  <c r="B64" i="58" a="1"/>
  <c r="B64" i="58" s="1"/>
  <c r="CW56" i="59" a="1"/>
  <c r="CW56" i="59" s="1"/>
  <c r="CY56" i="59" a="1"/>
  <c r="CY56" i="59" s="1"/>
  <c r="B112" i="58" a="1"/>
  <c r="B112" i="58" s="1"/>
  <c r="DF56" i="59" a="1"/>
  <c r="DF56" i="59" s="1"/>
  <c r="B126" i="58" a="1"/>
  <c r="B126" i="58" s="1"/>
  <c r="B114" i="58" a="1"/>
  <c r="B114" i="58" s="1"/>
  <c r="B46" i="58" a="1"/>
  <c r="B46" i="58" s="1"/>
  <c r="B44" i="58" a="1"/>
  <c r="B44" i="58" s="1"/>
  <c r="B136" i="58" a="1"/>
  <c r="B136" i="58" s="1"/>
  <c r="AF56" i="59" a="1"/>
  <c r="AF56" i="59" s="1"/>
  <c r="BJ56" i="59" a="1"/>
  <c r="BJ56" i="59" s="1"/>
  <c r="D52" i="17"/>
  <c r="D41" i="17"/>
  <c r="D72" i="17"/>
  <c r="F22" i="17"/>
  <c r="C62" i="59" s="1"/>
  <c r="B109" i="58" a="1"/>
  <c r="B109" i="58" s="1"/>
  <c r="B141" i="58" a="1"/>
  <c r="B141" i="58" s="1"/>
  <c r="C20" i="35"/>
  <c r="J23" i="35" s="1"/>
  <c r="B47" i="58" a="1"/>
  <c r="B47" i="58" s="1"/>
  <c r="B58" i="58" a="1"/>
  <c r="B58" i="58" s="1"/>
  <c r="B134" i="58" a="1"/>
  <c r="B134" i="58" s="1"/>
  <c r="B76" i="58" a="1"/>
  <c r="B76" i="58" s="1"/>
  <c r="B26" i="58" a="1"/>
  <c r="B26" i="58" s="1"/>
  <c r="B34" i="58" a="1"/>
  <c r="B34" i="58" s="1"/>
  <c r="B129" i="58" a="1"/>
  <c r="B129" i="58" s="1"/>
  <c r="B111" i="58" a="1"/>
  <c r="B111" i="58" s="1"/>
  <c r="DC56" i="59" a="1"/>
  <c r="DC56" i="59" s="1"/>
  <c r="B51" i="58" a="1"/>
  <c r="B51" i="58" s="1"/>
  <c r="B81" i="58" a="1"/>
  <c r="B81" i="58" s="1"/>
  <c r="CT56" i="59" a="1"/>
  <c r="CT56" i="59" s="1"/>
  <c r="B33" i="58" a="1"/>
  <c r="B33" i="58" s="1"/>
  <c r="B65" i="58" a="1"/>
  <c r="B65" i="58" s="1"/>
  <c r="DH56" i="59" a="1"/>
  <c r="DH56" i="59" s="1"/>
  <c r="B74" i="58" a="1"/>
  <c r="B74" i="58" s="1"/>
  <c r="B91" i="58" a="1"/>
  <c r="B91" i="58" s="1"/>
  <c r="AO56" i="59" a="1"/>
  <c r="AO56" i="59" s="1"/>
  <c r="B87" i="58" a="1"/>
  <c r="B87" i="58" s="1"/>
  <c r="Q56" i="59" a="1"/>
  <c r="Q56" i="59" s="1"/>
  <c r="B68" i="58" a="1"/>
  <c r="B68" i="58" s="1"/>
  <c r="AY56" i="59" a="1"/>
  <c r="AY56" i="59" s="1"/>
  <c r="BM56" i="59" a="1"/>
  <c r="BM56" i="59" s="1"/>
  <c r="B41" i="58" a="1"/>
  <c r="B41" i="58" s="1"/>
  <c r="AD56" i="59" a="1"/>
  <c r="AD56" i="59" s="1"/>
  <c r="T56" i="59" a="1"/>
  <c r="T56" i="59" s="1"/>
  <c r="B24" i="58" a="1"/>
  <c r="B24" i="58" s="1"/>
  <c r="U56" i="59" a="1"/>
  <c r="U56" i="59" s="1"/>
  <c r="AX56" i="59" a="1"/>
  <c r="AX56" i="59" s="1"/>
  <c r="DG56" i="59" a="1"/>
  <c r="DG56" i="59" s="1"/>
  <c r="W56" i="59" a="1"/>
  <c r="W56" i="59" s="1"/>
  <c r="B95" i="58" a="1"/>
  <c r="B95" i="58" s="1"/>
  <c r="O56" i="59" a="1"/>
  <c r="O56" i="59" s="1"/>
  <c r="BZ56" i="59" a="1"/>
  <c r="BZ56" i="59" s="1"/>
  <c r="B122" i="58" a="1"/>
  <c r="B122" i="58" s="1"/>
  <c r="B43" i="58" a="1"/>
  <c r="B43" i="58" s="1"/>
  <c r="CL56" i="59" a="1"/>
  <c r="CL56" i="59" s="1"/>
  <c r="B75" i="58" a="1"/>
  <c r="B75" i="58" s="1"/>
  <c r="B97" i="58" a="1"/>
  <c r="B97" i="58" s="1"/>
  <c r="B66" i="58" a="1"/>
  <c r="B66" i="58" s="1"/>
  <c r="B35" i="58" a="1"/>
  <c r="B35" i="58" s="1"/>
  <c r="D65" i="26"/>
  <c r="D79" i="21"/>
  <c r="BB56" i="59" a="1"/>
  <c r="BB56" i="59" s="1"/>
  <c r="D56" i="59" a="1"/>
  <c r="D56" i="59" s="1"/>
  <c r="I56" i="59" a="1"/>
  <c r="I56" i="59" s="1"/>
  <c r="V56" i="59" a="1"/>
  <c r="V56" i="59" s="1"/>
  <c r="B106" i="58" a="1"/>
  <c r="B106" i="58" s="1"/>
  <c r="AK56" i="59" a="1"/>
  <c r="AK56" i="59" s="1"/>
  <c r="B78" i="58" a="1"/>
  <c r="B78" i="58" s="1"/>
  <c r="D42" i="17"/>
  <c r="D46" i="17"/>
  <c r="D63" i="17"/>
  <c r="C83" i="6"/>
  <c r="C36" i="17"/>
  <c r="B16" i="58" s="1"/>
  <c r="C7" i="43"/>
  <c r="T3" i="10" s="1"/>
  <c r="Y3" i="10" s="1"/>
  <c r="BY2" i="10"/>
  <c r="J17" i="2"/>
  <c r="J5" i="2" s="1"/>
  <c r="B12" i="35" s="1"/>
  <c r="L3" i="57"/>
  <c r="B16" i="8"/>
  <c r="B25" i="59" s="1"/>
  <c r="I22" i="35"/>
  <c r="E20" i="6"/>
  <c r="E21" i="6" s="1"/>
  <c r="N36" i="17"/>
  <c r="D47" i="17"/>
  <c r="X3" i="57"/>
  <c r="Y3" i="51"/>
  <c r="E186" i="6"/>
  <c r="E177" i="6"/>
  <c r="E84" i="6"/>
  <c r="E63" i="6"/>
  <c r="W3" i="57"/>
  <c r="X3" i="51"/>
  <c r="B1" i="43"/>
  <c r="D2" i="22"/>
  <c r="B16" i="26"/>
  <c r="E10" i="8"/>
  <c r="J2" i="10"/>
  <c r="Y65" i="26"/>
  <c r="G19" i="6"/>
  <c r="B45" i="59" s="1"/>
  <c r="C19" i="6"/>
  <c r="B38" i="59" s="1"/>
  <c r="B19" i="26"/>
  <c r="B17" i="8"/>
  <c r="B26" i="59" s="1"/>
  <c r="B33" i="26"/>
  <c r="E73" i="6"/>
  <c r="E64" i="6"/>
  <c r="E88" i="6"/>
  <c r="B61" i="58" a="1"/>
  <c r="B61" i="58" s="1"/>
  <c r="B117" i="58" a="1"/>
  <c r="B117" i="58" s="1"/>
  <c r="B72" i="58" a="1"/>
  <c r="B72" i="58" s="1"/>
  <c r="B42" i="58" a="1"/>
  <c r="B42" i="58" s="1"/>
  <c r="BH56" i="59" a="1"/>
  <c r="BH56" i="59" s="1"/>
  <c r="B55" i="58" a="1"/>
  <c r="B55" i="58" s="1"/>
  <c r="CH56" i="59" a="1"/>
  <c r="CH56" i="59" s="1"/>
  <c r="B98" i="58" a="1"/>
  <c r="B98" i="58" s="1"/>
  <c r="BD56" i="59" a="1"/>
  <c r="BD56" i="59" s="1"/>
  <c r="B127" i="58" a="1"/>
  <c r="B127" i="58" s="1"/>
  <c r="CQ56" i="59" a="1"/>
  <c r="CQ56" i="59" s="1"/>
  <c r="CJ56" i="59" a="1"/>
  <c r="CJ56" i="59" s="1"/>
  <c r="E56" i="59" a="1"/>
  <c r="E56" i="59" s="1"/>
  <c r="BK56" i="59" a="1"/>
  <c r="BK56" i="59" s="1"/>
  <c r="B105" i="58" a="1"/>
  <c r="B105" i="58" s="1"/>
  <c r="S56" i="59" a="1"/>
  <c r="S56" i="59" s="1"/>
  <c r="B57" i="58" a="1"/>
  <c r="B57" i="58" s="1"/>
  <c r="CF56" i="59" a="1"/>
  <c r="CF56" i="59" s="1"/>
  <c r="B52" i="58" a="1"/>
  <c r="B52" i="58" s="1"/>
  <c r="CI56" i="59" a="1"/>
  <c r="CI56" i="59" s="1"/>
  <c r="B59" i="58" a="1"/>
  <c r="B59" i="58" s="1"/>
  <c r="J56" i="59" a="1"/>
  <c r="J56" i="59" s="1"/>
  <c r="CU56" i="59" a="1"/>
  <c r="CU56" i="59" s="1"/>
  <c r="B119" i="58" a="1"/>
  <c r="B119" i="58" s="1"/>
  <c r="B107" i="58" a="1"/>
  <c r="B107" i="58" s="1"/>
  <c r="AA56" i="59" a="1"/>
  <c r="AA56" i="59" s="1"/>
  <c r="B115" i="58" a="1"/>
  <c r="B115" i="58" s="1"/>
  <c r="BW56" i="59" a="1"/>
  <c r="BW56" i="59" s="1"/>
  <c r="CE56" i="59" a="1"/>
  <c r="CE56" i="59" s="1"/>
  <c r="B22" i="58" a="1"/>
  <c r="B22" i="58" s="1"/>
  <c r="BT56" i="59" a="1"/>
  <c r="BT56" i="59" s="1"/>
  <c r="B25" i="58" a="1"/>
  <c r="B25" i="58" s="1"/>
  <c r="B82" i="58" a="1"/>
  <c r="B82" i="58" s="1"/>
  <c r="B29" i="58" a="1"/>
  <c r="B29" i="58" s="1"/>
  <c r="BI56" i="59" a="1"/>
  <c r="BI56" i="59" s="1"/>
  <c r="AI56" i="59" a="1"/>
  <c r="AI56" i="59" s="1"/>
  <c r="B73" i="58" a="1"/>
  <c r="B73" i="58" s="1"/>
  <c r="AC56" i="59" a="1"/>
  <c r="AC56" i="59" s="1"/>
  <c r="B31" i="58" a="1"/>
  <c r="B31" i="58" s="1"/>
  <c r="B32" i="58" a="1"/>
  <c r="B32" i="58" s="1"/>
  <c r="AU56" i="59" a="1"/>
  <c r="AU56" i="59" s="1"/>
  <c r="M56" i="59" a="1"/>
  <c r="M56" i="59" s="1"/>
  <c r="B63" i="58" a="1"/>
  <c r="B63" i="58" s="1"/>
  <c r="B123" i="58" a="1"/>
  <c r="B123" i="58" s="1"/>
  <c r="B37" i="58" a="1"/>
  <c r="B37" i="58" s="1"/>
  <c r="AJ56" i="59" a="1"/>
  <c r="AJ56" i="59" s="1"/>
  <c r="AZ56" i="59" a="1"/>
  <c r="AZ56" i="59" s="1"/>
  <c r="AH56" i="59" a="1"/>
  <c r="AH56" i="59" s="1"/>
  <c r="B48" i="58" a="1"/>
  <c r="B48" i="58" s="1"/>
  <c r="B30" i="58" a="1"/>
  <c r="B30" i="58" s="1"/>
  <c r="B121" i="58" a="1"/>
  <c r="B121" i="58" s="1"/>
  <c r="X56" i="59" a="1"/>
  <c r="X56" i="59" s="1"/>
  <c r="B113" i="58" a="1"/>
  <c r="B113" i="58" s="1"/>
  <c r="B100" i="58" a="1"/>
  <c r="B100" i="58" s="1"/>
  <c r="AQ56" i="59" a="1"/>
  <c r="AQ56" i="59" s="1"/>
  <c r="B116" i="58" a="1"/>
  <c r="B116" i="58" s="1"/>
  <c r="B38" i="58" a="1"/>
  <c r="B38" i="58" s="1"/>
  <c r="B54" i="58" a="1"/>
  <c r="B54" i="58" s="1"/>
  <c r="B27" i="58" a="1"/>
  <c r="B27" i="58" s="1"/>
  <c r="D65" i="17"/>
  <c r="D48" i="17"/>
  <c r="B5" i="35"/>
  <c r="O3" i="57"/>
  <c r="O36" i="17"/>
  <c r="AZ1" i="10"/>
  <c r="B1" i="57"/>
  <c r="G3" i="51"/>
  <c r="F3" i="57"/>
  <c r="U3" i="57"/>
  <c r="V3" i="51"/>
  <c r="B11" i="8"/>
  <c r="B23" i="59" s="1"/>
  <c r="B27" i="26"/>
  <c r="AF2" i="10"/>
  <c r="AZ2" i="10" s="1"/>
  <c r="AS2" i="10"/>
  <c r="BM2" i="10" s="1"/>
  <c r="AV2" i="10"/>
  <c r="BP2" i="10" s="1"/>
  <c r="B125" i="6"/>
  <c r="B24" i="8"/>
  <c r="B30" i="59" s="1"/>
  <c r="T3" i="51"/>
  <c r="S3" i="57"/>
  <c r="A32" i="9"/>
  <c r="A28" i="9"/>
  <c r="B49" i="26"/>
  <c r="A30" i="9"/>
  <c r="Z3" i="51"/>
  <c r="Y3" i="57"/>
  <c r="B7" i="39"/>
  <c r="B42" i="26"/>
  <c r="DA56" i="59" a="1"/>
  <c r="DA56" i="59" s="1"/>
  <c r="B108" i="58" a="1"/>
  <c r="B108" i="58" s="1"/>
  <c r="BO56" i="59" a="1"/>
  <c r="BO56" i="59" s="1"/>
  <c r="B101" i="58" a="1"/>
  <c r="B101" i="58" s="1"/>
  <c r="B92" i="58" a="1"/>
  <c r="B92" i="58" s="1"/>
  <c r="Z56" i="59" a="1"/>
  <c r="Z56" i="59" s="1"/>
  <c r="Y56" i="59" a="1"/>
  <c r="Y56" i="59" s="1"/>
  <c r="B88" i="58" a="1"/>
  <c r="B88" i="58" s="1"/>
  <c r="CV56" i="59" a="1"/>
  <c r="CV56" i="59" s="1"/>
  <c r="B71" i="58" a="1"/>
  <c r="B71" i="58" s="1"/>
  <c r="B56" i="58" a="1"/>
  <c r="B56" i="58" s="1"/>
  <c r="P56" i="59" a="1"/>
  <c r="P56" i="59" s="1"/>
  <c r="B104" i="58" a="1"/>
  <c r="B104" i="58" s="1"/>
  <c r="B39" i="58" a="1"/>
  <c r="B39" i="58" s="1"/>
  <c r="B85" i="58" a="1"/>
  <c r="B85" i="58" s="1"/>
  <c r="BF56" i="59" a="1"/>
  <c r="BF56" i="59" s="1"/>
  <c r="AP56" i="59" a="1"/>
  <c r="AP56" i="59" s="1"/>
  <c r="AS56" i="59" a="1"/>
  <c r="AS56" i="59" s="1"/>
  <c r="AV56" i="59" a="1"/>
  <c r="AV56" i="59" s="1"/>
  <c r="BY56" i="59" a="1"/>
  <c r="BY56" i="59" s="1"/>
  <c r="CB56" i="59" a="1"/>
  <c r="CB56" i="59" s="1"/>
  <c r="CP56" i="59" a="1"/>
  <c r="CP56" i="59" s="1"/>
  <c r="B86" i="58" a="1"/>
  <c r="B86" i="58" s="1"/>
  <c r="CZ56" i="59" a="1"/>
  <c r="CZ56" i="59" s="1"/>
  <c r="AB56" i="59" a="1"/>
  <c r="AB56" i="59" s="1"/>
  <c r="B140" i="58" a="1"/>
  <c r="B140" i="58" s="1"/>
  <c r="B118" i="58" a="1"/>
  <c r="B118" i="58" s="1"/>
  <c r="B130" i="58" a="1"/>
  <c r="B130" i="58" s="1"/>
  <c r="BQ56" i="59" a="1"/>
  <c r="BQ56" i="59" s="1"/>
  <c r="B110" i="58" a="1"/>
  <c r="B110" i="58" s="1"/>
  <c r="BN56" i="59" a="1"/>
  <c r="BN56" i="59" s="1"/>
  <c r="B50" i="58" a="1"/>
  <c r="B50" i="58" s="1"/>
  <c r="CX56" i="59" a="1"/>
  <c r="CX56" i="59" s="1"/>
  <c r="BV56" i="59" a="1"/>
  <c r="BV56" i="59" s="1"/>
  <c r="BU56" i="59" a="1"/>
  <c r="BU56" i="59" s="1"/>
  <c r="BX56" i="59" a="1"/>
  <c r="BX56" i="59" s="1"/>
  <c r="G56" i="59" a="1"/>
  <c r="G56" i="59" s="1"/>
  <c r="B49" i="58" a="1"/>
  <c r="B49" i="58" s="1"/>
  <c r="AW56" i="59" a="1"/>
  <c r="AW56" i="59" s="1"/>
  <c r="AR56" i="59" a="1"/>
  <c r="AR56" i="59" s="1"/>
  <c r="B103" i="58" a="1"/>
  <c r="B103" i="58" s="1"/>
  <c r="AE56" i="59" a="1"/>
  <c r="AE56" i="59" s="1"/>
  <c r="R56" i="59" a="1"/>
  <c r="R56" i="59" s="1"/>
  <c r="B137" i="58" a="1"/>
  <c r="B137" i="58" s="1"/>
  <c r="F56" i="59" a="1"/>
  <c r="F56" i="59" s="1"/>
  <c r="DE56" i="59" a="1"/>
  <c r="DE56" i="59" s="1"/>
  <c r="B69" i="58" a="1"/>
  <c r="B69" i="58" s="1"/>
  <c r="CC56" i="59" a="1"/>
  <c r="CC56" i="59" s="1"/>
  <c r="BC56" i="59" a="1"/>
  <c r="BC56" i="59" s="1"/>
  <c r="N56" i="59" a="1"/>
  <c r="N56" i="59" s="1"/>
  <c r="CS56" i="59" a="1"/>
  <c r="CS56" i="59" s="1"/>
  <c r="B8" i="58"/>
  <c r="B50" i="59" s="1"/>
  <c r="K2" i="10"/>
  <c r="C71" i="6"/>
  <c r="E72" i="6"/>
  <c r="E66" i="6"/>
  <c r="B70" i="58" a="1"/>
  <c r="B70" i="58" s="1"/>
  <c r="B124" i="58" a="1"/>
  <c r="B124" i="58" s="1"/>
  <c r="B62" i="58" a="1"/>
  <c r="B62" i="58" s="1"/>
  <c r="B120" i="58" a="1"/>
  <c r="B120" i="58" s="1"/>
  <c r="B142" i="58" a="1"/>
  <c r="B142" i="58" s="1"/>
  <c r="CD56" i="59" a="1"/>
  <c r="CD56" i="59" s="1"/>
  <c r="B139" i="58" a="1"/>
  <c r="B139" i="58" s="1"/>
  <c r="AL56" i="59" a="1"/>
  <c r="AL56" i="59" s="1"/>
  <c r="D49" i="17"/>
  <c r="D53" i="17"/>
  <c r="E174" i="6"/>
  <c r="C65" i="26"/>
  <c r="S3" i="10"/>
  <c r="E87" i="6"/>
  <c r="A377" i="28"/>
  <c r="B46" i="26"/>
  <c r="E191" i="6"/>
  <c r="C61" i="6"/>
  <c r="B51" i="59"/>
  <c r="E17" i="17"/>
  <c r="B57" i="59" s="1"/>
  <c r="F3" i="48"/>
  <c r="E67" i="6"/>
  <c r="AG56" i="59" a="1"/>
  <c r="AG56" i="59" s="1"/>
  <c r="L56" i="59" a="1"/>
  <c r="L56" i="59" s="1"/>
  <c r="B132" i="58" a="1"/>
  <c r="B132" i="58" s="1"/>
  <c r="B77" i="58" a="1"/>
  <c r="B77" i="58" s="1"/>
  <c r="CG56" i="59" a="1"/>
  <c r="CG56" i="59" s="1"/>
  <c r="B45" i="58" a="1"/>
  <c r="B45" i="58" s="1"/>
  <c r="B80" i="58" a="1"/>
  <c r="B80" i="58" s="1"/>
  <c r="B84" i="58" a="1"/>
  <c r="B84"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CR56" i="59" a="1"/>
  <c r="CR56" i="59" s="1"/>
  <c r="B18" i="58" a="1"/>
  <c r="B18" i="58" s="1"/>
  <c r="B131" i="58" a="1"/>
  <c r="B131" i="58" s="1"/>
  <c r="BA56" i="59" a="1"/>
  <c r="BA56" i="59" s="1"/>
  <c r="BL56" i="59" a="1"/>
  <c r="BL56" i="59" s="1"/>
  <c r="B79" i="58" a="1"/>
  <c r="B79" i="58" s="1"/>
  <c r="B36" i="58" a="1"/>
  <c r="B36" i="58" s="1"/>
  <c r="F23" i="17"/>
  <c r="C63" i="59" s="1"/>
  <c r="H6" i="2"/>
  <c r="C10" i="35" s="1"/>
  <c r="S13" i="26"/>
  <c r="S14" i="26"/>
  <c r="S15" i="26"/>
  <c r="M23" i="35"/>
  <c r="N23" i="35"/>
  <c r="H36" i="17"/>
  <c r="E20" i="17"/>
  <c r="B60" i="59" s="1"/>
  <c r="E65" i="6"/>
  <c r="E173" i="6"/>
  <c r="D44" i="17"/>
  <c r="D64" i="17"/>
  <c r="D45" i="17"/>
  <c r="D67" i="17"/>
  <c r="D62" i="17"/>
  <c r="D68" i="17"/>
  <c r="AN65" i="26"/>
  <c r="BZ2" i="10"/>
  <c r="AT56" i="59" a="1"/>
  <c r="AT56" i="59" s="1"/>
  <c r="CM56" i="59" a="1"/>
  <c r="CM56" i="59" s="1"/>
  <c r="DD56" i="59" a="1"/>
  <c r="DD56" i="59" s="1"/>
  <c r="B40" i="58" a="1"/>
  <c r="B40" i="58" s="1"/>
  <c r="B96" i="58" a="1"/>
  <c r="B96" i="58" s="1"/>
  <c r="B89" i="58" a="1"/>
  <c r="B89" i="58" s="1"/>
  <c r="B21" i="58" a="1"/>
  <c r="B21" i="58" s="1"/>
  <c r="B135" i="58" a="1"/>
  <c r="B135" i="58" s="1"/>
  <c r="B19" i="58" a="1"/>
  <c r="B19" i="58" s="1"/>
  <c r="O23" i="35"/>
  <c r="B76" i="8"/>
  <c r="C2" i="10"/>
  <c r="F36" i="17"/>
  <c r="E18" i="17"/>
  <c r="B58" i="59" s="1"/>
  <c r="AC20" i="53"/>
  <c r="A75" i="28"/>
  <c r="E69" i="6"/>
  <c r="Q2" i="10"/>
  <c r="P3" i="57"/>
  <c r="T2" i="10"/>
  <c r="D71" i="17"/>
  <c r="A355" i="28"/>
  <c r="M36" i="17"/>
  <c r="K3" i="57"/>
  <c r="L3" i="51"/>
  <c r="D3" i="47"/>
  <c r="AC15" i="53"/>
  <c r="AC14" i="53"/>
  <c r="C3" i="49"/>
  <c r="BT2" i="10"/>
  <c r="B77" i="8"/>
  <c r="BQ68" i="59" a="1"/>
  <c r="BQ68" i="59" s="1"/>
  <c r="D138" i="58" a="1"/>
  <c r="D138" i="58" s="1"/>
  <c r="CU57" i="59" a="1"/>
  <c r="CU57" i="59" s="1"/>
  <c r="H113" i="58" a="1"/>
  <c r="H113" i="58" s="1"/>
  <c r="C66" i="58" a="1"/>
  <c r="C66" i="58" s="1"/>
  <c r="F56" i="58" a="1"/>
  <c r="F56" i="58" s="1"/>
  <c r="U62" i="59" a="1"/>
  <c r="U62" i="59" s="1"/>
  <c r="CB57" i="59" a="1"/>
  <c r="CB57" i="59" s="1"/>
  <c r="H74" i="58" a="1"/>
  <c r="H74" i="58" s="1"/>
  <c r="I57" i="59" a="1"/>
  <c r="I57" i="59" s="1"/>
  <c r="AV64" i="59" a="1"/>
  <c r="AV64" i="59" s="1"/>
  <c r="AO57" i="59" a="1"/>
  <c r="AO57" i="59" s="1"/>
  <c r="G30" i="58" a="1"/>
  <c r="G30" i="58" s="1"/>
  <c r="CI68" i="59" a="1"/>
  <c r="CI68" i="59" s="1"/>
  <c r="BT63" i="59" a="1"/>
  <c r="BT63" i="59" s="1"/>
  <c r="DD68" i="59" a="1"/>
  <c r="DD68" i="59" s="1"/>
  <c r="CM59" i="59" a="1"/>
  <c r="CM59" i="59" s="1"/>
  <c r="N67" i="59" a="1"/>
  <c r="N67" i="59" s="1"/>
  <c r="G85" i="58" a="1"/>
  <c r="G85" i="58" s="1"/>
  <c r="AB64" i="59" a="1"/>
  <c r="AB64" i="59" s="1"/>
  <c r="AA61" i="59" a="1"/>
  <c r="AA61" i="59"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D69" i="17"/>
  <c r="AX2" i="10"/>
  <c r="BR2" i="10" s="1"/>
  <c r="AJ2" i="10"/>
  <c r="BD2" i="10" s="1"/>
  <c r="AI2" i="10"/>
  <c r="BC2" i="10" s="1"/>
  <c r="AN2" i="10"/>
  <c r="BH2" i="10" s="1"/>
  <c r="AL2" i="10"/>
  <c r="BF2" i="10" s="1"/>
  <c r="AY2" i="10"/>
  <c r="BS2" i="10" s="1"/>
  <c r="AO2" i="10"/>
  <c r="BI2" i="10" s="1"/>
  <c r="AT2" i="10"/>
  <c r="BN2" i="10" s="1"/>
  <c r="AK2" i="10"/>
  <c r="BE2" i="10" s="1"/>
  <c r="AH2" i="10"/>
  <c r="BB2" i="10" s="1"/>
  <c r="AR2" i="10"/>
  <c r="BL2" i="10" s="1"/>
  <c r="AE2" i="10"/>
  <c r="A37" i="9"/>
  <c r="A39" i="9"/>
  <c r="A38" i="9"/>
  <c r="E85" i="6"/>
  <c r="E70" i="6"/>
  <c r="P65" i="26"/>
  <c r="K23" i="35"/>
  <c r="A460" i="28"/>
  <c r="D51" i="17"/>
  <c r="C11" i="35"/>
  <c r="D37" i="35" s="1"/>
  <c r="K37" i="35" s="1"/>
  <c r="C35" i="35"/>
  <c r="J35" i="35" s="1"/>
  <c r="C43" i="35"/>
  <c r="F43" i="35" s="1"/>
  <c r="M43" i="35" s="1"/>
  <c r="C26" i="35"/>
  <c r="F26" i="35" s="1"/>
  <c r="M26" i="35" s="1"/>
  <c r="C34" i="35"/>
  <c r="J34" i="35" s="1"/>
  <c r="C29" i="35"/>
  <c r="C38" i="35"/>
  <c r="C41" i="35"/>
  <c r="C25" i="35"/>
  <c r="F25" i="35" s="1"/>
  <c r="M25" i="35" s="1"/>
  <c r="C40" i="35"/>
  <c r="J40" i="35" s="1"/>
  <c r="C28" i="35"/>
  <c r="F28" i="35" s="1"/>
  <c r="M28" i="35" s="1"/>
  <c r="B7" i="2"/>
  <c r="F26" i="17"/>
  <c r="C66" i="59" s="1"/>
  <c r="C42" i="35"/>
  <c r="C32" i="35"/>
  <c r="J32" i="35" s="1"/>
  <c r="C37" i="35"/>
  <c r="F37" i="35" s="1"/>
  <c r="M37" i="35" s="1"/>
  <c r="G6" i="2"/>
  <c r="C9" i="35" s="1"/>
  <c r="J19" i="2"/>
  <c r="J6" i="2" s="1"/>
  <c r="C12" i="35" s="1"/>
  <c r="F16" i="17"/>
  <c r="C56" i="59" s="1"/>
  <c r="J36" i="35"/>
  <c r="C46" i="35"/>
  <c r="Z3" i="10" s="1"/>
  <c r="M39" i="35"/>
  <c r="M31" i="35"/>
  <c r="H17" i="58"/>
  <c r="J39" i="35"/>
  <c r="J31" i="35"/>
  <c r="F24" i="17"/>
  <c r="C64" i="59" s="1"/>
  <c r="D36" i="35" l="1"/>
  <c r="G36" i="35" s="1"/>
  <c r="D41" i="35"/>
  <c r="G41" i="35" s="1"/>
  <c r="J28" i="35"/>
  <c r="J26" i="35"/>
  <c r="J30" i="35"/>
  <c r="J27" i="35"/>
  <c r="J33" i="35"/>
  <c r="J24" i="35"/>
  <c r="F32" i="35"/>
  <c r="D28" i="35"/>
  <c r="E28" i="35" s="1"/>
  <c r="S28" i="35" s="1"/>
  <c r="T28" i="35" s="1"/>
  <c r="I23" i="35"/>
  <c r="P23" i="35" s="1"/>
  <c r="D40" i="35"/>
  <c r="G40" i="35" s="1"/>
  <c r="N40" i="35" s="1"/>
  <c r="B2" i="58"/>
  <c r="C2" i="21"/>
  <c r="B2" i="26"/>
  <c r="B2" i="8"/>
  <c r="C3" i="17"/>
  <c r="C2" i="6"/>
  <c r="B2" i="59"/>
  <c r="N17" i="2"/>
  <c r="G19" i="29"/>
  <c r="B7" i="7"/>
  <c r="B11" i="7" s="1"/>
  <c r="B15" i="7" s="1"/>
  <c r="D26" i="35"/>
  <c r="E26" i="35" s="1"/>
  <c r="S26" i="35" s="1"/>
  <c r="T26" i="35" s="1"/>
  <c r="H19" i="29"/>
  <c r="O17" i="2"/>
  <c r="B8" i="7"/>
  <c r="B12" i="7" s="1"/>
  <c r="B16" i="7" s="1"/>
  <c r="D42" i="35"/>
  <c r="K42" i="35" s="1"/>
  <c r="D35" i="35"/>
  <c r="E35" i="35" s="1"/>
  <c r="S35" i="35" s="1"/>
  <c r="T35" i="35" s="1"/>
  <c r="F35" i="35"/>
  <c r="J43" i="35"/>
  <c r="J37" i="35"/>
  <c r="F34" i="35"/>
  <c r="M34" i="35" s="1"/>
  <c r="G3" i="10"/>
  <c r="D29" i="35"/>
  <c r="G29" i="35" s="1"/>
  <c r="D32" i="35"/>
  <c r="G32" i="35" s="1"/>
  <c r="D39" i="35"/>
  <c r="G39" i="35" s="1"/>
  <c r="N39" i="35" s="1"/>
  <c r="D24" i="35"/>
  <c r="K24" i="35" s="1"/>
  <c r="F19" i="29"/>
  <c r="M17" i="2"/>
  <c r="C47" i="35"/>
  <c r="AA3" i="10" s="1"/>
  <c r="D27" i="35"/>
  <c r="D43" i="35"/>
  <c r="D38" i="35"/>
  <c r="G38" i="35" s="1"/>
  <c r="D33" i="35"/>
  <c r="D25" i="35"/>
  <c r="J25" i="35"/>
  <c r="E3" i="10"/>
  <c r="D30" i="35"/>
  <c r="E30" i="35" s="1"/>
  <c r="S30" i="35" s="1"/>
  <c r="T30" i="35" s="1"/>
  <c r="F40" i="35"/>
  <c r="M40" i="35" s="1"/>
  <c r="F38" i="35"/>
  <c r="M38" i="35" s="1"/>
  <c r="J38" i="35"/>
  <c r="B8" i="2"/>
  <c r="B15" i="2"/>
  <c r="B17" i="2" s="1"/>
  <c r="B10" i="2"/>
  <c r="B16" i="2"/>
  <c r="B11" i="2"/>
  <c r="B9" i="2"/>
  <c r="D3" i="10" s="1"/>
  <c r="B13" i="2"/>
  <c r="B14" i="2"/>
  <c r="B12" i="2"/>
  <c r="F41" i="35"/>
  <c r="M41" i="35" s="1"/>
  <c r="J41" i="35"/>
  <c r="D31" i="35"/>
  <c r="D34" i="35"/>
  <c r="J42" i="35"/>
  <c r="F42" i="35"/>
  <c r="M42" i="35" s="1"/>
  <c r="J29" i="35"/>
  <c r="F29" i="35"/>
  <c r="M29" i="35" s="1"/>
  <c r="G24" i="35"/>
  <c r="E24" i="35"/>
  <c r="S24" i="35" s="1"/>
  <c r="T24" i="35" s="1"/>
  <c r="K29" i="35"/>
  <c r="E37" i="35"/>
  <c r="S37" i="35" s="1"/>
  <c r="T37" i="35" s="1"/>
  <c r="G37" i="35"/>
  <c r="E36" i="35"/>
  <c r="S36" i="35" s="1"/>
  <c r="T36" i="35" s="1"/>
  <c r="K36" i="35"/>
  <c r="M32" i="35"/>
  <c r="E41" i="35"/>
  <c r="S41" i="35" s="1"/>
  <c r="T41" i="35" s="1"/>
  <c r="K41" i="35"/>
  <c r="K28" i="35"/>
  <c r="G25" i="35"/>
  <c r="K25" i="35"/>
  <c r="E25" i="35"/>
  <c r="S25" i="35" s="1"/>
  <c r="T25" i="35" s="1"/>
  <c r="G27" i="35"/>
  <c r="K27" i="35"/>
  <c r="E27" i="35"/>
  <c r="S27" i="35" s="1"/>
  <c r="T27" i="35" s="1"/>
  <c r="H36" i="35"/>
  <c r="O36" i="35" s="1"/>
  <c r="N36" i="35"/>
  <c r="H40" i="35"/>
  <c r="O40" i="35" s="1"/>
  <c r="M35" i="35"/>
  <c r="E40" i="35" l="1"/>
  <c r="S40" i="35" s="1"/>
  <c r="T40" i="35" s="1"/>
  <c r="K30" i="35"/>
  <c r="E39" i="35"/>
  <c r="S39" i="35" s="1"/>
  <c r="T39" i="35" s="1"/>
  <c r="K40" i="35"/>
  <c r="G30" i="35"/>
  <c r="H30" i="35" s="1"/>
  <c r="O30" i="35" s="1"/>
  <c r="K35" i="35"/>
  <c r="S23" i="35"/>
  <c r="T23" i="35" s="1"/>
  <c r="U23" i="35" s="1"/>
  <c r="U34" i="35" s="1"/>
  <c r="G28" i="35"/>
  <c r="N28" i="35" s="1"/>
  <c r="E29" i="35"/>
  <c r="S29" i="35" s="1"/>
  <c r="T29" i="35" s="1"/>
  <c r="K38" i="35"/>
  <c r="AE3" i="10"/>
  <c r="G42" i="35"/>
  <c r="H42" i="35" s="1"/>
  <c r="O42" i="35" s="1"/>
  <c r="E42" i="35"/>
  <c r="S42" i="35" s="1"/>
  <c r="T42" i="35" s="1"/>
  <c r="K26" i="35"/>
  <c r="G26" i="35"/>
  <c r="N26" i="35" s="1"/>
  <c r="I24" i="35"/>
  <c r="I25" i="35" s="1"/>
  <c r="N5" i="2"/>
  <c r="B16" i="35" s="1"/>
  <c r="G16" i="58"/>
  <c r="O5" i="2"/>
  <c r="B17" i="35" s="1"/>
  <c r="H16" i="58"/>
  <c r="E38" i="35"/>
  <c r="S38" i="35" s="1"/>
  <c r="T38" i="35" s="1"/>
  <c r="G35" i="35"/>
  <c r="H39" i="35"/>
  <c r="O39" i="35" s="1"/>
  <c r="K39" i="35"/>
  <c r="N32" i="35"/>
  <c r="H32" i="35"/>
  <c r="O32" i="35" s="1"/>
  <c r="E43" i="35"/>
  <c r="S43" i="35" s="1"/>
  <c r="T43" i="35" s="1"/>
  <c r="G43" i="35"/>
  <c r="K43" i="35"/>
  <c r="M5" i="2"/>
  <c r="B15" i="35" s="1"/>
  <c r="F16" i="58"/>
  <c r="K32" i="35"/>
  <c r="E32" i="35"/>
  <c r="S32" i="35" s="1"/>
  <c r="T32" i="35" s="1"/>
  <c r="E33" i="35"/>
  <c r="S33" i="35" s="1"/>
  <c r="T33" i="35" s="1"/>
  <c r="K33" i="35"/>
  <c r="G33" i="35"/>
  <c r="E34" i="35"/>
  <c r="S34" i="35" s="1"/>
  <c r="T34" i="35" s="1"/>
  <c r="G34" i="35"/>
  <c r="K34" i="35"/>
  <c r="K31" i="35"/>
  <c r="E31" i="35"/>
  <c r="S31" i="35" s="1"/>
  <c r="T31" i="35" s="1"/>
  <c r="G31" i="35"/>
  <c r="N37" i="35"/>
  <c r="H37" i="35"/>
  <c r="O37" i="35" s="1"/>
  <c r="N38" i="35"/>
  <c r="H38" i="35"/>
  <c r="O38" i="35" s="1"/>
  <c r="N24" i="35"/>
  <c r="H24" i="35"/>
  <c r="O24" i="35" s="1"/>
  <c r="N30" i="35"/>
  <c r="N29" i="35"/>
  <c r="H29" i="35"/>
  <c r="O29" i="35" s="1"/>
  <c r="P24" i="35"/>
  <c r="N41" i="35"/>
  <c r="H41" i="35"/>
  <c r="O41" i="35" s="1"/>
  <c r="N25" i="35"/>
  <c r="H25" i="35"/>
  <c r="O25" i="35" s="1"/>
  <c r="N27" i="35"/>
  <c r="H27" i="35"/>
  <c r="O27" i="35" s="1"/>
  <c r="H28" i="35" l="1"/>
  <c r="O28" i="35" s="1"/>
  <c r="U41" i="35"/>
  <c r="U43" i="35"/>
  <c r="U40" i="35"/>
  <c r="U29" i="35"/>
  <c r="U36" i="35"/>
  <c r="U38" i="35"/>
  <c r="U37" i="35"/>
  <c r="U39" i="35"/>
  <c r="U35" i="35"/>
  <c r="U24" i="35"/>
  <c r="U32" i="35"/>
  <c r="U30" i="35"/>
  <c r="U27" i="35"/>
  <c r="U26" i="35"/>
  <c r="U33" i="35"/>
  <c r="U28" i="35"/>
  <c r="U42" i="35"/>
  <c r="U31" i="35"/>
  <c r="U25" i="35"/>
  <c r="AF3" i="10"/>
  <c r="N42" i="35"/>
  <c r="H26" i="35"/>
  <c r="O26" i="35" s="1"/>
  <c r="N35" i="35"/>
  <c r="H35" i="35"/>
  <c r="O35" i="35" s="1"/>
  <c r="N33" i="35"/>
  <c r="H33" i="35"/>
  <c r="O33" i="35" s="1"/>
  <c r="N43" i="35"/>
  <c r="H43" i="35"/>
  <c r="O43" i="35" s="1"/>
  <c r="N31" i="35"/>
  <c r="H31" i="35"/>
  <c r="O31" i="35" s="1"/>
  <c r="N34" i="35"/>
  <c r="H34" i="35"/>
  <c r="O34" i="35" s="1"/>
  <c r="P25" i="35"/>
  <c r="I26" i="35"/>
  <c r="AG3" i="10"/>
  <c r="P26" i="35" l="1"/>
  <c r="I27" i="35"/>
  <c r="AH3" i="10"/>
  <c r="AI3" i="10" l="1"/>
  <c r="I28" i="35"/>
  <c r="P27" i="35"/>
  <c r="AJ3" i="10" l="1"/>
  <c r="P28" i="35"/>
  <c r="I29" i="35"/>
  <c r="P29" i="35" l="1"/>
  <c r="I30" i="35"/>
  <c r="AK3" i="10"/>
  <c r="P30" i="35" l="1"/>
  <c r="AL3" i="10"/>
  <c r="I31" i="35"/>
  <c r="P31" i="35" l="1"/>
  <c r="I32" i="35"/>
  <c r="AM3" i="10"/>
  <c r="P32" i="35" l="1"/>
  <c r="AN3" i="10"/>
  <c r="I33" i="35"/>
  <c r="I34" i="35" l="1"/>
  <c r="AO3" i="10"/>
  <c r="P33" i="35"/>
  <c r="I35" i="35" l="1"/>
  <c r="P34" i="35"/>
  <c r="AP3" i="10"/>
  <c r="I36" i="35" l="1"/>
  <c r="AQ3" i="10"/>
  <c r="P35" i="35"/>
  <c r="I37" i="35" l="1"/>
  <c r="AR3" i="10"/>
  <c r="P36" i="35"/>
  <c r="AS3" i="10" l="1"/>
  <c r="P37" i="35"/>
  <c r="I38" i="35"/>
  <c r="P38" i="35" l="1"/>
  <c r="I39" i="35"/>
  <c r="AT3" i="10"/>
  <c r="AU3" i="10" l="1"/>
  <c r="I40" i="35"/>
  <c r="P39" i="35"/>
  <c r="P40" i="35" l="1"/>
  <c r="I41" i="35"/>
  <c r="AV3" i="10"/>
  <c r="AW3" i="10" l="1"/>
  <c r="P41" i="35"/>
  <c r="I42" i="35"/>
  <c r="P42" i="35" l="1"/>
  <c r="AX3" i="10"/>
  <c r="I43" i="35"/>
  <c r="AY3" i="10" l="1"/>
  <c r="P43" i="35"/>
</calcChain>
</file>

<file path=xl/sharedStrings.xml><?xml version="1.0" encoding="utf-8"?>
<sst xmlns="http://schemas.openxmlformats.org/spreadsheetml/2006/main" count="4831" uniqueCount="3348">
  <si>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</si>
  <si>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</si>
  <si>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</si>
  <si>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</si>
  <si>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</si>
  <si>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</si>
  <si>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</si>
  <si>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</si>
  <si>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</si>
  <si>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</si>
  <si>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</si>
  <si>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</si>
  <si>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</si>
  <si>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</si>
  <si>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</si>
  <si>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</si>
  <si>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</si>
  <si>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</si>
  <si>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</si>
  <si>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</si>
  <si>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</si>
  <si>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</si>
  <si>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</si>
  <si>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</si>
  <si>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</si>
  <si>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</si>
  <si>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</si>
  <si>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</si>
  <si>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</si>
  <si>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</si>
  <si>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</si>
  <si>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</si>
  <si>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</si>
  <si>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</si>
  <si>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</si>
  <si>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</si>
  <si>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</si>
  <si>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</si>
  <si>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</si>
  <si>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</si>
  <si>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</si>
  <si>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</si>
  <si>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</si>
  <si>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</si>
  <si>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</si>
  <si>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</si>
  <si>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</si>
  <si>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</si>
  <si>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</si>
  <si>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</si>
  <si>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</si>
  <si>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</si>
  <si>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</si>
  <si>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</si>
  <si>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</si>
  <si>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</si>
  <si>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</si>
  <si>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</si>
  <si>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</si>
  <si>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</si>
  <si>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</si>
  <si>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</si>
  <si>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</si>
  <si>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</si>
  <si>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</si>
  <si>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</si>
  <si>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</si>
  <si>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</si>
  <si>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</si>
  <si>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</si>
  <si>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</si>
  <si>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</si>
  <si>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</si>
  <si>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</si>
  <si>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</si>
  <si>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</si>
  <si>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</si>
  <si>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</si>
  <si>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</si>
  <si>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</si>
  <si>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</si>
  <si>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</si>
  <si>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</si>
  <si>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</si>
  <si>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</si>
  <si>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</si>
  <si>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</si>
  <si>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</si>
  <si>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</si>
  <si>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</si>
  <si>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</si>
  <si>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</si>
  <si>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</si>
  <si>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</si>
  <si>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</si>
  <si>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</si>
  <si>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</si>
  <si>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</si>
  <si>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</si>
  <si>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</si>
  <si>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</si>
  <si>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</si>
  <si>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</si>
  <si>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</si>
  <si>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</si>
  <si>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</si>
  <si>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</si>
  <si>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</si>
  <si>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</si>
  <si>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</si>
  <si>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</si>
  <si>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</si>
  <si>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</si>
  <si>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</si>
  <si>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</si>
  <si>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</si>
  <si>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</si>
  <si>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</si>
  <si>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</si>
  <si>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</si>
  <si>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</si>
  <si>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</si>
  <si>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</si>
  <si>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</si>
  <si>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</si>
  <si>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</si>
  <si>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</si>
  <si>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</si>
  <si>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</si>
  <si>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</si>
  <si>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</si>
  <si>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</si>
  <si>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</si>
  <si>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</si>
  <si>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</si>
  <si>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</si>
  <si>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</si>
  <si>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</si>
  <si>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</si>
  <si>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</si>
  <si>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</si>
  <si>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</si>
  <si>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</si>
  <si>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</si>
  <si>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</si>
  <si>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</si>
  <si>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</si>
  <si>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</si>
  <si>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</si>
  <si>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</si>
  <si>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</si>
  <si>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</si>
  <si>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</si>
  <si>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</si>
  <si>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</si>
  <si>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</si>
  <si>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</si>
  <si>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</si>
  <si>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</si>
  <si>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</si>
  <si>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</si>
  <si>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</si>
  <si>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</si>
  <si>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</si>
  <si>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</si>
  <si>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</si>
  <si>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</si>
  <si>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</si>
  <si>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</si>
  <si>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</si>
  <si>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</si>
  <si>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</si>
  <si>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</si>
  <si>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</si>
  <si>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</si>
  <si>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</si>
  <si>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</si>
  <si>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</si>
  <si>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</si>
  <si>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</si>
  <si>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</si>
  <si>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</si>
  <si>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</si>
  <si>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</si>
  <si>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</si>
  <si>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</si>
  <si>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</si>
  <si>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</si>
  <si>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</si>
  <si>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</si>
  <si>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</si>
  <si>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</si>
  <si>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</si>
  <si>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</si>
  <si>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</si>
  <si>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</si>
  <si>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</si>
  <si>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</si>
  <si>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</si>
  <si>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</si>
  <si>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</si>
  <si>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</si>
  <si>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</si>
  <si>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</si>
  <si>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</si>
  <si>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</si>
  <si>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</si>
  <si>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</si>
  <si>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</si>
  <si>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</si>
  <si>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</si>
  <si>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</si>
  <si>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</si>
  <si>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</si>
  <si>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</si>
  <si>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</si>
  <si>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</si>
  <si>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</si>
  <si>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</si>
  <si>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</si>
  <si>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</si>
  <si>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</si>
  <si>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</si>
  <si>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</si>
  <si>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</si>
  <si>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</si>
  <si>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</si>
  <si>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</si>
  <si>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</si>
  <si>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</si>
  <si>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</si>
  <si>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</si>
  <si>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</si>
  <si>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</si>
  <si>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</si>
  <si>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</si>
  <si>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</si>
  <si>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</si>
  <si>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</si>
  <si>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</si>
  <si>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</si>
  <si>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</si>
  <si>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</si>
  <si>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</si>
  <si>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</si>
  <si>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</si>
  <si>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</si>
  <si>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</si>
  <si>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</si>
  <si>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</si>
  <si>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</si>
  <si>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</si>
  <si>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</si>
  <si>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</si>
  <si>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</si>
  <si>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</si>
  <si>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</si>
  <si>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</si>
  <si>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</si>
  <si>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</si>
  <si>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</si>
  <si>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</si>
  <si>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</si>
  <si>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</si>
  <si>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</si>
  <si>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</si>
  <si>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</si>
  <si>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</si>
  <si>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</si>
  <si>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</si>
  <si>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</si>
  <si>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</si>
  <si>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</si>
  <si>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</si>
  <si>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</si>
  <si>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</si>
  <si>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</si>
  <si>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</si>
  <si>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</si>
  <si>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</si>
  <si>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</si>
  <si>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</si>
  <si>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</si>
  <si>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</si>
  <si>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</si>
  <si>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</si>
  <si>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</si>
  <si>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</si>
  <si>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</si>
  <si>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</si>
  <si>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</si>
  <si>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</si>
  <si>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</si>
  <si>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</si>
  <si>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</si>
  <si>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</si>
  <si>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</si>
  <si>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</si>
  <si>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</si>
  <si>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</si>
  <si>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</si>
  <si>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</si>
  <si>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</si>
  <si>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</si>
  <si>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</si>
  <si>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</si>
  <si>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</si>
  <si>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</si>
  <si>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</si>
  <si>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</si>
  <si>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</si>
  <si>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</si>
  <si>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</si>
  <si>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</si>
  <si>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</si>
  <si>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</si>
  <si>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</si>
  <si>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</si>
  <si>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</si>
  <si>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</si>
  <si>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</si>
  <si>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</si>
  <si>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</si>
  <si>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</si>
  <si>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</si>
  <si>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</si>
  <si>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</si>
  <si>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</si>
  <si>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</si>
  <si>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</si>
  <si>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</si>
  <si>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</si>
  <si>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</si>
  <si>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</si>
  <si>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</si>
  <si>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</si>
  <si>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</si>
  <si>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</si>
  <si>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</si>
  <si>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</si>
  <si>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</si>
  <si>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</si>
  <si>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</si>
  <si>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</si>
  <si>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</si>
  <si>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</si>
  <si>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</si>
  <si>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</si>
  <si>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</si>
  <si>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</si>
  <si>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</si>
  <si>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</si>
  <si>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</si>
  <si>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</si>
  <si>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</si>
  <si>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</si>
  <si>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</si>
  <si>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</si>
  <si>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</si>
  <si>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</si>
  <si>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</si>
  <si>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</si>
  <si>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</si>
  <si>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</si>
  <si>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</si>
  <si>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</si>
  <si>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</si>
  <si>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</si>
  <si>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</si>
  <si>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</si>
  <si>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</si>
  <si>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</si>
  <si>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</si>
  <si>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</si>
  <si>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</si>
  <si>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</si>
  <si>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</si>
  <si>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</si>
  <si>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</si>
  <si>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</si>
  <si>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</si>
  <si>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</si>
  <si>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</si>
  <si>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</si>
  <si>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</si>
  <si>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</si>
  <si>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</si>
  <si>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</si>
  <si>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</si>
  <si>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</si>
  <si>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</si>
  <si>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</si>
  <si>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</si>
  <si>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</si>
  <si>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</si>
  <si>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</si>
  <si>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</si>
  <si>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</si>
  <si>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</si>
  <si>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</si>
  <si>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</si>
  <si>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</si>
  <si>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</si>
  <si>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</si>
  <si>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</si>
  <si>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</si>
  <si>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</si>
  <si>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</si>
  <si>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</si>
  <si>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</si>
  <si>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</si>
  <si>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</si>
  <si>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</si>
  <si>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</si>
  <si>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</si>
  <si>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</si>
  <si>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</si>
  <si>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</si>
  <si>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</si>
  <si>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</si>
  <si>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</si>
  <si>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</si>
  <si>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</si>
  <si>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</si>
  <si>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</si>
  <si>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</si>
  <si>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</si>
  <si>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</si>
  <si>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</si>
  <si>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</si>
  <si>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</si>
  <si>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</si>
  <si>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</si>
  <si>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</si>
  <si>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</si>
  <si>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</si>
  <si>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</si>
  <si>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</si>
  <si>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</si>
  <si>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</si>
  <si>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</si>
  <si>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</si>
  <si>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</si>
  <si>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</si>
  <si>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</si>
  <si>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</si>
  <si>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</si>
  <si>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</si>
  <si>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</si>
  <si>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</si>
  <si>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</si>
  <si>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</si>
  <si>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</si>
  <si>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</si>
  <si>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</si>
  <si>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</si>
  <si>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</si>
  <si>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</si>
  <si>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</si>
  <si>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</si>
  <si>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</si>
  <si>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</si>
  <si>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</si>
  <si>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</si>
  <si>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</si>
  <si>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</si>
  <si>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</si>
  <si>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</si>
  <si>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</si>
  <si>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</si>
  <si>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</si>
  <si>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</si>
  <si>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</si>
  <si>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</si>
  <si>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</si>
  <si>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</si>
  <si>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</si>
  <si>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</si>
  <si>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</si>
  <si>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</si>
  <si>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</si>
  <si>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</si>
  <si>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</si>
  <si>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</si>
  <si>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</si>
  <si>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</si>
  <si>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</si>
  <si>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</si>
  <si>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</si>
  <si>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</si>
  <si>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</si>
  <si>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</si>
  <si>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</si>
  <si>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</si>
  <si>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</si>
  <si>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</si>
  <si>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</si>
  <si>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</si>
  <si>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</si>
  <si>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</si>
  <si>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</si>
  <si>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</si>
  <si>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</si>
  <si>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</si>
  <si>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</si>
  <si>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</si>
  <si>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</si>
  <si>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</si>
  <si>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</si>
  <si>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</si>
  <si>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</si>
  <si>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</si>
  <si>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</si>
  <si>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</si>
  <si>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</si>
  <si>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</si>
  <si>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</si>
  <si>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</si>
  <si>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</si>
  <si>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</si>
  <si>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</si>
  <si>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</si>
  <si>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</si>
  <si>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</si>
  <si>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</si>
  <si>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</si>
  <si>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</si>
  <si>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</si>
  <si>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</si>
  <si>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</si>
  <si>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</si>
  <si>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</si>
  <si>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</si>
  <si>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</si>
  <si>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</si>
  <si>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</si>
  <si>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</si>
  <si>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</si>
  <si>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</si>
  <si>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</si>
  <si>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</si>
  <si>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</si>
  <si>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</si>
  <si>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</si>
  <si>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</si>
  <si>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</si>
  <si>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</si>
  <si>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</si>
  <si>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</si>
  <si>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</si>
  <si>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</si>
  <si>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</si>
  <si>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</si>
  <si>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</si>
  <si>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</si>
  <si>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</si>
  <si>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</si>
  <si>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</si>
  <si>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</si>
  <si>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</si>
  <si>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</si>
  <si>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</si>
  <si>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</si>
  <si>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</si>
  <si>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</si>
  <si>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</si>
  <si>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</si>
  <si>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</si>
  <si>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</si>
  <si>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</si>
  <si>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</si>
  <si>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</si>
  <si>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</si>
  <si>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</si>
  <si>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</si>
  <si>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</si>
  <si>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</si>
  <si>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</si>
  <si>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</si>
  <si>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</si>
  <si>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</si>
  <si>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</si>
  <si>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</si>
  <si>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</si>
  <si>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</si>
  <si>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</si>
  <si>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</si>
  <si>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</si>
  <si>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</si>
  <si>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</si>
  <si>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</si>
  <si>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</si>
  <si>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</si>
  <si>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</si>
  <si>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</si>
  <si>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</si>
  <si>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</si>
  <si>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</si>
  <si>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</si>
  <si>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</si>
  <si>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</si>
  <si>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</si>
  <si>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</si>
  <si>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</si>
  <si>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</si>
  <si>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</si>
  <si>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</si>
  <si>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</si>
  <si>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</si>
  <si>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</si>
  <si>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</si>
  <si>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</si>
  <si>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</si>
  <si>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</si>
  <si>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</si>
  <si>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</si>
  <si>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</si>
  <si>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</si>
  <si>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</si>
  <si>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</si>
  <si>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</si>
  <si>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</si>
  <si>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</si>
  <si>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</si>
  <si>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</si>
  <si>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</si>
  <si>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</si>
  <si>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</si>
  <si>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</si>
  <si>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</si>
  <si>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</si>
  <si>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</si>
  <si>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</si>
  <si>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</si>
  <si>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</si>
  <si>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</si>
  <si>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</si>
  <si>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</si>
  <si>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</si>
  <si>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</si>
  <si>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</si>
  <si>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</si>
  <si>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</si>
  <si>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</si>
  <si>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</si>
  <si>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</si>
  <si>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</si>
  <si>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</si>
  <si>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</si>
  <si>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</si>
  <si>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</si>
  <si>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</si>
  <si>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</si>
  <si>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</si>
  <si>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</si>
  <si>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</si>
  <si>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</si>
  <si>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</si>
  <si>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</si>
  <si>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</si>
  <si>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</si>
  <si>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</si>
  <si>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</si>
  <si>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</si>
  <si>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</si>
  <si>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</si>
  <si>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</si>
  <si>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</si>
  <si>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</si>
  <si>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</si>
  <si>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</si>
  <si>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</si>
  <si>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</si>
  <si>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</si>
  <si>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</si>
  <si>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</si>
  <si>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</si>
  <si>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</si>
  <si>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</si>
  <si>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</si>
  <si>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</si>
  <si>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</si>
  <si>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</si>
  <si>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</si>
  <si>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</si>
  <si>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</si>
  <si>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</si>
  <si>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</si>
  <si>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</si>
  <si>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</si>
  <si>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</si>
  <si>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</si>
  <si>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</si>
  <si>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</si>
  <si>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</si>
  <si>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</si>
  <si>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</si>
  <si>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</si>
  <si>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</si>
  <si>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</si>
  <si>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</si>
  <si>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</si>
  <si>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</si>
  <si>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</si>
  <si>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</si>
  <si>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</si>
  <si>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</si>
  <si>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</si>
  <si>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</si>
  <si>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</si>
  <si>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</si>
  <si>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</si>
  <si>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</si>
  <si>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</si>
  <si>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</si>
  <si>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</si>
  <si>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</si>
  <si>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</si>
  <si>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</si>
  <si>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</si>
  <si>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</si>
  <si>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</si>
  <si>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</si>
  <si>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</si>
  <si>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</si>
  <si>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</si>
  <si>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</si>
  <si>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</si>
  <si>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</si>
  <si>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</si>
  <si>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</si>
  <si>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</si>
  <si>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</si>
  <si>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</si>
  <si>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</si>
  <si>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</si>
  <si>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</si>
  <si>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</si>
  <si>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</si>
  <si>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</si>
  <si>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</si>
  <si>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</si>
  <si>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</si>
  <si>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</si>
  <si>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</si>
  <si>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</si>
  <si>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</si>
  <si>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</si>
  <si>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</si>
  <si>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</si>
  <si>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</si>
  <si>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</si>
  <si>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</si>
  <si>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</si>
  <si>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</si>
  <si>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</si>
  <si>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</si>
  <si>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</si>
  <si>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</si>
  <si>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</si>
  <si>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</si>
  <si>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</si>
  <si>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</si>
  <si>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</si>
  <si>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</si>
  <si>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</si>
  <si>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</si>
  <si>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</si>
  <si>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</si>
  <si>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</si>
  <si>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</si>
  <si>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</si>
  <si>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</si>
  <si>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</si>
  <si>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</si>
  <si>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</si>
  <si>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</si>
  <si>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</si>
  <si>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</si>
  <si>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</si>
  <si>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</si>
  <si>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</si>
  <si>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</si>
  <si>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</si>
  <si>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</si>
  <si>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</si>
  <si>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</si>
  <si>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</si>
  <si>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</si>
  <si>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</si>
  <si>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</si>
  <si>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</si>
  <si>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</si>
  <si>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</si>
  <si>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</si>
  <si>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</si>
  <si>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</si>
  <si>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</si>
  <si>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</si>
  <si>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</si>
  <si>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</si>
  <si>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</si>
  <si>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</si>
  <si>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</si>
  <si>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</si>
  <si>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</si>
  <si>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</si>
  <si>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</si>
  <si>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</si>
  <si>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</si>
  <si>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</si>
  <si>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</si>
  <si>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</si>
  <si>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</si>
  <si>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</si>
  <si>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</si>
  <si>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</si>
  <si>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</si>
  <si>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</si>
  <si>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</si>
  <si>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</si>
  <si>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</si>
  <si>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</si>
  <si>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</si>
  <si>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</si>
  <si>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</si>
  <si>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</si>
  <si>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</si>
  <si>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</si>
  <si>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</si>
  <si>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</si>
  <si>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</si>
  <si>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</si>
  <si>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</si>
  <si>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</si>
  <si>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</si>
  <si>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</si>
  <si>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</si>
  <si>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</si>
  <si>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</si>
  <si>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</si>
  <si>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</si>
  <si>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</si>
  <si>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</si>
  <si>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</si>
  <si>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</si>
  <si>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</si>
  <si>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</si>
  <si>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</si>
  <si>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</si>
  <si>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</si>
  <si>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</si>
  <si>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</si>
  <si>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</si>
  <si>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</si>
  <si>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</si>
  <si>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</si>
  <si>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</si>
  <si>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</si>
  <si>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</si>
  <si>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</si>
  <si>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</si>
  <si>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</si>
  <si>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</si>
  <si>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</si>
  <si>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</si>
  <si>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</si>
  <si>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</si>
  <si>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</si>
  <si>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</si>
  <si>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</si>
  <si>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</si>
  <si>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</si>
  <si>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</si>
  <si>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</si>
  <si>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</si>
  <si>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</si>
  <si>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</si>
  <si>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</si>
  <si>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</si>
  <si>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</si>
  <si>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</si>
  <si>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</si>
  <si>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</si>
  <si>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</si>
  <si>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</si>
  <si>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</si>
  <si>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</si>
  <si>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</si>
  <si>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</si>
  <si>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</si>
  <si>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</si>
  <si>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</si>
  <si>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</si>
  <si>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</si>
  <si>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</si>
  <si>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</si>
  <si>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</si>
  <si>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</si>
  <si>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</si>
  <si>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</si>
  <si>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</si>
  <si>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</si>
  <si>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</si>
  <si>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</si>
  <si>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</si>
  <si>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</si>
  <si>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</si>
  <si>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</si>
  <si>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</si>
  <si>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</si>
  <si>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</si>
  <si>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</si>
  <si>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</si>
  <si>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</si>
  <si>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</si>
  <si>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</si>
  <si>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</si>
  <si>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</si>
  <si>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</si>
  <si>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</si>
  <si>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</si>
  <si>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</si>
  <si>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</si>
  <si>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</si>
  <si>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</si>
  <si>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</si>
  <si>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</si>
  <si>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</si>
  <si>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</si>
  <si>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</si>
  <si>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</si>
  <si>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</si>
  <si>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</si>
  <si>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</si>
  <si>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</si>
  <si>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</si>
  <si>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</si>
  <si>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</si>
  <si>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</si>
  <si>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</si>
  <si>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</si>
  <si>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</si>
  <si>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</si>
  <si>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</si>
  <si>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</si>
  <si>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</si>
  <si>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</si>
  <si>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</si>
  <si>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</si>
  <si>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</si>
  <si>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</si>
  <si>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</si>
  <si>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</si>
  <si>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</si>
  <si>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</si>
  <si>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</si>
  <si>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</si>
  <si>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</si>
  <si>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</si>
  <si>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</si>
  <si>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</si>
  <si>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</si>
  <si>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</si>
  <si>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</si>
  <si>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</si>
  <si>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</si>
  <si>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</si>
  <si>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</si>
  <si>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</si>
  <si>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</si>
  <si>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</si>
  <si>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</si>
  <si>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</si>
  <si>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</si>
  <si>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</si>
  <si>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</si>
  <si>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</si>
  <si>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</si>
  <si>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</si>
  <si>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</si>
  <si>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</si>
  <si>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</si>
  <si>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</si>
  <si>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</si>
  <si>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</si>
  <si>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</si>
  <si>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</si>
  <si>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</si>
  <si>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</si>
  <si>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</si>
  <si>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</si>
  <si>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</si>
  <si>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</si>
  <si>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</si>
  <si>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</si>
  <si>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</si>
  <si>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</si>
  <si>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</si>
  <si>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</si>
  <si>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</si>
  <si>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</si>
  <si>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</si>
  <si>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</si>
  <si>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</si>
  <si>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</si>
  <si>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</si>
  <si>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</si>
  <si>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</si>
  <si>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</si>
  <si>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</si>
  <si>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</si>
  <si>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</si>
  <si>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</si>
  <si>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</si>
  <si>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</si>
  <si>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</si>
  <si>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</si>
  <si>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</si>
  <si>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</si>
  <si>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</si>
  <si>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</si>
  <si>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</si>
  <si>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</si>
  <si>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</si>
  <si>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</si>
  <si>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</si>
  <si>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</si>
  <si>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</si>
  <si>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</si>
  <si>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</si>
  <si>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</si>
  <si>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</si>
  <si>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</si>
  <si>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</si>
  <si>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</si>
  <si>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</si>
  <si>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</si>
  <si>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</si>
  <si>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</si>
  <si>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</si>
  <si>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</si>
  <si>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</si>
  <si>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</si>
  <si>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</si>
  <si>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</si>
  <si>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</si>
  <si>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</si>
  <si>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</si>
  <si>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</si>
  <si>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</si>
  <si>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</si>
  <si>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</si>
  <si>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</si>
  <si>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</si>
  <si>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</si>
  <si>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</si>
  <si>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</si>
  <si>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</si>
  <si>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</si>
  <si>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</si>
  <si>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</si>
  <si>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</si>
  <si>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</si>
  <si>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</si>
  <si>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</si>
  <si>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</si>
  <si>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</si>
  <si>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</si>
  <si>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</si>
  <si>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</si>
  <si>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</si>
  <si>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</si>
  <si>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</si>
  <si>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</si>
  <si>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</si>
  <si>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</si>
  <si>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</si>
  <si>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</si>
  <si>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</si>
  <si>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</si>
  <si>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</si>
  <si>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</si>
  <si>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</si>
  <si>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</si>
  <si>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</si>
  <si>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</si>
  <si>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</si>
  <si>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</si>
  <si>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</si>
  <si>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</si>
  <si>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</si>
  <si>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</si>
  <si>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</si>
  <si>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</si>
  <si>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</si>
  <si>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</si>
  <si>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</si>
  <si>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</si>
  <si>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</si>
  <si>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</si>
  <si>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</si>
  <si>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</si>
  <si>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</si>
  <si>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</si>
  <si>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</si>
  <si>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</si>
  <si>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</si>
  <si>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</si>
  <si>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</si>
  <si>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</si>
  <si>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</si>
  <si>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</si>
  <si>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</si>
  <si>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</si>
  <si>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</si>
  <si>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</si>
  <si>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</si>
  <si>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</si>
  <si>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</si>
  <si>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</si>
  <si>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</si>
  <si>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</si>
  <si>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</si>
  <si>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</si>
  <si>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</si>
  <si>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</si>
  <si>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</si>
  <si>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</si>
  <si>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</si>
  <si>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</si>
  <si>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</si>
  <si>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</si>
  <si>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</si>
  <si>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</si>
  <si>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</si>
  <si>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</si>
  <si>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</si>
  <si>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</si>
  <si>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</si>
  <si>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</si>
  <si>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</si>
  <si>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</si>
  <si>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</si>
  <si>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</si>
  <si>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</si>
  <si>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</si>
  <si>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</si>
  <si>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</si>
  <si>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</si>
  <si>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</si>
  <si>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</si>
  <si>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</si>
  <si>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</si>
  <si>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</si>
  <si>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</si>
  <si>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</si>
  <si>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</si>
  <si>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</si>
  <si>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</si>
  <si>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</si>
  <si>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</si>
  <si>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</si>
  <si>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</si>
  <si>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</si>
  <si>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</si>
  <si>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</si>
  <si>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</si>
  <si>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</si>
  <si>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</si>
  <si>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</si>
  <si>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</si>
  <si>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</si>
  <si>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</si>
  <si>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</si>
  <si>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</si>
  <si>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</si>
  <si>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</si>
  <si>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</si>
  <si>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</si>
  <si>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</si>
  <si>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</si>
  <si>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</si>
  <si>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</si>
  <si>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</si>
  <si>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</si>
  <si>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</si>
  <si>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</si>
  <si>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</si>
  <si>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</si>
  <si>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</si>
  <si>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</si>
  <si>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</si>
  <si>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</si>
  <si>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</si>
  <si>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</si>
  <si>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</si>
  <si>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</si>
  <si>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</si>
  <si>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</si>
  <si>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</si>
  <si>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</si>
  <si>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</si>
  <si>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</si>
  <si>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</si>
  <si>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</si>
  <si>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</si>
  <si>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</si>
  <si>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</si>
  <si>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</si>
  <si>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</si>
  <si>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</si>
  <si>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</si>
  <si>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</si>
  <si>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</si>
  <si>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</si>
  <si>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</si>
  <si>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</si>
  <si>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</si>
  <si>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</si>
  <si>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</si>
  <si>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</si>
  <si>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</si>
  <si>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</si>
  <si>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</si>
  <si>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</si>
  <si>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</si>
  <si>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</si>
  <si>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</si>
  <si>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</si>
  <si>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</si>
  <si>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</si>
  <si>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</si>
  <si>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</si>
  <si>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</si>
  <si>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</si>
  <si>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</si>
  <si>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</si>
  <si>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</si>
  <si>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</si>
  <si>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</si>
  <si>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</si>
  <si>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</si>
  <si>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</si>
  <si>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</si>
  <si>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</si>
  <si>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</si>
  <si>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</si>
  <si>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</si>
  <si>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</si>
  <si>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</si>
  <si>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</si>
  <si>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</si>
  <si>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</si>
  <si>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</si>
  <si>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</si>
  <si>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</si>
  <si>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</si>
  <si>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</si>
  <si>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</si>
  <si>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</si>
  <si>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</si>
  <si>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</si>
  <si>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</si>
  <si>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</si>
  <si>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</si>
  <si>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</si>
  <si>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</si>
  <si>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</si>
  <si>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</si>
  <si>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</si>
  <si>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</si>
  <si>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</si>
  <si>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</si>
  <si>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</si>
  <si>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</si>
  <si>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</si>
  <si>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</si>
  <si>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</si>
  <si>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</si>
  <si>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</si>
  <si>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</si>
  <si>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</si>
  <si>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</si>
  <si>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</si>
  <si>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</si>
  <si>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</si>
  <si>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</si>
  <si>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</si>
  <si>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</si>
  <si>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</si>
  <si>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</si>
  <si>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</si>
  <si>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</si>
  <si>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</si>
  <si>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</si>
  <si>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</si>
  <si>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</si>
  <si>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</si>
  <si>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</si>
  <si>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</si>
  <si>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</si>
  <si>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</si>
  <si>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</si>
  <si>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</si>
  <si>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</si>
  <si>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</si>
  <si>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</si>
  <si>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</si>
  <si>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</si>
  <si>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</si>
  <si>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</si>
  <si>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</si>
  <si>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</si>
  <si>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</si>
  <si>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</si>
  <si>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</si>
  <si>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</si>
  <si>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</si>
  <si>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</si>
  <si>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</si>
  <si>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</si>
  <si>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</si>
  <si>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</si>
  <si>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</si>
  <si>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</si>
  <si>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</si>
  <si>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</si>
  <si>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</si>
  <si>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</si>
  <si>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</si>
  <si>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</si>
  <si>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</si>
  <si>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</si>
  <si>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</si>
  <si>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</si>
  <si>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</si>
  <si>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</si>
  <si>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</si>
  <si>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</si>
  <si>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</si>
  <si>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</si>
  <si>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</si>
  <si>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</si>
  <si>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</si>
  <si>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</si>
  <si>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</si>
  <si>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</si>
  <si>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</si>
  <si>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</si>
  <si>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</si>
  <si>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</si>
  <si>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</si>
  <si>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</si>
  <si>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</si>
  <si>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</si>
  <si>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</si>
  <si>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</si>
  <si>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</si>
  <si>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</si>
  <si>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</si>
  <si>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</si>
  <si>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</si>
  <si>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</si>
  <si>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</si>
  <si>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</si>
  <si>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</si>
  <si>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</si>
  <si>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</si>
  <si>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</si>
  <si>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</si>
  <si>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</si>
  <si>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</si>
  <si>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</si>
  <si>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</si>
  <si>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</si>
  <si>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</si>
  <si>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</si>
  <si>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</si>
  <si>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</si>
  <si>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</si>
  <si>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</si>
  <si>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</si>
  <si>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</si>
  <si>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</si>
  <si>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</si>
  <si>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</si>
  <si>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</si>
  <si>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</si>
  <si>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</si>
  <si>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</si>
  <si>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</si>
  <si>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</si>
  <si>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</si>
  <si>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</si>
  <si>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</si>
  <si>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</si>
  <si>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</si>
  <si>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</si>
  <si>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</si>
  <si>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</si>
  <si>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</si>
  <si>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</si>
  <si>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</si>
  <si>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</si>
  <si>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</si>
  <si>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</si>
  <si>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</si>
  <si>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</si>
  <si>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</si>
  <si>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</si>
  <si>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</si>
  <si>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</si>
  <si>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</si>
  <si>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</si>
  <si>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</si>
  <si>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</si>
  <si>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</si>
  <si>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</si>
  <si>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</si>
  <si>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</si>
  <si>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</si>
  <si>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</si>
  <si>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</si>
  <si>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</si>
  <si>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</si>
  <si>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</si>
  <si>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</si>
  <si>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</si>
  <si>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</si>
  <si>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</si>
  <si>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</si>
  <si>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</si>
  <si>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</si>
  <si>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</si>
  <si>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</si>
  <si>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</si>
  <si>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</si>
  <si>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</si>
  <si>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</si>
  <si>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</si>
  <si>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</si>
  <si>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</si>
  <si>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</si>
  <si>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</si>
  <si>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</si>
  <si>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</si>
  <si>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</si>
  <si>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</si>
  <si>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</si>
  <si>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</si>
  <si>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</si>
  <si>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</si>
  <si>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</si>
  <si>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</si>
  <si>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</si>
  <si>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</si>
  <si>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</si>
  <si>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</si>
  <si>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</si>
  <si>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</si>
  <si>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</si>
  <si>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</si>
  <si>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</si>
  <si>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</si>
  <si>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</si>
  <si>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</si>
  <si>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</si>
  <si>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</si>
  <si>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</si>
  <si>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</si>
  <si>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</si>
  <si>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</si>
  <si>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</si>
  <si>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</si>
  <si>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</si>
  <si>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</si>
  <si>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</si>
  <si>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</si>
  <si>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</si>
  <si>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</si>
  <si>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</si>
  <si>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</si>
  <si>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</si>
  <si>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</si>
  <si>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</si>
  <si>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</si>
  <si>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</si>
  <si>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</si>
  <si>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</si>
  <si>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</si>
  <si>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</si>
  <si>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</si>
  <si>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</si>
  <si>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</si>
  <si>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</si>
  <si>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</si>
  <si>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</si>
  <si>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</si>
  <si>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</si>
  <si>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</si>
  <si>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</si>
  <si>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</si>
  <si>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</si>
  <si>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</si>
  <si>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</si>
  <si>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</si>
  <si>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</si>
  <si>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</si>
  <si>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</si>
  <si>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</si>
  <si>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</si>
  <si>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</si>
  <si>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</si>
  <si>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</si>
  <si>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</si>
  <si>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</si>
  <si>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</si>
  <si>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</si>
  <si>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</si>
  <si>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</si>
  <si>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</si>
  <si>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</si>
  <si>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</si>
  <si>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</si>
  <si>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</si>
  <si>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</si>
  <si>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</si>
  <si>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</si>
  <si>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</si>
  <si>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</si>
  <si>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</si>
  <si>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</si>
  <si>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</si>
  <si>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</si>
  <si>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</si>
  <si>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</si>
  <si>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</si>
  <si>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</si>
  <si>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</si>
  <si>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</si>
  <si>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</si>
  <si>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</si>
  <si>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</si>
  <si>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</si>
  <si>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</si>
  <si>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</si>
  <si>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</si>
  <si>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</si>
  <si>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</si>
  <si>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</si>
  <si>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</si>
  <si>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</si>
  <si>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</si>
  <si>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</si>
  <si>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</si>
  <si>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</si>
  <si>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</si>
  <si>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</si>
  <si>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</si>
  <si>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</si>
  <si>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</si>
  <si>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</si>
  <si>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</si>
  <si>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</si>
  <si>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</si>
  <si>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</si>
  <si>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</si>
  <si>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</si>
  <si>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</si>
  <si>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</si>
  <si>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</si>
  <si>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</si>
  <si>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</si>
  <si>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</si>
  <si>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</si>
  <si>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</si>
  <si>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</si>
  <si>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</si>
  <si>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</si>
  <si>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</si>
  <si>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</si>
  <si>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</si>
  <si>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</si>
  <si>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</si>
  <si>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</si>
  <si>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</si>
  <si>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</si>
  <si>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</si>
  <si>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</si>
  <si>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</si>
  <si>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</si>
  <si>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</si>
  <si>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</si>
  <si>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</si>
  <si>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</si>
  <si>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</si>
  <si>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</si>
  <si>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</si>
  <si>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</si>
  <si>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</si>
  <si>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</si>
  <si>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</si>
  <si>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</si>
  <si>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</si>
  <si>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</si>
  <si>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</si>
  <si>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</si>
  <si>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</si>
  <si>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</si>
  <si>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</si>
  <si>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</si>
  <si>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</si>
  <si>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</si>
  <si>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</si>
  <si>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</si>
  <si>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</si>
  <si>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</si>
  <si>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</si>
  <si>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</si>
  <si>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</si>
  <si>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</si>
  <si>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</si>
  <si>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</si>
  <si>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</si>
  <si>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</si>
  <si>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</si>
  <si>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</si>
  <si>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</si>
  <si>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</si>
  <si>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</si>
  <si>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</si>
  <si>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</si>
  <si>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</si>
  <si>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</si>
  <si>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</si>
  <si>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</si>
  <si>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</si>
  <si>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</si>
  <si>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</si>
  <si>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</si>
  <si>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</si>
  <si>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</si>
  <si>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</si>
  <si>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</si>
  <si>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</si>
  <si>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</si>
  <si>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</si>
  <si>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</si>
  <si>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</si>
  <si>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</si>
  <si>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</si>
  <si>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</si>
  <si>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</si>
  <si>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</si>
  <si>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</si>
  <si>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</si>
  <si>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</si>
  <si>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</si>
  <si>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</si>
  <si>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</si>
  <si>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</si>
  <si>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</si>
  <si>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</si>
  <si>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</si>
  <si>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</si>
  <si>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</si>
  <si>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</si>
  <si>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</si>
  <si>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</si>
  <si>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</si>
  <si>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</si>
  <si>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</si>
  <si>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</si>
  <si>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</si>
  <si>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</si>
  <si>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</si>
  <si>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</si>
  <si>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</si>
  <si>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</si>
  <si>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</si>
  <si>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</si>
  <si>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</si>
  <si>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</si>
  <si>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</si>
  <si>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</si>
  <si>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</si>
  <si>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</si>
  <si>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</si>
  <si>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</si>
  <si>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</si>
  <si>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</si>
  <si>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</si>
  <si>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</si>
  <si>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</si>
  <si>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</si>
  <si>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</si>
  <si>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</si>
  <si>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</si>
  <si>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</si>
  <si>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</si>
  <si>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</si>
  <si>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</si>
  <si>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</si>
  <si>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</si>
  <si>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</si>
  <si>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</si>
  <si>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</si>
  <si>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</si>
  <si>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</si>
  <si>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</si>
  <si>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</si>
  <si>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</si>
  <si>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</si>
  <si>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</si>
  <si>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</si>
  <si>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</si>
  <si>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</si>
  <si>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</si>
  <si>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</si>
  <si>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</si>
  <si>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</si>
  <si>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</si>
  <si>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</si>
  <si>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</si>
  <si>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</si>
  <si>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</si>
  <si>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</si>
  <si>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</si>
  <si>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</si>
  <si>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</si>
  <si>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</si>
  <si>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</si>
  <si>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</si>
  <si>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</si>
  <si>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</si>
  <si>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</si>
  <si>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</si>
  <si>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</si>
  <si>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</si>
  <si>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</si>
  <si>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</si>
  <si>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</si>
  <si>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</si>
  <si>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</si>
  <si>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</si>
  <si>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</si>
  <si>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</si>
  <si>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</si>
  <si>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</si>
  <si>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</si>
  <si>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</si>
  <si>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</si>
  <si>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</si>
  <si>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</si>
  <si>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</si>
  <si>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</si>
  <si>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</si>
  <si>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</si>
  <si>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</si>
  <si>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</si>
  <si>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</si>
  <si>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</si>
  <si>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</si>
  <si>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</si>
  <si>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</si>
  <si>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</si>
  <si>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</si>
  <si>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</si>
  <si>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</si>
  <si>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</si>
  <si>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</si>
  <si>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</si>
  <si>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</si>
  <si>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</si>
  <si>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</si>
  <si>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</si>
  <si>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</si>
  <si>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</si>
  <si>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</si>
  <si>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</si>
  <si>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</si>
  <si>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</si>
  <si>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</si>
  <si>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</si>
  <si>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</si>
  <si>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</si>
  <si>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</si>
  <si>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</si>
  <si>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</si>
  <si>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</si>
  <si>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</si>
  <si>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</si>
  <si>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</si>
  <si>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</si>
  <si>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</si>
  <si>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</si>
  <si>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</si>
  <si>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</si>
  <si>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</si>
  <si>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</si>
  <si>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</si>
  <si>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</si>
  <si>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</si>
  <si>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</si>
  <si>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</si>
  <si>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</si>
  <si>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</si>
  <si>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</si>
  <si>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</si>
  <si>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</si>
  <si>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</si>
  <si>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</si>
  <si>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</si>
  <si>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</si>
  <si>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</si>
  <si>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</si>
  <si>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</si>
  <si>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</si>
  <si>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</si>
  <si>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</si>
  <si>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</si>
  <si>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</si>
  <si>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</si>
  <si>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</si>
  <si>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</si>
  <si>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</si>
  <si>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</si>
  <si>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</si>
  <si>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</si>
  <si>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</si>
  <si>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</si>
  <si>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</si>
  <si>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</si>
  <si>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</si>
  <si>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</si>
  <si>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</si>
  <si>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</si>
  <si>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</si>
  <si>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</si>
  <si>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</si>
  <si>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</si>
  <si>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</si>
  <si>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</si>
  <si>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</si>
  <si>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</si>
  <si>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</si>
  <si>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</si>
  <si>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</si>
  <si>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</si>
  <si>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</si>
  <si>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</si>
  <si>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</si>
  <si>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</si>
  <si>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</si>
  <si>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</si>
  <si>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</si>
  <si>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</si>
  <si>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</si>
  <si>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</si>
  <si>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</si>
  <si>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</si>
  <si>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</si>
  <si>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</si>
  <si>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</si>
  <si>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</si>
  <si>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</si>
  <si>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</si>
  <si>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</si>
  <si>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</si>
  <si>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</si>
  <si>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</si>
  <si>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</si>
  <si>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</si>
  <si>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</si>
  <si>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</si>
  <si>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</si>
  <si>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</si>
  <si>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</si>
  <si>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</si>
  <si>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</si>
  <si>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</si>
  <si>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</si>
  <si>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</si>
  <si>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</si>
  <si>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</si>
  <si>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</si>
  <si>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</si>
  <si>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</si>
  <si>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</si>
  <si>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</si>
  <si>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</si>
  <si>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</si>
  <si>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</si>
  <si>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</si>
  <si>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</si>
  <si>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</si>
  <si>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</si>
  <si>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</si>
  <si>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</si>
  <si>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</si>
  <si>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</si>
  <si>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</si>
  <si>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</si>
  <si>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</si>
  <si>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</si>
  <si>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</si>
  <si>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</si>
  <si>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</si>
  <si>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</si>
  <si>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</si>
  <si>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</si>
  <si>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</si>
  <si>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</si>
  <si>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</si>
  <si>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</si>
  <si>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</si>
  <si>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</si>
  <si>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</si>
  <si>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</si>
  <si>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</si>
  <si>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</si>
  <si>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</si>
  <si>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</si>
  <si>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</si>
  <si>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</si>
  <si>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</si>
  <si>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</si>
  <si>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</si>
  <si>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</si>
  <si>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</si>
  <si>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</si>
  <si>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</si>
  <si>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</si>
  <si>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</si>
  <si>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</si>
  <si>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</si>
  <si>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</si>
  <si>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</si>
  <si>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</si>
  <si>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</si>
  <si>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</si>
  <si>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</si>
  <si>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</si>
  <si>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</si>
  <si>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</si>
  <si>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</si>
  <si>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</si>
  <si>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</si>
  <si>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</si>
  <si>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</si>
  <si>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</si>
  <si>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</si>
  <si>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</si>
  <si>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</si>
  <si>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</si>
  <si>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</si>
  <si>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</si>
  <si>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</si>
  <si>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</si>
  <si>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</si>
  <si>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</si>
  <si>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</si>
  <si>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</si>
  <si>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</si>
  <si>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</si>
  <si>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</si>
  <si>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</si>
  <si>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</si>
  <si>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</si>
  <si>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</si>
  <si>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</si>
  <si>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</si>
  <si>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</si>
  <si>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</si>
  <si>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</si>
  <si>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</si>
  <si>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</si>
  <si>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</si>
  <si>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</si>
  <si>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</si>
  <si>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</si>
  <si>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</si>
  <si>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</si>
  <si>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</si>
  <si>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</si>
  <si>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</si>
  <si>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</si>
  <si>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</si>
  <si>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</si>
  <si>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</si>
  <si>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</si>
  <si>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</si>
  <si>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</si>
  <si>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</si>
  <si>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</si>
  <si>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</si>
  <si>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</si>
  <si>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</si>
  <si>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</si>
  <si>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</si>
  <si>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</si>
  <si>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</si>
  <si>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</si>
  <si>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</si>
  <si>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</si>
  <si>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</si>
  <si>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</si>
  <si>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</si>
  <si>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</si>
  <si>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</si>
  <si>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</si>
  <si>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</si>
  <si>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</si>
  <si>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</si>
  <si>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</si>
  <si>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</si>
  <si>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</si>
  <si>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</si>
  <si>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</si>
  <si>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</si>
  <si>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</si>
  <si>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</si>
  <si>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</si>
  <si>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</si>
  <si>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</si>
  <si>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</si>
  <si>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</si>
  <si>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</si>
  <si>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</si>
  <si>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</si>
  <si>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</si>
  <si>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</si>
  <si>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</si>
  <si>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</si>
  <si>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</si>
  <si>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</si>
  <si>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</si>
  <si>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</si>
  <si>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</si>
  <si>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</si>
  <si>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</si>
  <si>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</si>
  <si>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</si>
  <si>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</si>
  <si>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</si>
  <si>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</si>
  <si>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</si>
  <si>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</si>
  <si>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</si>
  <si>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</si>
  <si>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</si>
  <si>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</si>
  <si>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</si>
  <si>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</si>
  <si>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</si>
  <si>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</si>
  <si>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</si>
  <si>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</si>
  <si>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</si>
  <si>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</si>
  <si>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</si>
  <si>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</si>
  <si>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</si>
  <si>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</si>
  <si>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</si>
  <si>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</si>
  <si>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</si>
  <si>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</si>
  <si>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</si>
  <si>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</si>
  <si>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</si>
  <si>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</si>
  <si>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</si>
  <si>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</si>
  <si>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</si>
  <si>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</si>
  <si>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</si>
  <si>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</si>
  <si>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</si>
  <si>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</si>
  <si>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</si>
  <si>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</si>
  <si>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</si>
  <si>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</si>
  <si>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</si>
  <si>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</si>
  <si>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</si>
  <si>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</si>
  <si>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</si>
  <si>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</si>
  <si>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</si>
  <si>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</si>
  <si>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</si>
  <si>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</si>
  <si>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</si>
  <si>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</si>
  <si>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</si>
  <si>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</si>
  <si>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</si>
  <si>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</si>
  <si>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</si>
  <si>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</si>
  <si>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</si>
  <si>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</si>
  <si>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</si>
  <si>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</si>
  <si>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</si>
  <si>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</si>
  <si>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</si>
  <si>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</si>
  <si>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</si>
  <si>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</si>
  <si>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</si>
  <si>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</si>
  <si>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</si>
  <si>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</si>
  <si>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</si>
  <si>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</si>
  <si>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</si>
  <si>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</si>
  <si>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</si>
  <si>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</si>
  <si>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</si>
  <si>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</si>
  <si>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</si>
  <si>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</si>
  <si>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</si>
  <si>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</si>
  <si>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</si>
  <si>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</si>
  <si>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</si>
  <si>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</si>
  <si>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</si>
  <si>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</si>
  <si>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</si>
  <si>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</si>
  <si>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</si>
  <si>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</si>
  <si>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</si>
  <si>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</si>
  <si>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</si>
  <si>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</si>
  <si>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</si>
  <si>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</si>
  <si>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</si>
  <si>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</si>
  <si>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</si>
  <si>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</si>
  <si>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</si>
  <si>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</si>
  <si>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</si>
  <si>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</si>
  <si>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</si>
  <si>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</si>
  <si>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</si>
  <si>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</si>
  <si>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</si>
  <si>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</si>
  <si>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</si>
  <si>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</si>
  <si>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</si>
  <si>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</si>
  <si>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</si>
  <si>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</si>
  <si>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</si>
  <si>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</si>
  <si>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</si>
  <si>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</si>
  <si>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</si>
  <si>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</si>
  <si>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</si>
  <si>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</si>
  <si>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</si>
  <si>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</si>
  <si>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</si>
  <si>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</si>
  <si>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</si>
  <si>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</si>
  <si>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</si>
  <si>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</si>
  <si>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</si>
  <si>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</si>
  <si>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</si>
  <si>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</si>
  <si>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</si>
  <si>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</si>
  <si>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</si>
  <si>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</si>
  <si>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</si>
  <si>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</si>
  <si>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</si>
  <si>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</si>
  <si>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</si>
  <si>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</si>
  <si>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</si>
  <si>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</si>
  <si>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</si>
  <si>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</si>
  <si>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</si>
  <si>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</si>
  <si>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</si>
  <si>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</si>
  <si>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</si>
  <si>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</si>
  <si>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</si>
  <si>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</si>
  <si>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</si>
  <si>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</si>
  <si>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</si>
  <si>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</si>
  <si>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</si>
  <si>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</si>
  <si>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</si>
  <si>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</si>
  <si>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</si>
  <si>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</si>
  <si>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</si>
  <si>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</si>
  <si>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</si>
  <si>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</si>
  <si>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</si>
  <si>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</si>
  <si>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</si>
  <si>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</si>
  <si>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</si>
  <si>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</si>
  <si>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</si>
  <si>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</si>
  <si>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</si>
  <si>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</si>
  <si>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</si>
  <si>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</si>
  <si>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</si>
  <si>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</si>
  <si>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</si>
  <si>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</si>
  <si>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</si>
  <si>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</si>
  <si>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</si>
  <si>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</si>
  <si>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</si>
  <si>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</si>
  <si>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</si>
  <si>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</si>
  <si>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</si>
  <si>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</si>
  <si>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</si>
  <si>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</si>
  <si>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</si>
  <si>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</si>
  <si>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</si>
  <si>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</si>
  <si>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</si>
  <si>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</si>
  <si>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</si>
  <si>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</si>
  <si>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</si>
  <si>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</si>
  <si>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</si>
  <si>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</si>
  <si>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</si>
  <si>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</si>
  <si>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</si>
  <si>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</si>
  <si>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</si>
  <si>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</si>
  <si>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</si>
  <si>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</si>
  <si>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</si>
  <si>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</si>
  <si>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</si>
  <si>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</si>
  <si>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</si>
  <si>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</si>
  <si>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</si>
  <si>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</si>
  <si>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</si>
  <si>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</si>
  <si>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</si>
  <si>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</si>
  <si>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</si>
  <si>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</si>
  <si>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</si>
  <si>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</si>
  <si>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</si>
  <si>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</si>
  <si>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</si>
  <si>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</si>
  <si>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</si>
  <si>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</si>
  <si>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</si>
  <si>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</si>
  <si>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</si>
  <si>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</si>
  <si>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</si>
  <si>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</si>
  <si>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</si>
  <si>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</si>
  <si>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</si>
  <si>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</si>
  <si>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</si>
  <si>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</si>
  <si>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</si>
  <si>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</si>
  <si>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</si>
  <si>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</si>
  <si>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</si>
  <si>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</si>
  <si>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</si>
  <si>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</si>
  <si>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</si>
  <si>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</si>
  <si>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</si>
  <si>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</si>
  <si>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</si>
  <si>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</si>
  <si>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</si>
  <si>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</si>
  <si>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</si>
  <si>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</si>
  <si>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</si>
  <si>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</si>
  <si>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</si>
  <si>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</si>
  <si>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</si>
  <si>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</si>
  <si>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</si>
  <si>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</si>
  <si>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</si>
  <si>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</si>
  <si>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</si>
  <si>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</si>
  <si>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</si>
  <si>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</si>
  <si>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</si>
  <si>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</si>
  <si>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</si>
  <si>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</si>
  <si>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</si>
  <si>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</si>
  <si>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</si>
  <si>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</si>
  <si>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</si>
  <si>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</si>
  <si>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</si>
  <si>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</si>
  <si>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</si>
  <si>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</si>
  <si>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</si>
  <si>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</si>
  <si>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</si>
  <si>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</si>
  <si>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</si>
  <si>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</si>
  <si>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</si>
  <si>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</si>
  <si>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</si>
  <si>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</si>
  <si>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</si>
  <si>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</si>
  <si>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</si>
  <si>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</si>
  <si>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</si>
  <si>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</si>
  <si>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</si>
  <si>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</si>
  <si>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</si>
  <si>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</si>
  <si>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</si>
  <si>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</si>
  <si>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</si>
  <si>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</si>
  <si>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</si>
  <si>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</si>
  <si>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</si>
  <si>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</si>
  <si>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</si>
  <si>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</si>
  <si>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</si>
  <si>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</si>
  <si>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</si>
  <si>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</si>
  <si>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</si>
  <si>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</si>
  <si>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</si>
  <si>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</si>
  <si>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</si>
  <si>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</si>
  <si>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</si>
  <si>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</si>
  <si>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</si>
  <si>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</si>
  <si>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</si>
  <si>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</si>
  <si>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</si>
  <si>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</si>
  <si>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</si>
  <si>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</si>
  <si>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</si>
  <si>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</si>
  <si>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</si>
  <si>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</si>
  <si>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</si>
  <si>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</si>
  <si>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</si>
  <si>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</si>
  <si>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</si>
  <si>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</si>
  <si>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</si>
  <si>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</si>
  <si>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</si>
  <si>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</si>
  <si>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</si>
  <si>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</si>
  <si>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</si>
  <si>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</si>
  <si>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</si>
  <si>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</si>
  <si>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</si>
  <si>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</si>
  <si>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</si>
  <si>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</si>
  <si>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</si>
  <si>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</si>
  <si>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</si>
  <si>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</si>
  <si>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</si>
  <si>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</si>
  <si>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</si>
  <si>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</si>
  <si>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</si>
  <si>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</si>
  <si>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</si>
  <si>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</si>
  <si>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</si>
  <si>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</si>
  <si>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</si>
  <si>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</si>
  <si>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</si>
  <si>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</si>
  <si>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</si>
  <si>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</si>
  <si>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</si>
  <si>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</si>
  <si>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</si>
  <si>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</si>
  <si>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</si>
  <si>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</si>
  <si>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</si>
  <si>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</si>
  <si>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</si>
  <si>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</si>
  <si>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</si>
  <si>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</si>
  <si>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</si>
  <si>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</si>
  <si>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</si>
  <si>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</si>
  <si>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</si>
  <si>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</si>
  <si>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</si>
  <si>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</si>
  <si>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</si>
  <si>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</si>
  <si>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</si>
  <si>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</si>
  <si>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</si>
  <si>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</si>
  <si>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</si>
  <si>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</si>
  <si>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</si>
  <si>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</si>
  <si>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</si>
  <si>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</si>
  <si>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</si>
  <si>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</si>
  <si>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</si>
  <si>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</si>
  <si>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</si>
  <si>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</si>
  <si>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</si>
  <si>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</si>
  <si>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</si>
  <si>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</si>
  <si>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</si>
  <si>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</si>
  <si>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</si>
  <si>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</si>
  <si>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</si>
  <si>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</si>
  <si>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</si>
  <si>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</si>
  <si>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</si>
  <si>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</si>
  <si>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</si>
  <si>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</si>
  <si>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</si>
  <si>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</si>
  <si>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</si>
  <si>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</si>
  <si>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</si>
  <si>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</si>
  <si>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</si>
  <si>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</si>
  <si>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</si>
  <si>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</si>
  <si>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</si>
  <si>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</si>
  <si>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</si>
  <si>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</si>
  <si>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</si>
  <si>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</si>
  <si>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</si>
  <si>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</si>
  <si>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</si>
  <si>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</si>
  <si>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</si>
  <si>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</si>
  <si>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</si>
  <si>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</si>
  <si>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</si>
  <si>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</si>
  <si>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</si>
  <si>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</si>
  <si>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</si>
  <si>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</si>
  <si>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</si>
  <si>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</si>
  <si>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</si>
  <si>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</si>
  <si>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</si>
  <si>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</si>
  <si>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</si>
  <si>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</si>
  <si>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</si>
  <si>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</si>
  <si>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</si>
  <si>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</si>
  <si>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</si>
  <si>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</si>
  <si>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</si>
  <si>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</si>
  <si>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</si>
  <si>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</si>
  <si>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</si>
  <si>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</si>
  <si>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</si>
  <si>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</si>
  <si>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</si>
  <si>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</si>
  <si>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</si>
  <si>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</si>
  <si>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</si>
  <si>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</si>
  <si>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</si>
  <si>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</si>
  <si>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</si>
  <si>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</si>
  <si>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</si>
  <si>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</si>
  <si>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</si>
  <si>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</si>
  <si>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</si>
  <si>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</si>
  <si>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</si>
  <si>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</si>
  <si>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</si>
  <si>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</si>
  <si>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</si>
  <si>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</si>
  <si>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</si>
  <si>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</si>
  <si>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</si>
  <si>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</si>
  <si>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</si>
  <si>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</si>
  <si>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</si>
  <si>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</si>
  <si>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</si>
  <si>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</si>
  <si>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</si>
  <si>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</si>
  <si>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</si>
  <si>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</si>
  <si>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</si>
  <si>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</si>
  <si>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</si>
  <si>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</si>
  <si>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</si>
  <si>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</si>
  <si>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</si>
  <si>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</si>
  <si>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</si>
  <si>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</si>
  <si>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</si>
  <si>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</si>
  <si>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</si>
  <si>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</si>
  <si>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</si>
  <si>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</si>
  <si>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</si>
  <si>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</si>
  <si>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</si>
  <si>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</si>
  <si>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</si>
  <si>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</si>
  <si>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</si>
  <si>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</si>
  <si>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</si>
  <si>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</si>
  <si>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</si>
  <si>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</si>
  <si>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</si>
  <si>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</si>
  <si>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</si>
  <si>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</si>
  <si>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</si>
  <si>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</si>
  <si>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</si>
  <si>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</si>
  <si>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</si>
  <si>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</si>
  <si>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</si>
  <si>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</si>
  <si>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</si>
  <si>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</si>
  <si>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</si>
  <si>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</si>
  <si>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</si>
  <si>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</si>
  <si>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</si>
  <si>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</si>
  <si>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</si>
  <si>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</si>
  <si>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</si>
  <si>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</si>
  <si>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</si>
  <si>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</si>
  <si>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</si>
  <si>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</si>
  <si>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</si>
  <si>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</si>
  <si>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</si>
  <si>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</si>
  <si>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</si>
  <si>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</si>
  <si>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</si>
  <si>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</si>
  <si>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</si>
  <si>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</si>
  <si>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</si>
  <si>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</si>
  <si>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</si>
  <si>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</si>
  <si>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</si>
  <si>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</si>
  <si>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</si>
  <si>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</si>
  <si>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</si>
  <si>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</si>
  <si>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</si>
  <si>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</si>
  <si>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</si>
  <si>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</si>
  <si>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</si>
  <si>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</si>
  <si>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</si>
  <si>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</si>
  <si>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</si>
  <si>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</si>
  <si>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</si>
  <si>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</si>
  <si>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</si>
  <si>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</si>
  <si>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</si>
  <si>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</si>
  <si>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</si>
  <si>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</si>
  <si>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</si>
  <si>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</si>
  <si>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</si>
  <si>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</si>
  <si>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</si>
  <si>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</si>
  <si>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</si>
  <si>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</si>
  <si>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</si>
  <si>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</si>
  <si>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</si>
  <si>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</si>
  <si>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</si>
  <si>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</si>
  <si>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</si>
  <si>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</si>
  <si>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</si>
  <si>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</si>
  <si>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</si>
  <si>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</si>
  <si>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</si>
  <si>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</si>
  <si>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</si>
  <si>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</si>
  <si>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</si>
  <si>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</si>
  <si>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</si>
  <si>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</si>
  <si>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</si>
  <si>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</si>
  <si>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</si>
  <si>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</si>
  <si>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</si>
  <si>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</si>
  <si>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</si>
  <si>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</si>
  <si>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</si>
  <si>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</si>
  <si>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</si>
  <si>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</si>
  <si>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</si>
  <si>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</si>
  <si>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</si>
  <si>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</si>
  <si>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</si>
  <si>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</si>
  <si>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</si>
  <si>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</si>
  <si>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</si>
  <si>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</si>
  <si>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</si>
  <si>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</si>
  <si>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</si>
  <si>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</si>
  <si>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</si>
  <si>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</si>
  <si>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</si>
  <si>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</si>
  <si>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</si>
  <si>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</si>
  <si>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</si>
  <si>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</si>
  <si>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</si>
  <si>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</si>
  <si>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</si>
  <si>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</si>
  <si>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</si>
  <si>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</si>
  <si>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</si>
  <si>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</si>
  <si>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</si>
  <si>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</si>
  <si>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</si>
  <si>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</si>
  <si>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</si>
  <si>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</si>
  <si>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</si>
  <si>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</si>
  <si>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</si>
  <si>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</si>
  <si>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</si>
  <si>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</si>
  <si>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</si>
  <si>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</si>
  <si>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</si>
  <si>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</si>
  <si>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</si>
  <si>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</si>
  <si>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</si>
  <si>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</si>
  <si>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</si>
  <si>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</si>
  <si>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</si>
  <si>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</si>
  <si>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</si>
  <si>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</si>
  <si>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</si>
  <si>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</si>
  <si>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</si>
  <si>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</si>
  <si>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</si>
  <si>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</si>
  <si>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</si>
  <si>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</si>
  <si>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</si>
  <si>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</si>
  <si>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</si>
  <si>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</si>
  <si>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</si>
  <si>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</si>
  <si>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</si>
  <si>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</si>
  <si>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</si>
  <si>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</si>
  <si>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</si>
  <si>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</si>
  <si>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</si>
  <si>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</si>
  <si>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</si>
  <si>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</si>
  <si>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</si>
  <si>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</si>
  <si>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</si>
  <si>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</si>
  <si>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</si>
  <si>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</si>
  <si>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</si>
  <si>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</si>
  <si>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</si>
  <si>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</si>
  <si>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</si>
  <si>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</si>
  <si>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</si>
  <si>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</si>
  <si>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</si>
  <si>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</si>
  <si>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</si>
  <si>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</si>
  <si>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</si>
  <si>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</si>
  <si>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</si>
  <si>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</si>
  <si>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</si>
  <si>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</si>
  <si>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</si>
  <si>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</si>
  <si>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</si>
  <si>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</si>
  <si>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</si>
  <si>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</si>
  <si>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</si>
  <si>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</si>
  <si>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</si>
  <si>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</si>
  <si>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</si>
  <si>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</si>
  <si>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</si>
  <si>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</si>
  <si>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</si>
  <si>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</si>
  <si>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</si>
  <si>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</si>
  <si>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</si>
  <si>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</si>
  <si>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</si>
  <si>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</si>
  <si>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</si>
  <si>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</si>
  <si>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</si>
  <si>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</si>
  <si>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</si>
  <si>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</si>
  <si>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</si>
  <si>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</si>
  <si>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</si>
  <si>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</si>
  <si>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</si>
  <si>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</si>
  <si>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</si>
  <si>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</si>
  <si>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</si>
  <si>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</si>
  <si>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</si>
  <si>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</si>
  <si>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</si>
  <si>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</si>
  <si>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</si>
  <si>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</si>
  <si>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</si>
  <si>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</si>
  <si>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</si>
  <si>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</si>
  <si>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</si>
  <si>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</si>
  <si>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</si>
  <si>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</si>
  <si>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</si>
  <si>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</si>
  <si>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</si>
  <si>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</si>
  <si>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</si>
  <si>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</si>
  <si>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</si>
  <si>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</si>
  <si>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</si>
  <si>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</si>
  <si>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</si>
  <si>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</si>
  <si>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</si>
  <si>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</si>
  <si>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</si>
  <si>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</si>
  <si>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</si>
  <si>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</si>
  <si>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</si>
  <si>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</si>
  <si>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</si>
  <si>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</si>
  <si>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</si>
  <si>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</si>
  <si>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</si>
  <si>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</si>
  <si>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</si>
  <si>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</si>
  <si>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</si>
  <si>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</si>
  <si>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</si>
  <si>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</si>
  <si>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</si>
  <si>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</si>
  <si>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</si>
  <si>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</si>
  <si>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</si>
  <si>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</si>
  <si>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</si>
  <si>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</si>
  <si>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</si>
  <si>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</si>
  <si>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</si>
  <si>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</si>
  <si>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</si>
  <si>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</si>
  <si>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</si>
  <si>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</si>
  <si>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</si>
  <si>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</si>
  <si>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</si>
  <si>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</si>
  <si>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</si>
  <si>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</si>
  <si>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</si>
  <si>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</si>
  <si>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</si>
  <si>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</si>
  <si>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</si>
  <si>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</si>
  <si>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</si>
  <si>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</si>
  <si>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</si>
  <si>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</si>
  <si>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</si>
  <si>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</si>
  <si>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</si>
  <si>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</si>
  <si>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</si>
  <si>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</si>
  <si>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</si>
  <si>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</si>
  <si>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</si>
  <si>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</si>
  <si>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</si>
  <si>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</si>
  <si>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</si>
  <si>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</si>
  <si>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</si>
  <si>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</si>
  <si>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</si>
  <si>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</si>
  <si>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</si>
  <si>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</si>
  <si>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</si>
  <si>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</si>
  <si>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</si>
  <si>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</si>
  <si>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</si>
  <si>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</si>
  <si>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</si>
  <si>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</si>
  <si>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</si>
  <si>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</si>
  <si>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</si>
  <si>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</si>
  <si>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</si>
  <si>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</si>
  <si>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</si>
  <si>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</si>
  <si>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</si>
  <si>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</si>
  <si>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</si>
  <si>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</si>
  <si>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</si>
  <si>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</si>
  <si>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</si>
  <si>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</si>
  <si>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</si>
  <si>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</si>
  <si>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</si>
  <si>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</si>
  <si>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</si>
  <si>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</si>
  <si>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</si>
  <si>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</si>
  <si>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</si>
  <si>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</si>
  <si>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</si>
  <si>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</si>
  <si>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</si>
  <si>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</si>
  <si>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</si>
  <si>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</si>
  <si>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</si>
  <si>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</si>
  <si>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</si>
  <si>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</si>
  <si>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</si>
  <si>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</si>
  <si>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</si>
  <si>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</si>
  <si>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</si>
  <si>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</si>
  <si>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</si>
  <si>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</si>
  <si>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</si>
  <si>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</si>
  <si>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</si>
  <si>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</si>
  <si>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</si>
  <si>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</si>
  <si>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</si>
  <si>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</si>
  <si>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</si>
  <si>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</si>
  <si>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</si>
  <si>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</si>
  <si>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</si>
  <si>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</si>
  <si>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</si>
  <si>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</si>
  <si>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</si>
  <si>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</si>
  <si>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</si>
  <si>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</si>
  <si>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</si>
  <si>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</si>
  <si>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</si>
  <si>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</si>
  <si>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</si>
  <si>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</si>
  <si>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</si>
  <si>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</si>
  <si>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</si>
  <si>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</si>
  <si>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</si>
  <si>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</si>
  <si>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</si>
  <si>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</si>
  <si>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</si>
  <si>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</si>
  <si>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</si>
  <si>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</si>
  <si>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</si>
  <si>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</si>
  <si>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</si>
  <si>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</si>
  <si>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</si>
  <si>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</si>
  <si>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</si>
  <si>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</si>
  <si>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</si>
  <si>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</si>
  <si>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</si>
  <si>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</si>
  <si>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</si>
  <si>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</si>
  <si>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</si>
  <si>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</si>
  <si>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</si>
  <si>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</si>
  <si>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</si>
  <si>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</si>
  <si>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</si>
  <si>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</si>
  <si>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</si>
  <si>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</si>
  <si>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</si>
  <si>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</si>
  <si>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</si>
  <si>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</si>
  <si>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</si>
  <si>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</si>
  <si>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</si>
  <si>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</si>
  <si>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</si>
  <si>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</si>
  <si>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</si>
  <si>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</si>
  <si>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</si>
  <si>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</si>
  <si>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</si>
  <si>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</si>
  <si>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</si>
  <si>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</si>
  <si>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</si>
  <si>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</si>
  <si>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</si>
  <si>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</si>
  <si>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</si>
  <si>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</si>
  <si>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</si>
  <si>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</si>
  <si>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</si>
  <si>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</si>
  <si>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</si>
  <si>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</si>
  <si>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</si>
  <si>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</si>
  <si>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</si>
  <si>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</si>
  <si>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</si>
  <si>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</si>
  <si>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</si>
  <si>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</si>
  <si>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</si>
  <si>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</si>
  <si>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</si>
  <si>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</si>
  <si>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</si>
  <si>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</si>
  <si>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</si>
  <si>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</si>
  <si>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</si>
  <si>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</si>
  <si>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</si>
  <si>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</si>
  <si>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</si>
  <si>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</si>
  <si>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</si>
  <si>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</si>
  <si>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</si>
  <si>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</si>
  <si>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</si>
  <si>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</si>
  <si>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</si>
  <si>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</si>
  <si>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</si>
  <si>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</si>
  <si>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</si>
  <si>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</si>
  <si>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</si>
  <si>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</si>
  <si>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</si>
  <si>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</si>
  <si>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</si>
  <si>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</si>
  <si>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</si>
  <si>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</si>
  <si>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</si>
  <si>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</si>
  <si>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</si>
  <si>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</si>
  <si>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</si>
  <si>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</si>
  <si>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</si>
  <si>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</si>
  <si>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</si>
  <si>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</si>
  <si>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</si>
  <si>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</si>
  <si>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</si>
  <si>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</si>
  <si>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</si>
  <si>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</si>
  <si>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</si>
  <si>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</si>
  <si>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</si>
  <si>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</si>
  <si>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</si>
  <si>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</si>
  <si>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</si>
  <si>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</si>
  <si>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</si>
  <si>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</si>
  <si>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</si>
  <si>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</si>
  <si>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</si>
  <si>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</si>
  <si>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</si>
  <si>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</si>
  <si>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</si>
  <si>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</si>
  <si>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</si>
  <si>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</si>
  <si>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</si>
  <si>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</si>
  <si>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</si>
  <si>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</si>
  <si>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</si>
  <si>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</si>
  <si>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</si>
  <si>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</si>
  <si>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</si>
  <si>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</si>
  <si>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</si>
  <si>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</si>
  <si>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</si>
  <si>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</si>
  <si>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</si>
  <si>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</si>
  <si>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</si>
  <si>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</si>
  <si>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</si>
  <si>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</si>
  <si>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</si>
  <si>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</si>
  <si>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</si>
  <si>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</si>
  <si>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</si>
  <si>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</si>
  <si>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</si>
  <si>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</si>
  <si>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</si>
  <si>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</si>
  <si>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</si>
  <si>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</si>
  <si>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</si>
  <si>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</si>
  <si>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</si>
  <si>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</si>
  <si>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</si>
  <si>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</si>
  <si>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</si>
  <si>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</si>
  <si>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</si>
  <si>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</si>
  <si>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</si>
  <si>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</si>
  <si>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</si>
  <si>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</si>
  <si>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</si>
  <si>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</si>
  <si>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</si>
  <si>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</si>
  <si>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</si>
  <si>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</si>
  <si>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</si>
  <si>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</si>
  <si>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</si>
  <si>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</si>
  <si>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</si>
  <si>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</si>
  <si>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</si>
  <si>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</si>
  <si>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</si>
  <si>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</si>
  <si>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</si>
  <si>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</si>
  <si>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</si>
  <si>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</si>
  <si>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</si>
  <si>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</si>
  <si>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</si>
  <si>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</si>
  <si>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</si>
  <si>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</si>
  <si>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</si>
  <si>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</si>
  <si>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</si>
  <si>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</si>
  <si>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</si>
  <si>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</si>
  <si>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</si>
  <si>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</si>
  <si>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</si>
  <si>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</si>
  <si>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</si>
  <si>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</si>
  <si>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</si>
  <si>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</si>
  <si>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</si>
  <si>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</si>
  <si>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</si>
  <si>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</si>
  <si>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</si>
  <si>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</si>
  <si>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</si>
  <si>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</si>
  <si>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</si>
  <si>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</si>
  <si>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</si>
  <si>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</si>
  <si>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</si>
  <si>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</si>
  <si>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</si>
  <si>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</si>
  <si>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</si>
  <si>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</si>
  <si>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</si>
  <si>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</si>
  <si>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</si>
  <si>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</si>
  <si>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</si>
  <si>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</si>
  <si>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</si>
  <si>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</si>
  <si>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</si>
  <si>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</si>
  <si>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</si>
  <si>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</si>
  <si>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</si>
  <si>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</si>
  <si>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</si>
  <si>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</si>
  <si>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</si>
  <si>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</si>
  <si>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</si>
  <si>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</si>
  <si>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</si>
  <si>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</si>
  <si>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</si>
  <si>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</si>
  <si>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</si>
  <si>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</si>
  <si>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</si>
  <si>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</si>
  <si>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</si>
  <si>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</si>
  <si>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</si>
  <si>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</si>
  <si>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</si>
  <si>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</si>
  <si>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</si>
  <si>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</si>
  <si>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</si>
  <si>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</si>
  <si>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</si>
  <si>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</si>
  <si>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</si>
  <si>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</si>
  <si>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</si>
  <si>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</si>
  <si>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</si>
  <si>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</si>
  <si>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</si>
  <si>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</si>
  <si>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</si>
  <si>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</si>
  <si>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</si>
  <si>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</si>
  <si>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</si>
  <si>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</si>
  <si>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</si>
  <si>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</si>
  <si>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</si>
  <si>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</si>
  <si>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</si>
  <si>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</si>
  <si>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Versions</t>
  </si>
  <si>
    <t xml:space="preserve">Edited some angle macros - </t>
  </si>
  <si>
    <t>Start</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</si>
</sst>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4">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2" xfId="0" applyFill="1" applyBorder="1" applyAlignment="1" applyProtection="1">
      <alignment horizontal="center"/>
    </xf>
    <xf numFmtId="0" fontId="0" fillId="4" borderId="51"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0" fillId="4" borderId="53" xfId="0"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7">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56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Baseline'!$B$2:$B$600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Baseline'!$C$2:$C$600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Baseline'!$E$2:$E$600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Baseline'!$F$2:$F$600</c:f>
              <c:numCache>
                <c:formatCode>General</c:formatCode>
                <c:ptCount val="599"/>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Baseline'!$G$2:$G$600</c:f>
              <c:numCache>
                <c:formatCode>General</c:formatCode>
                <c:ptCount val="599"/>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Baseline'!$AB$2:$AB$600</c:f>
              <c:numCache>
                <c:formatCode>General</c:formatCode>
                <c:ptCount val="599"/>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Baseline'!$AC$2:$AC$600</c:f>
              <c:numCache>
                <c:formatCode>General</c:formatCode>
                <c:ptCount val="599"/>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Baseline'!$AD$2:$AD$600</c:f>
              <c:numCache>
                <c:formatCode>General</c:formatCode>
                <c:ptCount val="599"/>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Baseline'!$AE$2:$AE$600</c:f>
              <c:numCache>
                <c:formatCode>General</c:formatCode>
                <c:ptCount val="599"/>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10</c:v>
                </c:pt>
                <c:pt idx="3">
                  <c:v>10</c:v>
                </c:pt>
                <c:pt idx="4">
                  <c:v>20</c:v>
                </c:pt>
                <c:pt idx="5">
                  <c:v>20</c:v>
                </c:pt>
                <c:pt idx="6">
                  <c:v>30</c:v>
                </c:pt>
                <c:pt idx="7">
                  <c:v>30</c:v>
                </c:pt>
                <c:pt idx="8">
                  <c:v>40</c:v>
                </c:pt>
                <c:pt idx="9">
                  <c:v>40</c:v>
                </c:pt>
              </c:numCache>
            </c:numRef>
          </c:xVal>
          <c:yVal>
            <c:numRef>
              <c:f>'Chart Data Baseline'!$CG$2:$CG$100</c:f>
              <c:numCache>
                <c:formatCode>General</c:formatCode>
                <c:ptCount val="99"/>
                <c:pt idx="0">
                  <c:v>1</c:v>
                </c:pt>
                <c:pt idx="1">
                  <c:v>5</c:v>
                </c:pt>
                <c:pt idx="2">
                  <c:v>1</c:v>
                </c:pt>
                <c:pt idx="3">
                  <c:v>5</c:v>
                </c:pt>
                <c:pt idx="4">
                  <c:v>1</c:v>
                </c:pt>
                <c:pt idx="5">
                  <c:v>5</c:v>
                </c:pt>
                <c:pt idx="6">
                  <c:v>1</c:v>
                </c:pt>
                <c:pt idx="7">
                  <c:v>5</c:v>
                </c:pt>
                <c:pt idx="8">
                  <c:v>1</c:v>
                </c:pt>
                <c:pt idx="9">
                  <c:v>5</c:v>
                </c:pt>
              </c:numCache>
            </c:numRef>
          </c:yVal>
          <c:smooth val="0"/>
        </c:ser>
        <c:dLbls>
          <c:showLegendKey val="0"/>
          <c:showVal val="0"/>
          <c:showCatName val="0"/>
          <c:showSerName val="0"/>
          <c:showPercent val="0"/>
          <c:showBubbleSize val="0"/>
        </c:dLbls>
        <c:axId val="422291728"/>
        <c:axId val="422295648"/>
      </c:scatterChart>
      <c:valAx>
        <c:axId val="422291728"/>
        <c:scaling>
          <c:orientation val="minMax"/>
          <c:max val="40.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22295648"/>
        <c:crosses val="autoZero"/>
        <c:crossBetween val="midCat"/>
      </c:valAx>
      <c:valAx>
        <c:axId val="422295648"/>
        <c:scaling>
          <c:orientation val="minMax"/>
          <c:max val="8"/>
          <c:min val="-2"/>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2229172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21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9E-2"/>
          <c:y val="0.17172973881489734"/>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37076768"/>
        <c:axId val="437078336"/>
      </c:scatterChart>
      <c:valAx>
        <c:axId val="437076768"/>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37078336"/>
        <c:crosses val="autoZero"/>
        <c:crossBetween val="midCat"/>
      </c:valAx>
      <c:valAx>
        <c:axId val="437078336"/>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3707676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cat>
            <c:strRef>
              <c:f>Luminance!$C$4:$C$13</c:f>
              <c:strCache>
                <c:ptCount val="2"/>
                <c:pt idx="0">
                  <c:v>ATB0_20B_LED_E53_XXXXX_R2.ies</c:v>
                </c:pt>
                <c:pt idx="1">
                  <c:v>ATB0_20B_LED_E53_XXXXX_R2.ies</c:v>
                </c:pt>
              </c:strCache>
            </c:strRef>
          </c:cat>
          <c:val>
            <c:numRef>
              <c:f>Luminance!$K$4:$K$13</c:f>
              <c:numCache>
                <c:formatCode>0.00</c:formatCode>
                <c:ptCount val="10"/>
                <c:pt idx="0">
                  <c:v>0</c:v>
                </c:pt>
                <c:pt idx="1">
                  <c:v>0</c:v>
                </c:pt>
              </c:numCache>
            </c:numRef>
          </c:val>
        </c:ser>
        <c:dLbls>
          <c:showLegendKey val="0"/>
          <c:showVal val="0"/>
          <c:showCatName val="0"/>
          <c:showSerName val="0"/>
          <c:showPercent val="0"/>
          <c:showBubbleSize val="0"/>
        </c:dLbls>
        <c:gapWidth val="73"/>
        <c:axId val="437695224"/>
        <c:axId val="437696792"/>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ATB0_20B_LED_E53_XXXXX_R2.ies</c:v>
                </c:pt>
                <c:pt idx="1">
                  <c:v>ATB0_20B_LED_E53_XXXXX_R2.ies</c:v>
                </c:pt>
              </c:strCache>
            </c:strRef>
          </c:cat>
          <c:val>
            <c:numRef>
              <c:f>Luminance!$F$4:$F$13</c:f>
              <c:numCache>
                <c:formatCode>0.00</c:formatCode>
                <c:ptCount val="10"/>
                <c:pt idx="0">
                  <c:v>0.52308420232523101</c:v>
                </c:pt>
                <c:pt idx="1">
                  <c:v>0.52308420232523101</c:v>
                </c:pt>
              </c:numCache>
            </c:numRef>
          </c:val>
        </c:ser>
        <c:dLbls>
          <c:showLegendKey val="0"/>
          <c:showVal val="0"/>
          <c:showCatName val="0"/>
          <c:showSerName val="0"/>
          <c:showPercent val="0"/>
          <c:showBubbleSize val="0"/>
        </c:dLbls>
        <c:gapWidth val="211"/>
        <c:axId val="437700712"/>
        <c:axId val="437696008"/>
      </c:barChart>
      <c:catAx>
        <c:axId val="43769522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37696792"/>
        <c:crosses val="autoZero"/>
        <c:auto val="1"/>
        <c:lblAlgn val="ctr"/>
        <c:lblOffset val="100"/>
        <c:noMultiLvlLbl val="0"/>
      </c:catAx>
      <c:valAx>
        <c:axId val="43769679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695224"/>
        <c:crosses val="autoZero"/>
        <c:crossBetween val="between"/>
      </c:valAx>
      <c:catAx>
        <c:axId val="437700712"/>
        <c:scaling>
          <c:orientation val="minMax"/>
        </c:scaling>
        <c:delete val="1"/>
        <c:axPos val="b"/>
        <c:numFmt formatCode="General" sourceLinked="1"/>
        <c:majorTickMark val="out"/>
        <c:minorTickMark val="none"/>
        <c:tickLblPos val="none"/>
        <c:crossAx val="437696008"/>
        <c:crosses val="autoZero"/>
        <c:auto val="1"/>
        <c:lblAlgn val="ctr"/>
        <c:lblOffset val="100"/>
        <c:noMultiLvlLbl val="0"/>
      </c:catAx>
      <c:valAx>
        <c:axId val="437696008"/>
        <c:scaling>
          <c:orientation val="minMax"/>
        </c:scaling>
        <c:delete val="1"/>
        <c:axPos val="r"/>
        <c:numFmt formatCode="0.00" sourceLinked="1"/>
        <c:majorTickMark val="out"/>
        <c:minorTickMark val="none"/>
        <c:tickLblPos val="none"/>
        <c:crossAx val="437700712"/>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5"/>
          <c:y val="0.19312702903817219"/>
          <c:w val="0.84416595375688908"/>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mooth val="0"/>
        </c:ser>
        <c:ser>
          <c:idx val="0"/>
          <c:order val="1"/>
          <c:tx>
            <c:strRef>
              <c:f>'Net Present Value'!$C$5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37692480"/>
        <c:axId val="437692872"/>
      </c:lineChart>
      <c:catAx>
        <c:axId val="4376924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692872"/>
        <c:crosses val="autoZero"/>
        <c:auto val="1"/>
        <c:lblAlgn val="ctr"/>
        <c:lblOffset val="100"/>
        <c:noMultiLvlLbl val="0"/>
      </c:catAx>
      <c:valAx>
        <c:axId val="43769287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69248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4.9699814242012375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4.9699814242012375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37690520"/>
        <c:axId val="437690912"/>
      </c:scatterChart>
      <c:valAx>
        <c:axId val="43769052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690912"/>
        <c:crosses val="autoZero"/>
        <c:crossBetween val="midCat"/>
      </c:valAx>
      <c:valAx>
        <c:axId val="43769091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69052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918"/>
          <c:h val="0.49912109944590266"/>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0.52308420232523101</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0.52308420232523101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37706200"/>
        <c:axId val="437703064"/>
      </c:scatterChart>
      <c:valAx>
        <c:axId val="43770620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703064"/>
        <c:crosses val="autoZero"/>
        <c:crossBetween val="midCat"/>
      </c:valAx>
      <c:valAx>
        <c:axId val="43770306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70620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ATB0_20B_LED_E53_XXXXX_R2.ies</c:v>
                </c:pt>
                <c:pt idx="1">
                  <c:v>ATB0_20B_LED_E53_XXXXX_R2.ies</c:v>
                </c:pt>
              </c:strCache>
            </c:strRef>
          </c:cat>
          <c:val>
            <c:numRef>
              <c:f>Illuminance!$I$4:$I$13</c:f>
              <c:numCache>
                <c:formatCode>0.00</c:formatCode>
                <c:ptCount val="10"/>
                <c:pt idx="0">
                  <c:v>1.336910427188915</c:v>
                </c:pt>
                <c:pt idx="1">
                  <c:v>1.336910427188915</c:v>
                </c:pt>
              </c:numCache>
            </c:numRef>
          </c:val>
        </c:ser>
        <c:dLbls>
          <c:showLegendKey val="0"/>
          <c:showVal val="0"/>
          <c:showCatName val="0"/>
          <c:showSerName val="0"/>
          <c:showPercent val="0"/>
          <c:showBubbleSize val="0"/>
        </c:dLbls>
        <c:gapWidth val="150"/>
        <c:axId val="437703848"/>
        <c:axId val="422296824"/>
      </c:barChart>
      <c:catAx>
        <c:axId val="43770384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22296824"/>
        <c:crosses val="autoZero"/>
        <c:auto val="1"/>
        <c:lblAlgn val="ctr"/>
        <c:lblOffset val="100"/>
        <c:noMultiLvlLbl val="0"/>
      </c:catAx>
      <c:valAx>
        <c:axId val="42229682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770384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5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ATB0_20B_LED_E53_XXXXX_R2.ies</c:v>
                </c:pt>
                <c:pt idx="1">
                  <c:v>ATB0_20B_LED_E53_XXXXX_R2.ies</c:v>
                </c:pt>
              </c:strCache>
            </c:strRef>
          </c:cat>
          <c:val>
            <c:numRef>
              <c:f>Luminance!$I$4:$I$13</c:f>
              <c:numCache>
                <c:formatCode>0.00</c:formatCode>
                <c:ptCount val="10"/>
                <c:pt idx="0">
                  <c:v>1.3378648097143417</c:v>
                </c:pt>
                <c:pt idx="1">
                  <c:v>1.3378648097143417</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ATB0_20B_LED_E53_XXXXX_R2.ies</c:v>
                </c:pt>
                <c:pt idx="1">
                  <c:v>ATB0_20B_LED_E53_XXXXX_R2.ies</c:v>
                </c:pt>
              </c:strCache>
            </c:strRef>
          </c:cat>
          <c:val>
            <c:numRef>
              <c:f>Luminance!$J$4:$J$13</c:f>
              <c:numCache>
                <c:formatCode>0.00</c:formatCode>
                <c:ptCount val="10"/>
                <c:pt idx="0">
                  <c:v>1.6672392631931603</c:v>
                </c:pt>
                <c:pt idx="1">
                  <c:v>1.6672392631931603</c:v>
                </c:pt>
              </c:numCache>
            </c:numRef>
          </c:val>
        </c:ser>
        <c:dLbls>
          <c:showLegendKey val="0"/>
          <c:showVal val="0"/>
          <c:showCatName val="0"/>
          <c:showSerName val="0"/>
          <c:showPercent val="0"/>
          <c:showBubbleSize val="0"/>
        </c:dLbls>
        <c:gapWidth val="150"/>
        <c:axId val="519218360"/>
        <c:axId val="519227376"/>
      </c:barChart>
      <c:catAx>
        <c:axId val="5192183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9227376"/>
        <c:crosses val="autoZero"/>
        <c:auto val="1"/>
        <c:lblAlgn val="ctr"/>
        <c:lblOffset val="100"/>
        <c:noMultiLvlLbl val="0"/>
      </c:catAx>
      <c:valAx>
        <c:axId val="51922737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21836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6"/>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8"/>
          <c:y val="0.21898285615061475"/>
          <c:w val="0.80359740746692387"/>
          <c:h val="0.3880094218991858"/>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cat>
            <c:strRef>
              <c:f>Illuminance!$C$4:$C$13</c:f>
              <c:strCache>
                <c:ptCount val="2"/>
                <c:pt idx="0">
                  <c:v>ATB0_20B_LED_E53_XXXXX_R2.ies</c:v>
                </c:pt>
                <c:pt idx="1">
                  <c:v>ATB0_20B_LED_E53_XXXXX_R2.ies</c:v>
                </c:pt>
              </c:strCache>
            </c:strRef>
          </c:cat>
          <c:val>
            <c:numRef>
              <c:f>Illuminance!$J$4:$J$13</c:f>
              <c:numCache>
                <c:formatCode>0.00</c:formatCode>
                <c:ptCount val="10"/>
                <c:pt idx="0">
                  <c:v>0</c:v>
                </c:pt>
                <c:pt idx="1">
                  <c:v>0</c:v>
                </c:pt>
              </c:numCache>
            </c:numRef>
          </c:val>
        </c:ser>
        <c:dLbls>
          <c:showLegendKey val="0"/>
          <c:showVal val="0"/>
          <c:showCatName val="0"/>
          <c:showSerName val="0"/>
          <c:showPercent val="0"/>
          <c:showBubbleSize val="0"/>
        </c:dLbls>
        <c:gapWidth val="73"/>
        <c:axId val="519223064"/>
        <c:axId val="519223456"/>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ATB0_20B_LED_E53_XXXXX_R2.ies</c:v>
                </c:pt>
                <c:pt idx="1">
                  <c:v>ATB0_20B_LED_E53_XXXXX_R2.ies</c:v>
                </c:pt>
              </c:strCache>
            </c:strRef>
          </c:cat>
          <c:val>
            <c:numRef>
              <c:f>Illuminance!$F$4:$F$13</c:f>
              <c:numCache>
                <c:formatCode>0.00</c:formatCode>
                <c:ptCount val="10"/>
                <c:pt idx="0">
                  <c:v>4.9699814242012375</c:v>
                </c:pt>
                <c:pt idx="1">
                  <c:v>4.9699814242012375</c:v>
                </c:pt>
              </c:numCache>
            </c:numRef>
          </c:val>
        </c:ser>
        <c:dLbls>
          <c:showLegendKey val="0"/>
          <c:showVal val="0"/>
          <c:showCatName val="0"/>
          <c:showSerName val="0"/>
          <c:showPercent val="0"/>
          <c:showBubbleSize val="0"/>
        </c:dLbls>
        <c:gapWidth val="208"/>
        <c:axId val="519228160"/>
        <c:axId val="519226984"/>
      </c:barChart>
      <c:catAx>
        <c:axId val="519223064"/>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19223456"/>
        <c:crosses val="autoZero"/>
        <c:auto val="0"/>
        <c:lblAlgn val="ctr"/>
        <c:lblOffset val="100"/>
        <c:noMultiLvlLbl val="0"/>
      </c:catAx>
      <c:valAx>
        <c:axId val="519223456"/>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223064"/>
        <c:crosses val="autoZero"/>
        <c:crossBetween val="between"/>
      </c:valAx>
      <c:catAx>
        <c:axId val="519228160"/>
        <c:scaling>
          <c:orientation val="minMax"/>
        </c:scaling>
        <c:delete val="1"/>
        <c:axPos val="b"/>
        <c:numFmt formatCode="General" sourceLinked="1"/>
        <c:majorTickMark val="out"/>
        <c:minorTickMark val="none"/>
        <c:tickLblPos val="none"/>
        <c:crossAx val="519226984"/>
        <c:crosses val="autoZero"/>
        <c:auto val="1"/>
        <c:lblAlgn val="ctr"/>
        <c:lblOffset val="100"/>
        <c:noMultiLvlLbl val="0"/>
      </c:catAx>
      <c:valAx>
        <c:axId val="519226984"/>
        <c:scaling>
          <c:orientation val="minMax"/>
        </c:scaling>
        <c:delete val="1"/>
        <c:axPos val="r"/>
        <c:numFmt formatCode="0.00" sourceLinked="1"/>
        <c:majorTickMark val="out"/>
        <c:minorTickMark val="none"/>
        <c:tickLblPos val="none"/>
        <c:crossAx val="519228160"/>
        <c:crosses val="max"/>
        <c:crossBetween val="between"/>
      </c:valAx>
    </c:plotArea>
    <c:legend>
      <c:legendPos val="b"/>
      <c:layout>
        <c:manualLayout>
          <c:xMode val="edge"/>
          <c:yMode val="edge"/>
          <c:wMode val="edge"/>
          <c:hMode val="edge"/>
          <c:x val="0.13789942923801191"/>
          <c:y val="0.9417910547441114"/>
          <c:w val="0.86814743395170846"/>
          <c:h val="0.99678734814636705"/>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5"/>
          <c:y val="0.19312702903817219"/>
          <c:w val="0.84416595375688908"/>
          <c:h val="0.54400758728688325"/>
        </c:manualLayout>
      </c:layout>
      <c:lineChart>
        <c:grouping val="standard"/>
        <c:varyColors val="0"/>
        <c:ser>
          <c:idx val="0"/>
          <c:order val="0"/>
          <c:tx>
            <c:strRef>
              <c:f>ROI!$C$5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19221496"/>
        <c:axId val="519221888"/>
      </c:lineChart>
      <c:catAx>
        <c:axId val="51922149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221888"/>
        <c:crosses val="autoZero"/>
        <c:auto val="1"/>
        <c:lblAlgn val="ctr"/>
        <c:lblOffset val="100"/>
        <c:noMultiLvlLbl val="0"/>
      </c:catAx>
      <c:valAx>
        <c:axId val="519221888"/>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922149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Drop" dropStyle="combo" dx="16" fmlaLink="$C$14" fmlaRange="ExampleChoices" noThreeD="1" sel="2" val="0"/>
</file>

<file path=xl/ctrlProps/ctrlProp2.xml><?xml version="1.0" encoding="utf-8"?>
<formControlPr xmlns="http://schemas.microsoft.com/office/spreadsheetml/2009/9/main" objectType="List" dx="16" fmlaLink="FixtureData!$C$18" fmlaRange="FixtureChoices" noThreeD="1" sel="3" val="0"/>
</file>

<file path=xl/ctrlProps/ctrlProp3.xml><?xml version="1.0" encoding="utf-8"?>
<formControlPr xmlns="http://schemas.microsoft.com/office/spreadsheetml/2009/9/main" objectType="List" dx="16"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srcRect/>
        <a:stretch>
          <a:fillRect/>
        </a:stretch>
      </xdr:blipFill>
      <xdr:spPr bwMode="auto">
        <a:xfrm>
          <a:off x="1790700" y="3057525"/>
          <a:ext cx="3571875" cy="2438400"/>
        </a:xfrm>
        <a:prstGeom prst="rect">
          <a:avLst/>
        </a:prstGeom>
        <a:noFill/>
        <a:ln w="9525">
          <a:noFill/>
          <a:miter lim="800000"/>
          <a:headEnd/>
          <a:tailEnd/>
        </a:ln>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srcRect/>
        <a:stretch>
          <a:fillRect/>
        </a:stretch>
      </xdr:blipFill>
      <xdr:spPr bwMode="auto">
        <a:xfrm>
          <a:off x="238125" y="238125"/>
          <a:ext cx="1162050" cy="581025"/>
        </a:xfrm>
        <a:prstGeom prst="rect">
          <a:avLst/>
        </a:prstGeom>
        <a:noFill/>
        <a:ln w="9525">
          <a:noFill/>
          <a:miter lim="800000"/>
          <a:headEnd/>
          <a:tailEnd/>
        </a:ln>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75381BF-9016-4654-BD25-2353F88F333B}"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F62F84C-F4F0-41FE-BA1A-D8D5055F8E88}"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04611EAF-F5D7-4CB3-8EC5-5F3D381759B3}"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F54E9732-74AB-410A-86D1-E30E503FEC63}"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706F501-2FA7-40E9-A655-520E9D8E570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A38AFF68-AC3F-4D52-8F6C-F40C83E225D6}"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0B4152F-DA1E-41F0-87D2-063ACBCAB780}"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7D691B4-C035-483F-BFD4-9A7701103739}"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ED962E5-A4DA-48A6-AFC7-ABA028E9B9C3}"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6CBAEB0-F979-4CBC-89A4-5117B5F0612C}"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970A3EE4-BB99-4E2E-B541-70474B662BF0}"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1B953CB-8353-4A59-A817-9057F7A72464}"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F8B174A-BFB8-4E17-885F-4FE3C9E59BDB}"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1ECFFAF-7ED9-451C-8ABB-DAC0BF6CC080}"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EC2DD30-1224-435C-8EED-CCDC3208F3A0}"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EFE00795-54F8-4A65-B4EB-C82DD9C8B89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C19423EC-939C-4BA8-912B-7194BFEDD720}"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67F7F-E891-4A83-8C38-F0D66EE447F1}"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srcRect/>
        <a:stretch>
          <a:fillRect/>
        </a:stretch>
      </xdr:blipFill>
      <xdr:spPr bwMode="auto">
        <a:xfrm>
          <a:off x="57150" y="104775"/>
          <a:ext cx="1162050" cy="5810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srcRect/>
        <a:stretch>
          <a:fillRect/>
        </a:stretch>
      </xdr:blipFill>
      <xdr:spPr bwMode="auto">
        <a:xfrm>
          <a:off x="38100" y="123825"/>
          <a:ext cx="1162050" cy="581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srcRect/>
        <a:stretch>
          <a:fillRect/>
        </a:stretch>
      </xdr:blipFill>
      <xdr:spPr bwMode="auto">
        <a:xfrm>
          <a:off x="57150" y="85725"/>
          <a:ext cx="1152525" cy="571500"/>
        </a:xfrm>
        <a:prstGeom prst="rect">
          <a:avLst/>
        </a:prstGeom>
        <a:noFill/>
        <a:ln w="9525">
          <a:noFill/>
          <a:miter lim="800000"/>
          <a:headEnd/>
          <a:tailEnd/>
        </a:ln>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25DF8F0-B24B-4669-B21F-6FB75E116272}"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D94F9F7-8843-44F8-8BB9-7CD92E610E89}"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235019A-F16C-4BF3-8892-5694D3E7279E}" type="TxLink">
            <a:rPr lang="en-US" sz="1200" b="1" i="0" u="none" strike="noStrike" baseline="0">
              <a:solidFill>
                <a:srgbClr val="EAEAEA"/>
              </a:solidFill>
              <a:latin typeface="Calibri"/>
            </a:rPr>
            <a:pPr algn="ctr" rtl="0">
              <a:defRPr sz="1000"/>
            </a:pPr>
            <a:t>Update Baseline View</a:t>
          </a:fld>
          <a:endParaRPr lang="en-US"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021BDEA-B068-46C8-B82C-58AD3705AD21}" type="TxLink">
            <a:rPr lang="en-US" sz="1200" b="1" i="0" u="none" strike="noStrike" baseline="0">
              <a:solidFill>
                <a:srgbClr val="EAEAEA"/>
              </a:solidFill>
              <a:latin typeface="Calibri"/>
            </a:rPr>
            <a:pPr algn="ctr" rtl="0">
              <a:defRPr sz="1000"/>
            </a:pPr>
            <a:t>Update Upgrade View</a:t>
          </a:fld>
          <a:endParaRPr lang="en-US"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68C5C42-8F4A-4B86-A6BB-C4BEA42A873C}"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9D60931-D615-4DB1-B179-43F3BA01FD78}"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4110145-B1C6-4F46-A4D2-59B92C928B34}"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A3CFCD-2875-46DE-9623-38AFA8369B6A}"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F836B49-33FE-4E6A-B555-722033EA9903}"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BA108E4D-0E26-4C80-B865-F30C6493E8E0}"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E976C878-1B9A-4E16-AF93-C6B9157B09AF}"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CDDD70-64FD-4BAF-8EB8-16BA7E60F785}"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9321F96-5774-4205-829E-0CA8B5C322DB}"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srcRect/>
        <a:stretch>
          <a:fillRect/>
        </a:stretch>
      </xdr:blipFill>
      <xdr:spPr bwMode="auto">
        <a:xfrm>
          <a:off x="57150" y="85725"/>
          <a:ext cx="1152525" cy="571500"/>
        </a:xfrm>
        <a:prstGeom prst="rect">
          <a:avLst/>
        </a:prstGeom>
        <a:noFill/>
        <a:ln w="9525">
          <a:noFill/>
          <a:miter lim="800000"/>
          <a:headEnd/>
          <a:tailEnd/>
        </a:ln>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9A0253-3C12-4FDA-9D3F-B5951BD68D72}"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A825C30-3D75-4AD7-BC8E-916809AA5BE9}"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0868EF-5D72-44FA-AC12-688348A50628}"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F27F8C9-D3B6-4065-9CFB-9DD9F1174287}"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C30DFC6-F3F7-4696-A4D4-D7CBF8DE44F4}"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9A9F957-3A95-434E-990F-32A49718966C}"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AF2E1D3-E549-4632-BA4F-D26D9D072420}" type="TxLink">
            <a:rPr lang="en-US" sz="1400" b="0" i="1" u="none" strike="noStrike" baseline="0">
              <a:solidFill>
                <a:srgbClr val="EAEAEA"/>
              </a:solidFill>
              <a:latin typeface="Calibri"/>
            </a:rPr>
            <a:pPr algn="ctr" rtl="0">
              <a:defRPr sz="1000"/>
            </a:pPr>
            <a:t>Add a fixture</a:t>
          </a:fld>
          <a:endParaRPr lang="en-US"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F634F01-10B6-42AD-8E3F-509382B01C53}"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0BA01BD-3D02-44FB-AD14-4DEA193FCDB0}"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2697361-6E9F-4B43-BD03-66BC325E3302}"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2600" y="1123950"/>
          <a:ext cx="6810375"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516B3157-CC46-4947-851C-BE17C9FFF711}"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srcRect/>
        <a:stretch>
          <a:fillRect/>
        </a:stretch>
      </xdr:blipFill>
      <xdr:spPr bwMode="auto">
        <a:xfrm>
          <a:off x="66675" y="85725"/>
          <a:ext cx="1152525" cy="571500"/>
        </a:xfrm>
        <a:prstGeom prst="rect">
          <a:avLst/>
        </a:prstGeom>
        <a:noFill/>
        <a:ln w="9525">
          <a:noFill/>
          <a:miter lim="800000"/>
          <a:headEnd/>
          <a:tailEnd/>
        </a:ln>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3925" y="1524000"/>
          <a:ext cx="8458200"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B7C4B7B-2052-403C-8AB0-56DA89E8F048}"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4B099C9-C0FD-40A4-B540-16BDAEA87455}"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0950C83-2C96-4980-956D-F3457524B9E1}"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C4B9CF9-9973-4E33-963C-5AE23D6B2D14}"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3526F38-62C9-4A8D-96DF-C5C8BC024542}"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srcRect/>
        <a:stretch>
          <a:fillRect/>
        </a:stretch>
      </xdr:blipFill>
      <xdr:spPr bwMode="auto">
        <a:xfrm>
          <a:off x="76200" y="85725"/>
          <a:ext cx="1152525" cy="571500"/>
        </a:xfrm>
        <a:prstGeom prst="rect">
          <a:avLst/>
        </a:prstGeom>
        <a:noFill/>
        <a:ln w="9525">
          <a:noFill/>
          <a:miter lim="800000"/>
          <a:headEnd/>
          <a:tailEnd/>
        </a:ln>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461724D-A9F2-4256-AE05-D8354DDF996E}"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9882AEE-DF0C-45B3-91A3-2CB3FA849C16}"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34A4194-2E47-45CC-A131-8680212D6537}"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6FC97D15-65DE-4F70-9571-066534E31860}"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2A1D996-18D8-4224-80B6-2E3F5B80E34D}"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B98BC61-B874-436B-9B52-4DD882B5573F}"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3C878E-7B58-4C13-8099-5146EA5C4A50}"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srcRect/>
        <a:stretch>
          <a:fillRect/>
        </a:stretch>
      </xdr:blipFill>
      <xdr:spPr bwMode="auto">
        <a:xfrm>
          <a:off x="142875" y="95250"/>
          <a:ext cx="1152525" cy="571500"/>
        </a:xfrm>
        <a:prstGeom prst="rect">
          <a:avLst/>
        </a:prstGeom>
        <a:noFill/>
        <a:ln w="9525">
          <a:noFill/>
          <a:miter lim="800000"/>
          <a:headEnd/>
          <a:tailEnd/>
        </a:ln>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1709C0E-41C6-492D-8524-AC1574DD9FEE}"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A40326E-55C7-47D0-80FC-B39974B86266}" type="TxLink">
            <a:rPr lang="en-US" sz="1600" b="1" i="0" u="none" strike="noStrike" baseline="0">
              <a:solidFill>
                <a:srgbClr val="EAEAEA"/>
              </a:solidFill>
              <a:latin typeface="Calibri"/>
            </a:rPr>
            <a:pPr algn="ctr" rtl="0">
              <a:defRPr sz="1000"/>
            </a:pPr>
            <a:t>Calculate Scenario Results </a:t>
          </a:fld>
          <a:endParaRPr lang="en-US"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624B044-CDE8-4608-8365-45F395B6F28E}"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921B3C0-6CBF-4D6A-9D5F-B1C32547806E}"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330C6DC-9AC8-4000-95AA-D0727AAF957C}"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A5CADE8-2224-4446-9255-5C23DA789628}"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B0BA5F1-F657-4E59-BBCC-1B567F03C0A2}"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843CAF6-FD65-4A33-BA15-587C99DBA305}"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8B5A971-8FEC-428E-BFCC-46E2F1E32AA6}"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856EA6E-4F19-4EDE-90E9-900341FDC771}" type="TxLink">
            <a:rPr lang="en-US" sz="1200" b="1" i="0" u="none" strike="noStrike" baseline="0">
              <a:solidFill>
                <a:srgbClr val="EAEAEA"/>
              </a:solidFill>
              <a:latin typeface="Calibri"/>
            </a:rPr>
            <a:pPr algn="ctr" rtl="0">
              <a:defRPr sz="1000"/>
            </a:pPr>
            <a:t>1) Add files to list below</a:t>
          </a:fld>
          <a:endParaRPr lang="en-US"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5DC4AB6-721E-4262-A396-339883EA5452}" type="TxLink">
            <a:rPr lang="en-US" sz="1200" b="1" i="0" u="none" strike="noStrike" baseline="0">
              <a:solidFill>
                <a:srgbClr val="EAEAEA"/>
              </a:solidFill>
              <a:latin typeface="Calibri"/>
            </a:rPr>
            <a:pPr algn="ctr" rtl="0">
              <a:defRPr sz="1000"/>
            </a:pPr>
            <a:t>2) Begin upload of IES files listed below</a:t>
          </a:fld>
          <a:endParaRPr lang="en-US"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A260BD3-7742-422C-979E-7166A598CC52}"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26AC4B-489F-40B5-917B-0098096A08C4}"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0E8C2DD-2372-4C7E-8672-1F72650F59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EFC360C-631B-4831-A35E-0B667A09CB2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813A13C-7AE9-4126-8045-CC66BE8A91F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3C760CC-693F-45DC-BAC0-4E0A4EA964D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5497603-A6A2-48C5-B90C-58E14143F8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F5AB5D7-7971-42CE-A8F9-54A55C1C833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961C30-800D-495C-ADF4-3209CFFE332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F9EA3FC-F05D-40A0-871E-3DCB8A87A5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1A1B94A-FEB3-4C25-8A2B-D854D1B63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60F58F-7C3A-4AE4-B4FF-A5BA40D6351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B9B4756-6C14-4C88-BBE0-EB2853868FC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E0163D-AD1F-492F-BEEB-3DED222ACB7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1A83512-8B39-4FE0-8ADE-08D86756E2F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772CE54-3BC2-4443-B406-588AB9F8E6A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B8D64A-32BA-4197-A555-ABC3211DB1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E684EED-ECBF-432D-A7A2-21EE40E05A29}"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9B8D2F-328E-462D-83E4-C928D196393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99C8FC-3B5D-49B9-BF5C-14F865E7D67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88C43AB-0E04-4AF9-8B60-73C387748E9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B9CF334-D58D-462F-AB5E-672B9078A2E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1EB8DC8-149D-4F77-A09E-B834314684B3}"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6987AC1-3D08-4784-9F87-457039A152E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9100EDC-20A7-4796-AA53-9AD50C7CE40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7BCE247-60EA-4EE3-8383-97E9E0FF30A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EEA4E02-08EC-48B9-A156-3FA929DD85B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srcRect/>
        <a:stretch>
          <a:fillRect/>
        </a:stretch>
      </xdr:blipFill>
      <xdr:spPr bwMode="auto">
        <a:xfrm>
          <a:off x="104775" y="123825"/>
          <a:ext cx="1162050" cy="5810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srcRect/>
        <a:stretch>
          <a:fillRect/>
        </a:stretch>
      </xdr:blipFill>
      <xdr:spPr bwMode="auto">
        <a:xfrm>
          <a:off x="104775" y="152400"/>
          <a:ext cx="1162050" cy="581025"/>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cstate="print"/>
        <a:srcRect/>
        <a:stretch>
          <a:fillRect/>
        </a:stretch>
      </xdr:blipFill>
      <xdr:spPr bwMode="auto">
        <a:xfrm>
          <a:off x="95250" y="95250"/>
          <a:ext cx="1162050" cy="571500"/>
        </a:xfrm>
        <a:prstGeom prst="rect">
          <a:avLst/>
        </a:prstGeom>
        <a:noFill/>
        <a:ln w="9525">
          <a:noFill/>
          <a:miter lim="800000"/>
          <a:headEnd/>
          <a:tailEnd/>
        </a:ln>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v1.7.6b</v>
      </c>
    </row>
    <row r="3" spans="1:18" s="126" customFormat="1" ht="24" customHeight="1">
      <c r="C3" s="127"/>
    </row>
    <row r="4" spans="1:18" ht="15.75" thickBot="1">
      <c r="A4" s="128"/>
    </row>
    <row r="5" spans="1:18" ht="15.75" customHeight="1" thickBot="1">
      <c r="B5" s="696" t="s">
        <v>363</v>
      </c>
      <c r="C5" s="697"/>
      <c r="D5" s="698"/>
      <c r="E5" s="699" t="s">
        <v>344</v>
      </c>
      <c r="F5" s="700"/>
      <c r="G5" s="701"/>
    </row>
    <row r="8" spans="1:18">
      <c r="B8" s="702" t="str">
        <f>Translation!B285</f>
        <v>SEAD Procurement Tool for Energy Efficient Street Lighting</v>
      </c>
      <c r="C8" s="703"/>
      <c r="D8" s="703"/>
      <c r="E8" s="703"/>
      <c r="F8" s="703"/>
      <c r="G8" s="703"/>
      <c r="H8" s="703"/>
      <c r="I8" s="703"/>
      <c r="J8" s="703"/>
      <c r="K8" s="703"/>
      <c r="L8" s="703"/>
      <c r="M8" s="703"/>
      <c r="N8" s="704"/>
    </row>
    <row r="9" spans="1:18" ht="72.75" customHeight="1">
      <c r="B9" s="705"/>
      <c r="C9" s="706"/>
      <c r="D9" s="706"/>
      <c r="E9" s="706"/>
      <c r="F9" s="706"/>
      <c r="G9" s="706"/>
      <c r="H9" s="706"/>
      <c r="I9" s="706"/>
      <c r="J9" s="706"/>
      <c r="K9" s="706"/>
      <c r="L9" s="706"/>
      <c r="M9" s="706"/>
      <c r="N9" s="707"/>
      <c r="R9" s="129" t="s">
        <v>1047</v>
      </c>
    </row>
    <row r="10" spans="1:18" ht="35.25" hidden="1" customHeight="1">
      <c r="B10" s="705" t="str">
        <f>Translation!B286</f>
        <v>Before you get started, please take some time to read the instructions located on the navigation worksheet .</v>
      </c>
      <c r="C10" s="706"/>
      <c r="D10" s="706"/>
      <c r="E10" s="706"/>
      <c r="F10" s="706"/>
      <c r="G10" s="706"/>
      <c r="H10" s="706"/>
      <c r="I10" s="706"/>
      <c r="J10" s="706"/>
      <c r="K10" s="706"/>
      <c r="L10" s="706"/>
      <c r="M10" s="706"/>
      <c r="N10" s="707"/>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3" t="str">
        <f>Translation!B315</f>
        <v>This tool and accompanying street lighting technology profile are available at www.superefficient.org</v>
      </c>
      <c r="C26" s="694"/>
      <c r="D26" s="694"/>
      <c r="E26" s="694"/>
      <c r="F26" s="694"/>
      <c r="G26" s="694"/>
      <c r="H26" s="694"/>
      <c r="I26" s="694"/>
      <c r="J26" s="694"/>
      <c r="K26" s="694"/>
      <c r="L26" s="694"/>
      <c r="M26" s="694"/>
      <c r="N26" s="695"/>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v1.7.6b</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0"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0"/>
      <c r="F8" s="710"/>
      <c r="G8" s="710"/>
      <c r="H8" s="710"/>
      <c r="I8" s="710"/>
      <c r="J8" s="710"/>
      <c r="K8" s="710"/>
      <c r="L8" s="710"/>
      <c r="M8" s="710"/>
      <c r="N8" s="710"/>
      <c r="O8" s="710"/>
    </row>
    <row r="9" spans="2:24" ht="36.75" customHeight="1">
      <c r="E9" s="713" t="str">
        <f>Translation!B31</f>
        <v>- The tool is designed to be simple to use, requiring little prior knowledge. Follow the steps, and look out for popup boxes and "?" links for additional information</v>
      </c>
      <c r="F9" s="713"/>
      <c r="G9" s="713"/>
      <c r="H9" s="713"/>
      <c r="I9" s="713"/>
      <c r="J9" s="713"/>
      <c r="K9" s="713"/>
      <c r="L9" s="713"/>
      <c r="M9" s="713"/>
      <c r="N9" s="713"/>
      <c r="O9" s="713"/>
    </row>
    <row r="10" spans="2:24" ht="57" customHeight="1">
      <c r="E10" s="713"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3"/>
      <c r="G10" s="713"/>
      <c r="H10" s="713"/>
      <c r="I10" s="713"/>
      <c r="J10" s="713"/>
      <c r="K10" s="713"/>
      <c r="L10" s="713"/>
      <c r="M10" s="713"/>
      <c r="N10" s="713"/>
      <c r="O10" s="713"/>
    </row>
    <row r="11" spans="2:24" ht="94.5" customHeight="1">
      <c r="E11" s="713"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3"/>
      <c r="G11" s="713"/>
      <c r="H11" s="713"/>
      <c r="I11" s="713"/>
      <c r="J11" s="713"/>
      <c r="K11" s="713"/>
      <c r="L11" s="713"/>
      <c r="M11" s="713"/>
      <c r="N11" s="713"/>
      <c r="O11" s="713"/>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0" t="str">
        <f>Translation!B72</f>
        <v>The inputs tab gives you access to all required inputs, as well as navigation to all the other tabs relevant to the user. Start here, and if you get lost come back here and find the appropriate step.</v>
      </c>
      <c r="E18" s="710"/>
      <c r="F18" s="710"/>
      <c r="G18" s="710"/>
      <c r="H18" s="710"/>
      <c r="I18" s="710"/>
      <c r="J18" s="710"/>
      <c r="K18" s="710"/>
      <c r="L18" s="710"/>
      <c r="M18" s="710"/>
      <c r="N18" s="710"/>
      <c r="O18" s="710"/>
    </row>
    <row r="19" spans="4:15">
      <c r="D19" s="74" t="str">
        <f>Translation!B48</f>
        <v xml:space="preserve">For a description of the other tabs and what they contain go here: </v>
      </c>
    </row>
    <row r="20" spans="4:15">
      <c r="D20" s="74"/>
    </row>
    <row r="21" spans="4:15">
      <c r="D21" s="711" t="str">
        <f>Translation!B70</f>
        <v>Tab Descriptions</v>
      </c>
      <c r="E21" s="712"/>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4" t="str">
        <f>Translation!B28</f>
        <v>Single Fixture</v>
      </c>
      <c r="E34" s="715"/>
    </row>
    <row r="35" spans="3:22" ht="15" customHeight="1">
      <c r="D35" s="714" t="str">
        <f>Translation!B61</f>
        <v>Retrofit - basic</v>
      </c>
      <c r="E35" s="715"/>
    </row>
    <row r="36" spans="3:22" ht="15" customHeight="1">
      <c r="D36" s="714" t="str">
        <f>Translation!B63</f>
        <v>Retrofit - detailed</v>
      </c>
      <c r="E36" s="715"/>
    </row>
    <row r="37" spans="3:22" ht="15" customHeight="1">
      <c r="D37" s="714" t="str">
        <f>Translation!B57</f>
        <v>New installation</v>
      </c>
      <c r="E37" s="715"/>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09" t="str">
        <f>Translation!B59</f>
        <v>Not all tabs are needed by the user, but all tabs are left open so that you can see how calculations are performed if needed. Here's a description of all the tabs in the tool:</v>
      </c>
      <c r="D55" s="709"/>
      <c r="E55" s="709"/>
      <c r="F55" s="709"/>
      <c r="G55" s="709"/>
      <c r="H55" s="709"/>
      <c r="I55" s="709"/>
      <c r="J55" s="709"/>
      <c r="K55" s="709"/>
      <c r="L55" s="709"/>
      <c r="M55" s="709"/>
      <c r="N55" s="709"/>
      <c r="O55" s="709"/>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08"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8"/>
      <c r="E73" s="708"/>
      <c r="F73" s="708"/>
      <c r="G73" s="708"/>
      <c r="H73" s="708"/>
      <c r="I73" s="708"/>
      <c r="J73" s="708"/>
      <c r="K73" s="708"/>
      <c r="L73" s="708"/>
      <c r="M73" s="708"/>
      <c r="N73" s="708"/>
      <c r="O73" s="708"/>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08"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8"/>
      <c r="E77" s="708"/>
      <c r="F77" s="708"/>
      <c r="G77" s="708"/>
      <c r="H77" s="708"/>
      <c r="I77" s="708"/>
      <c r="J77" s="708"/>
      <c r="K77" s="708"/>
      <c r="L77" s="708"/>
      <c r="M77" s="708"/>
      <c r="N77" s="708"/>
      <c r="O77" s="708"/>
    </row>
    <row r="78" spans="3:22" ht="15" customHeight="1">
      <c r="C78" s="96" t="s">
        <v>225</v>
      </c>
      <c r="D78" s="708" t="str">
        <f>Translation!B45</f>
        <v xml:space="preserve">Follow steps 1-5 on the inputs page to define your current configuration, desired target light levels, and relevant costs </v>
      </c>
      <c r="E78" s="708"/>
      <c r="F78" s="708"/>
      <c r="G78" s="708"/>
      <c r="H78" s="708"/>
      <c r="I78" s="708"/>
      <c r="J78" s="708"/>
      <c r="K78" s="708"/>
      <c r="L78" s="708"/>
      <c r="M78" s="708"/>
      <c r="N78" s="708"/>
      <c r="O78" s="708"/>
    </row>
    <row r="79" spans="3:22" ht="15" customHeight="1">
      <c r="C79" s="96" t="s">
        <v>226</v>
      </c>
      <c r="D79" s="708" t="str">
        <f>Translation!B81</f>
        <v xml:space="preserve">When choosing the upgrade fixture in Step 3, choose 'Multiple Fixtures' option and select some or all of the generic typical fixtures </v>
      </c>
      <c r="E79" s="708"/>
      <c r="F79" s="708"/>
      <c r="G79" s="708"/>
      <c r="H79" s="708"/>
      <c r="I79" s="708"/>
      <c r="J79" s="708"/>
      <c r="K79" s="708"/>
      <c r="L79" s="708"/>
      <c r="M79" s="708"/>
      <c r="N79" s="708"/>
      <c r="O79" s="708"/>
    </row>
    <row r="80" spans="3:22" ht="15" customHeight="1">
      <c r="C80" s="96" t="s">
        <v>227</v>
      </c>
      <c r="D80" s="708" t="str">
        <f>Translation!B73</f>
        <v xml:space="preserve">The MGraphs page will show you which fixtures pass and fail your illuminance criteria for the given road geometry, ranked in order of lowest to highest energy consumption. </v>
      </c>
      <c r="E80" s="708"/>
      <c r="F80" s="708"/>
      <c r="G80" s="708"/>
      <c r="H80" s="708"/>
      <c r="I80" s="708"/>
      <c r="J80" s="708"/>
      <c r="K80" s="708"/>
      <c r="L80" s="708"/>
      <c r="M80" s="708"/>
      <c r="N80" s="708"/>
      <c r="O80" s="708"/>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08"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8"/>
      <c r="E86" s="708"/>
      <c r="F86" s="708"/>
      <c r="G86" s="708"/>
      <c r="H86" s="708"/>
      <c r="I86" s="708"/>
      <c r="J86" s="708"/>
      <c r="K86" s="708"/>
      <c r="L86" s="708"/>
      <c r="M86" s="708"/>
      <c r="N86" s="708"/>
      <c r="O86" s="708"/>
      <c r="P86" s="96"/>
      <c r="Q86" s="96"/>
      <c r="R86" s="96"/>
      <c r="S86" s="96"/>
      <c r="T86" s="96"/>
      <c r="U86" s="96"/>
      <c r="V86" s="96"/>
    </row>
    <row r="87" spans="3:22" ht="15" customHeight="1">
      <c r="C87" s="96" t="s">
        <v>225</v>
      </c>
      <c r="D87" s="708" t="str">
        <f>Translation!B41</f>
        <v xml:space="preserve">Contact the manufacturer or visit their website to download the electronic IES files for the fixtures you're considering </v>
      </c>
      <c r="E87" s="708"/>
      <c r="F87" s="708"/>
      <c r="G87" s="708"/>
      <c r="H87" s="708"/>
      <c r="I87" s="708"/>
      <c r="J87" s="708"/>
      <c r="K87" s="708"/>
      <c r="L87" s="708"/>
      <c r="M87" s="708"/>
      <c r="N87" s="708"/>
      <c r="O87" s="708"/>
      <c r="P87" s="96"/>
      <c r="Q87" s="96"/>
      <c r="R87" s="96"/>
      <c r="S87" s="96"/>
      <c r="T87" s="96"/>
      <c r="U87" s="96"/>
      <c r="V87" s="96"/>
    </row>
    <row r="88" spans="3:22" ht="15" customHeight="1">
      <c r="C88" s="96" t="s">
        <v>226</v>
      </c>
      <c r="D88" s="708" t="str">
        <f>Translation!B79</f>
        <v xml:space="preserve">Use the Add IES file button in step 3 to add this data to the tool. Be sure to check default values for fixture life, cost, and lumen depreciation in the Fixtures tab and make sure they are appropriate for your fixture </v>
      </c>
      <c r="E88" s="708"/>
      <c r="F88" s="708"/>
      <c r="G88" s="708"/>
      <c r="H88" s="708"/>
      <c r="I88" s="708"/>
      <c r="J88" s="708"/>
      <c r="K88" s="708"/>
      <c r="L88" s="708"/>
      <c r="M88" s="708"/>
      <c r="N88" s="708"/>
      <c r="O88" s="708"/>
    </row>
    <row r="89" spans="3:22" ht="15" customHeight="1">
      <c r="C89" s="96" t="s">
        <v>227</v>
      </c>
      <c r="D89" s="708" t="str">
        <f>Translation!B46</f>
        <v xml:space="preserve">Follow steps 1-5 to define your road configuration, desired target light levels, and relavant costs </v>
      </c>
      <c r="E89" s="708"/>
      <c r="F89" s="708"/>
      <c r="G89" s="708"/>
      <c r="H89" s="708"/>
      <c r="I89" s="708"/>
      <c r="J89" s="708"/>
      <c r="K89" s="708"/>
      <c r="L89" s="708"/>
      <c r="M89" s="708"/>
      <c r="N89" s="708"/>
      <c r="O89" s="708"/>
    </row>
    <row r="90" spans="3:22" ht="32.25" customHeight="1">
      <c r="C90" s="96" t="s">
        <v>228</v>
      </c>
      <c r="D90" s="708" t="str">
        <f>Translation!B81</f>
        <v xml:space="preserve">When choosing the upgrade fixture in Step 3, choose 'Multiple Fixtures' option and select some or all of the generic typical fixtures </v>
      </c>
      <c r="E90" s="708"/>
      <c r="F90" s="708"/>
      <c r="G90" s="708"/>
      <c r="H90" s="708"/>
      <c r="I90" s="708"/>
      <c r="J90" s="708"/>
      <c r="K90" s="708"/>
      <c r="L90" s="708"/>
      <c r="M90" s="708"/>
      <c r="N90" s="708"/>
      <c r="O90" s="708"/>
    </row>
    <row r="91" spans="3:22" ht="15" customHeight="1">
      <c r="C91" s="96" t="s">
        <v>229</v>
      </c>
      <c r="D91" s="708" t="str">
        <f>Translation!B73</f>
        <v xml:space="preserve">The MGraphs page will show you which fixtures pass and fail your illuminance criteria for the given road geometry, ranked in order of lowest to highest energy consumption. </v>
      </c>
      <c r="E91" s="708"/>
      <c r="F91" s="708"/>
      <c r="G91" s="708"/>
      <c r="H91" s="708"/>
      <c r="I91" s="708"/>
      <c r="J91" s="708"/>
      <c r="K91" s="708"/>
      <c r="L91" s="708"/>
      <c r="M91" s="708"/>
      <c r="N91" s="708"/>
      <c r="O91" s="708"/>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08"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8"/>
      <c r="E96" s="708"/>
      <c r="F96" s="708"/>
      <c r="G96" s="708"/>
      <c r="H96" s="708"/>
      <c r="I96" s="708"/>
      <c r="J96" s="708"/>
      <c r="K96" s="708"/>
      <c r="L96" s="708"/>
      <c r="M96" s="708"/>
      <c r="N96" s="708"/>
      <c r="O96" s="708"/>
    </row>
    <row r="97" spans="3:15" ht="15" customHeight="1">
      <c r="C97" s="96" t="s">
        <v>225</v>
      </c>
      <c r="D97" s="708" t="str">
        <f>Translation!B47</f>
        <v xml:space="preserve">Follow steps 1-5, choosing the appropriate comparison type of single fixture or multiple fixtures in step 3 </v>
      </c>
      <c r="E97" s="708"/>
      <c r="F97" s="708"/>
      <c r="G97" s="708"/>
      <c r="H97" s="708"/>
      <c r="I97" s="708"/>
      <c r="J97" s="708"/>
      <c r="K97" s="708"/>
      <c r="L97" s="708"/>
      <c r="M97" s="708"/>
      <c r="N97" s="708"/>
      <c r="O97" s="708"/>
    </row>
    <row r="98" spans="3:15" ht="15" customHeight="1">
      <c r="C98" s="96" t="s">
        <v>226</v>
      </c>
      <c r="D98" s="708" t="str">
        <f>Translation!B71</f>
        <v xml:space="preserve">The 'baseline' scenario can be ignored, or you can use the 'No fixture' fixture choice to set energy consumption of the baseline shown in the graphs to zero </v>
      </c>
      <c r="E98" s="708"/>
      <c r="F98" s="708"/>
      <c r="G98" s="708"/>
      <c r="H98" s="708"/>
      <c r="I98" s="708"/>
      <c r="J98" s="708"/>
      <c r="K98" s="708"/>
      <c r="L98" s="708"/>
      <c r="M98" s="708"/>
      <c r="N98" s="708"/>
      <c r="O98" s="708"/>
    </row>
    <row r="99" spans="3:15" ht="15" customHeight="1">
      <c r="C99" s="96" t="s">
        <v>227</v>
      </c>
      <c r="D99" s="708" t="str">
        <f>Translation!B50</f>
        <v xml:space="preserve">If only analyzing a single fixture, use the "Save Single Upgrade" button to save the scenario to the MResults tab. If analyzing multiple fixtures, the fixtures will be saved when you click 'Run Selected Fixtures' </v>
      </c>
      <c r="E99" s="708"/>
      <c r="F99" s="708"/>
      <c r="G99" s="708"/>
      <c r="H99" s="708"/>
      <c r="I99" s="708"/>
      <c r="J99" s="708"/>
      <c r="K99" s="708"/>
      <c r="L99" s="708"/>
      <c r="M99" s="708"/>
      <c r="N99" s="708"/>
      <c r="O99" s="708"/>
    </row>
    <row r="100" spans="3:15" ht="15" customHeight="1">
      <c r="C100" s="96" t="s">
        <v>228</v>
      </c>
      <c r="D100" s="708" t="str">
        <f>Translation!B76</f>
        <v xml:space="preserve">To compare additional scenarios , after saving the results you may change the inputs for the other steps and save the new results </v>
      </c>
      <c r="E100" s="708"/>
      <c r="F100" s="708"/>
      <c r="G100" s="708"/>
      <c r="H100" s="708"/>
      <c r="I100" s="708"/>
      <c r="J100" s="708"/>
      <c r="K100" s="708"/>
      <c r="L100" s="708"/>
      <c r="M100" s="708"/>
      <c r="N100" s="708"/>
      <c r="O100" s="708"/>
    </row>
    <row r="101" spans="3:15" ht="15" customHeight="1">
      <c r="C101" s="96" t="s">
        <v>229</v>
      </c>
      <c r="D101" s="708" t="str">
        <f>Translation!B37</f>
        <v xml:space="preserve">All results will be archived to the MResults tab, and show up in MGraphs.  </v>
      </c>
      <c r="E101" s="708"/>
      <c r="F101" s="708"/>
      <c r="G101" s="708"/>
      <c r="H101" s="708"/>
      <c r="I101" s="708"/>
      <c r="J101" s="708"/>
      <c r="K101" s="708"/>
      <c r="L101" s="708"/>
      <c r="M101" s="708"/>
      <c r="N101" s="708"/>
      <c r="O101" s="708"/>
    </row>
    <row r="102" spans="3:15" ht="15" customHeight="1">
      <c r="C102" s="96" t="s">
        <v>230</v>
      </c>
      <c r="D102" s="708"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8"/>
      <c r="F102" s="708"/>
      <c r="G102" s="708"/>
      <c r="H102" s="708"/>
      <c r="I102" s="708"/>
      <c r="J102" s="708"/>
      <c r="K102" s="708"/>
      <c r="L102" s="708"/>
      <c r="M102" s="708"/>
      <c r="N102" s="708"/>
      <c r="O102" s="708"/>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v1.7.6b</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F10" sqref="F1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v1.7.6b</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6" t="str">
        <f>Translation!B559</f>
        <v>Road geometry inputs describe the size and shape of the road section, as well as the placement and size of poles. Enter values for both baseline and upgrade. If you are replacing fixtures only, enter the same values in both columns.</v>
      </c>
      <c r="C5" s="716"/>
      <c r="D5" s="716"/>
      <c r="E5" s="716"/>
      <c r="F5" s="716"/>
      <c r="G5" s="225"/>
      <c r="H5" s="225"/>
      <c r="I5" s="225"/>
      <c r="J5" s="225"/>
      <c r="K5" s="225"/>
      <c r="L5" s="225"/>
      <c r="M5" s="225"/>
      <c r="N5" s="349"/>
      <c r="O5" s="349"/>
      <c r="P5" s="349"/>
      <c r="Q5" s="349"/>
      <c r="R5" s="349"/>
      <c r="S5" s="349"/>
      <c r="T5" s="349"/>
      <c r="U5" s="349"/>
      <c r="V5" s="349"/>
    </row>
    <row r="6" spans="1:28" ht="18.75" customHeight="1">
      <c r="A6" s="225"/>
      <c r="B6" s="716"/>
      <c r="C6" s="716"/>
      <c r="D6" s="716"/>
      <c r="E6" s="716"/>
      <c r="F6" s="716"/>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6"/>
      <c r="S9" s="716"/>
      <c r="T9" s="716"/>
      <c r="U9" s="716"/>
      <c r="V9" s="716"/>
      <c r="W9" t="s">
        <v>1780</v>
      </c>
    </row>
    <row r="10" spans="1:28">
      <c r="A10" s="225"/>
      <c r="B10" s="168" t="str">
        <f>Translation!B114</f>
        <v>Number of Lanes</v>
      </c>
      <c r="C10" s="36"/>
      <c r="D10" s="36"/>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c r="D16" s="378"/>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f>$C$16</f>
        <v>0</v>
      </c>
      <c r="AB16" s="168">
        <f>$D$16</f>
        <v>0</v>
      </c>
    </row>
    <row r="17" spans="1:28">
      <c r="A17" s="225"/>
      <c r="B17" s="168" t="str">
        <f>Translation!B131</f>
        <v>Luminaire Mounting Height</v>
      </c>
      <c r="C17" s="36"/>
      <c r="D17" s="36"/>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1</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mergeCells count="2">
    <mergeCell ref="R9:V9"/>
    <mergeCell ref="B5:F6"/>
  </mergeCells>
  <conditionalFormatting sqref="C76:C77">
    <cfRule type="expression" dxfId="16" priority="4" stopIfTrue="1">
      <formula>"&gt;5"</formula>
    </cfRule>
  </conditionalFormatting>
  <conditionalFormatting sqref="C50:C51">
    <cfRule type="expression" dxfId="15" priority="1" stopIfTrue="1">
      <formula>"&gt;5"</formula>
    </cfRule>
  </conditionalFormatting>
  <dataValidations disablePrompts="1"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B1" sqref="B1"/>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v1.7.6b</v>
      </c>
    </row>
    <row r="3" spans="1:27" s="136" customFormat="1" ht="121.5" customHeight="1">
      <c r="A3" s="128" t="s">
        <v>188</v>
      </c>
      <c r="B3" s="218"/>
      <c r="C3" s="218"/>
    </row>
    <row r="4" spans="1:27" s="225" customFormat="1" ht="25.5" customHeight="1"/>
    <row r="5" spans="1:27" s="225" customFormat="1" ht="74.25" customHeight="1">
      <c r="C5" s="716"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6"/>
      <c r="E5" s="716"/>
      <c r="F5" s="716"/>
      <c r="G5" s="716"/>
      <c r="H5" s="716"/>
      <c r="N5" s="349"/>
      <c r="AA5" s="225" t="s">
        <v>1732</v>
      </c>
    </row>
    <row r="6" spans="1:27" s="225" customFormat="1" ht="90.75" customHeight="1">
      <c r="C6" s="716"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6"/>
      <c r="E6" s="716"/>
      <c r="F6" s="716"/>
      <c r="G6" s="716"/>
      <c r="H6" s="716"/>
      <c r="L6" s="650"/>
      <c r="N6" s="717"/>
      <c r="O6" s="717"/>
      <c r="P6" s="717"/>
      <c r="Q6" s="717"/>
      <c r="AA6" s="225" t="s">
        <v>1727</v>
      </c>
    </row>
    <row r="7" spans="1:27" s="225" customFormat="1" ht="54" customHeight="1">
      <c r="A7" s="225" t="s">
        <v>188</v>
      </c>
      <c r="C7" s="540" t="str">
        <f>Translation!B119</f>
        <v>Select Calculation Method</v>
      </c>
      <c r="D7" s="36"/>
      <c r="E7" s="742" t="str">
        <f>Translation!B117</f>
        <v>Luminance and Illuminance calculations can be done based on either IES or CIE standard. The output file reflects the method chosen here.</v>
      </c>
      <c r="F7" s="743"/>
      <c r="G7" s="743"/>
      <c r="H7" s="743"/>
      <c r="I7" s="743"/>
    </row>
    <row r="8" spans="1:27" s="225" customFormat="1" ht="19.5" customHeight="1">
      <c r="A8" s="225" t="s">
        <v>188</v>
      </c>
      <c r="C8" s="888"/>
      <c r="D8" s="888"/>
      <c r="E8" s="888"/>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c r="E21" s="527" t="str">
        <f>E20</f>
        <v>unitless</v>
      </c>
      <c r="F21" s="683"/>
      <c r="G21" s="685" t="str">
        <f>Translation!B455</f>
        <v>Longitudinal Uniformity (min/max)</v>
      </c>
      <c r="H21" s="600"/>
      <c r="I21" s="527" t="str">
        <f>I20</f>
        <v>unitless</v>
      </c>
    </row>
    <row r="22" spans="1:9" s="225" customFormat="1" ht="30" customHeight="1">
      <c r="A22" s="225" t="s">
        <v>188</v>
      </c>
      <c r="C22" s="719"/>
      <c r="D22" s="719"/>
      <c r="E22" s="719"/>
    </row>
    <row r="23" spans="1:9" s="225" customFormat="1">
      <c r="A23" s="225" t="s">
        <v>188</v>
      </c>
      <c r="C23" s="718"/>
      <c r="D23" s="718"/>
      <c r="E23" s="718"/>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886" t="str">
        <f>Translation!B156</f>
        <v>Illumination Engineering Society of North America (IESNA)</v>
      </c>
      <c r="C37" s="887"/>
      <c r="D37" s="887"/>
      <c r="E37" s="887"/>
      <c r="F37" s="887"/>
      <c r="G37" s="887"/>
      <c r="H37" s="887"/>
      <c r="I37" s="887"/>
      <c r="J37" s="887"/>
      <c r="K37" s="887"/>
      <c r="L37" s="887"/>
      <c r="M37" s="887"/>
    </row>
    <row r="38" spans="1:13">
      <c r="A38" s="128" t="s">
        <v>187</v>
      </c>
    </row>
    <row r="39" spans="1:13" ht="15" customHeight="1">
      <c r="A39" s="128" t="s">
        <v>187</v>
      </c>
      <c r="C39" s="720"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21"/>
      <c r="E39" s="721"/>
      <c r="F39" s="721"/>
      <c r="G39" s="721"/>
      <c r="H39" s="721"/>
      <c r="I39" s="721"/>
      <c r="J39" s="721"/>
      <c r="K39" s="721"/>
      <c r="L39" s="721"/>
      <c r="M39" s="722"/>
    </row>
    <row r="40" spans="1:13">
      <c r="A40" s="128" t="s">
        <v>187</v>
      </c>
      <c r="C40" s="723"/>
      <c r="D40" s="724"/>
      <c r="E40" s="724"/>
      <c r="F40" s="724"/>
      <c r="G40" s="724"/>
      <c r="H40" s="724"/>
      <c r="I40" s="724"/>
      <c r="J40" s="724"/>
      <c r="K40" s="724"/>
      <c r="L40" s="724"/>
      <c r="M40" s="725"/>
    </row>
    <row r="41" spans="1:13">
      <c r="A41" s="128" t="s">
        <v>187</v>
      </c>
      <c r="C41" s="723"/>
      <c r="D41" s="724"/>
      <c r="E41" s="724"/>
      <c r="F41" s="724"/>
      <c r="G41" s="724"/>
      <c r="H41" s="724"/>
      <c r="I41" s="724"/>
      <c r="J41" s="724"/>
      <c r="K41" s="724"/>
      <c r="L41" s="724"/>
      <c r="M41" s="725"/>
    </row>
    <row r="42" spans="1:13">
      <c r="A42" s="128" t="s">
        <v>187</v>
      </c>
      <c r="C42" s="723"/>
      <c r="D42" s="724"/>
      <c r="E42" s="724"/>
      <c r="F42" s="724"/>
      <c r="G42" s="724"/>
      <c r="H42" s="724"/>
      <c r="I42" s="724"/>
      <c r="J42" s="724"/>
      <c r="K42" s="724"/>
      <c r="L42" s="724"/>
      <c r="M42" s="725"/>
    </row>
    <row r="43" spans="1:13">
      <c r="A43" s="128" t="s">
        <v>187</v>
      </c>
      <c r="C43" s="723"/>
      <c r="D43" s="724"/>
      <c r="E43" s="724"/>
      <c r="F43" s="724"/>
      <c r="G43" s="724"/>
      <c r="H43" s="724"/>
      <c r="I43" s="724"/>
      <c r="J43" s="724"/>
      <c r="K43" s="724"/>
      <c r="L43" s="724"/>
      <c r="M43" s="725"/>
    </row>
    <row r="44" spans="1:13">
      <c r="A44" s="128" t="s">
        <v>187</v>
      </c>
      <c r="C44" s="723"/>
      <c r="D44" s="724"/>
      <c r="E44" s="724"/>
      <c r="F44" s="724"/>
      <c r="G44" s="724"/>
      <c r="H44" s="724"/>
      <c r="I44" s="724"/>
      <c r="J44" s="724"/>
      <c r="K44" s="724"/>
      <c r="L44" s="724"/>
      <c r="M44" s="725"/>
    </row>
    <row r="45" spans="1:13">
      <c r="A45" s="128" t="s">
        <v>187</v>
      </c>
      <c r="C45" s="723"/>
      <c r="D45" s="724"/>
      <c r="E45" s="724"/>
      <c r="F45" s="724"/>
      <c r="G45" s="724"/>
      <c r="H45" s="724"/>
      <c r="I45" s="724"/>
      <c r="J45" s="724"/>
      <c r="K45" s="724"/>
      <c r="L45" s="724"/>
      <c r="M45" s="725"/>
    </row>
    <row r="46" spans="1:13" ht="15" customHeight="1">
      <c r="A46" s="128" t="s">
        <v>187</v>
      </c>
      <c r="C46" s="723"/>
      <c r="D46" s="724"/>
      <c r="E46" s="724"/>
      <c r="F46" s="724"/>
      <c r="G46" s="724"/>
      <c r="H46" s="724"/>
      <c r="I46" s="724"/>
      <c r="J46" s="724"/>
      <c r="K46" s="724"/>
      <c r="L46" s="724"/>
      <c r="M46" s="725"/>
    </row>
    <row r="47" spans="1:13">
      <c r="A47" s="128" t="s">
        <v>187</v>
      </c>
      <c r="C47" s="723"/>
      <c r="D47" s="724"/>
      <c r="E47" s="724"/>
      <c r="F47" s="724"/>
      <c r="G47" s="724"/>
      <c r="H47" s="724"/>
      <c r="I47" s="724"/>
      <c r="J47" s="724"/>
      <c r="K47" s="724"/>
      <c r="L47" s="724"/>
      <c r="M47" s="725"/>
    </row>
    <row r="48" spans="1:13">
      <c r="A48" s="128" t="s">
        <v>187</v>
      </c>
      <c r="C48" s="723"/>
      <c r="D48" s="724"/>
      <c r="E48" s="724"/>
      <c r="F48" s="724"/>
      <c r="G48" s="724"/>
      <c r="H48" s="724"/>
      <c r="I48" s="724"/>
      <c r="J48" s="724"/>
      <c r="K48" s="724"/>
      <c r="L48" s="724"/>
      <c r="M48" s="725"/>
    </row>
    <row r="49" spans="1:13">
      <c r="A49" s="128" t="s">
        <v>187</v>
      </c>
      <c r="C49" s="723"/>
      <c r="D49" s="724"/>
      <c r="E49" s="724"/>
      <c r="F49" s="724"/>
      <c r="G49" s="724"/>
      <c r="H49" s="724"/>
      <c r="I49" s="724"/>
      <c r="J49" s="724"/>
      <c r="K49" s="724"/>
      <c r="L49" s="724"/>
      <c r="M49" s="725"/>
    </row>
    <row r="50" spans="1:13">
      <c r="A50" s="128" t="s">
        <v>187</v>
      </c>
      <c r="C50" s="723"/>
      <c r="D50" s="724"/>
      <c r="E50" s="724"/>
      <c r="F50" s="724"/>
      <c r="G50" s="724"/>
      <c r="H50" s="724"/>
      <c r="I50" s="724"/>
      <c r="J50" s="724"/>
      <c r="K50" s="724"/>
      <c r="L50" s="724"/>
      <c r="M50" s="725"/>
    </row>
    <row r="51" spans="1:13">
      <c r="A51" s="128" t="s">
        <v>187</v>
      </c>
      <c r="C51" s="723"/>
      <c r="D51" s="724"/>
      <c r="E51" s="724"/>
      <c r="F51" s="724"/>
      <c r="G51" s="724"/>
      <c r="H51" s="724"/>
      <c r="I51" s="724"/>
      <c r="J51" s="724"/>
      <c r="K51" s="724"/>
      <c r="L51" s="724"/>
      <c r="M51" s="725"/>
    </row>
    <row r="52" spans="1:13">
      <c r="A52" s="128" t="s">
        <v>187</v>
      </c>
      <c r="C52" s="726"/>
      <c r="D52" s="727"/>
      <c r="E52" s="727"/>
      <c r="F52" s="727"/>
      <c r="G52" s="727"/>
      <c r="H52" s="727"/>
      <c r="I52" s="727"/>
      <c r="J52" s="727"/>
      <c r="K52" s="727"/>
      <c r="L52" s="727"/>
      <c r="M52" s="728"/>
    </row>
    <row r="53" spans="1:13" ht="15.75" thickBot="1">
      <c r="A53" s="128" t="s">
        <v>187</v>
      </c>
    </row>
    <row r="54" spans="1:13" ht="15.75" thickBot="1">
      <c r="A54" s="128" t="s">
        <v>187</v>
      </c>
      <c r="C54" s="799" t="str">
        <f>Translation!B191</f>
        <v>Table 1: IESNA Illuminance Method - Recommended Values</v>
      </c>
      <c r="D54" s="800"/>
      <c r="E54" s="800"/>
      <c r="F54" s="800"/>
      <c r="G54" s="800"/>
      <c r="H54" s="800"/>
      <c r="I54" s="800"/>
      <c r="J54" s="800"/>
      <c r="K54" s="800"/>
      <c r="L54" s="800"/>
      <c r="M54" s="801"/>
    </row>
    <row r="55" spans="1:13" ht="15" customHeight="1">
      <c r="A55" s="128" t="s">
        <v>187</v>
      </c>
      <c r="C55" s="752" t="str">
        <f>Translation!B184</f>
        <v>Road and Pedestrian Conflict Area</v>
      </c>
      <c r="D55" s="753"/>
      <c r="E55" s="753"/>
      <c r="F55" s="754"/>
      <c r="G55" s="228"/>
      <c r="H55" s="229" t="str">
        <f>Translation!B154</f>
        <v>Illuminance Target (Iavg)</v>
      </c>
      <c r="I55" s="230"/>
      <c r="J55" s="817" t="str">
        <f>Translation!B199</f>
        <v>Uniformity Ratio Eavg/Emin</v>
      </c>
      <c r="K55" s="783"/>
      <c r="L55" s="851" t="str">
        <f>Translation!B201</f>
        <v>Veiling Luminance Ratio                   Lvmax/Lavg</v>
      </c>
      <c r="M55" s="852"/>
    </row>
    <row r="56" spans="1:13" ht="15" customHeight="1">
      <c r="A56" s="128" t="s">
        <v>187</v>
      </c>
      <c r="C56" s="755"/>
      <c r="D56" s="756"/>
      <c r="E56" s="756"/>
      <c r="F56" s="757"/>
      <c r="G56" s="860" t="str">
        <f>Translation!B179</f>
        <v>Pavement Classification
(Minimum Maintained Average Values)</v>
      </c>
      <c r="H56" s="861"/>
      <c r="I56" s="862"/>
      <c r="J56" s="818"/>
      <c r="K56" s="819"/>
      <c r="L56" s="853"/>
      <c r="M56" s="854"/>
    </row>
    <row r="57" spans="1:13">
      <c r="A57" s="128" t="s">
        <v>187</v>
      </c>
      <c r="C57" s="758"/>
      <c r="D57" s="759"/>
      <c r="E57" s="759"/>
      <c r="F57" s="760"/>
      <c r="G57" s="863"/>
      <c r="H57" s="864"/>
      <c r="I57" s="865"/>
      <c r="J57" s="818"/>
      <c r="K57" s="819"/>
      <c r="L57" s="853"/>
      <c r="M57" s="854"/>
    </row>
    <row r="58" spans="1:13" ht="15" customHeight="1">
      <c r="A58" s="128" t="s">
        <v>187</v>
      </c>
      <c r="C58" s="803" t="str">
        <f>Translation!B183</f>
        <v>Road</v>
      </c>
      <c r="D58" s="804"/>
      <c r="E58" s="842" t="str">
        <f>Translation!B180</f>
        <v>Pedestrian Conflict Areas</v>
      </c>
      <c r="F58" s="843"/>
      <c r="G58" s="849" t="s">
        <v>190</v>
      </c>
      <c r="H58" s="849" t="s">
        <v>191</v>
      </c>
      <c r="I58" s="849" t="s">
        <v>192</v>
      </c>
      <c r="J58" s="818"/>
      <c r="K58" s="819"/>
      <c r="L58" s="853"/>
      <c r="M58" s="854"/>
    </row>
    <row r="59" spans="1:13" ht="15.75" thickBot="1">
      <c r="A59" s="128" t="s">
        <v>187</v>
      </c>
      <c r="C59" s="805"/>
      <c r="D59" s="806"/>
      <c r="E59" s="844"/>
      <c r="F59" s="845"/>
      <c r="G59" s="850"/>
      <c r="H59" s="850"/>
      <c r="I59" s="850"/>
      <c r="J59" s="820"/>
      <c r="K59" s="785"/>
      <c r="L59" s="855"/>
      <c r="M59" s="856"/>
    </row>
    <row r="60" spans="1:13" ht="15" customHeight="1">
      <c r="A60" s="128" t="s">
        <v>187</v>
      </c>
      <c r="C60" s="807" t="str">
        <f>Translation!B148</f>
        <v>Freeway Class A</v>
      </c>
      <c r="D60" s="808"/>
      <c r="E60" s="767"/>
      <c r="F60" s="769"/>
      <c r="G60" s="231">
        <v>6</v>
      </c>
      <c r="H60" s="231">
        <v>9</v>
      </c>
      <c r="I60" s="231">
        <v>8</v>
      </c>
      <c r="J60" s="767">
        <v>3</v>
      </c>
      <c r="K60" s="769"/>
      <c r="L60" s="767">
        <v>0.3</v>
      </c>
      <c r="M60" s="846"/>
    </row>
    <row r="61" spans="1:13">
      <c r="A61" s="128" t="s">
        <v>187</v>
      </c>
      <c r="C61" s="857" t="str">
        <f>Translation!B149</f>
        <v>Freeway Class B</v>
      </c>
      <c r="D61" s="858"/>
      <c r="E61" s="761"/>
      <c r="F61" s="762"/>
      <c r="G61" s="232">
        <v>4</v>
      </c>
      <c r="H61" s="232">
        <v>6</v>
      </c>
      <c r="I61" s="232">
        <v>5</v>
      </c>
      <c r="J61" s="761">
        <v>3</v>
      </c>
      <c r="K61" s="762"/>
      <c r="L61" s="761">
        <v>0.3</v>
      </c>
      <c r="M61" s="847"/>
    </row>
    <row r="62" spans="1:13">
      <c r="A62" s="128" t="s">
        <v>187</v>
      </c>
      <c r="C62" s="770" t="str">
        <f>Translation!B147</f>
        <v>Expressway</v>
      </c>
      <c r="D62" s="771"/>
      <c r="E62" s="761" t="str">
        <f>Translation!B150</f>
        <v>High</v>
      </c>
      <c r="F62" s="762"/>
      <c r="G62" s="232">
        <v>10</v>
      </c>
      <c r="H62" s="232">
        <v>14</v>
      </c>
      <c r="I62" s="232">
        <v>13</v>
      </c>
      <c r="J62" s="761">
        <v>3</v>
      </c>
      <c r="K62" s="762"/>
      <c r="L62" s="761">
        <v>0.3</v>
      </c>
      <c r="M62" s="847"/>
    </row>
    <row r="63" spans="1:13">
      <c r="A63" s="128" t="s">
        <v>187</v>
      </c>
      <c r="C63" s="772"/>
      <c r="D63" s="773"/>
      <c r="E63" s="761" t="str">
        <f>Translation!B288</f>
        <v>Medium</v>
      </c>
      <c r="F63" s="762"/>
      <c r="G63" s="232">
        <v>8</v>
      </c>
      <c r="H63" s="232">
        <v>12</v>
      </c>
      <c r="I63" s="232">
        <v>10</v>
      </c>
      <c r="J63" s="761">
        <v>3</v>
      </c>
      <c r="K63" s="762"/>
      <c r="L63" s="761">
        <v>0.3</v>
      </c>
      <c r="M63" s="847"/>
    </row>
    <row r="64" spans="1:13">
      <c r="A64" s="128" t="s">
        <v>187</v>
      </c>
      <c r="C64" s="809"/>
      <c r="D64" s="810"/>
      <c r="E64" s="761" t="str">
        <f>Translation!B160</f>
        <v>Low</v>
      </c>
      <c r="F64" s="762"/>
      <c r="G64" s="232">
        <v>6</v>
      </c>
      <c r="H64" s="232">
        <v>9</v>
      </c>
      <c r="I64" s="232">
        <v>8</v>
      </c>
      <c r="J64" s="761">
        <v>3</v>
      </c>
      <c r="K64" s="762"/>
      <c r="L64" s="761">
        <v>0.3</v>
      </c>
      <c r="M64" s="847"/>
    </row>
    <row r="65" spans="1:14">
      <c r="A65" s="128" t="s">
        <v>187</v>
      </c>
      <c r="C65" s="770" t="str">
        <f>Translation!B165</f>
        <v>Major</v>
      </c>
      <c r="D65" s="771"/>
      <c r="E65" s="761" t="str">
        <f>Translation!B150</f>
        <v>High</v>
      </c>
      <c r="F65" s="762"/>
      <c r="G65" s="232">
        <v>12</v>
      </c>
      <c r="H65" s="232">
        <v>17</v>
      </c>
      <c r="I65" s="232">
        <v>15</v>
      </c>
      <c r="J65" s="761">
        <v>3</v>
      </c>
      <c r="K65" s="762"/>
      <c r="L65" s="761">
        <v>0.3</v>
      </c>
      <c r="M65" s="847"/>
    </row>
    <row r="66" spans="1:14">
      <c r="A66" s="128" t="s">
        <v>187</v>
      </c>
      <c r="C66" s="772"/>
      <c r="D66" s="773"/>
      <c r="E66" s="761" t="str">
        <f>Translation!B288</f>
        <v>Medium</v>
      </c>
      <c r="F66" s="762"/>
      <c r="G66" s="232">
        <v>9</v>
      </c>
      <c r="H66" s="232">
        <v>13</v>
      </c>
      <c r="I66" s="232">
        <v>11</v>
      </c>
      <c r="J66" s="761">
        <v>3</v>
      </c>
      <c r="K66" s="762"/>
      <c r="L66" s="761">
        <v>0.3</v>
      </c>
      <c r="M66" s="847"/>
    </row>
    <row r="67" spans="1:14">
      <c r="A67" s="128" t="s">
        <v>187</v>
      </c>
      <c r="C67" s="809"/>
      <c r="D67" s="810"/>
      <c r="E67" s="761" t="str">
        <f>Translation!B160</f>
        <v>Low</v>
      </c>
      <c r="F67" s="762"/>
      <c r="G67" s="232">
        <v>6</v>
      </c>
      <c r="H67" s="232">
        <v>9</v>
      </c>
      <c r="I67" s="232">
        <v>8</v>
      </c>
      <c r="J67" s="761">
        <v>3</v>
      </c>
      <c r="K67" s="762"/>
      <c r="L67" s="761">
        <v>0.3</v>
      </c>
      <c r="M67" s="847"/>
    </row>
    <row r="68" spans="1:14">
      <c r="A68" s="128" t="s">
        <v>187</v>
      </c>
      <c r="C68" s="770" t="str">
        <f>Translation!B145</f>
        <v>Collector</v>
      </c>
      <c r="D68" s="771"/>
      <c r="E68" s="761" t="str">
        <f>Translation!B150</f>
        <v>High</v>
      </c>
      <c r="F68" s="762"/>
      <c r="G68" s="232">
        <v>8</v>
      </c>
      <c r="H68" s="232">
        <v>12</v>
      </c>
      <c r="I68" s="232">
        <v>10</v>
      </c>
      <c r="J68" s="761">
        <v>4</v>
      </c>
      <c r="K68" s="762"/>
      <c r="L68" s="761">
        <v>0.4</v>
      </c>
      <c r="M68" s="847"/>
    </row>
    <row r="69" spans="1:14">
      <c r="A69" s="128" t="s">
        <v>187</v>
      </c>
      <c r="C69" s="772"/>
      <c r="D69" s="773"/>
      <c r="E69" s="761" t="str">
        <f>Translation!B288</f>
        <v>Medium</v>
      </c>
      <c r="F69" s="762"/>
      <c r="G69" s="232">
        <v>6</v>
      </c>
      <c r="H69" s="232">
        <v>9</v>
      </c>
      <c r="I69" s="232">
        <v>8</v>
      </c>
      <c r="J69" s="761">
        <v>4</v>
      </c>
      <c r="K69" s="762"/>
      <c r="L69" s="761">
        <v>0.4</v>
      </c>
      <c r="M69" s="847"/>
    </row>
    <row r="70" spans="1:14">
      <c r="A70" s="128" t="s">
        <v>187</v>
      </c>
      <c r="C70" s="809"/>
      <c r="D70" s="810"/>
      <c r="E70" s="761" t="str">
        <f>Translation!B160</f>
        <v>Low</v>
      </c>
      <c r="F70" s="762"/>
      <c r="G70" s="232">
        <v>4</v>
      </c>
      <c r="H70" s="232">
        <v>6</v>
      </c>
      <c r="I70" s="232">
        <v>5</v>
      </c>
      <c r="J70" s="761">
        <v>4</v>
      </c>
      <c r="K70" s="762"/>
      <c r="L70" s="761">
        <v>0.4</v>
      </c>
      <c r="M70" s="847"/>
    </row>
    <row r="71" spans="1:14">
      <c r="A71" s="128" t="s">
        <v>187</v>
      </c>
      <c r="C71" s="770" t="str">
        <f>Translation!B159</f>
        <v>Local</v>
      </c>
      <c r="D71" s="771"/>
      <c r="E71" s="761" t="str">
        <f>Translation!B150</f>
        <v>High</v>
      </c>
      <c r="F71" s="762"/>
      <c r="G71" s="232">
        <v>6</v>
      </c>
      <c r="H71" s="232">
        <v>9</v>
      </c>
      <c r="I71" s="232">
        <v>8</v>
      </c>
      <c r="J71" s="761">
        <v>6</v>
      </c>
      <c r="K71" s="762"/>
      <c r="L71" s="761">
        <v>0.4</v>
      </c>
      <c r="M71" s="847"/>
    </row>
    <row r="72" spans="1:14">
      <c r="A72" s="128" t="s">
        <v>187</v>
      </c>
      <c r="C72" s="772"/>
      <c r="D72" s="773"/>
      <c r="E72" s="761" t="str">
        <f>Translation!B288</f>
        <v>Medium</v>
      </c>
      <c r="F72" s="762"/>
      <c r="G72" s="232">
        <v>5</v>
      </c>
      <c r="H72" s="232">
        <v>7</v>
      </c>
      <c r="I72" s="232">
        <v>6</v>
      </c>
      <c r="J72" s="761">
        <v>6</v>
      </c>
      <c r="K72" s="762"/>
      <c r="L72" s="761">
        <v>0.4</v>
      </c>
      <c r="M72" s="847"/>
    </row>
    <row r="73" spans="1:14" ht="15.75" thickBot="1">
      <c r="A73" s="128" t="s">
        <v>187</v>
      </c>
      <c r="C73" s="774"/>
      <c r="D73" s="775"/>
      <c r="E73" s="776" t="str">
        <f>Translation!B160</f>
        <v>Low</v>
      </c>
      <c r="F73" s="778"/>
      <c r="G73" s="233">
        <v>3</v>
      </c>
      <c r="H73" s="233">
        <v>4</v>
      </c>
      <c r="I73" s="233">
        <v>4</v>
      </c>
      <c r="J73" s="776">
        <v>6</v>
      </c>
      <c r="K73" s="778"/>
      <c r="L73" s="776">
        <v>0.4</v>
      </c>
      <c r="M73" s="848"/>
    </row>
    <row r="74" spans="1:14" ht="15.75" thickBot="1">
      <c r="A74" s="128" t="s">
        <v>187</v>
      </c>
    </row>
    <row r="75" spans="1:14" ht="15" customHeight="1" thickBot="1">
      <c r="A75" s="128" t="s">
        <v>187</v>
      </c>
      <c r="C75" s="799" t="str">
        <f>Translation!B287</f>
        <v>Table 2: IESNA Luminance Method - Recommended Values</v>
      </c>
      <c r="D75" s="800"/>
      <c r="E75" s="800"/>
      <c r="F75" s="800"/>
      <c r="G75" s="800"/>
      <c r="H75" s="800"/>
      <c r="I75" s="800"/>
      <c r="J75" s="800"/>
      <c r="K75" s="800"/>
      <c r="L75" s="800"/>
      <c r="M75" s="800"/>
      <c r="N75" s="801"/>
    </row>
    <row r="76" spans="1:14" ht="15" customHeight="1">
      <c r="A76" s="128" t="s">
        <v>187</v>
      </c>
      <c r="C76" s="752" t="str">
        <f>Translation!B184</f>
        <v>Road and Pedestrian Conflict Area</v>
      </c>
      <c r="D76" s="753"/>
      <c r="E76" s="753"/>
      <c r="F76" s="754"/>
      <c r="G76" s="814" t="s">
        <v>347</v>
      </c>
      <c r="H76" s="754"/>
      <c r="I76" s="817" t="s">
        <v>348</v>
      </c>
      <c r="J76" s="783"/>
      <c r="K76" s="821" t="s">
        <v>349</v>
      </c>
      <c r="L76" s="822"/>
      <c r="M76" s="782" t="s">
        <v>350</v>
      </c>
      <c r="N76" s="838"/>
    </row>
    <row r="77" spans="1:14">
      <c r="A77" s="128" t="s">
        <v>187</v>
      </c>
      <c r="C77" s="755"/>
      <c r="D77" s="756"/>
      <c r="E77" s="756"/>
      <c r="F77" s="757"/>
      <c r="G77" s="815"/>
      <c r="H77" s="757"/>
      <c r="I77" s="818"/>
      <c r="J77" s="819"/>
      <c r="K77" s="823"/>
      <c r="L77" s="824"/>
      <c r="M77" s="839"/>
      <c r="N77" s="840"/>
    </row>
    <row r="78" spans="1:14" ht="15" customHeight="1">
      <c r="A78" s="128" t="s">
        <v>187</v>
      </c>
      <c r="C78" s="758"/>
      <c r="D78" s="759"/>
      <c r="E78" s="759"/>
      <c r="F78" s="760"/>
      <c r="G78" s="815"/>
      <c r="H78" s="757"/>
      <c r="I78" s="818"/>
      <c r="J78" s="819"/>
      <c r="K78" s="823"/>
      <c r="L78" s="824"/>
      <c r="M78" s="839"/>
      <c r="N78" s="840"/>
    </row>
    <row r="79" spans="1:14" ht="15" customHeight="1">
      <c r="A79" s="128" t="s">
        <v>187</v>
      </c>
      <c r="C79" s="803" t="str">
        <f>Translation!B183</f>
        <v>Road</v>
      </c>
      <c r="D79" s="804"/>
      <c r="E79" s="842" t="str">
        <f>Translation!B180</f>
        <v>Pedestrian Conflict Areas</v>
      </c>
      <c r="F79" s="843"/>
      <c r="G79" s="815"/>
      <c r="H79" s="757"/>
      <c r="I79" s="818"/>
      <c r="J79" s="819"/>
      <c r="K79" s="823"/>
      <c r="L79" s="824"/>
      <c r="M79" s="839"/>
      <c r="N79" s="840"/>
    </row>
    <row r="80" spans="1:14" ht="15.75" thickBot="1">
      <c r="A80" s="128" t="s">
        <v>187</v>
      </c>
      <c r="C80" s="805"/>
      <c r="D80" s="806"/>
      <c r="E80" s="844"/>
      <c r="F80" s="845"/>
      <c r="G80" s="816"/>
      <c r="H80" s="806"/>
      <c r="I80" s="820"/>
      <c r="J80" s="785"/>
      <c r="K80" s="825"/>
      <c r="L80" s="826"/>
      <c r="M80" s="784"/>
      <c r="N80" s="841"/>
    </row>
    <row r="81" spans="1:14">
      <c r="A81" s="128" t="s">
        <v>187</v>
      </c>
      <c r="C81" s="807" t="str">
        <f>Translation!B148</f>
        <v>Freeway Class A</v>
      </c>
      <c r="D81" s="808"/>
      <c r="E81" s="767"/>
      <c r="F81" s="769"/>
      <c r="G81" s="767">
        <v>0.6</v>
      </c>
      <c r="H81" s="769"/>
      <c r="I81" s="767">
        <v>3.5</v>
      </c>
      <c r="J81" s="769"/>
      <c r="K81" s="767">
        <v>6</v>
      </c>
      <c r="L81" s="846"/>
      <c r="M81" s="866">
        <v>0.3</v>
      </c>
      <c r="N81" s="846"/>
    </row>
    <row r="82" spans="1:14">
      <c r="A82" s="128" t="s">
        <v>187</v>
      </c>
      <c r="C82" s="857" t="str">
        <f>Translation!B149</f>
        <v>Freeway Class B</v>
      </c>
      <c r="D82" s="858"/>
      <c r="E82" s="761"/>
      <c r="F82" s="762"/>
      <c r="G82" s="761">
        <v>0.4</v>
      </c>
      <c r="H82" s="762"/>
      <c r="I82" s="761">
        <v>3.5</v>
      </c>
      <c r="J82" s="762"/>
      <c r="K82" s="761">
        <v>6</v>
      </c>
      <c r="L82" s="847"/>
      <c r="M82" s="859">
        <v>0.3</v>
      </c>
      <c r="N82" s="847"/>
    </row>
    <row r="83" spans="1:14">
      <c r="A83" s="128" t="s">
        <v>187</v>
      </c>
      <c r="C83" s="770" t="str">
        <f>Translation!B147</f>
        <v>Expressway</v>
      </c>
      <c r="D83" s="771"/>
      <c r="E83" s="761" t="str">
        <f>Translation!B150</f>
        <v>High</v>
      </c>
      <c r="F83" s="762"/>
      <c r="G83" s="761">
        <v>1</v>
      </c>
      <c r="H83" s="762"/>
      <c r="I83" s="761">
        <v>3</v>
      </c>
      <c r="J83" s="762"/>
      <c r="K83" s="761">
        <v>5</v>
      </c>
      <c r="L83" s="847"/>
      <c r="M83" s="859">
        <v>0.3</v>
      </c>
      <c r="N83" s="847"/>
    </row>
    <row r="84" spans="1:14">
      <c r="A84" s="128" t="s">
        <v>187</v>
      </c>
      <c r="C84" s="772"/>
      <c r="D84" s="773"/>
      <c r="E84" s="761" t="str">
        <f>Translation!B288</f>
        <v>Medium</v>
      </c>
      <c r="F84" s="762"/>
      <c r="G84" s="761">
        <v>0.8</v>
      </c>
      <c r="H84" s="762"/>
      <c r="I84" s="761">
        <v>3</v>
      </c>
      <c r="J84" s="762"/>
      <c r="K84" s="761">
        <v>5</v>
      </c>
      <c r="L84" s="847"/>
      <c r="M84" s="859">
        <v>0.3</v>
      </c>
      <c r="N84" s="847"/>
    </row>
    <row r="85" spans="1:14">
      <c r="A85" s="128" t="s">
        <v>187</v>
      </c>
      <c r="C85" s="809"/>
      <c r="D85" s="810"/>
      <c r="E85" s="761" t="str">
        <f>Translation!B160</f>
        <v>Low</v>
      </c>
      <c r="F85" s="762"/>
      <c r="G85" s="761">
        <v>0.6</v>
      </c>
      <c r="H85" s="762"/>
      <c r="I85" s="761">
        <v>3.5</v>
      </c>
      <c r="J85" s="762"/>
      <c r="K85" s="761">
        <v>6</v>
      </c>
      <c r="L85" s="847"/>
      <c r="M85" s="859">
        <v>0.3</v>
      </c>
      <c r="N85" s="847"/>
    </row>
    <row r="86" spans="1:14">
      <c r="A86" s="128" t="s">
        <v>187</v>
      </c>
      <c r="C86" s="770" t="str">
        <f>Translation!B165</f>
        <v>Major</v>
      </c>
      <c r="D86" s="771"/>
      <c r="E86" s="761" t="str">
        <f>Translation!B150</f>
        <v>High</v>
      </c>
      <c r="F86" s="762"/>
      <c r="G86" s="761">
        <v>1.2</v>
      </c>
      <c r="H86" s="762"/>
      <c r="I86" s="761">
        <v>3</v>
      </c>
      <c r="J86" s="762"/>
      <c r="K86" s="761">
        <v>5</v>
      </c>
      <c r="L86" s="847"/>
      <c r="M86" s="859">
        <v>0.3</v>
      </c>
      <c r="N86" s="847"/>
    </row>
    <row r="87" spans="1:14">
      <c r="A87" s="128" t="s">
        <v>187</v>
      </c>
      <c r="C87" s="772"/>
      <c r="D87" s="773"/>
      <c r="E87" s="761" t="str">
        <f>Translation!B288</f>
        <v>Medium</v>
      </c>
      <c r="F87" s="762"/>
      <c r="G87" s="761">
        <v>0.9</v>
      </c>
      <c r="H87" s="762"/>
      <c r="I87" s="761">
        <v>3</v>
      </c>
      <c r="J87" s="762"/>
      <c r="K87" s="761">
        <v>5</v>
      </c>
      <c r="L87" s="847"/>
      <c r="M87" s="859">
        <v>0.3</v>
      </c>
      <c r="N87" s="847"/>
    </row>
    <row r="88" spans="1:14">
      <c r="A88" s="128" t="s">
        <v>187</v>
      </c>
      <c r="C88" s="809"/>
      <c r="D88" s="810"/>
      <c r="E88" s="761" t="str">
        <f>Translation!B160</f>
        <v>Low</v>
      </c>
      <c r="F88" s="762"/>
      <c r="G88" s="761">
        <v>0.6</v>
      </c>
      <c r="H88" s="762"/>
      <c r="I88" s="761">
        <v>3.5</v>
      </c>
      <c r="J88" s="762"/>
      <c r="K88" s="761">
        <v>6</v>
      </c>
      <c r="L88" s="847"/>
      <c r="M88" s="859">
        <v>0.3</v>
      </c>
      <c r="N88" s="847"/>
    </row>
    <row r="89" spans="1:14">
      <c r="A89" s="128" t="s">
        <v>187</v>
      </c>
      <c r="C89" s="770" t="str">
        <f>Translation!B145</f>
        <v>Collector</v>
      </c>
      <c r="D89" s="771"/>
      <c r="E89" s="761" t="str">
        <f>Translation!B150</f>
        <v>High</v>
      </c>
      <c r="F89" s="762"/>
      <c r="G89" s="761">
        <v>0.8</v>
      </c>
      <c r="H89" s="762"/>
      <c r="I89" s="761">
        <v>3</v>
      </c>
      <c r="J89" s="762"/>
      <c r="K89" s="761">
        <v>5</v>
      </c>
      <c r="L89" s="847"/>
      <c r="M89" s="859">
        <v>0.4</v>
      </c>
      <c r="N89" s="847"/>
    </row>
    <row r="90" spans="1:14">
      <c r="A90" s="128" t="s">
        <v>187</v>
      </c>
      <c r="C90" s="772"/>
      <c r="D90" s="773"/>
      <c r="E90" s="761" t="str">
        <f>Translation!B288</f>
        <v>Medium</v>
      </c>
      <c r="F90" s="762"/>
      <c r="G90" s="761">
        <v>0.6</v>
      </c>
      <c r="H90" s="762"/>
      <c r="I90" s="761">
        <v>3.5</v>
      </c>
      <c r="J90" s="762"/>
      <c r="K90" s="761">
        <v>6</v>
      </c>
      <c r="L90" s="847"/>
      <c r="M90" s="859">
        <v>0.4</v>
      </c>
      <c r="N90" s="847"/>
    </row>
    <row r="91" spans="1:14">
      <c r="A91" s="128" t="s">
        <v>187</v>
      </c>
      <c r="C91" s="809"/>
      <c r="D91" s="810"/>
      <c r="E91" s="761" t="str">
        <f>Translation!B160</f>
        <v>Low</v>
      </c>
      <c r="F91" s="762"/>
      <c r="G91" s="761">
        <v>0.4</v>
      </c>
      <c r="H91" s="762"/>
      <c r="I91" s="761">
        <v>4</v>
      </c>
      <c r="J91" s="762"/>
      <c r="K91" s="761">
        <v>8</v>
      </c>
      <c r="L91" s="847"/>
      <c r="M91" s="859">
        <v>0.4</v>
      </c>
      <c r="N91" s="847"/>
    </row>
    <row r="92" spans="1:14">
      <c r="A92" s="128" t="s">
        <v>187</v>
      </c>
      <c r="C92" s="770" t="str">
        <f>Translation!B159</f>
        <v>Local</v>
      </c>
      <c r="D92" s="771"/>
      <c r="E92" s="761" t="str">
        <f>Translation!B150</f>
        <v>High</v>
      </c>
      <c r="F92" s="762"/>
      <c r="G92" s="761">
        <v>0.6</v>
      </c>
      <c r="H92" s="762"/>
      <c r="I92" s="761">
        <v>6</v>
      </c>
      <c r="J92" s="762"/>
      <c r="K92" s="761">
        <v>10</v>
      </c>
      <c r="L92" s="847"/>
      <c r="M92" s="859">
        <v>0.4</v>
      </c>
      <c r="N92" s="847"/>
    </row>
    <row r="93" spans="1:14">
      <c r="A93" s="128" t="s">
        <v>187</v>
      </c>
      <c r="C93" s="772"/>
      <c r="D93" s="773"/>
      <c r="E93" s="761" t="str">
        <f>Translation!B288</f>
        <v>Medium</v>
      </c>
      <c r="F93" s="762"/>
      <c r="G93" s="761">
        <v>0.5</v>
      </c>
      <c r="H93" s="762"/>
      <c r="I93" s="761">
        <v>6</v>
      </c>
      <c r="J93" s="762"/>
      <c r="K93" s="761">
        <v>10</v>
      </c>
      <c r="L93" s="847"/>
      <c r="M93" s="859">
        <v>0.4</v>
      </c>
      <c r="N93" s="847"/>
    </row>
    <row r="94" spans="1:14" ht="15.75" thickBot="1">
      <c r="A94" s="128" t="s">
        <v>187</v>
      </c>
      <c r="C94" s="774"/>
      <c r="D94" s="775"/>
      <c r="E94" s="776" t="str">
        <f>Translation!B160</f>
        <v>Low</v>
      </c>
      <c r="F94" s="778"/>
      <c r="G94" s="776">
        <v>0.3</v>
      </c>
      <c r="H94" s="778"/>
      <c r="I94" s="776">
        <v>6</v>
      </c>
      <c r="J94" s="778"/>
      <c r="K94" s="776">
        <v>10</v>
      </c>
      <c r="L94" s="848"/>
      <c r="M94" s="895">
        <v>0.4</v>
      </c>
      <c r="N94" s="848"/>
    </row>
    <row r="95" spans="1:14">
      <c r="A95" s="128" t="s">
        <v>187</v>
      </c>
    </row>
    <row r="96" spans="1:14" ht="15" customHeight="1">
      <c r="A96" s="128" t="s">
        <v>187</v>
      </c>
      <c r="C96" s="720"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21"/>
      <c r="E96" s="721"/>
      <c r="F96" s="721"/>
      <c r="G96" s="721"/>
      <c r="H96" s="721"/>
      <c r="I96" s="721"/>
      <c r="J96" s="721"/>
      <c r="K96" s="721"/>
      <c r="L96" s="721"/>
      <c r="M96" s="722"/>
    </row>
    <row r="97" spans="1:13">
      <c r="A97" s="128" t="s">
        <v>187</v>
      </c>
      <c r="C97" s="723"/>
      <c r="D97" s="724"/>
      <c r="E97" s="724"/>
      <c r="F97" s="724"/>
      <c r="G97" s="724"/>
      <c r="H97" s="724"/>
      <c r="I97" s="724"/>
      <c r="J97" s="724"/>
      <c r="K97" s="724"/>
      <c r="L97" s="724"/>
      <c r="M97" s="725"/>
    </row>
    <row r="98" spans="1:13">
      <c r="A98" s="128" t="s">
        <v>187</v>
      </c>
      <c r="C98" s="723"/>
      <c r="D98" s="724"/>
      <c r="E98" s="724"/>
      <c r="F98" s="724"/>
      <c r="G98" s="724"/>
      <c r="H98" s="724"/>
      <c r="I98" s="724"/>
      <c r="J98" s="724"/>
      <c r="K98" s="724"/>
      <c r="L98" s="724"/>
      <c r="M98" s="725"/>
    </row>
    <row r="99" spans="1:13">
      <c r="A99" s="128" t="s">
        <v>187</v>
      </c>
      <c r="C99" s="723"/>
      <c r="D99" s="724"/>
      <c r="E99" s="724"/>
      <c r="F99" s="724"/>
      <c r="G99" s="724"/>
      <c r="H99" s="724"/>
      <c r="I99" s="724"/>
      <c r="J99" s="724"/>
      <c r="K99" s="724"/>
      <c r="L99" s="724"/>
      <c r="M99" s="725"/>
    </row>
    <row r="100" spans="1:13">
      <c r="A100" s="128" t="s">
        <v>187</v>
      </c>
      <c r="C100" s="723"/>
      <c r="D100" s="724"/>
      <c r="E100" s="724"/>
      <c r="F100" s="724"/>
      <c r="G100" s="724"/>
      <c r="H100" s="724"/>
      <c r="I100" s="724"/>
      <c r="J100" s="724"/>
      <c r="K100" s="724"/>
      <c r="L100" s="724"/>
      <c r="M100" s="725"/>
    </row>
    <row r="101" spans="1:13">
      <c r="A101" s="128" t="s">
        <v>187</v>
      </c>
      <c r="C101" s="723"/>
      <c r="D101" s="724"/>
      <c r="E101" s="724"/>
      <c r="F101" s="724"/>
      <c r="G101" s="724"/>
      <c r="H101" s="724"/>
      <c r="I101" s="724"/>
      <c r="J101" s="724"/>
      <c r="K101" s="724"/>
      <c r="L101" s="724"/>
      <c r="M101" s="725"/>
    </row>
    <row r="102" spans="1:13">
      <c r="A102" s="128" t="s">
        <v>187</v>
      </c>
      <c r="C102" s="723"/>
      <c r="D102" s="724"/>
      <c r="E102" s="724"/>
      <c r="F102" s="724"/>
      <c r="G102" s="724"/>
      <c r="H102" s="724"/>
      <c r="I102" s="724"/>
      <c r="J102" s="724"/>
      <c r="K102" s="724"/>
      <c r="L102" s="724"/>
      <c r="M102" s="725"/>
    </row>
    <row r="103" spans="1:13">
      <c r="A103" s="128" t="s">
        <v>187</v>
      </c>
      <c r="C103" s="723"/>
      <c r="D103" s="724"/>
      <c r="E103" s="724"/>
      <c r="F103" s="724"/>
      <c r="G103" s="724"/>
      <c r="H103" s="724"/>
      <c r="I103" s="724"/>
      <c r="J103" s="724"/>
      <c r="K103" s="724"/>
      <c r="L103" s="724"/>
      <c r="M103" s="725"/>
    </row>
    <row r="104" spans="1:13">
      <c r="A104" s="128" t="s">
        <v>187</v>
      </c>
      <c r="C104" s="723"/>
      <c r="D104" s="724"/>
      <c r="E104" s="724"/>
      <c r="F104" s="724"/>
      <c r="G104" s="724"/>
      <c r="H104" s="724"/>
      <c r="I104" s="724"/>
      <c r="J104" s="724"/>
      <c r="K104" s="724"/>
      <c r="L104" s="724"/>
      <c r="M104" s="725"/>
    </row>
    <row r="105" spans="1:13">
      <c r="A105" s="128" t="s">
        <v>187</v>
      </c>
      <c r="C105" s="723"/>
      <c r="D105" s="724"/>
      <c r="E105" s="724"/>
      <c r="F105" s="724"/>
      <c r="G105" s="724"/>
      <c r="H105" s="724"/>
      <c r="I105" s="724"/>
      <c r="J105" s="724"/>
      <c r="K105" s="724"/>
      <c r="L105" s="724"/>
      <c r="M105" s="725"/>
    </row>
    <row r="106" spans="1:13">
      <c r="A106" s="128" t="s">
        <v>187</v>
      </c>
      <c r="C106" s="723"/>
      <c r="D106" s="724"/>
      <c r="E106" s="724"/>
      <c r="F106" s="724"/>
      <c r="G106" s="724"/>
      <c r="H106" s="724"/>
      <c r="I106" s="724"/>
      <c r="J106" s="724"/>
      <c r="K106" s="724"/>
      <c r="L106" s="724"/>
      <c r="M106" s="725"/>
    </row>
    <row r="107" spans="1:13">
      <c r="A107" s="128" t="s">
        <v>187</v>
      </c>
      <c r="C107" s="723"/>
      <c r="D107" s="724"/>
      <c r="E107" s="724"/>
      <c r="F107" s="724"/>
      <c r="G107" s="724"/>
      <c r="H107" s="724"/>
      <c r="I107" s="724"/>
      <c r="J107" s="724"/>
      <c r="K107" s="724"/>
      <c r="L107" s="724"/>
      <c r="M107" s="725"/>
    </row>
    <row r="108" spans="1:13">
      <c r="A108" s="128" t="s">
        <v>187</v>
      </c>
      <c r="C108" s="723"/>
      <c r="D108" s="724"/>
      <c r="E108" s="724"/>
      <c r="F108" s="724"/>
      <c r="G108" s="724"/>
      <c r="H108" s="724"/>
      <c r="I108" s="724"/>
      <c r="J108" s="724"/>
      <c r="K108" s="724"/>
      <c r="L108" s="724"/>
      <c r="M108" s="725"/>
    </row>
    <row r="109" spans="1:13">
      <c r="A109" s="128" t="s">
        <v>187</v>
      </c>
      <c r="C109" s="723"/>
      <c r="D109" s="724"/>
      <c r="E109" s="724"/>
      <c r="F109" s="724"/>
      <c r="G109" s="724"/>
      <c r="H109" s="724"/>
      <c r="I109" s="724"/>
      <c r="J109" s="724"/>
      <c r="K109" s="724"/>
      <c r="L109" s="724"/>
      <c r="M109" s="725"/>
    </row>
    <row r="110" spans="1:13">
      <c r="A110" s="128" t="s">
        <v>187</v>
      </c>
      <c r="C110" s="723"/>
      <c r="D110" s="724"/>
      <c r="E110" s="724"/>
      <c r="F110" s="724"/>
      <c r="G110" s="724"/>
      <c r="H110" s="724"/>
      <c r="I110" s="724"/>
      <c r="J110" s="724"/>
      <c r="K110" s="724"/>
      <c r="L110" s="724"/>
      <c r="M110" s="725"/>
    </row>
    <row r="111" spans="1:13">
      <c r="A111" s="128" t="s">
        <v>187</v>
      </c>
      <c r="C111" s="723"/>
      <c r="D111" s="724"/>
      <c r="E111" s="724"/>
      <c r="F111" s="724"/>
      <c r="G111" s="724"/>
      <c r="H111" s="724"/>
      <c r="I111" s="724"/>
      <c r="J111" s="724"/>
      <c r="K111" s="724"/>
      <c r="L111" s="724"/>
      <c r="M111" s="725"/>
    </row>
    <row r="112" spans="1:13">
      <c r="A112" s="128" t="s">
        <v>187</v>
      </c>
      <c r="C112" s="723"/>
      <c r="D112" s="724"/>
      <c r="E112" s="724"/>
      <c r="F112" s="724"/>
      <c r="G112" s="724"/>
      <c r="H112" s="724"/>
      <c r="I112" s="724"/>
      <c r="J112" s="724"/>
      <c r="K112" s="724"/>
      <c r="L112" s="724"/>
      <c r="M112" s="725"/>
    </row>
    <row r="113" spans="1:13">
      <c r="A113" s="128" t="s">
        <v>187</v>
      </c>
      <c r="C113" s="723"/>
      <c r="D113" s="724"/>
      <c r="E113" s="724"/>
      <c r="F113" s="724"/>
      <c r="G113" s="724"/>
      <c r="H113" s="724"/>
      <c r="I113" s="724"/>
      <c r="J113" s="724"/>
      <c r="K113" s="724"/>
      <c r="L113" s="724"/>
      <c r="M113" s="725"/>
    </row>
    <row r="114" spans="1:13">
      <c r="A114" s="128" t="s">
        <v>187</v>
      </c>
      <c r="C114" s="723"/>
      <c r="D114" s="724"/>
      <c r="E114" s="724"/>
      <c r="F114" s="724"/>
      <c r="G114" s="724"/>
      <c r="H114" s="724"/>
      <c r="I114" s="724"/>
      <c r="J114" s="724"/>
      <c r="K114" s="724"/>
      <c r="L114" s="724"/>
      <c r="M114" s="725"/>
    </row>
    <row r="115" spans="1:13">
      <c r="A115" s="128" t="s">
        <v>187</v>
      </c>
      <c r="C115" s="723"/>
      <c r="D115" s="724"/>
      <c r="E115" s="724"/>
      <c r="F115" s="724"/>
      <c r="G115" s="724"/>
      <c r="H115" s="724"/>
      <c r="I115" s="724"/>
      <c r="J115" s="724"/>
      <c r="K115" s="724"/>
      <c r="L115" s="724"/>
      <c r="M115" s="725"/>
    </row>
    <row r="116" spans="1:13">
      <c r="A116" s="128" t="s">
        <v>187</v>
      </c>
      <c r="C116" s="723"/>
      <c r="D116" s="724"/>
      <c r="E116" s="724"/>
      <c r="F116" s="724"/>
      <c r="G116" s="724"/>
      <c r="H116" s="724"/>
      <c r="I116" s="724"/>
      <c r="J116" s="724"/>
      <c r="K116" s="724"/>
      <c r="L116" s="724"/>
      <c r="M116" s="725"/>
    </row>
    <row r="117" spans="1:13">
      <c r="A117" s="128" t="s">
        <v>187</v>
      </c>
      <c r="C117" s="723"/>
      <c r="D117" s="724"/>
      <c r="E117" s="724"/>
      <c r="F117" s="724"/>
      <c r="G117" s="724"/>
      <c r="H117" s="724"/>
      <c r="I117" s="724"/>
      <c r="J117" s="724"/>
      <c r="K117" s="724"/>
      <c r="L117" s="724"/>
      <c r="M117" s="725"/>
    </row>
    <row r="118" spans="1:13">
      <c r="A118" s="128" t="s">
        <v>187</v>
      </c>
      <c r="C118" s="723"/>
      <c r="D118" s="724"/>
      <c r="E118" s="724"/>
      <c r="F118" s="724"/>
      <c r="G118" s="724"/>
      <c r="H118" s="724"/>
      <c r="I118" s="724"/>
      <c r="J118" s="724"/>
      <c r="K118" s="724"/>
      <c r="L118" s="724"/>
      <c r="M118" s="725"/>
    </row>
    <row r="119" spans="1:13">
      <c r="A119" s="128" t="s">
        <v>187</v>
      </c>
      <c r="C119" s="723"/>
      <c r="D119" s="724"/>
      <c r="E119" s="724"/>
      <c r="F119" s="724"/>
      <c r="G119" s="724"/>
      <c r="H119" s="724"/>
      <c r="I119" s="724"/>
      <c r="J119" s="724"/>
      <c r="K119" s="724"/>
      <c r="L119" s="724"/>
      <c r="M119" s="725"/>
    </row>
    <row r="120" spans="1:13">
      <c r="A120" s="128" t="s">
        <v>187</v>
      </c>
      <c r="C120" s="723"/>
      <c r="D120" s="724"/>
      <c r="E120" s="724"/>
      <c r="F120" s="724"/>
      <c r="G120" s="724"/>
      <c r="H120" s="724"/>
      <c r="I120" s="724"/>
      <c r="J120" s="724"/>
      <c r="K120" s="724"/>
      <c r="L120" s="724"/>
      <c r="M120" s="725"/>
    </row>
    <row r="121" spans="1:13">
      <c r="A121" s="128" t="s">
        <v>187</v>
      </c>
      <c r="C121" s="723"/>
      <c r="D121" s="724"/>
      <c r="E121" s="724"/>
      <c r="F121" s="724"/>
      <c r="G121" s="724"/>
      <c r="H121" s="724"/>
      <c r="I121" s="724"/>
      <c r="J121" s="724"/>
      <c r="K121" s="724"/>
      <c r="L121" s="724"/>
      <c r="M121" s="725"/>
    </row>
    <row r="122" spans="1:13" ht="45.75" customHeight="1">
      <c r="A122" s="128" t="s">
        <v>187</v>
      </c>
      <c r="B122" s="524" t="str">
        <f>Translation!B126</f>
        <v>Go back</v>
      </c>
      <c r="C122" s="723"/>
      <c r="D122" s="724"/>
      <c r="E122" s="724"/>
      <c r="F122" s="724"/>
      <c r="G122" s="724"/>
      <c r="H122" s="724"/>
      <c r="I122" s="724"/>
      <c r="J122" s="724"/>
      <c r="K122" s="724"/>
      <c r="L122" s="724"/>
      <c r="M122" s="725"/>
    </row>
    <row r="123" spans="1:13">
      <c r="A123" s="128" t="s">
        <v>187</v>
      </c>
      <c r="C123" s="723"/>
      <c r="D123" s="724"/>
      <c r="E123" s="724"/>
      <c r="F123" s="724"/>
      <c r="G123" s="724"/>
      <c r="H123" s="724"/>
      <c r="I123" s="724"/>
      <c r="J123" s="724"/>
      <c r="K123" s="724"/>
      <c r="L123" s="724"/>
      <c r="M123" s="725"/>
    </row>
    <row r="124" spans="1:13">
      <c r="A124" s="128" t="s">
        <v>187</v>
      </c>
      <c r="C124" s="723"/>
      <c r="D124" s="724"/>
      <c r="E124" s="724"/>
      <c r="F124" s="724"/>
      <c r="G124" s="724"/>
      <c r="H124" s="724"/>
      <c r="I124" s="724"/>
      <c r="J124" s="724"/>
      <c r="K124" s="724"/>
      <c r="L124" s="724"/>
      <c r="M124" s="725"/>
    </row>
    <row r="125" spans="1:13" ht="31.5" customHeight="1">
      <c r="A125" s="128" t="s">
        <v>187</v>
      </c>
      <c r="B125" s="296" t="str">
        <f>Translation!B186</f>
        <v>Road Surface Type</v>
      </c>
      <c r="C125" s="723"/>
      <c r="D125" s="724"/>
      <c r="E125" s="724"/>
      <c r="F125" s="724"/>
      <c r="G125" s="724"/>
      <c r="H125" s="724"/>
      <c r="I125" s="724"/>
      <c r="J125" s="724"/>
      <c r="K125" s="724"/>
      <c r="L125" s="724"/>
      <c r="M125" s="725"/>
    </row>
    <row r="126" spans="1:13">
      <c r="A126" s="128" t="s">
        <v>187</v>
      </c>
      <c r="C126" s="723"/>
      <c r="D126" s="724"/>
      <c r="E126" s="724"/>
      <c r="F126" s="724"/>
      <c r="G126" s="724"/>
      <c r="H126" s="724"/>
      <c r="I126" s="724"/>
      <c r="J126" s="724"/>
      <c r="K126" s="724"/>
      <c r="L126" s="724"/>
      <c r="M126" s="725"/>
    </row>
    <row r="127" spans="1:13">
      <c r="A127" s="128" t="s">
        <v>187</v>
      </c>
      <c r="C127" s="723"/>
      <c r="D127" s="724"/>
      <c r="E127" s="724"/>
      <c r="F127" s="724"/>
      <c r="G127" s="724"/>
      <c r="H127" s="724"/>
      <c r="I127" s="724"/>
      <c r="J127" s="724"/>
      <c r="K127" s="724"/>
      <c r="L127" s="724"/>
      <c r="M127" s="725"/>
    </row>
    <row r="128" spans="1:13">
      <c r="A128" s="128" t="s">
        <v>187</v>
      </c>
      <c r="C128" s="723"/>
      <c r="D128" s="724"/>
      <c r="E128" s="724"/>
      <c r="F128" s="724"/>
      <c r="G128" s="724"/>
      <c r="H128" s="724"/>
      <c r="I128" s="724"/>
      <c r="J128" s="724"/>
      <c r="K128" s="724"/>
      <c r="L128" s="724"/>
      <c r="M128" s="725"/>
    </row>
    <row r="129" spans="1:13">
      <c r="A129" s="128" t="s">
        <v>187</v>
      </c>
      <c r="C129" s="723"/>
      <c r="D129" s="724"/>
      <c r="E129" s="724"/>
      <c r="F129" s="724"/>
      <c r="G129" s="724"/>
      <c r="H129" s="724"/>
      <c r="I129" s="724"/>
      <c r="J129" s="724"/>
      <c r="K129" s="724"/>
      <c r="L129" s="724"/>
      <c r="M129" s="725"/>
    </row>
    <row r="130" spans="1:13">
      <c r="A130" s="128" t="s">
        <v>187</v>
      </c>
      <c r="C130" s="723"/>
      <c r="D130" s="724"/>
      <c r="E130" s="724"/>
      <c r="F130" s="724"/>
      <c r="G130" s="724"/>
      <c r="H130" s="724"/>
      <c r="I130" s="724"/>
      <c r="J130" s="724"/>
      <c r="K130" s="724"/>
      <c r="L130" s="724"/>
      <c r="M130" s="725"/>
    </row>
    <row r="131" spans="1:13">
      <c r="A131" s="128" t="s">
        <v>187</v>
      </c>
      <c r="C131" s="723"/>
      <c r="D131" s="724"/>
      <c r="E131" s="724"/>
      <c r="F131" s="724"/>
      <c r="G131" s="724"/>
      <c r="H131" s="724"/>
      <c r="I131" s="724"/>
      <c r="J131" s="724"/>
      <c r="K131" s="724"/>
      <c r="L131" s="724"/>
      <c r="M131" s="725"/>
    </row>
    <row r="132" spans="1:13">
      <c r="A132" s="128" t="s">
        <v>187</v>
      </c>
      <c r="C132" s="723"/>
      <c r="D132" s="724"/>
      <c r="E132" s="724"/>
      <c r="F132" s="724"/>
      <c r="G132" s="724"/>
      <c r="H132" s="724"/>
      <c r="I132" s="724"/>
      <c r="J132" s="724"/>
      <c r="K132" s="724"/>
      <c r="L132" s="724"/>
      <c r="M132" s="725"/>
    </row>
    <row r="133" spans="1:13">
      <c r="A133" s="128" t="s">
        <v>187</v>
      </c>
      <c r="C133" s="723"/>
      <c r="D133" s="724"/>
      <c r="E133" s="724"/>
      <c r="F133" s="724"/>
      <c r="G133" s="724"/>
      <c r="H133" s="724"/>
      <c r="I133" s="724"/>
      <c r="J133" s="724"/>
      <c r="K133" s="724"/>
      <c r="L133" s="724"/>
      <c r="M133" s="725"/>
    </row>
    <row r="134" spans="1:13">
      <c r="A134" s="128" t="s">
        <v>187</v>
      </c>
      <c r="C134" s="723"/>
      <c r="D134" s="724"/>
      <c r="E134" s="724"/>
      <c r="F134" s="724"/>
      <c r="G134" s="724"/>
      <c r="H134" s="724"/>
      <c r="I134" s="724"/>
      <c r="J134" s="724"/>
      <c r="K134" s="724"/>
      <c r="L134" s="724"/>
      <c r="M134" s="725"/>
    </row>
    <row r="135" spans="1:13">
      <c r="A135" s="128" t="s">
        <v>187</v>
      </c>
      <c r="C135" s="726"/>
      <c r="D135" s="727"/>
      <c r="E135" s="727"/>
      <c r="F135" s="727"/>
      <c r="G135" s="727"/>
      <c r="H135" s="727"/>
      <c r="I135" s="727"/>
      <c r="J135" s="727"/>
      <c r="K135" s="727"/>
      <c r="L135" s="727"/>
      <c r="M135" s="728"/>
    </row>
    <row r="136" spans="1:13" ht="21" customHeight="1">
      <c r="A136" s="128" t="s">
        <v>187</v>
      </c>
      <c r="C136" s="796" t="str">
        <f>Translation!B211</f>
        <v xml:space="preserve">Design Criteria  Illuminance </v>
      </c>
      <c r="D136" s="797"/>
      <c r="E136" s="797"/>
      <c r="F136" s="797"/>
      <c r="G136" s="797"/>
      <c r="H136" s="797"/>
      <c r="I136" s="797"/>
      <c r="J136" s="797"/>
      <c r="K136" s="797"/>
      <c r="L136" s="797"/>
      <c r="M136" s="798"/>
    </row>
    <row r="137" spans="1:13" ht="15" customHeight="1">
      <c r="A137" s="128" t="s">
        <v>187</v>
      </c>
      <c r="C137" s="79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792"/>
      <c r="E137" s="792"/>
      <c r="F137" s="792"/>
      <c r="G137" s="792"/>
      <c r="H137" s="792"/>
      <c r="I137" s="792"/>
      <c r="J137" s="792"/>
      <c r="K137" s="792"/>
      <c r="L137" s="792"/>
      <c r="M137" s="793"/>
    </row>
    <row r="138" spans="1:13">
      <c r="A138" s="128" t="s">
        <v>187</v>
      </c>
      <c r="C138" s="791"/>
      <c r="D138" s="792"/>
      <c r="E138" s="792"/>
      <c r="F138" s="792"/>
      <c r="G138" s="792"/>
      <c r="H138" s="792"/>
      <c r="I138" s="792"/>
      <c r="J138" s="792"/>
      <c r="K138" s="792"/>
      <c r="L138" s="792"/>
      <c r="M138" s="793"/>
    </row>
    <row r="139" spans="1:13">
      <c r="A139" s="128" t="s">
        <v>187</v>
      </c>
      <c r="C139" s="791"/>
      <c r="D139" s="792"/>
      <c r="E139" s="792"/>
      <c r="F139" s="792"/>
      <c r="G139" s="792"/>
      <c r="H139" s="792"/>
      <c r="I139" s="792"/>
      <c r="J139" s="792"/>
      <c r="K139" s="792"/>
      <c r="L139" s="792"/>
      <c r="M139" s="793"/>
    </row>
    <row r="140" spans="1:13">
      <c r="A140" s="128" t="s">
        <v>187</v>
      </c>
      <c r="C140" s="791"/>
      <c r="D140" s="792"/>
      <c r="E140" s="792"/>
      <c r="F140" s="792"/>
      <c r="G140" s="792"/>
      <c r="H140" s="792"/>
      <c r="I140" s="792"/>
      <c r="J140" s="792"/>
      <c r="K140" s="792"/>
      <c r="L140" s="792"/>
      <c r="M140" s="793"/>
    </row>
    <row r="141" spans="1:13">
      <c r="A141" s="128" t="s">
        <v>187</v>
      </c>
      <c r="C141" s="791"/>
      <c r="D141" s="792"/>
      <c r="E141" s="792"/>
      <c r="F141" s="792"/>
      <c r="G141" s="792"/>
      <c r="H141" s="792"/>
      <c r="I141" s="792"/>
      <c r="J141" s="792"/>
      <c r="K141" s="792"/>
      <c r="L141" s="792"/>
      <c r="M141" s="793"/>
    </row>
    <row r="142" spans="1:13">
      <c r="A142" s="128" t="s">
        <v>187</v>
      </c>
      <c r="C142" s="791"/>
      <c r="D142" s="792"/>
      <c r="E142" s="792"/>
      <c r="F142" s="792"/>
      <c r="G142" s="792"/>
      <c r="H142" s="792"/>
      <c r="I142" s="792"/>
      <c r="J142" s="792"/>
      <c r="K142" s="792"/>
      <c r="L142" s="792"/>
      <c r="M142" s="793"/>
    </row>
    <row r="143" spans="1:13">
      <c r="A143" s="128" t="s">
        <v>187</v>
      </c>
      <c r="C143" s="791"/>
      <c r="D143" s="792"/>
      <c r="E143" s="792"/>
      <c r="F143" s="792"/>
      <c r="G143" s="792"/>
      <c r="H143" s="792"/>
      <c r="I143" s="792"/>
      <c r="J143" s="792"/>
      <c r="K143" s="792"/>
      <c r="L143" s="792"/>
      <c r="M143" s="793"/>
    </row>
    <row r="144" spans="1:13">
      <c r="A144" s="128" t="s">
        <v>187</v>
      </c>
      <c r="C144" s="791"/>
      <c r="D144" s="792"/>
      <c r="E144" s="792"/>
      <c r="F144" s="792"/>
      <c r="G144" s="792"/>
      <c r="H144" s="792"/>
      <c r="I144" s="792"/>
      <c r="J144" s="792"/>
      <c r="K144" s="792"/>
      <c r="L144" s="792"/>
      <c r="M144" s="793"/>
    </row>
    <row r="145" spans="1:13" ht="15" customHeight="1">
      <c r="A145" s="128" t="s">
        <v>187</v>
      </c>
      <c r="C145" s="79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792"/>
      <c r="E145" s="792"/>
      <c r="F145" s="792"/>
      <c r="G145" s="792"/>
      <c r="H145" s="792"/>
      <c r="I145" s="792"/>
      <c r="J145" s="792"/>
      <c r="K145" s="792"/>
      <c r="L145" s="792"/>
      <c r="M145" s="793"/>
    </row>
    <row r="146" spans="1:13">
      <c r="A146" s="128" t="s">
        <v>187</v>
      </c>
      <c r="C146" s="791"/>
      <c r="D146" s="792"/>
      <c r="E146" s="792"/>
      <c r="F146" s="792"/>
      <c r="G146" s="792"/>
      <c r="H146" s="792"/>
      <c r="I146" s="792"/>
      <c r="J146" s="792"/>
      <c r="K146" s="792"/>
      <c r="L146" s="792"/>
      <c r="M146" s="793"/>
    </row>
    <row r="147" spans="1:13">
      <c r="A147" s="128" t="s">
        <v>187</v>
      </c>
      <c r="C147" s="791"/>
      <c r="D147" s="792"/>
      <c r="E147" s="792"/>
      <c r="F147" s="792"/>
      <c r="G147" s="792"/>
      <c r="H147" s="792"/>
      <c r="I147" s="792"/>
      <c r="J147" s="792"/>
      <c r="K147" s="792"/>
      <c r="L147" s="792"/>
      <c r="M147" s="793"/>
    </row>
    <row r="148" spans="1:13">
      <c r="A148" s="128" t="s">
        <v>187</v>
      </c>
      <c r="C148" s="791"/>
      <c r="D148" s="792"/>
      <c r="E148" s="792"/>
      <c r="F148" s="792"/>
      <c r="G148" s="792"/>
      <c r="H148" s="792"/>
      <c r="I148" s="792"/>
      <c r="J148" s="792"/>
      <c r="K148" s="792"/>
      <c r="L148" s="792"/>
      <c r="M148" s="793"/>
    </row>
    <row r="149" spans="1:13">
      <c r="A149" s="128" t="s">
        <v>187</v>
      </c>
      <c r="C149" s="791"/>
      <c r="D149" s="792"/>
      <c r="E149" s="792"/>
      <c r="F149" s="792"/>
      <c r="G149" s="792"/>
      <c r="H149" s="792"/>
      <c r="I149" s="792"/>
      <c r="J149" s="792"/>
      <c r="K149" s="792"/>
      <c r="L149" s="792"/>
      <c r="M149" s="793"/>
    </row>
    <row r="150" spans="1:13">
      <c r="A150" s="128" t="s">
        <v>187</v>
      </c>
      <c r="C150" s="791"/>
      <c r="D150" s="792"/>
      <c r="E150" s="792"/>
      <c r="F150" s="792"/>
      <c r="G150" s="792"/>
      <c r="H150" s="792"/>
      <c r="I150" s="792"/>
      <c r="J150" s="792"/>
      <c r="K150" s="792"/>
      <c r="L150" s="792"/>
      <c r="M150" s="793"/>
    </row>
    <row r="151" spans="1:13">
      <c r="A151" s="128" t="s">
        <v>187</v>
      </c>
      <c r="C151" s="811"/>
      <c r="D151" s="812"/>
      <c r="E151" s="812"/>
      <c r="F151" s="812"/>
      <c r="G151" s="812"/>
      <c r="H151" s="812"/>
      <c r="I151" s="812"/>
      <c r="J151" s="812"/>
      <c r="K151" s="812"/>
      <c r="L151" s="812"/>
      <c r="M151" s="813"/>
    </row>
    <row r="152" spans="1:13">
      <c r="A152" s="128" t="s">
        <v>187</v>
      </c>
    </row>
    <row r="153" spans="1:13">
      <c r="A153" s="128" t="s">
        <v>182</v>
      </c>
    </row>
    <row r="154" spans="1:13" ht="18.75" customHeight="1">
      <c r="A154" s="128" t="s">
        <v>182</v>
      </c>
      <c r="B154" s="886" t="str">
        <f>Translation!B155</f>
        <v>International Commission on Illumination (CIE)</v>
      </c>
      <c r="C154" s="887"/>
      <c r="D154" s="887"/>
      <c r="E154" s="887"/>
      <c r="F154" s="887"/>
      <c r="G154" s="887"/>
      <c r="H154" s="887"/>
      <c r="I154" s="887"/>
      <c r="J154" s="887"/>
      <c r="K154" s="887"/>
      <c r="L154" s="887"/>
      <c r="M154" s="887"/>
    </row>
    <row r="155" spans="1:13">
      <c r="A155" s="128" t="s">
        <v>182</v>
      </c>
    </row>
    <row r="156" spans="1:13" ht="15" customHeight="1">
      <c r="A156" s="128" t="s">
        <v>182</v>
      </c>
      <c r="C156" s="720"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21"/>
      <c r="E156" s="721"/>
      <c r="F156" s="721"/>
      <c r="G156" s="721"/>
      <c r="H156" s="721"/>
      <c r="I156" s="721"/>
      <c r="J156" s="721"/>
      <c r="K156" s="721"/>
      <c r="L156" s="721"/>
      <c r="M156" s="722"/>
    </row>
    <row r="157" spans="1:13" ht="15" customHeight="1">
      <c r="A157" s="128" t="s">
        <v>182</v>
      </c>
      <c r="C157" s="723"/>
      <c r="D157" s="724"/>
      <c r="E157" s="724"/>
      <c r="F157" s="724"/>
      <c r="G157" s="724"/>
      <c r="H157" s="724"/>
      <c r="I157" s="724"/>
      <c r="J157" s="724"/>
      <c r="K157" s="724"/>
      <c r="L157" s="724"/>
      <c r="M157" s="725"/>
    </row>
    <row r="158" spans="1:13" ht="15" customHeight="1">
      <c r="A158" s="128" t="s">
        <v>182</v>
      </c>
      <c r="C158" s="723"/>
      <c r="D158" s="724"/>
      <c r="E158" s="724"/>
      <c r="F158" s="724"/>
      <c r="G158" s="724"/>
      <c r="H158" s="724"/>
      <c r="I158" s="724"/>
      <c r="J158" s="724"/>
      <c r="K158" s="724"/>
      <c r="L158" s="724"/>
      <c r="M158" s="725"/>
    </row>
    <row r="159" spans="1:13" ht="15" customHeight="1">
      <c r="A159" s="128" t="s">
        <v>182</v>
      </c>
      <c r="C159" s="723"/>
      <c r="D159" s="724"/>
      <c r="E159" s="724"/>
      <c r="F159" s="724"/>
      <c r="G159" s="724"/>
      <c r="H159" s="724"/>
      <c r="I159" s="724"/>
      <c r="J159" s="724"/>
      <c r="K159" s="724"/>
      <c r="L159" s="724"/>
      <c r="M159" s="725"/>
    </row>
    <row r="160" spans="1:13" ht="15" customHeight="1">
      <c r="A160" s="128" t="s">
        <v>182</v>
      </c>
      <c r="C160" s="723"/>
      <c r="D160" s="724"/>
      <c r="E160" s="724"/>
      <c r="F160" s="724"/>
      <c r="G160" s="724"/>
      <c r="H160" s="724"/>
      <c r="I160" s="724"/>
      <c r="J160" s="724"/>
      <c r="K160" s="724"/>
      <c r="L160" s="724"/>
      <c r="M160" s="725"/>
    </row>
    <row r="161" spans="1:13" ht="15" customHeight="1">
      <c r="A161" s="128" t="s">
        <v>182</v>
      </c>
      <c r="C161" s="723"/>
      <c r="D161" s="724"/>
      <c r="E161" s="724"/>
      <c r="F161" s="724"/>
      <c r="G161" s="724"/>
      <c r="H161" s="724"/>
      <c r="I161" s="724"/>
      <c r="J161" s="724"/>
      <c r="K161" s="724"/>
      <c r="L161" s="724"/>
      <c r="M161" s="725"/>
    </row>
    <row r="162" spans="1:13" ht="15" customHeight="1">
      <c r="A162" s="128" t="s">
        <v>182</v>
      </c>
      <c r="C162" s="723"/>
      <c r="D162" s="724"/>
      <c r="E162" s="724"/>
      <c r="F162" s="724"/>
      <c r="G162" s="724"/>
      <c r="H162" s="724"/>
      <c r="I162" s="724"/>
      <c r="J162" s="724"/>
      <c r="K162" s="724"/>
      <c r="L162" s="724"/>
      <c r="M162" s="725"/>
    </row>
    <row r="163" spans="1:13" ht="15" customHeight="1">
      <c r="A163" s="128" t="s">
        <v>182</v>
      </c>
      <c r="C163" s="723"/>
      <c r="D163" s="724"/>
      <c r="E163" s="724"/>
      <c r="F163" s="724"/>
      <c r="G163" s="724"/>
      <c r="H163" s="724"/>
      <c r="I163" s="724"/>
      <c r="J163" s="724"/>
      <c r="K163" s="724"/>
      <c r="L163" s="724"/>
      <c r="M163" s="725"/>
    </row>
    <row r="164" spans="1:13" ht="15" customHeight="1">
      <c r="A164" s="128" t="s">
        <v>182</v>
      </c>
      <c r="C164" s="723"/>
      <c r="D164" s="724"/>
      <c r="E164" s="724"/>
      <c r="F164" s="724"/>
      <c r="G164" s="724"/>
      <c r="H164" s="724"/>
      <c r="I164" s="724"/>
      <c r="J164" s="724"/>
      <c r="K164" s="724"/>
      <c r="L164" s="724"/>
      <c r="M164" s="725"/>
    </row>
    <row r="165" spans="1:13" ht="15" customHeight="1">
      <c r="A165" s="128" t="s">
        <v>182</v>
      </c>
      <c r="C165" s="723"/>
      <c r="D165" s="724"/>
      <c r="E165" s="724"/>
      <c r="F165" s="724"/>
      <c r="G165" s="724"/>
      <c r="H165" s="724"/>
      <c r="I165" s="724"/>
      <c r="J165" s="724"/>
      <c r="K165" s="724"/>
      <c r="L165" s="724"/>
      <c r="M165" s="725"/>
    </row>
    <row r="166" spans="1:13" ht="15" customHeight="1">
      <c r="A166" s="128" t="s">
        <v>182</v>
      </c>
      <c r="C166" s="726"/>
      <c r="D166" s="727"/>
      <c r="E166" s="727"/>
      <c r="F166" s="727"/>
      <c r="G166" s="727"/>
      <c r="H166" s="727"/>
      <c r="I166" s="727"/>
      <c r="J166" s="727"/>
      <c r="K166" s="727"/>
      <c r="L166" s="727"/>
      <c r="M166" s="728"/>
    </row>
    <row r="167" spans="1:13">
      <c r="A167" s="128" t="s">
        <v>182</v>
      </c>
    </row>
    <row r="168" spans="1:13" ht="15.75" thickBot="1">
      <c r="A168" s="128" t="s">
        <v>182</v>
      </c>
    </row>
    <row r="169" spans="1:13" ht="15.75" customHeight="1" thickBot="1">
      <c r="A169" s="128" t="s">
        <v>182</v>
      </c>
      <c r="C169" s="799" t="str">
        <f>Translation!B192</f>
        <v>Table 2: CIE Parameters for the Selection of M Lighting Class</v>
      </c>
      <c r="D169" s="800"/>
      <c r="E169" s="800"/>
      <c r="F169" s="800"/>
      <c r="G169" s="800"/>
      <c r="H169" s="800"/>
      <c r="I169" s="801"/>
    </row>
    <row r="170" spans="1:13" ht="15" customHeight="1">
      <c r="A170" s="128" t="s">
        <v>182</v>
      </c>
      <c r="C170" s="786" t="str">
        <f>Translation!B177</f>
        <v>Parameter</v>
      </c>
      <c r="D170" s="787"/>
      <c r="E170" s="834" t="str">
        <f>Translation!B174</f>
        <v>Options</v>
      </c>
      <c r="F170" s="835"/>
      <c r="G170" s="787"/>
      <c r="H170" s="830" t="str">
        <f>Translation!B207</f>
        <v>Weighting Value Vw</v>
      </c>
      <c r="I170" s="832" t="str">
        <f>Translation!B206</f>
        <v>Vw Selected</v>
      </c>
    </row>
    <row r="171" spans="1:13" ht="15.75" customHeight="1" thickBot="1">
      <c r="A171" s="128" t="s">
        <v>182</v>
      </c>
      <c r="C171" s="774"/>
      <c r="D171" s="775"/>
      <c r="E171" s="836"/>
      <c r="F171" s="837"/>
      <c r="G171" s="775"/>
      <c r="H171" s="831"/>
      <c r="I171" s="833"/>
    </row>
    <row r="172" spans="1:13" ht="15" customHeight="1">
      <c r="A172" s="128" t="s">
        <v>182</v>
      </c>
      <c r="C172" s="763" t="str">
        <f>Translation!B188</f>
        <v>Speed</v>
      </c>
      <c r="D172" s="764"/>
      <c r="E172" s="788" t="str">
        <f>Translation!B202</f>
        <v>Very High</v>
      </c>
      <c r="F172" s="789"/>
      <c r="G172" s="790"/>
      <c r="H172" s="234">
        <v>1</v>
      </c>
      <c r="I172" s="794"/>
    </row>
    <row r="173" spans="1:13" ht="15" customHeight="1">
      <c r="A173" s="128" t="s">
        <v>182</v>
      </c>
      <c r="C173" s="779"/>
      <c r="D173" s="780"/>
      <c r="E173" s="761" t="str">
        <f>Translation!B150</f>
        <v>High</v>
      </c>
      <c r="F173" s="781"/>
      <c r="G173" s="762"/>
      <c r="H173" s="235">
        <v>0.5</v>
      </c>
      <c r="I173" s="802"/>
    </row>
    <row r="174" spans="1:13" ht="15.75" customHeight="1" thickBot="1">
      <c r="A174" s="128" t="s">
        <v>182</v>
      </c>
      <c r="C174" s="765"/>
      <c r="D174" s="766"/>
      <c r="E174" s="776" t="str">
        <f>Translation!B168</f>
        <v>Moderate</v>
      </c>
      <c r="F174" s="777"/>
      <c r="G174" s="778"/>
      <c r="H174" s="236">
        <v>0</v>
      </c>
      <c r="I174" s="795"/>
    </row>
    <row r="175" spans="1:13" ht="15" customHeight="1">
      <c r="A175" s="128" t="s">
        <v>182</v>
      </c>
      <c r="C175" s="763" t="str">
        <f>Translation!B198</f>
        <v>Traffic Volume</v>
      </c>
      <c r="D175" s="764"/>
      <c r="E175" s="767" t="s">
        <v>139</v>
      </c>
      <c r="F175" s="768"/>
      <c r="G175" s="769"/>
      <c r="H175" s="234">
        <v>1</v>
      </c>
      <c r="I175" s="794"/>
    </row>
    <row r="176" spans="1:13" ht="15" customHeight="1">
      <c r="A176" s="128" t="s">
        <v>182</v>
      </c>
      <c r="C176" s="779"/>
      <c r="D176" s="780"/>
      <c r="E176" s="761" t="str">
        <f>Translation!B150</f>
        <v>High</v>
      </c>
      <c r="F176" s="781"/>
      <c r="G176" s="762"/>
      <c r="H176" s="235">
        <v>0.5</v>
      </c>
      <c r="I176" s="802"/>
    </row>
    <row r="177" spans="1:9" ht="15" customHeight="1">
      <c r="A177" s="128" t="s">
        <v>182</v>
      </c>
      <c r="C177" s="779"/>
      <c r="D177" s="780"/>
      <c r="E177" s="761" t="str">
        <f>Translation!B168</f>
        <v>Moderate</v>
      </c>
      <c r="F177" s="781"/>
      <c r="G177" s="762"/>
      <c r="H177" s="235">
        <v>0</v>
      </c>
      <c r="I177" s="802"/>
    </row>
    <row r="178" spans="1:9" ht="15" customHeight="1">
      <c r="A178" s="128" t="s">
        <v>182</v>
      </c>
      <c r="C178" s="779"/>
      <c r="D178" s="780"/>
      <c r="E178" s="761" t="str">
        <f>Translation!B160</f>
        <v>Low</v>
      </c>
      <c r="F178" s="781"/>
      <c r="G178" s="762"/>
      <c r="H178" s="235">
        <v>-0.5</v>
      </c>
      <c r="I178" s="802"/>
    </row>
    <row r="179" spans="1:9" ht="15.75" customHeight="1" thickBot="1">
      <c r="A179" s="128" t="s">
        <v>182</v>
      </c>
      <c r="C179" s="765"/>
      <c r="D179" s="766"/>
      <c r="E179" s="776" t="str">
        <f>Translation!B203</f>
        <v>Very Low</v>
      </c>
      <c r="F179" s="777"/>
      <c r="G179" s="778"/>
      <c r="H179" s="236">
        <v>-1</v>
      </c>
      <c r="I179" s="795"/>
    </row>
    <row r="180" spans="1:9" ht="15" customHeight="1">
      <c r="A180" s="128" t="s">
        <v>182</v>
      </c>
      <c r="C180" s="763" t="str">
        <f>Translation!B197</f>
        <v>Traffic Composition</v>
      </c>
      <c r="D180" s="764"/>
      <c r="E180" s="827" t="str">
        <f>Translation!B167</f>
        <v>Mixed with high % non motorized</v>
      </c>
      <c r="F180" s="828"/>
      <c r="G180" s="829"/>
      <c r="H180" s="234">
        <v>2</v>
      </c>
      <c r="I180" s="794"/>
    </row>
    <row r="181" spans="1:9" ht="15" customHeight="1">
      <c r="A181" s="128" t="s">
        <v>182</v>
      </c>
      <c r="C181" s="779"/>
      <c r="D181" s="780"/>
      <c r="E181" s="761" t="str">
        <f>Translation!B166</f>
        <v>Mixed</v>
      </c>
      <c r="F181" s="781"/>
      <c r="G181" s="762"/>
      <c r="H181" s="235">
        <v>1</v>
      </c>
      <c r="I181" s="802"/>
    </row>
    <row r="182" spans="1:9" ht="15.75" customHeight="1" thickBot="1">
      <c r="A182" s="128" t="s">
        <v>182</v>
      </c>
      <c r="C182" s="765"/>
      <c r="D182" s="766"/>
      <c r="E182" s="776" t="str">
        <f>Translation!B170</f>
        <v>Motorized only</v>
      </c>
      <c r="F182" s="777"/>
      <c r="G182" s="778"/>
      <c r="H182" s="236">
        <v>0</v>
      </c>
      <c r="I182" s="795"/>
    </row>
    <row r="183" spans="1:9" ht="15" customHeight="1">
      <c r="A183" s="128" t="s">
        <v>182</v>
      </c>
      <c r="C183" s="782" t="str">
        <f>Translation!B187</f>
        <v xml:space="preserve">Separation of carriageways
</v>
      </c>
      <c r="D183" s="783"/>
      <c r="E183" s="767" t="str">
        <f>Translation!B171</f>
        <v>No</v>
      </c>
      <c r="F183" s="768"/>
      <c r="G183" s="769"/>
      <c r="H183" s="234">
        <v>1</v>
      </c>
      <c r="I183" s="794"/>
    </row>
    <row r="184" spans="1:9" ht="15.75" customHeight="1" thickBot="1">
      <c r="A184" s="128" t="s">
        <v>182</v>
      </c>
      <c r="C184" s="784"/>
      <c r="D184" s="785"/>
      <c r="E184" s="776" t="str">
        <f>Translation!B209</f>
        <v>Yes</v>
      </c>
      <c r="F184" s="777"/>
      <c r="G184" s="778"/>
      <c r="H184" s="236">
        <v>0</v>
      </c>
      <c r="I184" s="795"/>
    </row>
    <row r="185" spans="1:9" ht="15" customHeight="1">
      <c r="A185" s="128" t="s">
        <v>182</v>
      </c>
      <c r="C185" s="763" t="str">
        <f>Translation!B157</f>
        <v>Intersection density</v>
      </c>
      <c r="D185" s="764"/>
      <c r="E185" s="767" t="str">
        <f>Translation!B150</f>
        <v>High</v>
      </c>
      <c r="F185" s="768"/>
      <c r="G185" s="769"/>
      <c r="H185" s="234">
        <v>1</v>
      </c>
      <c r="I185" s="794"/>
    </row>
    <row r="186" spans="1:9" ht="15.75" customHeight="1" thickBot="1">
      <c r="A186" s="128" t="s">
        <v>182</v>
      </c>
      <c r="C186" s="765"/>
      <c r="D186" s="766"/>
      <c r="E186" s="776" t="str">
        <f>Translation!B168</f>
        <v>Moderate</v>
      </c>
      <c r="F186" s="777"/>
      <c r="G186" s="778"/>
      <c r="H186" s="236">
        <v>0</v>
      </c>
      <c r="I186" s="795"/>
    </row>
    <row r="187" spans="1:9" ht="15" customHeight="1">
      <c r="A187" s="128" t="s">
        <v>182</v>
      </c>
      <c r="C187" s="763" t="str">
        <f>Translation!B178</f>
        <v>Parked Vehicles</v>
      </c>
      <c r="D187" s="764"/>
      <c r="E187" s="767" t="str">
        <f>Translation!B182</f>
        <v>Present</v>
      </c>
      <c r="F187" s="768"/>
      <c r="G187" s="769"/>
      <c r="H187" s="237">
        <v>0.5</v>
      </c>
      <c r="I187" s="794"/>
    </row>
    <row r="188" spans="1:9" ht="15.75" customHeight="1" thickBot="1">
      <c r="A188" s="128" t="s">
        <v>182</v>
      </c>
      <c r="C188" s="765"/>
      <c r="D188" s="766"/>
      <c r="E188" s="776" t="str">
        <f>Translation!B172</f>
        <v>Not present</v>
      </c>
      <c r="F188" s="777"/>
      <c r="G188" s="778"/>
      <c r="H188" s="238">
        <v>0</v>
      </c>
      <c r="I188" s="795"/>
    </row>
    <row r="189" spans="1:9" ht="15" customHeight="1">
      <c r="A189" s="128" t="s">
        <v>182</v>
      </c>
      <c r="C189" s="763" t="str">
        <f>Translation!B139</f>
        <v>Ambient luminance</v>
      </c>
      <c r="D189" s="764"/>
      <c r="E189" s="767" t="str">
        <f>Translation!B150</f>
        <v>High</v>
      </c>
      <c r="F189" s="768"/>
      <c r="G189" s="769"/>
      <c r="H189" s="234">
        <v>1</v>
      </c>
      <c r="I189" s="794"/>
    </row>
    <row r="190" spans="1:9" ht="15" customHeight="1">
      <c r="A190" s="128" t="s">
        <v>182</v>
      </c>
      <c r="C190" s="779"/>
      <c r="D190" s="780"/>
      <c r="E190" s="761" t="str">
        <f>Translation!B168</f>
        <v>Moderate</v>
      </c>
      <c r="F190" s="781"/>
      <c r="G190" s="762"/>
      <c r="H190" s="235">
        <v>0</v>
      </c>
      <c r="I190" s="802"/>
    </row>
    <row r="191" spans="1:9" ht="15.75" customHeight="1" thickBot="1">
      <c r="A191" s="128" t="s">
        <v>182</v>
      </c>
      <c r="C191" s="765"/>
      <c r="D191" s="766"/>
      <c r="E191" s="776" t="str">
        <f>Translation!B160</f>
        <v>Low</v>
      </c>
      <c r="F191" s="777"/>
      <c r="G191" s="778"/>
      <c r="H191" s="236">
        <v>-1</v>
      </c>
      <c r="I191" s="795"/>
    </row>
    <row r="192" spans="1:9" ht="15" customHeight="1">
      <c r="A192" s="128" t="s">
        <v>182</v>
      </c>
      <c r="C192" s="882" t="str">
        <f>Translation!B205</f>
        <v>Visual guidance/ traffic control</v>
      </c>
      <c r="D192" s="883"/>
      <c r="E192" s="767" t="str">
        <f>Translation!B181</f>
        <v>Poor</v>
      </c>
      <c r="F192" s="768"/>
      <c r="G192" s="769"/>
      <c r="H192" s="234">
        <v>0.5</v>
      </c>
      <c r="I192" s="794"/>
    </row>
    <row r="193" spans="1:14" ht="15.75" customHeight="1" thickBot="1">
      <c r="A193" s="128" t="s">
        <v>182</v>
      </c>
      <c r="C193" s="884"/>
      <c r="D193" s="885"/>
      <c r="E193" s="776" t="str">
        <f>Translation!B169</f>
        <v>Moderate or Good</v>
      </c>
      <c r="F193" s="777"/>
      <c r="G193" s="778"/>
      <c r="H193" s="236">
        <v>0</v>
      </c>
      <c r="I193" s="795"/>
      <c r="K193" s="720" t="str">
        <f>Translation!B195</f>
        <v xml:space="preserve">The lighting class is calculated as: 
M = 6 - Vws
This calculation will result in a class number between 1 and 6.  If the result is not a whole number, use the next lower whole number.  
</v>
      </c>
      <c r="L193" s="721"/>
      <c r="M193" s="721"/>
      <c r="N193" s="722"/>
    </row>
    <row r="194" spans="1:14" ht="15" customHeight="1">
      <c r="A194" s="128" t="s">
        <v>182</v>
      </c>
      <c r="H194" s="731" t="str">
        <f>Translation!B291</f>
        <v>Sum of Weighting Values (Vws)</v>
      </c>
      <c r="I194" s="734">
        <f>SUM(I172:I193)</f>
        <v>0</v>
      </c>
      <c r="K194" s="723"/>
      <c r="L194" s="724"/>
      <c r="M194" s="724"/>
      <c r="N194" s="725"/>
    </row>
    <row r="195" spans="1:14" ht="15" customHeight="1">
      <c r="A195" s="128" t="s">
        <v>182</v>
      </c>
      <c r="H195" s="732"/>
      <c r="I195" s="735"/>
      <c r="K195" s="723"/>
      <c r="L195" s="724"/>
      <c r="M195" s="724"/>
      <c r="N195" s="725"/>
    </row>
    <row r="196" spans="1:14" ht="15" customHeight="1">
      <c r="A196" s="128" t="s">
        <v>182</v>
      </c>
      <c r="H196" s="732"/>
      <c r="I196" s="735"/>
      <c r="K196" s="723"/>
      <c r="L196" s="724"/>
      <c r="M196" s="724"/>
      <c r="N196" s="725"/>
    </row>
    <row r="197" spans="1:14" ht="15" customHeight="1">
      <c r="A197" s="128" t="s">
        <v>182</v>
      </c>
      <c r="H197" s="733"/>
      <c r="I197" s="736"/>
      <c r="K197" s="723"/>
      <c r="L197" s="724"/>
      <c r="M197" s="724"/>
      <c r="N197" s="725"/>
    </row>
    <row r="198" spans="1:14" ht="15.75" customHeight="1" thickBot="1">
      <c r="A198" s="128" t="s">
        <v>182</v>
      </c>
      <c r="H198" s="239" t="str">
        <f>Translation!B290</f>
        <v>Class</v>
      </c>
      <c r="I198" s="653" t="str">
        <f>"M"&amp;FLOOR(6-I194,1)</f>
        <v>M6</v>
      </c>
      <c r="K198" s="726"/>
      <c r="L198" s="727"/>
      <c r="M198" s="727"/>
      <c r="N198" s="728"/>
    </row>
    <row r="199" spans="1:14">
      <c r="A199" s="128" t="s">
        <v>182</v>
      </c>
    </row>
    <row r="200" spans="1:14" ht="15.75" thickBot="1">
      <c r="A200" s="128" t="s">
        <v>182</v>
      </c>
    </row>
    <row r="201" spans="1:14" ht="15.75" customHeight="1" thickBot="1">
      <c r="A201" s="128" t="s">
        <v>182</v>
      </c>
      <c r="C201" s="876" t="str">
        <f>Translation!B193</f>
        <v>Table 3: CIE Lighting classes for motorized traffic</v>
      </c>
      <c r="D201" s="877"/>
      <c r="E201" s="877"/>
      <c r="F201" s="877"/>
      <c r="G201" s="877"/>
      <c r="H201" s="877"/>
      <c r="I201" s="878"/>
    </row>
    <row r="202" spans="1:14" ht="15.75" customHeight="1" thickBot="1">
      <c r="A202" s="128" t="s">
        <v>182</v>
      </c>
      <c r="C202" s="879" t="str">
        <f>Translation!B158</f>
        <v>Lighting class</v>
      </c>
      <c r="D202" s="737" t="str">
        <f>Translation!B185</f>
        <v>Road Surface</v>
      </c>
      <c r="E202" s="738"/>
      <c r="F202" s="738"/>
      <c r="G202" s="739"/>
      <c r="H202" s="740" t="str">
        <f>Translation!B196</f>
        <v>Threshold increment</v>
      </c>
      <c r="I202" s="740" t="str">
        <f>Translation!B190</f>
        <v>Surround ratio</v>
      </c>
    </row>
    <row r="203" spans="1:14" ht="15.75" customHeight="1" thickBot="1">
      <c r="A203" s="128" t="s">
        <v>182</v>
      </c>
      <c r="C203" s="880"/>
      <c r="D203" s="737" t="str">
        <f>Translation!B146</f>
        <v>Dry</v>
      </c>
      <c r="E203" s="738"/>
      <c r="F203" s="739"/>
      <c r="G203" s="595" t="str">
        <f>Translation!B208</f>
        <v>Wet*</v>
      </c>
      <c r="H203" s="741"/>
      <c r="I203" s="741"/>
    </row>
    <row r="204" spans="1:14" ht="15" customHeight="1">
      <c r="A204" s="128" t="s">
        <v>182</v>
      </c>
      <c r="C204" s="880"/>
      <c r="D204" s="744" t="s">
        <v>185</v>
      </c>
      <c r="E204" s="746" t="s">
        <v>1789</v>
      </c>
      <c r="F204" s="748" t="s">
        <v>170</v>
      </c>
      <c r="G204" s="750" t="s">
        <v>169</v>
      </c>
      <c r="H204" s="729" t="s">
        <v>171</v>
      </c>
      <c r="I204" s="729" t="s">
        <v>172</v>
      </c>
    </row>
    <row r="205" spans="1:14" ht="15.75" customHeight="1" thickBot="1">
      <c r="A205" s="128" t="s">
        <v>182</v>
      </c>
      <c r="C205" s="881"/>
      <c r="D205" s="745"/>
      <c r="E205" s="747"/>
      <c r="F205" s="749"/>
      <c r="G205" s="751"/>
      <c r="H205" s="730"/>
      <c r="I205" s="730"/>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889" t="str">
        <f>Translation!B214</f>
        <v>CIE Classification Definitions</v>
      </c>
      <c r="D214" s="890"/>
      <c r="E214" s="890"/>
      <c r="F214" s="890"/>
      <c r="G214" s="890"/>
      <c r="H214" s="890"/>
      <c r="I214" s="891"/>
    </row>
    <row r="215" spans="1:9">
      <c r="A215" s="128" t="s">
        <v>182</v>
      </c>
      <c r="C215" s="873" t="str">
        <f>Translation!B215</f>
        <v>Average Luminance of the Road Surface (Lav)</v>
      </c>
      <c r="D215" s="874"/>
      <c r="E215" s="874"/>
      <c r="F215" s="874"/>
      <c r="G215" s="874"/>
      <c r="H215" s="874"/>
      <c r="I215" s="875"/>
    </row>
    <row r="216" spans="1:9" ht="61.5" customHeight="1">
      <c r="A216" s="128" t="s">
        <v>182</v>
      </c>
      <c r="C216" s="870"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71"/>
      <c r="E216" s="871"/>
      <c r="F216" s="871"/>
      <c r="G216" s="871"/>
      <c r="H216" s="871"/>
      <c r="I216" s="872"/>
    </row>
    <row r="217" spans="1:9" ht="61.5" customHeight="1">
      <c r="A217" s="128" t="s">
        <v>182</v>
      </c>
      <c r="C217" s="870" t="str">
        <f>Translation!B217</f>
        <v>The calculation of the average luminance of the road surface should be carried out in accordance with CIE 140-2000.</v>
      </c>
      <c r="D217" s="871"/>
      <c r="E217" s="871"/>
      <c r="F217" s="871"/>
      <c r="G217" s="871"/>
      <c r="H217" s="871"/>
      <c r="I217" s="872"/>
    </row>
    <row r="218" spans="1:9">
      <c r="A218" s="128" t="s">
        <v>182</v>
      </c>
      <c r="C218" s="873" t="str">
        <f>Translation!B218</f>
        <v xml:space="preserve">Overall uniformity of Road Luminance (U0) </v>
      </c>
      <c r="D218" s="874"/>
      <c r="E218" s="874"/>
      <c r="F218" s="874"/>
      <c r="G218" s="874"/>
      <c r="H218" s="874"/>
      <c r="I218" s="875"/>
    </row>
    <row r="219" spans="1:9" ht="85.5" customHeight="1">
      <c r="A219" s="128" t="s">
        <v>182</v>
      </c>
      <c r="C219" s="892"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893"/>
      <c r="E219" s="893"/>
      <c r="F219" s="893"/>
      <c r="G219" s="893"/>
      <c r="H219" s="893"/>
      <c r="I219" s="894"/>
    </row>
    <row r="220" spans="1:9">
      <c r="A220" s="128" t="s">
        <v>182</v>
      </c>
      <c r="C220" s="873" t="str">
        <f>Translation!B220</f>
        <v xml:space="preserve">Longitudinal Uniformity of Road Surface Luminance (Ul): </v>
      </c>
      <c r="D220" s="874"/>
      <c r="E220" s="874"/>
      <c r="F220" s="874"/>
      <c r="G220" s="874"/>
      <c r="H220" s="874"/>
      <c r="I220" s="875"/>
    </row>
    <row r="221" spans="1:9" ht="105.75" customHeight="1">
      <c r="A221" s="128" t="s">
        <v>182</v>
      </c>
      <c r="C221" s="870"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71"/>
      <c r="E221" s="871"/>
      <c r="F221" s="871"/>
      <c r="G221" s="871"/>
      <c r="H221" s="871"/>
      <c r="I221" s="872"/>
    </row>
    <row r="222" spans="1:9">
      <c r="A222" s="128" t="s">
        <v>182</v>
      </c>
      <c r="C222" s="873" t="str">
        <f>Translation!B222</f>
        <v>Threshold Increment TI (fTI)</v>
      </c>
      <c r="D222" s="874"/>
      <c r="E222" s="874"/>
      <c r="F222" s="874"/>
      <c r="G222" s="874"/>
      <c r="H222" s="874"/>
      <c r="I222" s="875"/>
    </row>
    <row r="223" spans="1:9" ht="58.5" customHeight="1">
      <c r="A223" s="128" t="s">
        <v>182</v>
      </c>
      <c r="C223" s="870" t="str">
        <f>Translation!B223</f>
        <v>TI is a measure of the loss of visibility caused by the disability glare from the road lighting luminaires.  The formula from which it is calculated is given in CIE 140-2000.</v>
      </c>
      <c r="D223" s="871"/>
      <c r="E223" s="871"/>
      <c r="F223" s="871"/>
      <c r="G223" s="871"/>
      <c r="H223" s="871"/>
      <c r="I223" s="872"/>
    </row>
    <row r="224" spans="1:9">
      <c r="A224" s="128" t="s">
        <v>182</v>
      </c>
      <c r="C224" s="873" t="str">
        <f>Translation!B224</f>
        <v>Surround Ratio SR (Rs)</v>
      </c>
      <c r="D224" s="874"/>
      <c r="E224" s="874"/>
      <c r="F224" s="874"/>
      <c r="G224" s="874"/>
      <c r="H224" s="874"/>
      <c r="I224" s="875"/>
    </row>
    <row r="225" spans="1:9" ht="58.5" customHeight="1">
      <c r="A225" s="128" t="s">
        <v>182</v>
      </c>
      <c r="C225" s="870"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71"/>
      <c r="E225" s="871"/>
      <c r="F225" s="871"/>
      <c r="G225" s="871"/>
      <c r="H225" s="871"/>
      <c r="I225" s="872"/>
    </row>
    <row r="226" spans="1:9" ht="30.75" customHeight="1">
      <c r="A226" s="128" t="s">
        <v>182</v>
      </c>
      <c r="C226" s="867" t="str">
        <f>Translation!B226</f>
        <v>Surround ratio is defined in CIE 140-2000.</v>
      </c>
      <c r="D226" s="868"/>
      <c r="E226" s="868"/>
      <c r="F226" s="868"/>
      <c r="G226" s="868"/>
      <c r="H226" s="868"/>
      <c r="I226" s="869"/>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170:I171"/>
    <mergeCell ref="E170:G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38</v>
      </c>
      <c r="F1" s="256"/>
      <c r="G1" s="256"/>
      <c r="H1" s="256"/>
      <c r="I1" s="256"/>
      <c r="J1" s="256"/>
    </row>
    <row r="2" spans="1:27" s="123" customFormat="1" ht="15.75" customHeight="1"/>
    <row r="3" spans="1:27" s="126" customFormat="1" ht="50.25" customHeight="1">
      <c r="A3" s="127"/>
      <c r="C3" s="127" t="str">
        <f>Start!$D$2</f>
        <v>SEAD Street Lighting Tool v1.7.6b</v>
      </c>
    </row>
    <row r="4" spans="1:27" s="136" customFormat="1" ht="125.25" customHeight="1">
      <c r="A4" s="218"/>
      <c r="B4" s="218"/>
    </row>
    <row r="5" spans="1:27" ht="18.75" customHeight="1"/>
    <row r="6" spans="1:27" ht="96" customHeight="1">
      <c r="B6" s="716"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6"/>
      <c r="D6" s="716"/>
      <c r="E6" s="716"/>
      <c r="F6" s="716"/>
      <c r="G6" s="716"/>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1" t="str">
        <f>Translation!B548</f>
        <v>Select one of the fixtures from the list below. To edit the fixture assumptions, find the fixture in the table below</v>
      </c>
      <c r="C14" s="901"/>
      <c r="E14" s="900" t="str">
        <f>Translation!B549</f>
        <v>Baseline Fixture Summary</v>
      </c>
      <c r="F14" s="900"/>
      <c r="G14" s="900"/>
    </row>
    <row r="15" spans="1:27" ht="27" customHeight="1">
      <c r="B15" s="902"/>
      <c r="C15" s="902"/>
    </row>
    <row r="16" spans="1:27" ht="18.75" customHeight="1">
      <c r="B16" s="299" t="s">
        <v>37</v>
      </c>
      <c r="C16" s="634"/>
      <c r="E16" s="530" t="str">
        <f>Translation!$B$111</f>
        <v>Fixture Name</v>
      </c>
      <c r="F16" s="532" t="str">
        <f ca="1">FixtureData!$B$18</f>
        <v>A - HPS 70W Type II</v>
      </c>
    </row>
    <row r="17" spans="2:11" ht="18.75" customHeight="1">
      <c r="B17" s="636"/>
      <c r="C17" s="637"/>
      <c r="E17" s="530" t="str">
        <f>Translation!$B$234</f>
        <v>Manufacturer</v>
      </c>
      <c r="F17" s="532" t="str">
        <f ca="1">INDEX(FixtureManuf,FixtureData!$C$18)</f>
        <v>Generic</v>
      </c>
    </row>
    <row r="18" spans="2:11" ht="18.75" customHeight="1">
      <c r="B18" s="638"/>
      <c r="C18" s="639"/>
      <c r="E18" s="530" t="str">
        <f>Translation!$B$101</f>
        <v>Type</v>
      </c>
      <c r="F18" s="532" t="str">
        <f ca="1">INDEX(FixtureType,FixtureData!$C$18)</f>
        <v>HPS</v>
      </c>
    </row>
    <row r="19" spans="2:11" ht="18.75" customHeight="1">
      <c r="B19" s="638"/>
      <c r="C19" s="639"/>
      <c r="E19" s="530" t="str">
        <f>Translation!$B$235</f>
        <v>Model #</v>
      </c>
      <c r="F19" s="532" t="str">
        <f ca="1">INDEX(FixtureModel,FixtureData!$C$18)</f>
        <v>NA</v>
      </c>
    </row>
    <row r="20" spans="2:11" ht="21.75" customHeight="1">
      <c r="B20" s="638"/>
      <c r="C20" s="639"/>
      <c r="E20" s="530" t="str">
        <f>Translation!$B$230</f>
        <v>Distribution Type</v>
      </c>
      <c r="F20" s="532">
        <f ca="1">INDEX(FixtureDist,FixtureData!$C$18)</f>
        <v>0</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70</v>
      </c>
    </row>
    <row r="23" spans="2:11" ht="18.75" customHeight="1">
      <c r="B23" s="36"/>
      <c r="C23" s="527" t="str">
        <f>Translation!B395</f>
        <v>Fixture already installed (mark with 'x')</v>
      </c>
      <c r="E23" s="530" t="str">
        <f>Translation!$B$352</f>
        <v>Equipment Cost ($/fixture)</v>
      </c>
      <c r="F23" s="669">
        <f ca="1">FixtureData!K18</f>
        <v>300</v>
      </c>
    </row>
    <row r="24" spans="2:11" ht="24.75" customHeight="1">
      <c r="B24" s="896" t="str">
        <f>Translation!B394</f>
        <v xml:space="preserve">If the fixture is already installed, installation cost will be zero. Instead of editing this in the large table below, you can override the values for just the baseline fixture here. </v>
      </c>
      <c r="C24" s="897"/>
      <c r="E24" s="530" t="str">
        <f>Translation!$B$324</f>
        <v>Installation Cost ($/fixture)</v>
      </c>
      <c r="F24" s="669">
        <f ca="1">FixtureData!L18</f>
        <v>100</v>
      </c>
    </row>
    <row r="25" spans="2:11" ht="24.75" customHeight="1">
      <c r="B25" s="896"/>
      <c r="C25" s="897"/>
      <c r="E25" s="530" t="str">
        <f>Translation!$B$354</f>
        <v>One-time Rebate or Subsidy ($/fixture)</v>
      </c>
      <c r="F25" s="669">
        <f ca="1">FixtureData!M18</f>
        <v>0</v>
      </c>
      <c r="H25" s="641"/>
      <c r="I25" s="642"/>
      <c r="J25" s="643"/>
      <c r="K25" s="643"/>
    </row>
    <row r="26" spans="2:11" ht="24.75" customHeight="1">
      <c r="B26" s="898"/>
      <c r="C26" s="899"/>
      <c r="E26" s="531" t="str">
        <f>Translation!$B$356</f>
        <v>Annual Maintenance Cost ($/year)</v>
      </c>
      <c r="F26" s="669">
        <f ca="1">FixtureData!N18</f>
        <v>50</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0.64239999999999997</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ca="1"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ca="1"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ca="1"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ca="1"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ca="1"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ca="1"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ca="1"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ca="1"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ca="1"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ca="1"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ca="1"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ca="1"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ca="1"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ca="1"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ca="1"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ca="1"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ca="1"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ca="1"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ca="1"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ca="1"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ca="1"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ca="1"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ca="1"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ca="1"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ca="1"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ca="1"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ca="1"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ca="1"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ca="1"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ca="1"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ca="1"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ca="1">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ca="1">MATCH(C71,FxLib_names,0)-1</f>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ca="1">MATCH(C72,FxLib_names,0)-1</f>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ca="1">MATCH(C73,FxLib_names,0)-1</f>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ca="1">MATCH(C74,FxLib_names,0)-1</f>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sheetData>
  <mergeCells count="4">
    <mergeCell ref="B6:G6"/>
    <mergeCell ref="B24:C26"/>
    <mergeCell ref="E14:G14"/>
    <mergeCell ref="B14:C15"/>
  </mergeCells>
  <conditionalFormatting sqref="C38:H74">
    <cfRule type="expression" dxfId="14" priority="2466" stopIfTrue="1">
      <formula>$B38="x"</formula>
    </cfRule>
  </conditionalFormatting>
  <conditionalFormatting sqref="K39:K74">
    <cfRule type="expression" dxfId="13" priority="1217" stopIfTrue="1">
      <formula>K39&lt;&gt;IF(F39="LED",LEDcost,IF(F39="HPS",HPScost,MHcost))</formula>
    </cfRule>
  </conditionalFormatting>
  <conditionalFormatting sqref="L39:L74">
    <cfRule type="expression" dxfId="12" priority="1216" stopIfTrue="1">
      <formula>L39&lt;&gt;IF($F39="LED",LEDinstcost,IF(OR($F39="HPS",$F39="SAP",$F39="SHP"),HPSinstcost,MHinstcost))</formula>
    </cfRule>
  </conditionalFormatting>
  <conditionalFormatting sqref="N39:N41 N43:N74">
    <cfRule type="expression" dxfId="11" priority="1214" stopIfTrue="1">
      <formula>N39&lt;&gt;IF($F39="LED",LEDmaintcost,IF($F39="HPS",HPSmaintcost,MHmaintcost))</formula>
    </cfRule>
  </conditionalFormatting>
  <conditionalFormatting sqref="O39:O41 O43:O74">
    <cfRule type="expression" dxfId="10" priority="1213" stopIfTrue="1">
      <formula>O39&lt;&gt;IF($F39="LED",LEDmaintinflate,IF($F39="HPS",HPSmaintinflate,MHmaintinflate))</formula>
    </cfRule>
  </conditionalFormatting>
  <conditionalFormatting sqref="P39:P74">
    <cfRule type="expression" dxfId="9" priority="1212" stopIfTrue="1">
      <formula>P39&lt;&gt;IF($F39="LED",LEDLLD,IF($F39="HPS",HPSLLD,MHLLD))</formula>
    </cfRule>
  </conditionalFormatting>
  <conditionalFormatting sqref="Q39:Q74">
    <cfRule type="expression" dxfId="8" priority="1211" stopIfTrue="1">
      <formula>Q39&lt;&gt;IF($F39="LED",LEDDD,IF($F39="HPS",HPSDD,MHDD))</formula>
    </cfRule>
  </conditionalFormatting>
  <conditionalFormatting sqref="R39:R74">
    <cfRule type="expression" dxfId="7" priority="1210" stopIfTrue="1">
      <formula>R39&lt;&gt;IF($F39="LED",LEDBF,IF($F39="HPS",HPSBF,MHBF))</formula>
    </cfRule>
  </conditionalFormatting>
  <conditionalFormatting sqref="N42">
    <cfRule type="expression" dxfId="6" priority="408" stopIfTrue="1">
      <formula>N42&lt;&gt;IF($F42="LED",LEDmaintcost,IF($F42="HPS",HPSmaintcost,MHmaintcost))</formula>
    </cfRule>
  </conditionalFormatting>
  <conditionalFormatting sqref="O42">
    <cfRule type="expression" dxfId="5" priority="407"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v1.7.6b</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6"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6"/>
      <c r="D7" s="716"/>
      <c r="E7" s="716"/>
      <c r="F7" s="716"/>
      <c r="G7" s="716"/>
      <c r="H7" s="716"/>
    </row>
    <row r="8" spans="1:256" ht="48" customHeight="1">
      <c r="B8" s="182" t="str">
        <f>Translation!B115</f>
        <v>Operating hours</v>
      </c>
      <c r="C8" s="542">
        <v>4380</v>
      </c>
      <c r="D8" s="223" t="str">
        <f>Translation!B108</f>
        <v>Default 4380 assumes 12 hours per day</v>
      </c>
    </row>
    <row r="9" spans="1:256">
      <c r="B9" s="182" t="str">
        <f>Translation!B109</f>
        <v>Energy Cost ($/kWh)</v>
      </c>
      <c r="C9" s="670"/>
      <c r="D9" s="279" t="s">
        <v>217</v>
      </c>
    </row>
    <row r="10" spans="1:256">
      <c r="B10" s="343" t="str">
        <f>Translation!B371</f>
        <v>Energy Inflation Rate (%/year)</v>
      </c>
      <c r="C10" s="392"/>
      <c r="D10" s="279" t="s">
        <v>217</v>
      </c>
    </row>
    <row r="11" spans="1:256">
      <c r="B11" s="182" t="str">
        <f>Translation!B258</f>
        <v>Discount Rate</v>
      </c>
      <c r="C11" s="399"/>
      <c r="D11" s="279" t="s">
        <v>217</v>
      </c>
    </row>
    <row r="12" spans="1:256">
      <c r="C12" s="631"/>
    </row>
    <row r="13" spans="1:256" s="558" customFormat="1" ht="28.5">
      <c r="B13" s="559" t="str">
        <f>Translation!B567</f>
        <v>Fixture Costs</v>
      </c>
    </row>
    <row r="14" spans="1:256" s="558" customFormat="1" ht="42.75" customHeight="1">
      <c r="B14" s="903"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3"/>
      <c r="D14" s="903"/>
      <c r="E14" s="903"/>
      <c r="F14" s="903"/>
      <c r="G14" s="903"/>
      <c r="H14" s="903"/>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 - HPS 70W Type II</v>
      </c>
      <c r="C17" s="588">
        <f ca="1">FixtureData!G18</f>
        <v>70</v>
      </c>
      <c r="D17" s="671">
        <f ca="1">FixtureData!K18</f>
        <v>300</v>
      </c>
      <c r="E17" s="671">
        <f ca="1">FixtureData!L18</f>
        <v>100</v>
      </c>
      <c r="F17" s="671">
        <f ca="1">FixtureData!M18</f>
        <v>0</v>
      </c>
      <c r="G17" s="671">
        <f ca="1">FixtureData!N18</f>
        <v>50</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55" workbookViewId="0"/>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v1.7.6b</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3" t="str">
        <f>Translation!$B$544</f>
        <v>Review the inputs below to make sure you have entered all necessary values and the assumptions accurately reflect your road and fixtures.</v>
      </c>
      <c r="C7" s="903"/>
      <c r="D7" s="903"/>
      <c r="E7" s="903"/>
      <c r="F7" s="903"/>
      <c r="G7" s="903"/>
      <c r="H7" s="903"/>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x</v>
      </c>
      <c r="B10" s="558" t="str">
        <f>IF(calculationMethodChoice="IES",Translation!$B$533,IF(calculationMethodChoice="CIE",Translation!$B$534,IF(calculationMethodChoice="",Translation!$B$536,Translation!$B$535)))</f>
        <v>No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f>'Lighting Standards'!D7</f>
        <v>0</v>
      </c>
      <c r="D32" s="573">
        <f>C32</f>
        <v>0</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 - HPS 70W Type II</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Generic</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NA</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 ca="1">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70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 ca="1">Fixtures!F23</f>
        <v>300</v>
      </c>
      <c r="D63" s="672" t="str">
        <f t="array" aca="1" ref="D63" ca="1">IFERROR(
 INDEX(FixtureEqCosts,
  SMALL(
   IF(
    FixtureInclude="x",
    ROW(FixtureEqCosts)-ROW(Fixtures!$B$36)
   ),
   COLUMNS($D63:D63)
  )
 ),"")</f>
        <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 ca="1">Fixtures!F24</f>
        <v>100</v>
      </c>
      <c r="D64" s="672" t="str">
        <f t="array" aca="1" ref="D64" ca="1">IFERROR(
 INDEX(FixtureInstCosts,
  SMALL(
   IF(
    FixtureInclude="x",
    ROW(FixtureInstCosts)-ROW(Fixtures!$B$36)
   ),
   COLUMNS($D64:D64)
  )
 ),"")</f>
        <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 ca="1">Fixtures!F25</f>
        <v>0</v>
      </c>
      <c r="D65" s="672" t="str">
        <f t="array" aca="1" ref="D65" ca="1">IFERROR(
 INDEX(FixtureRebCosts,
  SMALL(
   IF(
    FixtureInclude="x",
    ROW(FixtureRebCosts)-ROW(Fixtures!$B$36)
   ),
   COLUMNS($D65:D65)
  )
 ),"")</f>
        <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50</v>
      </c>
      <c r="D66" s="672" t="str">
        <f t="array" aca="1" ref="D66" ca="1">IFERROR(
 INDEX(FixtureMaintCosts,
  SMALL(
   IF(
    FixtureInclude="x",
    ROW(FixtureMaintCosts)-ROW(Fixtures!$B$36)
   ),
   COLUMNS($D66:D66)
  )
 ),"")</f>
        <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0.64239999999999997</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workbookViewId="0">
      <selection activeCell="A31" sqref="A31"/>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718" t="str">
        <f>Translation!B365</f>
        <v>IES files describe the light output of a fixture. You can obtain them from fixture manufacturers</v>
      </c>
      <c r="B3" s="718"/>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4" t="str">
        <f>Translation!B512</f>
        <v>Required Inputs</v>
      </c>
      <c r="B15" s="905"/>
      <c r="C15" s="906"/>
      <c r="D15" s="907" t="str">
        <f>Translation!B505</f>
        <v>Optional Inputs</v>
      </c>
      <c r="E15" s="908"/>
      <c r="F15" s="908"/>
      <c r="G15" s="908"/>
      <c r="H15" s="908"/>
      <c r="I15" s="908"/>
      <c r="J15" s="908"/>
      <c r="K15" s="909"/>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c r="C21" s="363"/>
    </row>
    <row r="22" spans="1:12">
      <c r="A22" s="364"/>
      <c r="C22" s="363"/>
    </row>
    <row r="23" spans="1:12">
      <c r="A23" s="364"/>
      <c r="C23" s="363"/>
    </row>
    <row r="24" spans="1:12">
      <c r="A24" s="364"/>
      <c r="C24" s="363"/>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 - HPS 70W Type II</v>
      </c>
      <c r="D3" s="27" t="str">
        <f ca="1">FixtureData!B9</f>
        <v>HPS</v>
      </c>
      <c r="E3" s="27">
        <f ca="1">FixtureData!G6</f>
        <v>70</v>
      </c>
      <c r="F3" s="89">
        <f ca="1">FixtureData!I6</f>
        <v>306.60000000000002</v>
      </c>
      <c r="G3" s="89" t="e">
        <f ca="1">FixtureData!J6</f>
        <v>#DIV/0!</v>
      </c>
      <c r="H3" s="384">
        <f>'Illuminance Calcs'!$C$4</f>
        <v>4.9699814242012375</v>
      </c>
      <c r="I3" s="384">
        <f>'Illuminance Calcs'!$C$5</f>
        <v>3.7175126494087429</v>
      </c>
      <c r="J3" s="384">
        <f>'Illuminance Calcs'!$C$6</f>
        <v>6.832462419176224</v>
      </c>
      <c r="K3" s="384">
        <f>'Illuminance Calcs'!$C$7</f>
        <v>1.336910427188915</v>
      </c>
      <c r="L3" s="306">
        <f>IF(FixtureData!$B$23="IES",'Lighting Standards'!$D$12,'Lighting Standards'!$H$12)</f>
        <v>0</v>
      </c>
      <c r="M3" s="384">
        <f>IF(FixtureData!$B$23="IES",'Lighting Standards'!$D$13,'Lighting Standards'!$H$13)</f>
        <v>0</v>
      </c>
      <c r="N3" s="82"/>
      <c r="O3" s="82"/>
      <c r="P3" s="28">
        <f>IF(iescieGraphChoice="IES",IF(AND(H3&gt;L3,K3&lt;M3),1,0),IF(AND(H3&gt;L3,K3&gt;M3),1,0))</f>
        <v>0</v>
      </c>
      <c r="Q3" s="82">
        <f>'Luminance Calcs'!$C$4</f>
        <v>0.52308420232523101</v>
      </c>
      <c r="R3" s="384">
        <f>'Luminance Calcs'!$C$5</f>
        <v>0.39098434948514632</v>
      </c>
      <c r="S3" s="384">
        <f>'Luminance Calcs'!$C$6</f>
        <v>0.65186445875567245</v>
      </c>
      <c r="T3" s="384">
        <f>'Luminance Calcs'!$C$7</f>
        <v>1.3378648097143417</v>
      </c>
      <c r="U3" s="384">
        <f>'Luminance Calcs'!$C$8</f>
        <v>1.6672392631931603</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673">
        <f ca="1">CostCalcs!C46</f>
        <v>400</v>
      </c>
      <c r="AA3" s="673">
        <f ca="1">CostCalcs!C47</f>
        <v>50</v>
      </c>
      <c r="AB3" s="674"/>
      <c r="AC3" s="674"/>
      <c r="AD3" s="674"/>
      <c r="AE3" s="673">
        <f ca="1">CostCalcs!I23</f>
        <v>400</v>
      </c>
      <c r="AF3" s="673">
        <f ca="1">CostCalcs!I24</f>
        <v>451</v>
      </c>
      <c r="AG3" s="673">
        <f ca="1">CostCalcs!I25</f>
        <v>503.02</v>
      </c>
      <c r="AH3" s="673">
        <f ca="1">CostCalcs!I26</f>
        <v>556.08039999999994</v>
      </c>
      <c r="AI3" s="673">
        <f ca="1">CostCalcs!I27</f>
        <v>610.20200799999998</v>
      </c>
      <c r="AJ3" s="673">
        <f ca="1">CostCalcs!I28</f>
        <v>665.40604815999995</v>
      </c>
      <c r="AK3" s="673">
        <f ca="1">CostCalcs!I29</f>
        <v>721.71416912320001</v>
      </c>
      <c r="AL3" s="673">
        <f ca="1">CostCalcs!I30</f>
        <v>779.14845250566395</v>
      </c>
      <c r="AM3" s="673">
        <f ca="1">CostCalcs!I31</f>
        <v>837.73142155577727</v>
      </c>
      <c r="AN3" s="673">
        <f ca="1">CostCalcs!I32</f>
        <v>897.48604998689279</v>
      </c>
      <c r="AO3" s="673">
        <f ca="1">CostCalcs!I33</f>
        <v>958.4357709866307</v>
      </c>
      <c r="AP3" s="673">
        <f ca="1">CostCalcs!I34</f>
        <v>1020.6044864063633</v>
      </c>
      <c r="AQ3" s="673">
        <f ca="1">CostCalcs!I35</f>
        <v>1084.0165761344906</v>
      </c>
      <c r="AR3" s="673">
        <f ca="1">CostCalcs!I36</f>
        <v>1148.6969076571804</v>
      </c>
      <c r="AS3" s="673">
        <f ca="1">CostCalcs!I37</f>
        <v>1214.670845810324</v>
      </c>
      <c r="AT3" s="673">
        <f ca="1">CostCalcs!I38</f>
        <v>1281.9642627265305</v>
      </c>
      <c r="AU3" s="673">
        <f ca="1">CostCalcs!I39</f>
        <v>1350.6035479810612</v>
      </c>
      <c r="AV3" s="673">
        <f ca="1">CostCalcs!I40</f>
        <v>1420.6156189406825</v>
      </c>
      <c r="AW3" s="673">
        <f ca="1">CostCalcs!I41</f>
        <v>1492.027931319496</v>
      </c>
      <c r="AX3" s="673">
        <f ca="1">CostCalcs!I42</f>
        <v>1564.8684899458858</v>
      </c>
      <c r="AY3" s="673">
        <f ca="1">CostCalcs!I43</f>
        <v>1639.1658597448036</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f ca="1">IF(FixtureData!A6="Baseline",FixtureData!H18,IF(FixtureData!A6="Upgrade",FixtureData!H19,""))</f>
        <v>0.64239999999999997</v>
      </c>
    </row>
    <row r="4" spans="1:83" s="310" customFormat="1" ht="27.75" customHeight="1">
      <c r="B4" s="310" t="s">
        <v>22</v>
      </c>
      <c r="C4" s="310" t="s">
        <v>2782</v>
      </c>
      <c r="D4" s="310" t="s">
        <v>66</v>
      </c>
      <c r="E4" s="310">
        <v>34</v>
      </c>
      <c r="F4" s="311">
        <v>148.92000000000002</v>
      </c>
      <c r="G4" s="311">
        <v>5956.8000000000011</v>
      </c>
      <c r="H4" s="396">
        <v>4.9699814242012375</v>
      </c>
      <c r="I4" s="396">
        <v>3.7175126494087429</v>
      </c>
      <c r="J4" s="396">
        <v>6.832462419176224</v>
      </c>
      <c r="K4" s="396">
        <v>1.336910427188915</v>
      </c>
      <c r="L4" s="397">
        <v>0</v>
      </c>
      <c r="M4" s="396">
        <v>0</v>
      </c>
      <c r="N4" s="312"/>
      <c r="O4" s="312"/>
      <c r="P4" s="310">
        <v>0</v>
      </c>
      <c r="Q4" s="312">
        <v>0.52308420232523101</v>
      </c>
      <c r="R4" s="312">
        <v>0.39098434948514632</v>
      </c>
      <c r="S4" s="312">
        <v>0.65186445875567245</v>
      </c>
      <c r="T4" s="312">
        <v>1.3378648097143417</v>
      </c>
      <c r="U4" s="312">
        <v>1.6672392631931603</v>
      </c>
      <c r="V4" s="310">
        <v>0</v>
      </c>
      <c r="W4" s="310">
        <v>0</v>
      </c>
      <c r="X4" s="310">
        <v>0</v>
      </c>
      <c r="Y4" s="310">
        <v>0</v>
      </c>
      <c r="Z4" s="675">
        <v>600</v>
      </c>
      <c r="AA4" s="675">
        <v>39.89</v>
      </c>
      <c r="AB4" s="675"/>
      <c r="AC4" s="675"/>
      <c r="AD4" s="675"/>
      <c r="AE4" s="675">
        <v>600</v>
      </c>
      <c r="AF4" s="675">
        <v>639.89</v>
      </c>
      <c r="AG4" s="675">
        <v>679.78</v>
      </c>
      <c r="AH4" s="675">
        <v>719.68</v>
      </c>
      <c r="AI4" s="675">
        <v>759.57</v>
      </c>
      <c r="AJ4" s="675">
        <v>799.46</v>
      </c>
      <c r="AK4" s="675">
        <v>839.35</v>
      </c>
      <c r="AL4" s="675">
        <v>879.24</v>
      </c>
      <c r="AM4" s="675">
        <v>919.14</v>
      </c>
      <c r="AN4" s="675">
        <v>959.03</v>
      </c>
      <c r="AO4" s="675">
        <v>998.92</v>
      </c>
      <c r="AP4" s="675">
        <v>1038.81</v>
      </c>
      <c r="AQ4" s="675">
        <v>1078.7</v>
      </c>
      <c r="AR4" s="675">
        <v>1118.5999999999999</v>
      </c>
      <c r="AS4" s="675">
        <v>1158.49</v>
      </c>
      <c r="AT4" s="675">
        <v>1198.3800000000001</v>
      </c>
      <c r="AU4" s="675">
        <v>1238.27</v>
      </c>
      <c r="AV4" s="675">
        <v>1278.1600000000001</v>
      </c>
      <c r="AW4" s="675">
        <v>1318.06</v>
      </c>
      <c r="AX4" s="675">
        <v>1357.95</v>
      </c>
      <c r="AY4" s="675">
        <v>1397.84</v>
      </c>
      <c r="AZ4" s="498"/>
      <c r="BA4" s="498"/>
      <c r="BB4" s="498"/>
      <c r="BC4" s="498"/>
      <c r="BD4" s="498"/>
      <c r="BE4" s="498"/>
      <c r="BF4" s="498"/>
      <c r="BG4" s="498"/>
      <c r="BH4" s="498"/>
      <c r="BI4" s="498"/>
      <c r="BJ4" s="498"/>
      <c r="BK4" s="498"/>
      <c r="BL4" s="498"/>
      <c r="BM4" s="498"/>
      <c r="BN4" s="498"/>
      <c r="BO4" s="498"/>
      <c r="BP4" s="498"/>
      <c r="BQ4" s="498"/>
      <c r="BR4" s="498"/>
      <c r="BS4" s="498"/>
      <c r="BT4" s="313">
        <v>40</v>
      </c>
      <c r="BU4" s="310">
        <v>2</v>
      </c>
      <c r="BV4" s="310">
        <v>3</v>
      </c>
      <c r="BX4" s="310">
        <v>0</v>
      </c>
      <c r="BY4" s="310" t="s">
        <v>320</v>
      </c>
      <c r="BZ4" s="310">
        <v>8</v>
      </c>
      <c r="CA4" s="310">
        <v>25</v>
      </c>
      <c r="CB4" s="310">
        <v>2</v>
      </c>
      <c r="CC4" s="310">
        <v>1</v>
      </c>
      <c r="CE4" s="310">
        <v>0.61599999999999999</v>
      </c>
    </row>
    <row r="5" spans="1:83">
      <c r="B5" t="s">
        <v>1999</v>
      </c>
      <c r="C5" t="s">
        <v>2782</v>
      </c>
      <c r="D5" t="s">
        <v>66</v>
      </c>
      <c r="E5">
        <v>34</v>
      </c>
      <c r="F5" s="90">
        <v>148.92000000000002</v>
      </c>
      <c r="G5" s="90">
        <v>5956.8000000000011</v>
      </c>
      <c r="H5" s="398">
        <v>4.9699814242012375</v>
      </c>
      <c r="I5" s="398">
        <v>3.7175126494087429</v>
      </c>
      <c r="J5" s="398">
        <v>6.832462419176224</v>
      </c>
      <c r="K5" s="398">
        <v>1.336910427188915</v>
      </c>
      <c r="L5" s="108">
        <v>0</v>
      </c>
      <c r="M5" s="398">
        <v>0</v>
      </c>
      <c r="P5">
        <v>0</v>
      </c>
      <c r="Q5" s="83">
        <v>0.52308420232523101</v>
      </c>
      <c r="R5" s="83">
        <v>0.39098434948514632</v>
      </c>
      <c r="S5" s="341">
        <v>0.65186445875567245</v>
      </c>
      <c r="T5" s="83">
        <v>1.3378648097143417</v>
      </c>
      <c r="U5" s="341">
        <v>1.6672392631931603</v>
      </c>
      <c r="V5">
        <v>0</v>
      </c>
      <c r="W5">
        <v>0</v>
      </c>
      <c r="X5">
        <v>0</v>
      </c>
      <c r="Y5">
        <v>0</v>
      </c>
      <c r="Z5" s="676">
        <v>600</v>
      </c>
      <c r="AA5" s="676">
        <v>39.89</v>
      </c>
      <c r="AB5" s="676">
        <v>0</v>
      </c>
      <c r="AC5" s="676">
        <v>0.11</v>
      </c>
      <c r="AD5" s="676">
        <v>0</v>
      </c>
      <c r="AE5" s="676">
        <v>600</v>
      </c>
      <c r="AF5" s="676">
        <v>639.89</v>
      </c>
      <c r="AG5" s="676">
        <v>679.78</v>
      </c>
      <c r="AH5" s="676">
        <v>719.68</v>
      </c>
      <c r="AI5" s="676">
        <v>759.57</v>
      </c>
      <c r="AJ5" s="676">
        <v>799.46</v>
      </c>
      <c r="AK5" s="676">
        <v>839.35</v>
      </c>
      <c r="AL5" s="676">
        <v>879.24</v>
      </c>
      <c r="AM5" s="676">
        <v>919.14</v>
      </c>
      <c r="AN5" s="676">
        <v>959.03</v>
      </c>
      <c r="AO5" s="676">
        <v>998.92</v>
      </c>
      <c r="AP5" s="676">
        <v>1038.81</v>
      </c>
      <c r="AQ5" s="676">
        <v>1078.7</v>
      </c>
      <c r="AR5" s="676">
        <v>1118.5999999999999</v>
      </c>
      <c r="AS5" s="676">
        <v>1158.49</v>
      </c>
      <c r="AT5" s="676">
        <v>1198.3800000000001</v>
      </c>
      <c r="AU5" s="676">
        <v>1238.27</v>
      </c>
      <c r="AV5" s="676">
        <v>1278.1600000000001</v>
      </c>
      <c r="AW5" s="676">
        <v>1318.06</v>
      </c>
      <c r="AX5" s="676">
        <v>1357.95</v>
      </c>
      <c r="AY5" s="676">
        <v>1397.84</v>
      </c>
      <c r="AZ5" s="499" t="s">
        <v>1676</v>
      </c>
      <c r="BA5" s="499" t="s">
        <v>2784</v>
      </c>
      <c r="BB5" s="499" t="s">
        <v>2784</v>
      </c>
      <c r="BC5" s="499" t="s">
        <v>2784</v>
      </c>
      <c r="BD5" s="499" t="s">
        <v>2784</v>
      </c>
      <c r="BE5" s="499" t="s">
        <v>2784</v>
      </c>
      <c r="BF5" s="499" t="s">
        <v>2784</v>
      </c>
      <c r="BG5" s="499" t="s">
        <v>2784</v>
      </c>
      <c r="BH5" s="499" t="s">
        <v>2784</v>
      </c>
      <c r="BI5" s="499" t="s">
        <v>2784</v>
      </c>
      <c r="BJ5" s="499" t="s">
        <v>2784</v>
      </c>
      <c r="BK5" s="499" t="s">
        <v>2784</v>
      </c>
      <c r="BL5" s="499" t="s">
        <v>2784</v>
      </c>
      <c r="BM5" s="499" t="s">
        <v>2784</v>
      </c>
      <c r="BN5" s="499" t="s">
        <v>2784</v>
      </c>
      <c r="BO5" s="499" t="s">
        <v>2784</v>
      </c>
      <c r="BP5" s="499" t="s">
        <v>2784</v>
      </c>
      <c r="BQ5" s="499" t="s">
        <v>2784</v>
      </c>
      <c r="BR5" s="499" t="s">
        <v>2784</v>
      </c>
      <c r="BS5" s="499" t="s">
        <v>2784</v>
      </c>
      <c r="BT5" s="86">
        <v>40</v>
      </c>
      <c r="BU5">
        <v>2</v>
      </c>
      <c r="BV5">
        <v>3</v>
      </c>
      <c r="BX5">
        <v>0</v>
      </c>
      <c r="BY5" t="s">
        <v>320</v>
      </c>
      <c r="BZ5">
        <v>8</v>
      </c>
      <c r="CA5">
        <v>25</v>
      </c>
      <c r="CB5">
        <v>2</v>
      </c>
      <c r="CC5">
        <v>1</v>
      </c>
      <c r="CE5">
        <v>0.61599999999999999</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3345</v>
      </c>
      <c r="B1" s="365" t="s">
        <v>1787</v>
      </c>
    </row>
    <row r="2" spans="1:2">
      <c r="A2" s="294" t="s">
        <v>3347</v>
      </c>
      <c r="B2" s="365" t="s">
        <v>1788</v>
      </c>
    </row>
    <row r="14" spans="1:2" ht="15.75" thickBot="1">
      <c r="A14" s="352" t="str">
        <f>Translation!B101</f>
        <v>Type</v>
      </c>
    </row>
    <row r="15" spans="1:2" ht="208.5" customHeight="1" thickTop="1">
      <c r="A15" s="910"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0"/>
    </row>
    <row r="30" spans="1:2" ht="15.75" thickBot="1">
      <c r="A30" s="352" t="str">
        <f>Translation!B102</f>
        <v>Watts</v>
      </c>
    </row>
    <row r="31" spans="1:2" s="350" customFormat="1" ht="47.25" customHeight="1" thickTop="1">
      <c r="A31" s="910" t="str">
        <f>Translation!B100</f>
        <v xml:space="preserve">This is actual power consumption of the fixture, including the bulb and any ballast or other electronics. It is read in from the IES file when other fixture data is captured. </v>
      </c>
      <c r="B31" s="910"/>
    </row>
    <row r="33" spans="1:2" ht="151.5" customHeight="1">
      <c r="A33" s="910"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0"/>
    </row>
    <row r="52" spans="1:2" ht="15.75" thickBot="1">
      <c r="A52" s="353" t="str">
        <f>Translation!B95</f>
        <v>Total Light Loss Factor</v>
      </c>
    </row>
    <row r="53" spans="1:2" ht="258.75" customHeight="1" thickTop="1">
      <c r="A53" s="910"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0"/>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0"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0"/>
    </row>
    <row r="69" spans="1:2">
      <c r="A69" s="910"/>
      <c r="B69" s="910"/>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1" t="str">
        <f>Translation!B325</f>
        <v>The installation cost should be the all-in cost for installing the fixture, including street closure costs, labor costs, etc. as relevant. If this is your baseline fixture (i.e. already installed), this cost should be zero</v>
      </c>
      <c r="B76" s="911"/>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1"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1"/>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2" t="str">
        <f>Translation!B329</f>
        <v xml:space="preserve">Enter the assumed discount rate for calculating the net present value of future energy and maintenance cost savings
</v>
      </c>
      <c r="B88" s="912"/>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1" t="str">
        <f>Translation!B331</f>
        <v xml:space="preserve">Enter the time period over which you'd like to evaluate the differences in maintenance, bulb replacement, and energy costs between the scenarios
</v>
      </c>
      <c r="B94" s="911"/>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0"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0"/>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1"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1"/>
    </row>
    <row r="124" spans="1:2">
      <c r="A124" s="911" t="str">
        <f>Translation!B93</f>
        <v>For LED fixtures , fixture life can be very long - but a poorly designed fixture may have a much shorter life than typical. It's very important to assess manufacturer claims about typical life. To assess these claims, here are some tips:</v>
      </c>
      <c r="B124" s="911"/>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1098</v>
      </c>
    </row>
    <row r="9" spans="2:3">
      <c r="B9" s="175" t="str">
        <f>FixtureData!G$5</f>
        <v>Watts</v>
      </c>
      <c r="C9" s="259">
        <f ca="1">FixtureData!G$6</f>
        <v>70</v>
      </c>
    </row>
    <row r="10" spans="2:3">
      <c r="B10" s="175" t="str">
        <f>FixtureData!H$5</f>
        <v>Total Light Loss Factor</v>
      </c>
      <c r="C10" s="259">
        <f ca="1">FixtureData!H$6</f>
        <v>0.64239999999999997</v>
      </c>
    </row>
    <row r="11" spans="2:3">
      <c r="B11" s="175" t="str">
        <f>FixtureData!I$5</f>
        <v>kWh/fixture</v>
      </c>
      <c r="C11" s="320">
        <f ca="1">FixtureData!I$6</f>
        <v>306.60000000000002</v>
      </c>
    </row>
    <row r="12" spans="2:3">
      <c r="B12" s="175" t="str">
        <f>FixtureData!J$5</f>
        <v>kWh/kilometer/yr</v>
      </c>
      <c r="C12" s="321" t="e">
        <f ca="1">FixtureData!J$6</f>
        <v>#DIV/0!</v>
      </c>
    </row>
    <row r="13" spans="2:3">
      <c r="B13" s="175" t="str">
        <f>FixtureData!K$5</f>
        <v>Equipment Cost ($/fixture)</v>
      </c>
      <c r="C13" s="322">
        <f ca="1">FixtureData!K$6</f>
        <v>300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50</v>
      </c>
    </row>
    <row r="17" spans="1:23" ht="30">
      <c r="B17" s="175" t="str">
        <f>FixtureData!O$5</f>
        <v>Maintenance inflation rate (%/year)</v>
      </c>
      <c r="C17" s="323">
        <f ca="1">FixtureData!O$6</f>
        <v>0.02</v>
      </c>
    </row>
    <row r="18" spans="1:23">
      <c r="B18" s="175" t="str">
        <f>'Road Geometry'!B51</f>
        <v>Fixtures/km</v>
      </c>
      <c r="C18" s="321" t="e">
        <f>IF(FixtureData!A6="Baseline",'Road Geometry'!C51,'Road Geometry'!C77)</f>
        <v>#DIV/0!</v>
      </c>
    </row>
    <row r="20" spans="1:23">
      <c r="B20" s="175" t="s">
        <v>1107</v>
      </c>
      <c r="C20" s="324">
        <f ca="1">C13+C14-C15</f>
        <v>400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400</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600</v>
      </c>
      <c r="S23" s="324">
        <f ca="1">I23</f>
        <v>400</v>
      </c>
      <c r="T23" s="333">
        <f ca="1">R23-S23</f>
        <v>200</v>
      </c>
      <c r="U23" s="259" t="str">
        <f ca="1">IF(T23&gt;0,Translation!$B$509,IF(AVERAGE($T$24:$T$43)&lt;0,Translation!$B$510,""))</f>
        <v>Upgrade is cheaper to install than baseline!</v>
      </c>
      <c r="V23" s="494"/>
    </row>
    <row r="24" spans="1:23">
      <c r="A24" t="s">
        <v>1108</v>
      </c>
      <c r="B24" s="327">
        <v>1</v>
      </c>
      <c r="C24" s="328">
        <f t="shared" ref="C24:C43" ca="1" si="5">$C$16*(1+$C$17)^$B24</f>
        <v>51</v>
      </c>
      <c r="D24" s="328">
        <f t="shared" ref="D24:D43" ca="1" si="6">$C$11*$C$3*(1+$C$4)^B24</f>
        <v>0</v>
      </c>
      <c r="E24" s="328">
        <f ca="1">D24+C24</f>
        <v>51</v>
      </c>
      <c r="F24" s="329">
        <f t="shared" ref="F24:F43" ca="1" si="7">(C24)/(1+$C$5)^$B24</f>
        <v>51</v>
      </c>
      <c r="G24" s="329">
        <f t="shared" ref="G24:G43" ca="1" si="8">(D24)/(1+$C$5)^$B24</f>
        <v>0</v>
      </c>
      <c r="H24" s="329">
        <f ca="1">F24+G24</f>
        <v>51</v>
      </c>
      <c r="I24" s="328">
        <f t="shared" ref="I24:I43" ca="1" si="9">I23+G24+F24</f>
        <v>451</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40.69</v>
      </c>
      <c r="S24" s="501">
        <f ca="1">E24</f>
        <v>51</v>
      </c>
      <c r="T24" s="333">
        <f t="shared" ref="T24:T43" ca="1" si="11">R24-S24</f>
        <v>-10.310000000000002</v>
      </c>
      <c r="U24" s="502" t="str">
        <f ca="1">IF(U$23&lt;&gt;"",$U$23,IRR(T$23:T24))</f>
        <v>Upgrade is cheaper to install than baseline!</v>
      </c>
      <c r="V24" s="494"/>
      <c r="W24" s="500"/>
    </row>
    <row r="25" spans="1:23">
      <c r="B25" s="327">
        <v>2</v>
      </c>
      <c r="C25" s="328">
        <f t="shared" ca="1" si="5"/>
        <v>52.019999999999996</v>
      </c>
      <c r="D25" s="328">
        <f t="shared" ca="1" si="6"/>
        <v>0</v>
      </c>
      <c r="E25" s="328">
        <f t="shared" ref="E25:E43" ca="1" si="12">D25+C25</f>
        <v>52.019999999999996</v>
      </c>
      <c r="F25" s="329">
        <f t="shared" ca="1" si="7"/>
        <v>52.019999999999996</v>
      </c>
      <c r="G25" s="329">
        <f t="shared" ca="1" si="8"/>
        <v>0</v>
      </c>
      <c r="H25" s="329">
        <f t="shared" ref="H25:H43" ca="1" si="13">F25+G25</f>
        <v>52.019999999999996</v>
      </c>
      <c r="I25" s="328">
        <f t="shared" ca="1" si="9"/>
        <v>503.02</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v>
      </c>
      <c r="S25" s="501">
        <f t="shared" ref="S25:S43" ca="1" si="14">E25</f>
        <v>52.019999999999996</v>
      </c>
      <c r="T25" s="333">
        <f t="shared" ca="1" si="11"/>
        <v>-10.519999999999996</v>
      </c>
      <c r="U25" s="502" t="str">
        <f ca="1">IF(U$23&lt;&gt;"","-",IRR(T$23:T25))</f>
        <v>-</v>
      </c>
      <c r="V25" s="494"/>
      <c r="W25" s="500"/>
    </row>
    <row r="26" spans="1:23">
      <c r="B26" s="327">
        <v>3</v>
      </c>
      <c r="C26" s="328">
        <f t="shared" ca="1" si="5"/>
        <v>53.060399999999994</v>
      </c>
      <c r="D26" s="328">
        <f t="shared" ca="1" si="6"/>
        <v>0</v>
      </c>
      <c r="E26" s="328">
        <f t="shared" ca="1" si="12"/>
        <v>53.060399999999994</v>
      </c>
      <c r="F26" s="329">
        <f t="shared" ca="1" si="7"/>
        <v>53.060399999999994</v>
      </c>
      <c r="G26" s="329">
        <f t="shared" ca="1" si="8"/>
        <v>0</v>
      </c>
      <c r="H26" s="329">
        <f t="shared" ca="1" si="13"/>
        <v>53.060399999999994</v>
      </c>
      <c r="I26" s="328">
        <f t="shared" ca="1" si="9"/>
        <v>556.08039999999994</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v>
      </c>
      <c r="S26" s="501">
        <f t="shared" ca="1" si="14"/>
        <v>53.060399999999994</v>
      </c>
      <c r="T26" s="333">
        <f t="shared" ca="1" si="11"/>
        <v>-10.730399999999996</v>
      </c>
      <c r="U26" s="502" t="str">
        <f ca="1">IF(U$23&lt;&gt;"","-",IRR(T$23:T26))</f>
        <v>-</v>
      </c>
      <c r="V26" s="494"/>
      <c r="W26" s="500"/>
    </row>
    <row r="27" spans="1:23">
      <c r="B27" s="327">
        <v>4</v>
      </c>
      <c r="C27" s="328">
        <f t="shared" ca="1" si="5"/>
        <v>54.121608000000002</v>
      </c>
      <c r="D27" s="328">
        <f t="shared" ca="1" si="6"/>
        <v>0</v>
      </c>
      <c r="E27" s="328">
        <f t="shared" ca="1" si="12"/>
        <v>54.121608000000002</v>
      </c>
      <c r="F27" s="329">
        <f t="shared" ca="1" si="7"/>
        <v>54.121608000000002</v>
      </c>
      <c r="G27" s="329">
        <f t="shared" ca="1" si="8"/>
        <v>0</v>
      </c>
      <c r="H27" s="329">
        <f t="shared" ca="1" si="13"/>
        <v>54.121608000000002</v>
      </c>
      <c r="I27" s="328">
        <f t="shared" ca="1" si="9"/>
        <v>610.20200799999998</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v>
      </c>
      <c r="S27" s="501">
        <f t="shared" ca="1" si="14"/>
        <v>54.121608000000002</v>
      </c>
      <c r="T27" s="333">
        <f t="shared" ca="1" si="11"/>
        <v>-10.941608000000002</v>
      </c>
      <c r="U27" s="502" t="str">
        <f ca="1">IF(U$23&lt;&gt;"","-",IRR(T$23:T27))</f>
        <v>-</v>
      </c>
      <c r="V27" s="494"/>
      <c r="W27" s="500"/>
    </row>
    <row r="28" spans="1:23">
      <c r="B28" s="327">
        <v>5</v>
      </c>
      <c r="C28" s="328">
        <f t="shared" ca="1" si="5"/>
        <v>55.204040159999998</v>
      </c>
      <c r="D28" s="328">
        <f t="shared" ca="1" si="6"/>
        <v>0</v>
      </c>
      <c r="E28" s="328">
        <f t="shared" ca="1" si="12"/>
        <v>55.204040159999998</v>
      </c>
      <c r="F28" s="329">
        <f t="shared" ca="1" si="7"/>
        <v>55.204040159999998</v>
      </c>
      <c r="G28" s="329">
        <f t="shared" ca="1" si="8"/>
        <v>0</v>
      </c>
      <c r="H28" s="329">
        <f t="shared" ca="1" si="13"/>
        <v>55.204040159999998</v>
      </c>
      <c r="I28" s="328">
        <f t="shared" ca="1" si="9"/>
        <v>665.40604815999995</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v>
      </c>
      <c r="S28" s="501">
        <f t="shared" ca="1" si="14"/>
        <v>55.204040159999998</v>
      </c>
      <c r="T28" s="333">
        <f t="shared" ca="1" si="11"/>
        <v>-11.164040159999999</v>
      </c>
      <c r="U28" s="502" t="str">
        <f ca="1">IF(U$23&lt;&gt;"","-",IRR(T$23:T28))</f>
        <v>-</v>
      </c>
      <c r="V28" s="494"/>
      <c r="W28" s="500"/>
    </row>
    <row r="29" spans="1:23">
      <c r="B29" s="327">
        <v>6</v>
      </c>
      <c r="C29" s="328">
        <f t="shared" ca="1" si="5"/>
        <v>56.308120963200004</v>
      </c>
      <c r="D29" s="328">
        <f t="shared" ca="1" si="6"/>
        <v>0</v>
      </c>
      <c r="E29" s="328">
        <f t="shared" ca="1" si="12"/>
        <v>56.308120963200004</v>
      </c>
      <c r="F29" s="329">
        <f t="shared" ca="1" si="7"/>
        <v>56.308120963200004</v>
      </c>
      <c r="G29" s="329">
        <f t="shared" ca="1" si="8"/>
        <v>0</v>
      </c>
      <c r="H29" s="329">
        <f t="shared" ca="1" si="13"/>
        <v>56.308120963200004</v>
      </c>
      <c r="I29" s="328">
        <f t="shared" ca="1" si="9"/>
        <v>721.71416912320001</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v>
      </c>
      <c r="S29" s="501">
        <f t="shared" ca="1" si="14"/>
        <v>56.308120963200004</v>
      </c>
      <c r="T29" s="333">
        <f t="shared" ca="1" si="11"/>
        <v>-11.388120963200002</v>
      </c>
      <c r="U29" s="502" t="str">
        <f ca="1">IF(U$23&lt;&gt;"","-",IRR(T$23:T29))</f>
        <v>-</v>
      </c>
      <c r="V29" s="494"/>
      <c r="W29" s="500"/>
    </row>
    <row r="30" spans="1:23">
      <c r="B30" s="327">
        <v>7</v>
      </c>
      <c r="C30" s="328">
        <f t="shared" ca="1" si="5"/>
        <v>57.434283382463988</v>
      </c>
      <c r="D30" s="328">
        <f t="shared" ca="1" si="6"/>
        <v>0</v>
      </c>
      <c r="E30" s="328">
        <f t="shared" ca="1" si="12"/>
        <v>57.434283382463988</v>
      </c>
      <c r="F30" s="329">
        <f t="shared" ca="1" si="7"/>
        <v>57.434283382463988</v>
      </c>
      <c r="G30" s="329">
        <f t="shared" ca="1" si="8"/>
        <v>0</v>
      </c>
      <c r="H30" s="329">
        <f t="shared" ca="1" si="13"/>
        <v>57.434283382463988</v>
      </c>
      <c r="I30" s="328">
        <f t="shared" ca="1" si="9"/>
        <v>779.14845250566395</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v>
      </c>
      <c r="S30" s="501">
        <f t="shared" ca="1" si="14"/>
        <v>57.434283382463988</v>
      </c>
      <c r="T30" s="333">
        <f t="shared" ca="1" si="11"/>
        <v>-11.614283382463988</v>
      </c>
      <c r="U30" s="502" t="str">
        <f ca="1">IF(U$23&lt;&gt;"","-",IRR(T$23:T30))</f>
        <v>-</v>
      </c>
      <c r="V30" s="494"/>
      <c r="W30" s="500"/>
    </row>
    <row r="31" spans="1:23">
      <c r="B31" s="327">
        <v>8</v>
      </c>
      <c r="C31" s="328">
        <f t="shared" ca="1" si="5"/>
        <v>58.582969050113277</v>
      </c>
      <c r="D31" s="328">
        <f t="shared" ca="1" si="6"/>
        <v>0</v>
      </c>
      <c r="E31" s="328">
        <f t="shared" ca="1" si="12"/>
        <v>58.582969050113277</v>
      </c>
      <c r="F31" s="329">
        <f t="shared" ca="1" si="7"/>
        <v>58.582969050113277</v>
      </c>
      <c r="G31" s="329">
        <f t="shared" ca="1" si="8"/>
        <v>0</v>
      </c>
      <c r="H31" s="329">
        <f t="shared" ca="1" si="13"/>
        <v>58.582969050113277</v>
      </c>
      <c r="I31" s="328">
        <f t="shared" ca="1" si="9"/>
        <v>837.73142155577727</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46.74</v>
      </c>
      <c r="S31" s="501">
        <f t="shared" ca="1" si="14"/>
        <v>58.582969050113277</v>
      </c>
      <c r="T31" s="333">
        <f t="shared" ca="1" si="11"/>
        <v>-11.842969050113275</v>
      </c>
      <c r="U31" s="502" t="str">
        <f ca="1">IF(U$23&lt;&gt;"","-",IRR(T$23:T31))</f>
        <v>-</v>
      </c>
      <c r="V31" s="494"/>
      <c r="W31" s="500"/>
    </row>
    <row r="32" spans="1:23">
      <c r="B32" s="327">
        <v>9</v>
      </c>
      <c r="C32" s="328">
        <f t="shared" ca="1" si="5"/>
        <v>59.754628431115542</v>
      </c>
      <c r="D32" s="328">
        <f t="shared" ca="1" si="6"/>
        <v>0</v>
      </c>
      <c r="E32" s="328">
        <f t="shared" ca="1" si="12"/>
        <v>59.754628431115542</v>
      </c>
      <c r="F32" s="329">
        <f t="shared" ca="1" si="7"/>
        <v>59.754628431115542</v>
      </c>
      <c r="G32" s="329">
        <f t="shared" ca="1" si="8"/>
        <v>0</v>
      </c>
      <c r="H32" s="329">
        <f t="shared" ca="1" si="13"/>
        <v>59.754628431115542</v>
      </c>
      <c r="I32" s="328">
        <f t="shared" ca="1" si="9"/>
        <v>897.48604998689279</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v>
      </c>
      <c r="S32" s="501">
        <f t="shared" ca="1" si="14"/>
        <v>59.754628431115542</v>
      </c>
      <c r="T32" s="333">
        <f t="shared" ca="1" si="11"/>
        <v>-12.08462843111554</v>
      </c>
      <c r="U32" s="502" t="str">
        <f ca="1">IF(U$23&lt;&gt;"","-",IRR(T$23:T32))</f>
        <v>-</v>
      </c>
      <c r="V32" s="494"/>
      <c r="W32" s="500"/>
    </row>
    <row r="33" spans="2:23">
      <c r="B33" s="327">
        <v>10</v>
      </c>
      <c r="C33" s="328">
        <f t="shared" ca="1" si="5"/>
        <v>60.949720999737856</v>
      </c>
      <c r="D33" s="328">
        <f t="shared" ca="1" si="6"/>
        <v>0</v>
      </c>
      <c r="E33" s="328">
        <f t="shared" ca="1" si="12"/>
        <v>60.949720999737856</v>
      </c>
      <c r="F33" s="329">
        <f t="shared" ca="1" si="7"/>
        <v>60.949720999737856</v>
      </c>
      <c r="G33" s="329">
        <f t="shared" ca="1" si="8"/>
        <v>0</v>
      </c>
      <c r="H33" s="329">
        <f t="shared" ca="1" si="13"/>
        <v>60.949720999737856</v>
      </c>
      <c r="I33" s="328">
        <f t="shared" ca="1" si="9"/>
        <v>958.4357709866307</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48.63</v>
      </c>
      <c r="S33" s="501">
        <f t="shared" ca="1" si="14"/>
        <v>60.949720999737856</v>
      </c>
      <c r="T33" s="333">
        <f t="shared" ca="1" si="11"/>
        <v>-12.319720999737854</v>
      </c>
      <c r="U33" s="502" t="str">
        <f ca="1">IF(U$23&lt;&gt;"","-",IRR(T$23:T33))</f>
        <v>-</v>
      </c>
      <c r="V33" s="494"/>
      <c r="W33" s="500"/>
    </row>
    <row r="34" spans="2:23">
      <c r="B34" s="327">
        <v>11</v>
      </c>
      <c r="C34" s="328">
        <f t="shared" ca="1" si="5"/>
        <v>62.1687154197326</v>
      </c>
      <c r="D34" s="328">
        <f t="shared" ca="1" si="6"/>
        <v>0</v>
      </c>
      <c r="E34" s="328">
        <f t="shared" ca="1" si="12"/>
        <v>62.1687154197326</v>
      </c>
      <c r="F34" s="329">
        <f t="shared" ca="1" si="7"/>
        <v>62.1687154197326</v>
      </c>
      <c r="G34" s="329">
        <f t="shared" ca="1" si="8"/>
        <v>0</v>
      </c>
      <c r="H34" s="329">
        <f t="shared" ca="1" si="13"/>
        <v>62.1687154197326</v>
      </c>
      <c r="I34" s="328">
        <f t="shared" ca="1" si="9"/>
        <v>1020.6044864063633</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v>
      </c>
      <c r="S34" s="501">
        <f t="shared" ca="1" si="14"/>
        <v>62.1687154197326</v>
      </c>
      <c r="T34" s="333">
        <f t="shared" ca="1" si="11"/>
        <v>-12.568715419732598</v>
      </c>
      <c r="U34" s="502" t="str">
        <f ca="1">IF(U$23&lt;&gt;"","-",IRR(T$23:T34))</f>
        <v>-</v>
      </c>
      <c r="V34" s="494"/>
      <c r="W34" s="500"/>
    </row>
    <row r="35" spans="2:23">
      <c r="B35" s="327">
        <v>12</v>
      </c>
      <c r="C35" s="328">
        <f t="shared" ca="1" si="5"/>
        <v>63.412089728127263</v>
      </c>
      <c r="D35" s="328">
        <f t="shared" ca="1" si="6"/>
        <v>0</v>
      </c>
      <c r="E35" s="328">
        <f t="shared" ca="1" si="12"/>
        <v>63.412089728127263</v>
      </c>
      <c r="F35" s="329">
        <f t="shared" ca="1" si="7"/>
        <v>63.412089728127263</v>
      </c>
      <c r="G35" s="329">
        <f t="shared" ca="1" si="8"/>
        <v>0</v>
      </c>
      <c r="H35" s="329">
        <f t="shared" ca="1" si="13"/>
        <v>63.412089728127263</v>
      </c>
      <c r="I35" s="328">
        <f t="shared" ca="1" si="9"/>
        <v>1084.0165761344906</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v>
      </c>
      <c r="S35" s="501">
        <f t="shared" ca="1" si="14"/>
        <v>63.412089728127263</v>
      </c>
      <c r="T35" s="333">
        <f t="shared" ca="1" si="11"/>
        <v>-12.82208972812726</v>
      </c>
      <c r="U35" s="502" t="str">
        <f ca="1">IF(U$23&lt;&gt;"","-",IRR(T$23:T35))</f>
        <v>-</v>
      </c>
      <c r="V35" s="494"/>
      <c r="W35" s="500"/>
    </row>
    <row r="36" spans="2:23">
      <c r="B36" s="327">
        <v>13</v>
      </c>
      <c r="C36" s="328">
        <f t="shared" ca="1" si="5"/>
        <v>64.680331522689798</v>
      </c>
      <c r="D36" s="328">
        <f t="shared" ca="1" si="6"/>
        <v>0</v>
      </c>
      <c r="E36" s="328">
        <f t="shared" ca="1" si="12"/>
        <v>64.680331522689798</v>
      </c>
      <c r="F36" s="329">
        <f t="shared" ca="1" si="7"/>
        <v>64.680331522689798</v>
      </c>
      <c r="G36" s="329">
        <f t="shared" ca="1" si="8"/>
        <v>0</v>
      </c>
      <c r="H36" s="329">
        <f t="shared" ca="1" si="13"/>
        <v>64.680331522689798</v>
      </c>
      <c r="I36" s="328">
        <f t="shared" ca="1" si="9"/>
        <v>1148.6969076571804</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v>
      </c>
      <c r="S36" s="501">
        <f t="shared" ca="1" si="14"/>
        <v>64.680331522689798</v>
      </c>
      <c r="T36" s="333">
        <f t="shared" ca="1" si="11"/>
        <v>-13.080331522689796</v>
      </c>
      <c r="U36" s="502" t="str">
        <f ca="1">IF(U$23&lt;&gt;"","-",IRR(T$23:T36))</f>
        <v>-</v>
      </c>
      <c r="V36" s="494"/>
      <c r="W36" s="500"/>
    </row>
    <row r="37" spans="2:23">
      <c r="B37" s="327">
        <v>14</v>
      </c>
      <c r="C37" s="328">
        <f t="shared" ca="1" si="5"/>
        <v>65.973938153143607</v>
      </c>
      <c r="D37" s="328">
        <f t="shared" ca="1" si="6"/>
        <v>0</v>
      </c>
      <c r="E37" s="328">
        <f t="shared" ca="1" si="12"/>
        <v>65.973938153143607</v>
      </c>
      <c r="F37" s="329">
        <f t="shared" ca="1" si="7"/>
        <v>65.973938153143607</v>
      </c>
      <c r="G37" s="329">
        <f t="shared" ca="1" si="8"/>
        <v>0</v>
      </c>
      <c r="H37" s="329">
        <f t="shared" ca="1" si="13"/>
        <v>65.973938153143607</v>
      </c>
      <c r="I37" s="328">
        <f t="shared" ca="1" si="9"/>
        <v>1214.670845810324</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52.64</v>
      </c>
      <c r="S37" s="501">
        <f t="shared" ca="1" si="14"/>
        <v>65.973938153143607</v>
      </c>
      <c r="T37" s="333">
        <f t="shared" ca="1" si="11"/>
        <v>-13.333938153143606</v>
      </c>
      <c r="U37" s="502" t="str">
        <f ca="1">IF(U$23&lt;&gt;"","-",IRR(T$23:T37))</f>
        <v>-</v>
      </c>
      <c r="V37" s="494"/>
      <c r="W37" s="500"/>
    </row>
    <row r="38" spans="2:23">
      <c r="B38" s="327">
        <v>15</v>
      </c>
      <c r="C38" s="328">
        <f t="shared" ca="1" si="5"/>
        <v>67.293416916206468</v>
      </c>
      <c r="D38" s="328">
        <f t="shared" ca="1" si="6"/>
        <v>0</v>
      </c>
      <c r="E38" s="328">
        <f t="shared" ca="1" si="12"/>
        <v>67.293416916206468</v>
      </c>
      <c r="F38" s="329">
        <f t="shared" ca="1" si="7"/>
        <v>67.293416916206468</v>
      </c>
      <c r="G38" s="329">
        <f t="shared" ca="1" si="8"/>
        <v>0</v>
      </c>
      <c r="H38" s="329">
        <f t="shared" ca="1" si="13"/>
        <v>67.293416916206468</v>
      </c>
      <c r="I38" s="328">
        <f t="shared" ca="1" si="9"/>
        <v>1281.9642627265305</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53.69</v>
      </c>
      <c r="S38" s="501">
        <f t="shared" ca="1" si="14"/>
        <v>67.293416916206468</v>
      </c>
      <c r="T38" s="333">
        <f t="shared" ca="1" si="11"/>
        <v>-13.60341691620647</v>
      </c>
      <c r="U38" s="502" t="str">
        <f ca="1">IF(U$23&lt;&gt;"","-",IRR(T$23:T38))</f>
        <v>-</v>
      </c>
      <c r="V38" s="494"/>
      <c r="W38" s="500"/>
    </row>
    <row r="39" spans="2:23">
      <c r="B39" s="327">
        <v>16</v>
      </c>
      <c r="C39" s="328">
        <f t="shared" ca="1" si="5"/>
        <v>68.639285254530606</v>
      </c>
      <c r="D39" s="328">
        <f t="shared" ca="1" si="6"/>
        <v>0</v>
      </c>
      <c r="E39" s="328">
        <f t="shared" ca="1" si="12"/>
        <v>68.639285254530606</v>
      </c>
      <c r="F39" s="329">
        <f t="shared" ca="1" si="7"/>
        <v>68.639285254530606</v>
      </c>
      <c r="G39" s="329">
        <f t="shared" ca="1" si="8"/>
        <v>0</v>
      </c>
      <c r="H39" s="329">
        <f t="shared" ca="1" si="13"/>
        <v>68.639285254530606</v>
      </c>
      <c r="I39" s="328">
        <f t="shared" ca="1" si="9"/>
        <v>1350.6035479810612</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v>
      </c>
      <c r="S39" s="501">
        <f t="shared" ca="1" si="14"/>
        <v>68.639285254530606</v>
      </c>
      <c r="T39" s="333">
        <f t="shared" ca="1" si="11"/>
        <v>-13.879285254530608</v>
      </c>
      <c r="U39" s="502" t="str">
        <f ca="1">IF(U$23&lt;&gt;"","-",IRR(T$23:T39))</f>
        <v>-</v>
      </c>
      <c r="V39" s="494"/>
      <c r="W39" s="500"/>
    </row>
    <row r="40" spans="2:23">
      <c r="B40" s="327">
        <v>17</v>
      </c>
      <c r="C40" s="328">
        <f t="shared" ca="1" si="5"/>
        <v>70.012070959621227</v>
      </c>
      <c r="D40" s="328">
        <f t="shared" ca="1" si="6"/>
        <v>0</v>
      </c>
      <c r="E40" s="328">
        <f t="shared" ca="1" si="12"/>
        <v>70.012070959621227</v>
      </c>
      <c r="F40" s="329">
        <f t="shared" ca="1" si="7"/>
        <v>70.012070959621227</v>
      </c>
      <c r="G40" s="329">
        <f t="shared" ca="1" si="8"/>
        <v>0</v>
      </c>
      <c r="H40" s="329">
        <f t="shared" ca="1" si="13"/>
        <v>70.012070959621227</v>
      </c>
      <c r="I40" s="328">
        <f t="shared" ca="1" si="9"/>
        <v>1420.6156189406825</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55.86</v>
      </c>
      <c r="S40" s="501">
        <f t="shared" ca="1" si="14"/>
        <v>70.012070959621227</v>
      </c>
      <c r="T40" s="333">
        <f t="shared" ca="1" si="11"/>
        <v>-14.152070959621227</v>
      </c>
      <c r="U40" s="502" t="str">
        <f ca="1">IF(U$23&lt;&gt;"","-",IRR(T$23:T40))</f>
        <v>-</v>
      </c>
      <c r="V40" s="494"/>
      <c r="W40" s="500"/>
    </row>
    <row r="41" spans="2:23">
      <c r="B41" s="327">
        <v>18</v>
      </c>
      <c r="C41" s="328">
        <f t="shared" ca="1" si="5"/>
        <v>71.412312378813638</v>
      </c>
      <c r="D41" s="328">
        <f t="shared" ca="1" si="6"/>
        <v>0</v>
      </c>
      <c r="E41" s="328">
        <f t="shared" ca="1" si="12"/>
        <v>71.412312378813638</v>
      </c>
      <c r="F41" s="329">
        <f t="shared" ca="1" si="7"/>
        <v>71.412312378813638</v>
      </c>
      <c r="G41" s="329">
        <f t="shared" ca="1" si="8"/>
        <v>0</v>
      </c>
      <c r="H41" s="329">
        <f t="shared" ca="1" si="13"/>
        <v>71.412312378813638</v>
      </c>
      <c r="I41" s="328">
        <f t="shared" ca="1" si="9"/>
        <v>1492.027931319496</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56.98</v>
      </c>
      <c r="S41" s="501">
        <f t="shared" ca="1" si="14"/>
        <v>71.412312378813638</v>
      </c>
      <c r="T41" s="333">
        <f t="shared" ca="1" si="11"/>
        <v>-14.432312378813641</v>
      </c>
      <c r="U41" s="502" t="str">
        <f ca="1">IF(U$23&lt;&gt;"","-",IRR(T$23:T41))</f>
        <v>-</v>
      </c>
      <c r="V41" s="494"/>
      <c r="W41" s="500"/>
    </row>
    <row r="42" spans="2:23">
      <c r="B42" s="327">
        <v>19</v>
      </c>
      <c r="C42" s="328">
        <f t="shared" ca="1" si="5"/>
        <v>72.840558626389907</v>
      </c>
      <c r="D42" s="328">
        <f t="shared" ca="1" si="6"/>
        <v>0</v>
      </c>
      <c r="E42" s="328">
        <f t="shared" ca="1" si="12"/>
        <v>72.840558626389907</v>
      </c>
      <c r="F42" s="329">
        <f t="shared" ca="1" si="7"/>
        <v>72.840558626389907</v>
      </c>
      <c r="G42" s="329">
        <f t="shared" ca="1" si="8"/>
        <v>0</v>
      </c>
      <c r="H42" s="329">
        <f t="shared" ca="1" si="13"/>
        <v>72.840558626389907</v>
      </c>
      <c r="I42" s="328">
        <f t="shared" ca="1" si="9"/>
        <v>1564.8684899458858</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58.12</v>
      </c>
      <c r="S42" s="501">
        <f t="shared" ca="1" si="14"/>
        <v>72.840558626389907</v>
      </c>
      <c r="T42" s="333">
        <f t="shared" ca="1" si="11"/>
        <v>-14.720558626389909</v>
      </c>
      <c r="U42" s="502" t="str">
        <f ca="1">IF(U$23&lt;&gt;"","-",IRR(T$23:T42))</f>
        <v>-</v>
      </c>
      <c r="V42" s="494"/>
      <c r="W42" s="500"/>
    </row>
    <row r="43" spans="2:23">
      <c r="B43" s="327">
        <v>20</v>
      </c>
      <c r="C43" s="328">
        <f t="shared" ca="1" si="5"/>
        <v>74.297369798917714</v>
      </c>
      <c r="D43" s="328">
        <f t="shared" ca="1" si="6"/>
        <v>0</v>
      </c>
      <c r="E43" s="328">
        <f t="shared" ca="1" si="12"/>
        <v>74.297369798917714</v>
      </c>
      <c r="F43" s="329">
        <f t="shared" ca="1" si="7"/>
        <v>74.297369798917714</v>
      </c>
      <c r="G43" s="329">
        <f t="shared" ca="1" si="8"/>
        <v>0</v>
      </c>
      <c r="H43" s="329">
        <f t="shared" ca="1" si="13"/>
        <v>74.297369798917714</v>
      </c>
      <c r="I43" s="328">
        <f t="shared" ca="1" si="9"/>
        <v>1639.1658597448036</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59.28</v>
      </c>
      <c r="S43" s="501">
        <f t="shared" ca="1" si="14"/>
        <v>74.297369798917714</v>
      </c>
      <c r="T43" s="333">
        <f t="shared" ca="1" si="11"/>
        <v>-15.017369798917713</v>
      </c>
      <c r="U43" s="502" t="str">
        <f ca="1">IF(U$23&lt;&gt;"","-",IRR(T$23:T43))</f>
        <v>-</v>
      </c>
      <c r="V43" s="494"/>
      <c r="W43" s="500"/>
    </row>
    <row r="44" spans="2:23">
      <c r="E44" s="481"/>
      <c r="L44" s="481"/>
    </row>
    <row r="45" spans="2:23">
      <c r="B45" s="2" t="s">
        <v>1125</v>
      </c>
    </row>
    <row r="46" spans="2:23">
      <c r="B46" s="175" t="str">
        <f>Translation!C373</f>
        <v>Total Installation Cost</v>
      </c>
      <c r="C46" s="333">
        <f ca="1">C20</f>
        <v>400</v>
      </c>
    </row>
    <row r="47" spans="2:23">
      <c r="B47" s="175" t="str">
        <f>Translation!C374</f>
        <v>Total Annual Cost</v>
      </c>
      <c r="C47" s="333">
        <f ca="1">C3*C11+C16</f>
        <v>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3" t="str">
        <f>Translation!$B$350</f>
        <v>The assumptions below are the default costs used when adding a new IES file. They can be overwritten for each individual fixture on the 'Fixtures' tab</v>
      </c>
      <c r="B2" s="913"/>
      <c r="C2" s="913"/>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1987</v>
      </c>
    </row>
    <row r="42" spans="2:5">
      <c r="B42" s="632" t="str">
        <f>Translation!B11</f>
        <v>English</v>
      </c>
      <c r="C42" s="32" t="s">
        <v>344</v>
      </c>
      <c r="D42" s="20" t="s">
        <v>1969</v>
      </c>
      <c r="E42" s="20" t="s">
        <v>1970</v>
      </c>
    </row>
    <row r="43" spans="2:5">
      <c r="B43" s="632" t="str">
        <f>INDEX($C43:$E43,MATCH($B$42,$C$42:$E$42,0))</f>
        <v>HPS</v>
      </c>
      <c r="C43" s="32" t="s">
        <v>0</v>
      </c>
      <c r="D43" s="32" t="s">
        <v>1990</v>
      </c>
      <c r="E43" s="20" t="s">
        <v>1988</v>
      </c>
    </row>
    <row r="44" spans="2:5">
      <c r="B44" s="632" t="str">
        <f>INDEX($C44:$E44,MATCH($B$42,$C$42:$E$42,0))</f>
        <v>MH</v>
      </c>
      <c r="C44" s="32" t="s">
        <v>331</v>
      </c>
      <c r="D44" s="32" t="s">
        <v>331</v>
      </c>
      <c r="E44" s="20" t="s">
        <v>1989</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Normal="100" workbookViewId="0">
      <selection activeCell="F26" sqref="F26"/>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1956</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 - HPS 70W Type II</v>
      </c>
      <c r="G6" s="55">
        <f t="shared" ref="G6:O6" ca="1" si="1">INDEX(G$18:G$20,MATCH($A$6,$A$18:$A$20,0))</f>
        <v>70</v>
      </c>
      <c r="H6" s="55">
        <f t="shared" ca="1" si="1"/>
        <v>0.64239999999999997</v>
      </c>
      <c r="I6" s="55">
        <f t="shared" ca="1" si="1"/>
        <v>306.60000000000002</v>
      </c>
      <c r="J6" s="55" t="e">
        <f t="shared" ca="1" si="1"/>
        <v>#DIV/0!</v>
      </c>
      <c r="K6" s="318">
        <f t="shared" ca="1" si="1"/>
        <v>300</v>
      </c>
      <c r="L6" s="318">
        <f t="shared" ca="1" si="1"/>
        <v>100</v>
      </c>
      <c r="M6" s="318">
        <f t="shared" ca="1" si="1"/>
        <v>0</v>
      </c>
      <c r="N6" s="318">
        <f t="shared" ca="1" si="1"/>
        <v>50</v>
      </c>
      <c r="O6" s="319">
        <f t="shared" ca="1" si="1"/>
        <v>0.02</v>
      </c>
    </row>
    <row r="7" spans="1:15" s="22" customFormat="1">
      <c r="A7" s="60" t="s">
        <v>9</v>
      </c>
      <c r="B7" s="57">
        <f ca="1">MATCH(B6,FxLib_names,0)-1</f>
        <v>1</v>
      </c>
    </row>
    <row r="8" spans="1:15" s="22" customFormat="1">
      <c r="A8" s="56" t="s">
        <v>68</v>
      </c>
      <c r="B8" s="57" t="str">
        <f ca="1">OFFSET($A$41,B7+1,1)</f>
        <v>Generic</v>
      </c>
    </row>
    <row r="9" spans="1:15" s="22" customFormat="1">
      <c r="A9" s="56" t="s">
        <v>1</v>
      </c>
      <c r="B9" s="57" t="str">
        <f ca="1">OFFSET($A$41,B7+2,1)</f>
        <v>HPS</v>
      </c>
    </row>
    <row r="10" spans="1:15" s="22" customFormat="1">
      <c r="A10" s="56" t="s">
        <v>69</v>
      </c>
      <c r="B10" s="57" t="str">
        <f ca="1">OFFSET($A$41,B7+3,1)</f>
        <v>NA</v>
      </c>
    </row>
    <row r="11" spans="1:15" s="22" customFormat="1">
      <c r="A11" s="56" t="s">
        <v>41</v>
      </c>
      <c r="B11" s="57">
        <f ca="1">OFFSET($A$41,B7+4,1)</f>
        <v>70</v>
      </c>
    </row>
    <row r="12" spans="1:15" s="22" customFormat="1">
      <c r="A12" s="56" t="s">
        <v>71</v>
      </c>
      <c r="B12" s="57">
        <f ca="1">OFFSET($A$41,B7+5,1)</f>
        <v>0</v>
      </c>
    </row>
    <row r="13" spans="1:15" s="22" customFormat="1">
      <c r="A13" s="56" t="s">
        <v>46</v>
      </c>
      <c r="B13" s="57">
        <f ca="1">OFFSET($A$41,B7+6,1)</f>
        <v>0</v>
      </c>
    </row>
    <row r="14" spans="1:15" s="22" customFormat="1" ht="33" customHeight="1">
      <c r="A14" s="56" t="s">
        <v>42</v>
      </c>
      <c r="B14" s="57">
        <f ca="1">OFFSET($A$41,B7+7,1)</f>
        <v>51</v>
      </c>
    </row>
    <row r="15" spans="1:15" s="22" customFormat="1" ht="15.75" thickBot="1">
      <c r="A15" s="58" t="s">
        <v>43</v>
      </c>
      <c r="B15" s="59">
        <f ca="1">OFFSET($A$41,B7+8,1)</f>
        <v>24</v>
      </c>
    </row>
    <row r="16" spans="1:15" s="22" customFormat="1">
      <c r="A16" s="261" t="s">
        <v>576</v>
      </c>
      <c r="B16" s="262">
        <f ca="1">ROW(FxLib_start)+offset</f>
        <v>42</v>
      </c>
    </row>
    <row r="17" spans="1:15" s="22" customFormat="1" ht="72.75" customHeight="1" thickBot="1">
      <c r="A17" s="261" t="s">
        <v>577</v>
      </c>
      <c r="B17" s="262">
        <f ca="1">ROW(FxLib_start)+offset+Hrow+numhoriz-1</f>
        <v>75</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 - HPS 70W Type II</v>
      </c>
      <c r="C18" s="300">
        <v>3</v>
      </c>
      <c r="D18" s="22" t="s">
        <v>1081</v>
      </c>
      <c r="G18" s="303">
        <f ca="1">INDEX(FixtureWatts,FixtureData!C18)</f>
        <v>70</v>
      </c>
      <c r="H18" s="304">
        <f ca="1">INDEX(FixtureLOM,FixtureData!C18)</f>
        <v>0.64239999999999997</v>
      </c>
      <c r="I18" s="305">
        <f ca="1">(FixtureData!G18/1000)*Costs!$C$8</f>
        <v>306.60000000000002</v>
      </c>
      <c r="J18" s="305" t="e">
        <f ca="1">I18*'Road Geometry'!C51</f>
        <v>#DIV/0!</v>
      </c>
      <c r="K18" s="317">
        <f ca="1">IF(Fixtures!$B$23="x",0,INDEX(FixtureEqCosts,FixtureData!$C18))</f>
        <v>300</v>
      </c>
      <c r="L18" s="317">
        <f ca="1">IF(Fixtures!$B$23="x",0,INDEX(FixtureInstCosts,FixtureData!$C18))</f>
        <v>100</v>
      </c>
      <c r="M18" s="317">
        <f ca="1">IF(Fixtures!$B$23="x",0,INDEX(FixtureRebCosts,FixtureData!$C18))</f>
        <v>0</v>
      </c>
      <c r="N18" s="317">
        <f ca="1">INDEX(FixtureMaintCosts,FixtureData!$C18)</f>
        <v>50</v>
      </c>
      <c r="O18" s="316">
        <f ca="1">INDEX(FixtureMaintInf,FixtureData!$C18)</f>
        <v>0.02</v>
      </c>
    </row>
    <row r="19" spans="1:15" s="22" customFormat="1">
      <c r="A19" s="265" t="s">
        <v>19</v>
      </c>
      <c r="B19" s="268" t="str">
        <f ca="1">INDEX(FixtureChoices,Ufixturechoice)</f>
        <v>A - HPS 70W Type II</v>
      </c>
      <c r="C19" s="300">
        <v>3</v>
      </c>
      <c r="D19" s="22" t="s">
        <v>1082</v>
      </c>
      <c r="G19" s="303">
        <f ca="1">INDEX(FixtureWatts,FixtureData!C19)</f>
        <v>70</v>
      </c>
      <c r="H19" s="304">
        <f ca="1">INDEX(FixtureLOM,FixtureData!C19)</f>
        <v>0.64239999999999997</v>
      </c>
      <c r="I19" s="305">
        <f ca="1">(FixtureData!G19/1000)*Costs!$C$8</f>
        <v>306.60000000000002</v>
      </c>
      <c r="J19" s="305" t="e">
        <f ca="1">I19*'Road Geometry'!C77</f>
        <v>#DIV/0!</v>
      </c>
      <c r="K19" s="317">
        <f ca="1">INDEX(FixtureEqCosts,FixtureData!$C19)</f>
        <v>300</v>
      </c>
      <c r="L19" s="317">
        <f ca="1">INDEX(FixtureInstCosts,FixtureData!$C19)</f>
        <v>100</v>
      </c>
      <c r="M19" s="317">
        <f ca="1">INDEX(FixtureRebCosts,FixtureData!$C19)</f>
        <v>0</v>
      </c>
      <c r="N19" s="317">
        <f ca="1">INDEX(FixtureMaintCosts,FixtureData!$C19)</f>
        <v>50</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0.5</v>
      </c>
      <c r="B2">
        <v>3</v>
      </c>
      <c r="C2">
        <v>3</v>
      </c>
      <c r="D2">
        <v>0</v>
      </c>
      <c r="E2">
        <v>6</v>
      </c>
      <c r="CF2">
        <v>0</v>
      </c>
      <c r="CG2">
        <v>1</v>
      </c>
    </row>
    <row r="3" spans="1:85">
      <c r="A3" s="456">
        <v>1.5</v>
      </c>
      <c r="B3">
        <v>3</v>
      </c>
      <c r="C3">
        <v>3</v>
      </c>
      <c r="D3">
        <v>0</v>
      </c>
      <c r="E3">
        <v>6</v>
      </c>
      <c r="CF3">
        <v>0</v>
      </c>
      <c r="CG3">
        <v>5</v>
      </c>
    </row>
    <row r="4" spans="1:85">
      <c r="A4" s="456">
        <v>2.5</v>
      </c>
      <c r="B4">
        <v>3</v>
      </c>
      <c r="C4">
        <v>3</v>
      </c>
      <c r="D4">
        <v>0</v>
      </c>
      <c r="E4">
        <v>6</v>
      </c>
      <c r="CF4">
        <v>10</v>
      </c>
      <c r="CG4">
        <v>1</v>
      </c>
    </row>
    <row r="5" spans="1:85">
      <c r="A5" s="456">
        <v>3.5</v>
      </c>
      <c r="B5">
        <v>3</v>
      </c>
      <c r="C5">
        <v>3</v>
      </c>
      <c r="D5">
        <v>0</v>
      </c>
      <c r="E5">
        <v>6</v>
      </c>
      <c r="CF5">
        <v>10</v>
      </c>
      <c r="CG5">
        <v>5</v>
      </c>
    </row>
    <row r="6" spans="1:85">
      <c r="A6" s="456">
        <v>4.5</v>
      </c>
      <c r="B6">
        <v>3</v>
      </c>
      <c r="C6">
        <v>3</v>
      </c>
      <c r="D6">
        <v>0</v>
      </c>
      <c r="E6">
        <v>6</v>
      </c>
      <c r="CF6">
        <v>20</v>
      </c>
      <c r="CG6">
        <v>1</v>
      </c>
    </row>
    <row r="7" spans="1:85">
      <c r="A7" s="456">
        <v>5.5</v>
      </c>
      <c r="B7">
        <v>3</v>
      </c>
      <c r="C7">
        <v>3</v>
      </c>
      <c r="D7">
        <v>0</v>
      </c>
      <c r="E7">
        <v>6</v>
      </c>
      <c r="CF7">
        <v>20</v>
      </c>
      <c r="CG7">
        <v>5</v>
      </c>
    </row>
    <row r="8" spans="1:85">
      <c r="A8" s="456">
        <v>6.5</v>
      </c>
      <c r="B8">
        <v>3</v>
      </c>
      <c r="C8">
        <v>3</v>
      </c>
      <c r="D8">
        <v>0</v>
      </c>
      <c r="E8">
        <v>6</v>
      </c>
      <c r="CF8">
        <v>30</v>
      </c>
      <c r="CG8">
        <v>1</v>
      </c>
    </row>
    <row r="9" spans="1:85">
      <c r="A9" s="456">
        <v>7.5</v>
      </c>
      <c r="B9">
        <v>3</v>
      </c>
      <c r="C9">
        <v>3</v>
      </c>
      <c r="D9">
        <v>0</v>
      </c>
      <c r="E9">
        <v>6</v>
      </c>
      <c r="CF9">
        <v>30</v>
      </c>
      <c r="CG9">
        <v>5</v>
      </c>
    </row>
    <row r="10" spans="1:85">
      <c r="A10" s="456">
        <v>8.5</v>
      </c>
      <c r="B10">
        <v>3</v>
      </c>
      <c r="C10">
        <v>3</v>
      </c>
      <c r="D10">
        <v>0</v>
      </c>
      <c r="E10">
        <v>6</v>
      </c>
      <c r="CF10">
        <v>40</v>
      </c>
      <c r="CG10">
        <v>1</v>
      </c>
    </row>
    <row r="11" spans="1:85">
      <c r="A11" s="456">
        <v>9.5</v>
      </c>
      <c r="B11">
        <v>3</v>
      </c>
      <c r="C11">
        <v>3</v>
      </c>
      <c r="D11">
        <v>0</v>
      </c>
      <c r="E11">
        <v>6</v>
      </c>
      <c r="CF11">
        <v>40</v>
      </c>
      <c r="CG11">
        <v>5</v>
      </c>
    </row>
    <row r="12" spans="1:85">
      <c r="A12" s="456">
        <v>10.5</v>
      </c>
      <c r="B12">
        <v>3</v>
      </c>
      <c r="C12">
        <v>3</v>
      </c>
      <c r="D12">
        <v>0</v>
      </c>
      <c r="E12">
        <v>6</v>
      </c>
      <c r="X12">
        <v>0.75</v>
      </c>
      <c r="Y12">
        <v>2.25</v>
      </c>
      <c r="Z12">
        <v>3.75</v>
      </c>
      <c r="AA12">
        <v>5.25</v>
      </c>
    </row>
    <row r="13" spans="1:85">
      <c r="A13" s="456">
        <v>11.5</v>
      </c>
      <c r="B13">
        <v>3</v>
      </c>
      <c r="C13">
        <v>3</v>
      </c>
      <c r="D13">
        <v>0</v>
      </c>
      <c r="E13">
        <v>6</v>
      </c>
      <c r="X13">
        <v>0.75</v>
      </c>
      <c r="Y13">
        <v>2.25</v>
      </c>
      <c r="Z13">
        <v>3.75</v>
      </c>
      <c r="AA13">
        <v>5.25</v>
      </c>
    </row>
    <row r="14" spans="1:85">
      <c r="A14" s="456">
        <v>12.5</v>
      </c>
      <c r="B14">
        <v>3</v>
      </c>
      <c r="C14">
        <v>3</v>
      </c>
      <c r="D14">
        <v>0</v>
      </c>
      <c r="E14">
        <v>6</v>
      </c>
      <c r="X14">
        <v>0.75</v>
      </c>
      <c r="Y14">
        <v>2.25</v>
      </c>
      <c r="Z14">
        <v>3.75</v>
      </c>
      <c r="AA14">
        <v>5.25</v>
      </c>
    </row>
    <row r="15" spans="1:85">
      <c r="A15" s="456">
        <v>13.5</v>
      </c>
      <c r="B15">
        <v>3</v>
      </c>
      <c r="C15">
        <v>3</v>
      </c>
      <c r="D15">
        <v>0</v>
      </c>
      <c r="E15">
        <v>6</v>
      </c>
      <c r="X15">
        <v>0.75</v>
      </c>
      <c r="Y15">
        <v>2.25</v>
      </c>
      <c r="Z15">
        <v>3.75</v>
      </c>
      <c r="AA15">
        <v>5.25</v>
      </c>
    </row>
    <row r="16" spans="1:85">
      <c r="A16" s="456">
        <v>14.5</v>
      </c>
      <c r="B16">
        <v>3</v>
      </c>
      <c r="C16">
        <v>3</v>
      </c>
      <c r="D16">
        <v>0</v>
      </c>
      <c r="E16">
        <v>6</v>
      </c>
      <c r="X16">
        <v>0.75</v>
      </c>
      <c r="Y16">
        <v>2.25</v>
      </c>
      <c r="Z16">
        <v>3.75</v>
      </c>
      <c r="AA16">
        <v>5.25</v>
      </c>
    </row>
    <row r="17" spans="1:27">
      <c r="A17" s="456">
        <v>15.5</v>
      </c>
      <c r="B17">
        <v>3</v>
      </c>
      <c r="C17">
        <v>3</v>
      </c>
      <c r="D17">
        <v>0</v>
      </c>
      <c r="E17">
        <v>6</v>
      </c>
      <c r="X17">
        <v>0.75</v>
      </c>
      <c r="Y17">
        <v>2.25</v>
      </c>
      <c r="Z17">
        <v>3.75</v>
      </c>
      <c r="AA17">
        <v>5.25</v>
      </c>
    </row>
    <row r="18" spans="1:27">
      <c r="A18" s="456">
        <v>16.5</v>
      </c>
      <c r="B18">
        <v>3</v>
      </c>
      <c r="C18">
        <v>3</v>
      </c>
      <c r="D18">
        <v>0</v>
      </c>
      <c r="E18">
        <v>6</v>
      </c>
      <c r="X18">
        <v>0.75</v>
      </c>
      <c r="Y18">
        <v>2.25</v>
      </c>
      <c r="Z18">
        <v>3.75</v>
      </c>
      <c r="AA18">
        <v>5.25</v>
      </c>
    </row>
    <row r="19" spans="1:27">
      <c r="A19" s="456">
        <v>17.5</v>
      </c>
      <c r="B19">
        <v>3</v>
      </c>
      <c r="C19">
        <v>3</v>
      </c>
      <c r="D19">
        <v>0</v>
      </c>
      <c r="E19">
        <v>6</v>
      </c>
      <c r="X19">
        <v>0.75</v>
      </c>
      <c r="Y19">
        <v>2.25</v>
      </c>
      <c r="Z19">
        <v>3.75</v>
      </c>
      <c r="AA19">
        <v>5.25</v>
      </c>
    </row>
    <row r="20" spans="1:27">
      <c r="A20" s="456">
        <v>18.5</v>
      </c>
      <c r="B20">
        <v>3</v>
      </c>
      <c r="C20">
        <v>3</v>
      </c>
      <c r="D20">
        <v>0</v>
      </c>
      <c r="E20">
        <v>6</v>
      </c>
      <c r="X20">
        <v>0.75</v>
      </c>
      <c r="Y20">
        <v>2.25</v>
      </c>
      <c r="Z20">
        <v>3.75</v>
      </c>
      <c r="AA20">
        <v>5.25</v>
      </c>
    </row>
    <row r="21" spans="1:27">
      <c r="A21" s="456">
        <v>19.5</v>
      </c>
      <c r="B21">
        <v>3</v>
      </c>
      <c r="C21">
        <v>3</v>
      </c>
      <c r="D21">
        <v>0</v>
      </c>
      <c r="E21">
        <v>6</v>
      </c>
      <c r="X21">
        <v>0.75</v>
      </c>
      <c r="Y21">
        <v>2.25</v>
      </c>
      <c r="Z21">
        <v>3.75</v>
      </c>
      <c r="AA21">
        <v>5.25</v>
      </c>
    </row>
    <row r="22" spans="1:27">
      <c r="A22" s="456">
        <v>20.5</v>
      </c>
      <c r="B22">
        <v>3</v>
      </c>
      <c r="C22">
        <v>3</v>
      </c>
      <c r="D22">
        <v>0</v>
      </c>
      <c r="E22">
        <v>6</v>
      </c>
    </row>
    <row r="23" spans="1:27">
      <c r="A23" s="456">
        <v>21.5</v>
      </c>
      <c r="B23">
        <v>3</v>
      </c>
      <c r="C23">
        <v>3</v>
      </c>
      <c r="D23">
        <v>0</v>
      </c>
      <c r="E23">
        <v>6</v>
      </c>
    </row>
    <row r="24" spans="1:27">
      <c r="A24" s="456">
        <v>22.5</v>
      </c>
      <c r="B24">
        <v>3</v>
      </c>
      <c r="C24">
        <v>3</v>
      </c>
      <c r="D24">
        <v>0</v>
      </c>
      <c r="E24">
        <v>6</v>
      </c>
    </row>
    <row r="25" spans="1:27">
      <c r="A25" s="456">
        <v>23.5</v>
      </c>
      <c r="B25">
        <v>3</v>
      </c>
      <c r="C25">
        <v>3</v>
      </c>
      <c r="D25">
        <v>0</v>
      </c>
      <c r="E25">
        <v>6</v>
      </c>
    </row>
    <row r="26" spans="1:27">
      <c r="A26" s="456">
        <v>24.5</v>
      </c>
      <c r="B26">
        <v>3</v>
      </c>
      <c r="C26">
        <v>3</v>
      </c>
      <c r="D26">
        <v>0</v>
      </c>
      <c r="E26">
        <v>6</v>
      </c>
    </row>
    <row r="27" spans="1:27">
      <c r="A27" s="456">
        <v>25.5</v>
      </c>
      <c r="B27">
        <v>3</v>
      </c>
      <c r="C27">
        <v>3</v>
      </c>
      <c r="D27">
        <v>0</v>
      </c>
      <c r="E27">
        <v>6</v>
      </c>
    </row>
    <row r="28" spans="1:27">
      <c r="A28" s="456">
        <v>26.5</v>
      </c>
      <c r="B28">
        <v>3</v>
      </c>
      <c r="C28">
        <v>3</v>
      </c>
      <c r="D28">
        <v>0</v>
      </c>
      <c r="E28">
        <v>6</v>
      </c>
    </row>
    <row r="29" spans="1:27">
      <c r="A29" s="456">
        <v>27.5</v>
      </c>
      <c r="B29">
        <v>3</v>
      </c>
      <c r="C29">
        <v>3</v>
      </c>
      <c r="D29">
        <v>0</v>
      </c>
      <c r="E29">
        <v>6</v>
      </c>
    </row>
    <row r="30" spans="1:27">
      <c r="A30" s="456">
        <v>28.5</v>
      </c>
      <c r="B30">
        <v>3</v>
      </c>
      <c r="C30">
        <v>3</v>
      </c>
      <c r="D30">
        <v>0</v>
      </c>
      <c r="E30">
        <v>6</v>
      </c>
    </row>
    <row r="31" spans="1:27">
      <c r="A31" s="456">
        <v>29.5</v>
      </c>
      <c r="B31">
        <v>3</v>
      </c>
      <c r="C31">
        <v>3</v>
      </c>
      <c r="D31">
        <v>0</v>
      </c>
      <c r="E31">
        <v>6</v>
      </c>
    </row>
    <row r="32" spans="1:27">
      <c r="A32" s="456">
        <v>30.5</v>
      </c>
      <c r="B32">
        <v>3</v>
      </c>
      <c r="C32">
        <v>3</v>
      </c>
      <c r="D32">
        <v>0</v>
      </c>
      <c r="E32">
        <v>6</v>
      </c>
    </row>
    <row r="33" spans="1:5">
      <c r="A33" s="456">
        <v>31.5</v>
      </c>
      <c r="B33">
        <v>3</v>
      </c>
      <c r="C33">
        <v>3</v>
      </c>
      <c r="D33">
        <v>0</v>
      </c>
      <c r="E33">
        <v>6</v>
      </c>
    </row>
    <row r="34" spans="1:5">
      <c r="A34" s="456">
        <v>32.5</v>
      </c>
      <c r="B34">
        <v>3</v>
      </c>
      <c r="C34">
        <v>3</v>
      </c>
      <c r="D34">
        <v>0</v>
      </c>
      <c r="E34">
        <v>6</v>
      </c>
    </row>
    <row r="35" spans="1:5">
      <c r="A35" s="456">
        <v>33.5</v>
      </c>
      <c r="B35">
        <v>3</v>
      </c>
      <c r="C35">
        <v>3</v>
      </c>
      <c r="D35">
        <v>0</v>
      </c>
      <c r="E35">
        <v>6</v>
      </c>
    </row>
    <row r="36" spans="1:5">
      <c r="A36" s="456">
        <v>34.5</v>
      </c>
      <c r="B36">
        <v>3</v>
      </c>
      <c r="C36">
        <v>3</v>
      </c>
      <c r="D36">
        <v>0</v>
      </c>
      <c r="E36">
        <v>6</v>
      </c>
    </row>
    <row r="37" spans="1:5">
      <c r="A37" s="456">
        <v>35.5</v>
      </c>
      <c r="B37">
        <v>3</v>
      </c>
      <c r="C37">
        <v>3</v>
      </c>
      <c r="D37">
        <v>0</v>
      </c>
      <c r="E37">
        <v>6</v>
      </c>
    </row>
    <row r="38" spans="1:5">
      <c r="A38" s="456">
        <v>36.5</v>
      </c>
      <c r="B38">
        <v>3</v>
      </c>
      <c r="C38">
        <v>3</v>
      </c>
      <c r="D38">
        <v>0</v>
      </c>
      <c r="E38">
        <v>6</v>
      </c>
    </row>
    <row r="39" spans="1:5">
      <c r="A39" s="456">
        <v>37.5</v>
      </c>
      <c r="B39">
        <v>3</v>
      </c>
      <c r="C39">
        <v>3</v>
      </c>
      <c r="D39">
        <v>0</v>
      </c>
      <c r="E39">
        <v>6</v>
      </c>
    </row>
    <row r="40" spans="1:5">
      <c r="A40" s="456">
        <v>38.5</v>
      </c>
      <c r="B40">
        <v>3</v>
      </c>
      <c r="C40">
        <v>3</v>
      </c>
      <c r="D40">
        <v>0</v>
      </c>
      <c r="E40">
        <v>6</v>
      </c>
    </row>
    <row r="41" spans="1:5">
      <c r="A41" s="456">
        <v>39.5</v>
      </c>
      <c r="B41">
        <v>3</v>
      </c>
      <c r="C41">
        <v>3</v>
      </c>
      <c r="D41">
        <v>0</v>
      </c>
      <c r="E41">
        <v>6</v>
      </c>
    </row>
    <row r="42" spans="1:5">
      <c r="A42" s="456">
        <v>40.5</v>
      </c>
      <c r="B42">
        <v>3</v>
      </c>
      <c r="C42">
        <v>3</v>
      </c>
      <c r="D42">
        <v>0</v>
      </c>
      <c r="E42">
        <v>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v1.7.6b</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4.9699814242012375</v>
      </c>
      <c r="D4" s="383">
        <f>IF(FixtureData!$B$23="IES",'Lighting Standards'!$D$12,'Lighting Standards'!$H$12)</f>
        <v>0</v>
      </c>
    </row>
    <row r="5" spans="1:41" s="377" customFormat="1" ht="15" customHeight="1">
      <c r="A5" s="375"/>
      <c r="B5" s="376" t="str">
        <f>Translation!B269</f>
        <v>Minimum Illuminance</v>
      </c>
      <c r="C5" s="382">
        <f>MIN(B13:AO512)</f>
        <v>3.7175126494087429</v>
      </c>
      <c r="D5" s="383"/>
    </row>
    <row r="6" spans="1:41" s="377" customFormat="1" ht="15" customHeight="1">
      <c r="A6" s="375"/>
      <c r="B6" s="376" t="str">
        <f>Translation!B270</f>
        <v>Maximum Illuminance</v>
      </c>
      <c r="C6" s="382">
        <f>MAX(B13:AO512)</f>
        <v>6.832462419176224</v>
      </c>
      <c r="D6" s="383"/>
    </row>
    <row r="7" spans="1:41">
      <c r="B7" s="376" t="str">
        <f>Translation!B265</f>
        <v>Uniformity Ratio (Iavg/Imin)</v>
      </c>
      <c r="C7" s="382">
        <f>IF(FixtureData!B23="IES",IFERROR(C4/C5,0),IFERROR(C5/C4,0))</f>
        <v>1.336910427188915</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1794</v>
      </c>
      <c r="C12" s="434" t="s">
        <v>1795</v>
      </c>
      <c r="D12" s="434" t="s">
        <v>1796</v>
      </c>
      <c r="E12" s="434" t="s">
        <v>1797</v>
      </c>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6.8274612409600079</v>
      </c>
      <c r="C13" s="383">
        <v>5.9826310998323287</v>
      </c>
      <c r="D13" s="383">
        <v>5.8738987543875565</v>
      </c>
      <c r="E13" s="383">
        <v>5.1178252786226412</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6.3411755398625456</v>
      </c>
      <c r="C14" s="383">
        <v>5.4136719243516298</v>
      </c>
      <c r="D14" s="383">
        <v>5.0771639940929534</v>
      </c>
      <c r="E14" s="383">
        <v>4.5016925453259873</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5.4243539150494033</v>
      </c>
      <c r="C15" s="383">
        <v>4.9740642879351968</v>
      </c>
      <c r="D15" s="383">
        <v>4.4875675797981964</v>
      </c>
      <c r="E15" s="383">
        <v>3.9183284629630704</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4.7655032074446835</v>
      </c>
      <c r="C16" s="383">
        <v>4.7831544719009385</v>
      </c>
      <c r="D16" s="383">
        <v>4.3673707981252878</v>
      </c>
      <c r="E16" s="383">
        <v>3.7175126494087429</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4.5637287563739086</v>
      </c>
      <c r="C17" s="383">
        <v>4.8658012681762335</v>
      </c>
      <c r="D17" s="383">
        <v>4.5567985972014418</v>
      </c>
      <c r="E17" s="383">
        <v>3.8082993607219571</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4.5641616066342969</v>
      </c>
      <c r="C18" s="383">
        <v>4.8663027716182139</v>
      </c>
      <c r="D18" s="383">
        <v>4.557366233342993</v>
      </c>
      <c r="E18" s="383">
        <v>3.8089454641892475</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4.7668773888486839</v>
      </c>
      <c r="C19" s="383">
        <v>4.7847399040860967</v>
      </c>
      <c r="D19" s="383">
        <v>4.3691580450389171</v>
      </c>
      <c r="E19" s="383">
        <v>3.7195381371426288</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5.426772058726093</v>
      </c>
      <c r="C20" s="383">
        <v>4.9768524028363892</v>
      </c>
      <c r="D20" s="383">
        <v>4.4907095580949017</v>
      </c>
      <c r="E20" s="383">
        <v>3.9218903791810802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6.3447795156964801</v>
      </c>
      <c r="C21" s="383">
        <v>5.4178262769919208</v>
      </c>
      <c r="D21" s="383">
        <v>5.0818483542355244</v>
      </c>
      <c r="E21" s="383">
        <v>4.5070028385002585</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6.832462419176224</v>
      </c>
      <c r="C22" s="383">
        <v>5.9883963424743056</v>
      </c>
      <c r="D22" s="383">
        <v>5.8804225806623949</v>
      </c>
      <c r="E22" s="383">
        <v>5.1252009580381701</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v1.7.6b</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0.52308420232523101</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0.39098434948514632</v>
      </c>
      <c r="D5" s="383"/>
    </row>
    <row r="6" spans="1:70" s="377" customFormat="1" ht="15" customHeight="1">
      <c r="A6" s="375"/>
      <c r="B6" s="376" t="str">
        <f>Translation!B273</f>
        <v>Maximum Luminance</v>
      </c>
      <c r="C6" s="382">
        <f>IF(FixtureData!$B$23="CIE",MIN('Luminance Calcs CIE'!C:C),MAX(B13:AO512))</f>
        <v>0.65186445875567245</v>
      </c>
      <c r="D6" s="383"/>
    </row>
    <row r="7" spans="1:70" ht="30">
      <c r="B7" s="436" t="str">
        <f>Translation!B267</f>
        <v>Uniformity Ratio (IES - lavg/lmin; CIE - lmin/lavg)</v>
      </c>
      <c r="C7" s="382">
        <f>IFERROR(IF(FixtureData!$B$23="CIE",MIN('Luminance Calcs CIE'!D:D),C4/C5),0)</f>
        <v>1.3378648097143417</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1.6672392631931603</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1794</v>
      </c>
      <c r="C12" s="429" t="s">
        <v>1795</v>
      </c>
      <c r="D12" s="429" t="s">
        <v>1796</v>
      </c>
      <c r="E12" s="430" t="s">
        <v>1797</v>
      </c>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0.64798924864345153</v>
      </c>
      <c r="C13" s="383">
        <v>0.59056274172323753</v>
      </c>
      <c r="D13" s="383">
        <v>0.56182233074654309</v>
      </c>
      <c r="E13" s="383">
        <v>0.48298913444836267</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0.65186445875567245</v>
      </c>
      <c r="C14" s="383">
        <v>0.57123240191116675</v>
      </c>
      <c r="D14" s="383">
        <v>0.51436920474704206</v>
      </c>
      <c r="E14" s="383">
        <v>0.44478866841676645</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0.61606725449084143</v>
      </c>
      <c r="C15" s="383">
        <v>0.5597788932614054</v>
      </c>
      <c r="D15" s="383">
        <v>0.48959146771964612</v>
      </c>
      <c r="E15" s="383">
        <v>0.40187181955066553</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0.56494545301698962</v>
      </c>
      <c r="C16" s="383">
        <v>0.53733347737519666</v>
      </c>
      <c r="D16" s="383">
        <v>0.47387576513483004</v>
      </c>
      <c r="E16" s="383">
        <v>0.39346102157394403</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0.56392952238700944</v>
      </c>
      <c r="C17" s="383">
        <v>0.55634813613260148</v>
      </c>
      <c r="D17" s="383">
        <v>0.49639750353185574</v>
      </c>
      <c r="E17" s="383">
        <v>0.40506202146406767</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0.55724092027497463</v>
      </c>
      <c r="C18" s="383">
        <v>0.55904714943415479</v>
      </c>
      <c r="D18" s="383">
        <v>0.49949016628733828</v>
      </c>
      <c r="E18" s="383">
        <v>0.40803249321246471</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0.5518110522350268</v>
      </c>
      <c r="C19" s="383">
        <v>0.53891297373409597</v>
      </c>
      <c r="D19" s="383">
        <v>0.4652974614615894</v>
      </c>
      <c r="E19" s="383">
        <v>0.39098434948514632</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0.59315957537403585</v>
      </c>
      <c r="C20" s="383">
        <v>0.54442593253110694</v>
      </c>
      <c r="D20" s="383">
        <v>0.47786261858264906</v>
      </c>
      <c r="E20" s="383">
        <v>0.40148228019694382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0.62769571739709551</v>
      </c>
      <c r="C21" s="383">
        <v>0.56788700186097596</v>
      </c>
      <c r="D21" s="383">
        <v>0.51529329570957549</v>
      </c>
      <c r="E21" s="383">
        <v>0.44642533826981723</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0.63745831425213517</v>
      </c>
      <c r="C22" s="383">
        <v>0.57791565181949101</v>
      </c>
      <c r="D22" s="383">
        <v>0.55603758499392542</v>
      </c>
      <c r="E22" s="383">
        <v>0.48262769086539492</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3302</v>
      </c>
    </row>
    <row r="11" spans="1:10" s="619" customFormat="1" ht="15.75" customHeight="1">
      <c r="A11" s="619" t="s">
        <v>364</v>
      </c>
      <c r="B11" s="620" t="str">
        <f>Start!$E$5</f>
        <v>English</v>
      </c>
      <c r="C11" s="621" t="s">
        <v>344</v>
      </c>
      <c r="D11" s="621" t="s">
        <v>1969</v>
      </c>
      <c r="E11" s="621" t="s">
        <v>1970</v>
      </c>
      <c r="F11" s="621" t="s">
        <v>3302</v>
      </c>
      <c r="G11" s="622"/>
      <c r="H11" s="656"/>
      <c r="I11" s="619" t="s">
        <v>2774</v>
      </c>
      <c r="J11" s="619" t="s">
        <v>2775</v>
      </c>
    </row>
    <row r="12" spans="1:10" s="607" customFormat="1" ht="15.75" customHeight="1">
      <c r="B12" s="617" t="str">
        <f t="shared" ref="B12:B75" si="0">INDEX(C12:G12,MATCH($B$11,$C$11:$G$11,0))</f>
        <v>BACKGROUND INFORMATION</v>
      </c>
      <c r="C12" s="601" t="s">
        <v>277</v>
      </c>
      <c r="D12" s="601" t="s">
        <v>597</v>
      </c>
      <c r="E12" s="602" t="s">
        <v>845</v>
      </c>
      <c r="F12" s="661" t="s">
        <v>2801</v>
      </c>
      <c r="G12" s="616"/>
      <c r="H12" s="655" t="s">
        <v>2776</v>
      </c>
      <c r="J12" s="607" t="s">
        <v>2005</v>
      </c>
    </row>
    <row r="13" spans="1:10" s="607" customFormat="1" ht="15.75" customHeight="1">
      <c r="B13" s="617" t="str">
        <f t="shared" si="0"/>
        <v>Before you get started using the tool, there are a few things that are useful to know:</v>
      </c>
      <c r="C13" s="601" t="s">
        <v>244</v>
      </c>
      <c r="D13" s="601" t="s">
        <v>598</v>
      </c>
      <c r="E13" s="602" t="s">
        <v>846</v>
      </c>
      <c r="F13" s="662" t="s">
        <v>2802</v>
      </c>
      <c r="G13" s="616"/>
      <c r="H13" s="655" t="s">
        <v>2776</v>
      </c>
      <c r="J13" s="607" t="s">
        <v>2006</v>
      </c>
    </row>
    <row r="14" spans="1:10" s="607" customFormat="1" ht="15.75" customHeight="1">
      <c r="B14" s="617" t="str">
        <f t="shared" si="0"/>
        <v>Choose an Example:</v>
      </c>
      <c r="C14" s="601" t="s">
        <v>328</v>
      </c>
      <c r="D14" s="601" t="s">
        <v>599</v>
      </c>
      <c r="E14" s="602" t="s">
        <v>847</v>
      </c>
      <c r="F14" s="662" t="s">
        <v>2803</v>
      </c>
      <c r="G14" s="616"/>
      <c r="H14" s="655" t="s">
        <v>2776</v>
      </c>
      <c r="J14" s="607" t="s">
        <v>2007</v>
      </c>
    </row>
    <row r="15" spans="1:10" s="607" customFormat="1" ht="15.75" customHeight="1">
      <c r="B15" s="617" t="str">
        <f t="shared" si="0"/>
        <v>Small Local Road</v>
      </c>
      <c r="C15" s="601" t="s">
        <v>324</v>
      </c>
      <c r="D15" s="601" t="s">
        <v>600</v>
      </c>
      <c r="E15" s="602" t="s">
        <v>848</v>
      </c>
      <c r="F15" s="662" t="s">
        <v>2804</v>
      </c>
      <c r="G15" s="616"/>
      <c r="H15" s="655" t="s">
        <v>2776</v>
      </c>
      <c r="J15" s="607" t="s">
        <v>2008</v>
      </c>
    </row>
    <row r="16" spans="1:10" s="607" customFormat="1" ht="15.75" customHeight="1">
      <c r="B16" s="617" t="str">
        <f t="shared" si="0"/>
        <v>Local / Medium</v>
      </c>
      <c r="C16" s="601" t="s">
        <v>327</v>
      </c>
      <c r="D16" s="601" t="s">
        <v>1900</v>
      </c>
      <c r="E16" s="602" t="s">
        <v>849</v>
      </c>
      <c r="F16" s="662" t="s">
        <v>2805</v>
      </c>
      <c r="G16" s="616"/>
      <c r="H16" s="655" t="s">
        <v>2776</v>
      </c>
      <c r="J16" s="607" t="s">
        <v>2009</v>
      </c>
    </row>
    <row r="17" spans="2:32" s="607" customFormat="1" ht="15.75" customHeight="1">
      <c r="B17" s="617" t="str">
        <f t="shared" si="0"/>
        <v>Collector / Medium</v>
      </c>
      <c r="C17" s="601" t="s">
        <v>371</v>
      </c>
      <c r="D17" s="601" t="s">
        <v>1901</v>
      </c>
      <c r="E17" s="602" t="s">
        <v>850</v>
      </c>
      <c r="F17" s="662" t="s">
        <v>2806</v>
      </c>
      <c r="G17" s="616"/>
      <c r="H17" s="655" t="s">
        <v>2776</v>
      </c>
      <c r="J17" s="607" t="s">
        <v>2010</v>
      </c>
    </row>
    <row r="18" spans="2:32" s="607" customFormat="1" ht="15.75" customHeight="1">
      <c r="B18" s="617" t="str">
        <f t="shared" si="0"/>
        <v>Expressway / High</v>
      </c>
      <c r="C18" s="601" t="s">
        <v>370</v>
      </c>
      <c r="D18" s="601" t="s">
        <v>601</v>
      </c>
      <c r="E18" s="602" t="s">
        <v>851</v>
      </c>
      <c r="F18" s="662" t="s">
        <v>2807</v>
      </c>
      <c r="G18" s="616"/>
      <c r="H18" s="655" t="s">
        <v>2776</v>
      </c>
      <c r="J18" s="607" t="s">
        <v>2011</v>
      </c>
    </row>
    <row r="19" spans="2:32" s="607" customFormat="1" ht="15.75" customHeight="1">
      <c r="B19" s="617" t="str">
        <f t="shared" si="0"/>
        <v>Fixture Placement</v>
      </c>
      <c r="C19" s="601" t="s">
        <v>321</v>
      </c>
      <c r="D19" s="601" t="s">
        <v>602</v>
      </c>
      <c r="E19" s="602" t="s">
        <v>1490</v>
      </c>
      <c r="F19" s="662" t="s">
        <v>2808</v>
      </c>
      <c r="G19" s="616"/>
      <c r="H19" s="655" t="s">
        <v>2776</v>
      </c>
      <c r="J19" s="607" t="s">
        <v>2012</v>
      </c>
    </row>
    <row r="20" spans="2:32" s="607" customFormat="1" ht="15.75" customHeight="1">
      <c r="B20" s="617" t="str">
        <f t="shared" si="0"/>
        <v>Single-side, 1 meter over lane edge</v>
      </c>
      <c r="C20" s="601" t="s">
        <v>368</v>
      </c>
      <c r="D20" s="601" t="s">
        <v>603</v>
      </c>
      <c r="E20" s="602" t="s">
        <v>1491</v>
      </c>
      <c r="F20" s="662" t="s">
        <v>2809</v>
      </c>
      <c r="G20" s="616"/>
      <c r="H20" s="655" t="s">
        <v>2776</v>
      </c>
      <c r="J20" s="607" t="s">
        <v>2013</v>
      </c>
    </row>
    <row r="21" spans="2:32" s="607" customFormat="1" ht="15.75" customHeight="1">
      <c r="B21" s="617" t="str">
        <f t="shared" si="0"/>
        <v>Staggered, 1 meter over lane edge</v>
      </c>
      <c r="C21" s="601" t="s">
        <v>373</v>
      </c>
      <c r="D21" s="601" t="s">
        <v>604</v>
      </c>
      <c r="E21" s="602" t="s">
        <v>1492</v>
      </c>
      <c r="F21" s="662" t="s">
        <v>2810</v>
      </c>
      <c r="G21" s="616"/>
      <c r="H21" s="655" t="s">
        <v>2776</v>
      </c>
      <c r="J21" s="607" t="s">
        <v>2014</v>
      </c>
    </row>
    <row r="22" spans="2:32" s="607" customFormat="1" ht="15.75" customHeight="1">
      <c r="B22" s="617" t="str">
        <f t="shared" si="0"/>
        <v>Full Inputs:</v>
      </c>
      <c r="C22" s="601" t="s">
        <v>326</v>
      </c>
      <c r="D22" s="601" t="s">
        <v>605</v>
      </c>
      <c r="E22" s="602" t="s">
        <v>852</v>
      </c>
      <c r="F22" s="663" t="s">
        <v>2811</v>
      </c>
      <c r="G22" s="616"/>
      <c r="H22" s="655" t="s">
        <v>2776</v>
      </c>
      <c r="J22" s="607" t="s">
        <v>2015</v>
      </c>
    </row>
    <row r="23" spans="2:32" s="607" customFormat="1" ht="15.75" customHeight="1">
      <c r="B23" s="617" t="str">
        <f t="shared" si="0"/>
        <v>Road Geometry</v>
      </c>
      <c r="C23" s="601" t="s">
        <v>14</v>
      </c>
      <c r="D23" s="601" t="s">
        <v>606</v>
      </c>
      <c r="E23" s="602" t="s">
        <v>1493</v>
      </c>
      <c r="F23" s="663" t="s">
        <v>2812</v>
      </c>
      <c r="G23" s="616"/>
      <c r="H23" s="655"/>
      <c r="J23" s="607" t="s">
        <v>2016</v>
      </c>
      <c r="L23" s="607" t="s">
        <v>2017</v>
      </c>
      <c r="M23" s="607" t="s">
        <v>2018</v>
      </c>
      <c r="N23" s="607" t="s">
        <v>2019</v>
      </c>
      <c r="O23" s="607" t="s">
        <v>2020</v>
      </c>
      <c r="P23" s="607" t="s">
        <v>2021</v>
      </c>
      <c r="Q23" s="607" t="s">
        <v>2022</v>
      </c>
      <c r="R23" s="607" t="s">
        <v>2023</v>
      </c>
      <c r="S23" s="607" t="s">
        <v>2024</v>
      </c>
      <c r="T23" s="607" t="s">
        <v>2025</v>
      </c>
      <c r="U23" s="607" t="s">
        <v>2026</v>
      </c>
      <c r="V23" s="607" t="s">
        <v>2027</v>
      </c>
      <c r="W23" s="607" t="s">
        <v>2028</v>
      </c>
      <c r="X23" s="607" t="s">
        <v>2029</v>
      </c>
      <c r="Y23" s="607" t="s">
        <v>2030</v>
      </c>
      <c r="Z23" s="607" t="s">
        <v>2031</v>
      </c>
      <c r="AA23" s="607" t="s">
        <v>2032</v>
      </c>
      <c r="AB23" s="607" t="s">
        <v>2033</v>
      </c>
      <c r="AC23" s="607" t="s">
        <v>2034</v>
      </c>
      <c r="AD23" s="607" t="s">
        <v>2035</v>
      </c>
      <c r="AE23" s="607" t="s">
        <v>2036</v>
      </c>
      <c r="AF23" s="607" t="s">
        <v>2037</v>
      </c>
    </row>
    <row r="24" spans="2:32" s="607" customFormat="1" ht="15.75" customHeight="1">
      <c r="B24" s="617" t="str">
        <f t="shared" si="0"/>
        <v xml:space="preserve">Overall Uniformity (U0 - avg/min) </v>
      </c>
      <c r="C24" s="601" t="s">
        <v>500</v>
      </c>
      <c r="D24" s="601" t="s">
        <v>607</v>
      </c>
      <c r="E24" s="602" t="s">
        <v>853</v>
      </c>
      <c r="F24" s="662" t="s">
        <v>2813</v>
      </c>
      <c r="G24" s="616"/>
      <c r="H24" s="655" t="s">
        <v>2776</v>
      </c>
      <c r="J24" s="607" t="s">
        <v>2038</v>
      </c>
    </row>
    <row r="25" spans="2:32" s="607" customFormat="1" ht="15.75" customHeight="1">
      <c r="B25" s="617" t="str">
        <f t="shared" si="0"/>
        <v>Example 1 - Local Road</v>
      </c>
      <c r="C25" s="601" t="s">
        <v>375</v>
      </c>
      <c r="D25" s="601" t="s">
        <v>608</v>
      </c>
      <c r="E25" s="602" t="s">
        <v>1494</v>
      </c>
      <c r="F25" s="662" t="s">
        <v>2814</v>
      </c>
      <c r="G25" s="616"/>
      <c r="H25" s="655" t="s">
        <v>2776</v>
      </c>
      <c r="J25" s="607" t="s">
        <v>2039</v>
      </c>
    </row>
    <row r="26" spans="2:32" s="607" customFormat="1" ht="15.75" customHeight="1">
      <c r="B26" s="617" t="str">
        <f t="shared" si="0"/>
        <v>Street Type</v>
      </c>
      <c r="C26" s="601" t="s">
        <v>317</v>
      </c>
      <c r="D26" s="601" t="s">
        <v>609</v>
      </c>
      <c r="E26" s="602" t="s">
        <v>854</v>
      </c>
      <c r="F26" s="662" t="s">
        <v>2815</v>
      </c>
      <c r="G26" s="616"/>
      <c r="H26" s="655" t="s">
        <v>2776</v>
      </c>
      <c r="J26" s="607" t="s">
        <v>2040</v>
      </c>
    </row>
    <row r="27" spans="2:32" s="607" customFormat="1" ht="15.75" customHeight="1">
      <c r="B27" s="617" t="str">
        <f t="shared" si="0"/>
        <v>SEAD Street Lighting Tool v1.7.6b</v>
      </c>
      <c r="C27" s="601" t="str">
        <f>"SEAD Street Lighting Tool v"&amp;VersionNumber</f>
        <v>SEAD Street Lighting Tool v1.7.6b</v>
      </c>
      <c r="D27" s="601" t="str">
        <f>"Outil d'évaluation de l'éclairage des rues SEAD v"&amp;VersionNumber</f>
        <v>Outil d'évaluation de l'éclairage des rues SEAD v1.7.6b</v>
      </c>
      <c r="E27" s="601" t="str">
        <f>"Herramienta SEAD para sistemas de Iluminación en vialidades v"&amp;VersionNumber</f>
        <v>Herramienta SEAD para sistemas de Iluminación en vialidades v1.7.6b</v>
      </c>
      <c r="F27" s="662" t="str">
        <f>"SEAD Инструмент оценки уличного освещения v"&amp;VersionNumber</f>
        <v>SEAD Инструмент оценки уличного освещения v1.7.6b</v>
      </c>
      <c r="G27" s="616"/>
      <c r="H27" s="655"/>
      <c r="J27" s="607" t="s">
        <v>2041</v>
      </c>
      <c r="L27" s="607" t="s">
        <v>2042</v>
      </c>
      <c r="M27" s="607" t="s">
        <v>2043</v>
      </c>
    </row>
    <row r="28" spans="2:32" s="607" customFormat="1" ht="15.75" customHeight="1">
      <c r="B28" s="617" t="str">
        <f t="shared" si="0"/>
        <v>Single Fixture</v>
      </c>
      <c r="C28" s="601" t="s">
        <v>263</v>
      </c>
      <c r="D28" s="601" t="s">
        <v>610</v>
      </c>
      <c r="E28" s="601" t="s">
        <v>1495</v>
      </c>
      <c r="F28" s="662" t="s">
        <v>2816</v>
      </c>
      <c r="G28" s="616"/>
      <c r="H28" s="655" t="s">
        <v>2776</v>
      </c>
      <c r="J28" s="607" t="s">
        <v>2044</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1902</v>
      </c>
      <c r="E29" s="602" t="s">
        <v>1496</v>
      </c>
      <c r="F29" s="662" t="s">
        <v>2817</v>
      </c>
      <c r="G29" s="616"/>
      <c r="H29" s="655" t="s">
        <v>2776</v>
      </c>
      <c r="J29" s="607" t="s">
        <v>2045</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1903</v>
      </c>
      <c r="E30" s="608" t="s">
        <v>1497</v>
      </c>
      <c r="F30" s="662" t="s">
        <v>2818</v>
      </c>
      <c r="G30" s="616"/>
      <c r="H30" s="655" t="s">
        <v>2776</v>
      </c>
      <c r="J30" s="607" t="s">
        <v>2046</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2819</v>
      </c>
      <c r="G31" s="616"/>
      <c r="H31" s="655" t="s">
        <v>2776</v>
      </c>
      <c r="J31" s="607" t="s">
        <v>2047</v>
      </c>
    </row>
    <row r="32" spans="2:32" s="607" customFormat="1" ht="15.75" customHeight="1">
      <c r="B32" s="617" t="str">
        <f t="shared" si="0"/>
        <v xml:space="preserve"> 'Windows button' -&gt; Excel Options -&gt; Trust Center -&gt; Trust Center Settings</v>
      </c>
      <c r="C32" s="601" t="s">
        <v>252</v>
      </c>
      <c r="D32" s="601" t="s">
        <v>844</v>
      </c>
      <c r="E32" s="602" t="s">
        <v>856</v>
      </c>
      <c r="F32" s="664" t="s">
        <v>2820</v>
      </c>
      <c r="G32" s="616"/>
      <c r="H32" s="655" t="s">
        <v>2776</v>
      </c>
      <c r="J32" s="607" t="s">
        <v>2048</v>
      </c>
    </row>
    <row r="33" spans="2:10" s="607" customFormat="1" ht="15.75" customHeight="1">
      <c r="B33" s="617" t="str">
        <f t="shared" si="0"/>
        <v>2-lane road, single-side</v>
      </c>
      <c r="C33" s="601" t="s">
        <v>271</v>
      </c>
      <c r="D33" s="601" t="s">
        <v>612</v>
      </c>
      <c r="E33" s="602" t="s">
        <v>1498</v>
      </c>
      <c r="F33" s="662" t="s">
        <v>2821</v>
      </c>
      <c r="G33" s="616"/>
      <c r="H33" s="655" t="s">
        <v>2776</v>
      </c>
      <c r="J33" s="607" t="s">
        <v>2049</v>
      </c>
    </row>
    <row r="34" spans="2:10" s="607" customFormat="1" ht="15.75" customHeight="1">
      <c r="B34" s="617" t="str">
        <f t="shared" si="0"/>
        <v>4-lane road, staggered</v>
      </c>
      <c r="C34" s="601" t="s">
        <v>272</v>
      </c>
      <c r="D34" s="601" t="s">
        <v>1904</v>
      </c>
      <c r="E34" s="602" t="s">
        <v>1499</v>
      </c>
      <c r="F34" s="662" t="s">
        <v>2822</v>
      </c>
      <c r="G34" s="616"/>
      <c r="H34" s="655" t="s">
        <v>2776</v>
      </c>
      <c r="J34" s="607" t="s">
        <v>2050</v>
      </c>
    </row>
    <row r="35" spans="2:10" s="607" customFormat="1" ht="15.75" customHeight="1">
      <c r="B35" s="617" t="str">
        <f t="shared" si="0"/>
        <v>6-lane road, median mounted</v>
      </c>
      <c r="C35" s="601" t="s">
        <v>273</v>
      </c>
      <c r="D35" s="601" t="s">
        <v>613</v>
      </c>
      <c r="E35" s="602" t="s">
        <v>1500</v>
      </c>
      <c r="F35" s="662" t="s">
        <v>2823</v>
      </c>
      <c r="G35" s="616"/>
      <c r="H35" s="655" t="s">
        <v>2776</v>
      </c>
      <c r="J35" s="607" t="s">
        <v>2051</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2824</v>
      </c>
      <c r="G36" s="616"/>
      <c r="H36" s="655" t="s">
        <v>2776</v>
      </c>
      <c r="J36" s="607" t="s">
        <v>2052</v>
      </c>
    </row>
    <row r="37" spans="2:10" s="607" customFormat="1" ht="15.75" customHeight="1">
      <c r="B37" s="617" t="str">
        <f t="shared" si="0"/>
        <v xml:space="preserve">All results will be archived to the MResults tab, and show up in MGraphs.  </v>
      </c>
      <c r="C37" s="601" t="s">
        <v>235</v>
      </c>
      <c r="D37" s="601" t="s">
        <v>1905</v>
      </c>
      <c r="E37" s="602" t="s">
        <v>1502</v>
      </c>
      <c r="F37" s="662" t="s">
        <v>2825</v>
      </c>
      <c r="G37" s="616"/>
      <c r="H37" s="655" t="s">
        <v>2776</v>
      </c>
      <c r="J37" s="607" t="s">
        <v>2053</v>
      </c>
    </row>
    <row r="38" spans="2:10" s="607" customFormat="1" ht="15.75" customHeight="1">
      <c r="B38" s="617" t="str">
        <f t="shared" si="0"/>
        <v>Before you start</v>
      </c>
      <c r="C38" s="601" t="s">
        <v>243</v>
      </c>
      <c r="D38" s="601" t="s">
        <v>1006</v>
      </c>
      <c r="E38" s="602" t="s">
        <v>1503</v>
      </c>
      <c r="F38" s="662" t="s">
        <v>2826</v>
      </c>
      <c r="G38" s="616"/>
      <c r="H38" s="655" t="s">
        <v>2776</v>
      </c>
      <c r="J38" s="607" t="s">
        <v>2054</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1906</v>
      </c>
      <c r="E39" s="602" t="s">
        <v>1907</v>
      </c>
      <c r="F39" s="662" t="s">
        <v>2827</v>
      </c>
      <c r="G39" s="616"/>
      <c r="H39" s="655" t="s">
        <v>2776</v>
      </c>
      <c r="J39" s="607" t="s">
        <v>2055</v>
      </c>
    </row>
    <row r="40" spans="2:10" s="607" customFormat="1" ht="15.75" customHeight="1">
      <c r="B40" s="617" t="str">
        <f t="shared" si="0"/>
        <v>Click 'Macro Settings' and 'Enable all macros'</v>
      </c>
      <c r="C40" s="601" t="s">
        <v>253</v>
      </c>
      <c r="D40" s="601" t="s">
        <v>1005</v>
      </c>
      <c r="E40" s="602" t="s">
        <v>857</v>
      </c>
      <c r="F40" s="662" t="s">
        <v>2828</v>
      </c>
      <c r="G40" s="616"/>
      <c r="H40" s="655" t="s">
        <v>2776</v>
      </c>
      <c r="J40" s="607" t="s">
        <v>2056</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2829</v>
      </c>
      <c r="G41" s="616"/>
      <c r="H41" s="655" t="s">
        <v>2776</v>
      </c>
      <c r="J41" s="607" t="s">
        <v>2057</v>
      </c>
    </row>
    <row r="42" spans="2:10" s="607" customFormat="1" ht="15.75" customHeight="1">
      <c r="B42" s="617" t="str">
        <f t="shared" si="0"/>
        <v>Describe your specific scenario</v>
      </c>
      <c r="C42" s="601" t="s">
        <v>274</v>
      </c>
      <c r="D42" s="601" t="s">
        <v>616</v>
      </c>
      <c r="E42" s="602" t="s">
        <v>1505</v>
      </c>
      <c r="F42" s="662" t="s">
        <v>2830</v>
      </c>
      <c r="G42" s="616"/>
      <c r="H42" s="655" t="s">
        <v>2776</v>
      </c>
      <c r="J42" s="607" t="s">
        <v>2058</v>
      </c>
    </row>
    <row r="43" spans="2:10" s="607" customFormat="1" ht="15.75" customHeight="1">
      <c r="B43" s="617" t="str">
        <f t="shared" si="0"/>
        <v xml:space="preserve">Excel 2003: </v>
      </c>
      <c r="C43" s="601" t="s">
        <v>254</v>
      </c>
      <c r="D43" s="609" t="s">
        <v>617</v>
      </c>
      <c r="E43" s="601" t="s">
        <v>254</v>
      </c>
      <c r="F43" s="662" t="s">
        <v>254</v>
      </c>
      <c r="G43" s="616"/>
      <c r="H43" s="655" t="s">
        <v>2776</v>
      </c>
      <c r="J43" s="607" t="s">
        <v>2059</v>
      </c>
    </row>
    <row r="44" spans="2:10" s="607" customFormat="1" ht="15.75" customHeight="1">
      <c r="B44" s="617" t="str">
        <f t="shared" si="0"/>
        <v>Excel 2007:</v>
      </c>
      <c r="C44" s="601" t="s">
        <v>251</v>
      </c>
      <c r="D44" s="609" t="s">
        <v>618</v>
      </c>
      <c r="E44" s="601" t="s">
        <v>251</v>
      </c>
      <c r="F44" s="662" t="s">
        <v>251</v>
      </c>
      <c r="G44" s="616"/>
      <c r="H44" s="655" t="s">
        <v>2776</v>
      </c>
      <c r="J44" s="607" t="s">
        <v>2060</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2831</v>
      </c>
      <c r="G45" s="616"/>
      <c r="H45" s="655" t="s">
        <v>2776</v>
      </c>
      <c r="J45" s="607" t="s">
        <v>2061</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2832</v>
      </c>
      <c r="G46" s="616"/>
      <c r="H46" s="655" t="s">
        <v>2776</v>
      </c>
      <c r="J46" s="607" t="s">
        <v>2062</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2833</v>
      </c>
      <c r="G47" s="616"/>
      <c r="H47" s="655" t="s">
        <v>2776</v>
      </c>
      <c r="J47" s="607" t="s">
        <v>2063</v>
      </c>
    </row>
    <row r="48" spans="2:10" s="607" customFormat="1" ht="15.75" customHeight="1">
      <c r="B48" s="617" t="str">
        <f t="shared" si="0"/>
        <v xml:space="preserve">For a description of the other tabs and what they contain go here: </v>
      </c>
      <c r="C48" s="601" t="s">
        <v>283</v>
      </c>
      <c r="D48" s="601" t="s">
        <v>622</v>
      </c>
      <c r="E48" s="602" t="s">
        <v>858</v>
      </c>
      <c r="F48" s="662" t="s">
        <v>2834</v>
      </c>
      <c r="G48" s="616"/>
      <c r="H48" s="655" t="s">
        <v>2776</v>
      </c>
      <c r="J48" s="607" t="s">
        <v>2064</v>
      </c>
    </row>
    <row r="49" spans="2:10" s="607" customFormat="1" ht="15.75" customHeight="1">
      <c r="B49" s="617" t="str">
        <f t="shared" si="0"/>
        <v>Get Started!</v>
      </c>
      <c r="C49" s="601" t="s">
        <v>267</v>
      </c>
      <c r="D49" s="601" t="s">
        <v>623</v>
      </c>
      <c r="E49" s="602" t="s">
        <v>1509</v>
      </c>
      <c r="F49" s="662" t="s">
        <v>2835</v>
      </c>
      <c r="G49" s="616"/>
      <c r="H49" s="655" t="s">
        <v>2776</v>
      </c>
      <c r="J49" s="607" t="s">
        <v>2065</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2836</v>
      </c>
      <c r="G50" s="616"/>
      <c r="H50" s="655" t="s">
        <v>2776</v>
      </c>
      <c r="J50" s="607" t="s">
        <v>2066</v>
      </c>
    </row>
    <row r="51" spans="2:10" s="607" customFormat="1" ht="15.75" customHeight="1">
      <c r="B51" s="617" t="str">
        <f t="shared" si="0"/>
        <v>'Inputs' Tab</v>
      </c>
      <c r="C51" s="601" t="s">
        <v>245</v>
      </c>
      <c r="D51" s="601" t="s">
        <v>1908</v>
      </c>
      <c r="E51" s="602" t="s">
        <v>859</v>
      </c>
      <c r="F51" s="662" t="s">
        <v>2837</v>
      </c>
      <c r="G51" s="616"/>
      <c r="H51" s="655" t="s">
        <v>2776</v>
      </c>
      <c r="J51" s="607" t="s">
        <v>2067</v>
      </c>
    </row>
    <row r="52" spans="2:10" s="607" customFormat="1" ht="15.75" customHeight="1">
      <c r="B52" s="617" t="str">
        <f t="shared" si="0"/>
        <v xml:space="preserve">Instructions for potential applications of the tool: </v>
      </c>
      <c r="C52" s="601" t="s">
        <v>351</v>
      </c>
      <c r="D52" s="601" t="s">
        <v>625</v>
      </c>
      <c r="E52" s="602" t="s">
        <v>860</v>
      </c>
      <c r="F52" s="662" t="s">
        <v>2838</v>
      </c>
      <c r="G52" s="616"/>
      <c r="H52" s="655" t="s">
        <v>2776</v>
      </c>
      <c r="J52" s="607" t="s">
        <v>2068</v>
      </c>
    </row>
    <row r="53" spans="2:10" s="607" customFormat="1" ht="15.75" customHeight="1">
      <c r="B53" s="617" t="str">
        <f t="shared" si="0"/>
        <v>Macros</v>
      </c>
      <c r="C53" s="601" t="s">
        <v>258</v>
      </c>
      <c r="D53" s="601" t="s">
        <v>258</v>
      </c>
      <c r="E53" s="601" t="s">
        <v>258</v>
      </c>
      <c r="F53" s="662" t="s">
        <v>258</v>
      </c>
      <c r="G53" s="616"/>
      <c r="H53" s="655" t="s">
        <v>2776</v>
      </c>
      <c r="J53" s="607" t="s">
        <v>2069</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2839</v>
      </c>
      <c r="G54" s="616"/>
      <c r="H54" s="655" t="s">
        <v>2776</v>
      </c>
      <c r="J54" s="607" t="s">
        <v>2070</v>
      </c>
    </row>
    <row r="55" spans="2:10" s="607" customFormat="1" ht="15.75" customHeight="1">
      <c r="B55" s="617" t="str">
        <f t="shared" si="0"/>
        <v>Make your own:</v>
      </c>
      <c r="C55" s="601" t="s">
        <v>270</v>
      </c>
      <c r="D55" s="601" t="s">
        <v>627</v>
      </c>
      <c r="E55" s="602" t="s">
        <v>861</v>
      </c>
      <c r="F55" s="662" t="s">
        <v>2840</v>
      </c>
      <c r="G55" s="616"/>
      <c r="H55" s="655" t="s">
        <v>2776</v>
      </c>
      <c r="J55" s="607" t="s">
        <v>2071</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2841</v>
      </c>
      <c r="G56" s="616"/>
      <c r="H56" s="655" t="s">
        <v>2776</v>
      </c>
      <c r="J56" s="607" t="s">
        <v>2072</v>
      </c>
    </row>
    <row r="57" spans="2:10" s="607" customFormat="1" ht="15.75" customHeight="1">
      <c r="B57" s="617" t="str">
        <f t="shared" si="0"/>
        <v>New installation</v>
      </c>
      <c r="C57" s="601" t="s">
        <v>266</v>
      </c>
      <c r="D57" s="601" t="s">
        <v>629</v>
      </c>
      <c r="E57" s="602" t="s">
        <v>863</v>
      </c>
      <c r="F57" s="662" t="s">
        <v>2842</v>
      </c>
      <c r="G57" s="616"/>
      <c r="H57" s="655" t="s">
        <v>2776</v>
      </c>
      <c r="J57" s="607" t="s">
        <v>2073</v>
      </c>
    </row>
    <row r="58" spans="2:10" s="607" customFormat="1" ht="15.75" customHeight="1">
      <c r="B58" s="617" t="str">
        <f t="shared" si="0"/>
        <v>New Installation and Major Retrofit</v>
      </c>
      <c r="C58" s="601" t="s">
        <v>223</v>
      </c>
      <c r="D58" s="601" t="s">
        <v>630</v>
      </c>
      <c r="E58" s="602" t="s">
        <v>1512</v>
      </c>
      <c r="F58" s="662" t="s">
        <v>2843</v>
      </c>
      <c r="G58" s="616"/>
      <c r="H58" s="655" t="s">
        <v>2776</v>
      </c>
      <c r="J58" s="607" t="s">
        <v>2074</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2844</v>
      </c>
      <c r="G59" s="616"/>
      <c r="H59" s="655" t="s">
        <v>2776</v>
      </c>
      <c r="J59" s="607" t="s">
        <v>2075</v>
      </c>
    </row>
    <row r="60" spans="2:10" s="607" customFormat="1" ht="15.75" customHeight="1">
      <c r="B60" s="617" t="str">
        <f t="shared" si="0"/>
        <v>OR</v>
      </c>
      <c r="C60" s="601" t="s">
        <v>269</v>
      </c>
      <c r="D60" s="601" t="s">
        <v>632</v>
      </c>
      <c r="E60" s="602" t="s">
        <v>1513</v>
      </c>
      <c r="F60" s="662" t="s">
        <v>2845</v>
      </c>
      <c r="G60" s="616"/>
      <c r="H60" s="655" t="s">
        <v>2776</v>
      </c>
      <c r="J60" s="607" t="s">
        <v>2076</v>
      </c>
    </row>
    <row r="61" spans="2:10" s="607" customFormat="1" ht="15.75" customHeight="1">
      <c r="B61" s="617" t="str">
        <f t="shared" si="0"/>
        <v>Retrofit - basic</v>
      </c>
      <c r="C61" s="601" t="s">
        <v>264</v>
      </c>
      <c r="D61" s="601" t="s">
        <v>633</v>
      </c>
      <c r="E61" s="602" t="s">
        <v>865</v>
      </c>
      <c r="F61" s="662" t="s">
        <v>2846</v>
      </c>
      <c r="G61" s="616"/>
      <c r="H61" s="655" t="s">
        <v>2776</v>
      </c>
      <c r="J61" s="607" t="s">
        <v>2077</v>
      </c>
    </row>
    <row r="62" spans="2:10" s="607" customFormat="1" ht="15.75" customHeight="1">
      <c r="B62" s="617" t="str">
        <f t="shared" si="0"/>
        <v>Retrofit - Design Phase</v>
      </c>
      <c r="C62" s="601" t="s">
        <v>221</v>
      </c>
      <c r="D62" s="601" t="s">
        <v>634</v>
      </c>
      <c r="E62" s="602" t="s">
        <v>866</v>
      </c>
      <c r="F62" s="662" t="s">
        <v>2847</v>
      </c>
      <c r="G62" s="616"/>
      <c r="H62" s="655" t="s">
        <v>2776</v>
      </c>
      <c r="J62" s="607" t="s">
        <v>2078</v>
      </c>
    </row>
    <row r="63" spans="2:10" s="607" customFormat="1" ht="15.75" customHeight="1">
      <c r="B63" s="617" t="str">
        <f t="shared" si="0"/>
        <v>Retrofit - detailed</v>
      </c>
      <c r="C63" s="601" t="s">
        <v>265</v>
      </c>
      <c r="D63" s="601" t="s">
        <v>635</v>
      </c>
      <c r="E63" s="602" t="s">
        <v>867</v>
      </c>
      <c r="F63" s="662" t="s">
        <v>2848</v>
      </c>
      <c r="G63" s="616"/>
      <c r="H63" s="655" t="s">
        <v>2776</v>
      </c>
      <c r="J63" s="607" t="s">
        <v>2079</v>
      </c>
    </row>
    <row r="64" spans="2:10" s="607" customFormat="1" ht="15.75" customHeight="1">
      <c r="B64" s="617" t="str">
        <f t="shared" si="0"/>
        <v xml:space="preserve">Retrofit - Exploratory Phase </v>
      </c>
      <c r="C64" s="601" t="s">
        <v>352</v>
      </c>
      <c r="D64" s="601" t="s">
        <v>636</v>
      </c>
      <c r="E64" s="602" t="s">
        <v>868</v>
      </c>
      <c r="F64" s="662" t="s">
        <v>2849</v>
      </c>
      <c r="G64" s="616"/>
      <c r="H64" s="655" t="s">
        <v>2776</v>
      </c>
      <c r="J64" s="607" t="s">
        <v>2080</v>
      </c>
    </row>
    <row r="65" spans="2:12" s="607" customFormat="1" ht="15.75" customHeight="1">
      <c r="B65" s="617" t="str">
        <f t="shared" si="0"/>
        <v>Scope of tool</v>
      </c>
      <c r="C65" s="601" t="s">
        <v>247</v>
      </c>
      <c r="D65" s="601" t="s">
        <v>637</v>
      </c>
      <c r="E65" s="602" t="s">
        <v>869</v>
      </c>
      <c r="F65" s="662" t="s">
        <v>2850</v>
      </c>
      <c r="G65" s="616"/>
      <c r="H65" s="655" t="s">
        <v>2776</v>
      </c>
      <c r="J65" s="607" t="s">
        <v>2081</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2851</v>
      </c>
      <c r="G66" s="616"/>
      <c r="H66" s="655" t="s">
        <v>2776</v>
      </c>
      <c r="J66" s="607" t="s">
        <v>2082</v>
      </c>
    </row>
    <row r="67" spans="2:12" s="607" customFormat="1" ht="15.75" customHeight="1">
      <c r="B67" s="617" t="str">
        <f t="shared" si="0"/>
        <v xml:space="preserve">Single  Fixture </v>
      </c>
      <c r="C67" s="601" t="s">
        <v>353</v>
      </c>
      <c r="D67" s="601" t="s">
        <v>610</v>
      </c>
      <c r="E67" s="602" t="s">
        <v>1515</v>
      </c>
      <c r="F67" s="662" t="s">
        <v>2852</v>
      </c>
      <c r="G67" s="616"/>
      <c r="H67" s="655" t="s">
        <v>2776</v>
      </c>
      <c r="J67" s="607" t="s">
        <v>2083</v>
      </c>
    </row>
    <row r="68" spans="2:12" s="607" customFormat="1" ht="15.75" customHeight="1">
      <c r="B68" s="617" t="str">
        <f t="shared" si="0"/>
        <v>Specific Applications</v>
      </c>
      <c r="C68" s="601" t="s">
        <v>261</v>
      </c>
      <c r="D68" s="601" t="s">
        <v>639</v>
      </c>
      <c r="E68" s="602" t="s">
        <v>870</v>
      </c>
      <c r="F68" s="662" t="s">
        <v>2853</v>
      </c>
      <c r="G68" s="616"/>
      <c r="H68" s="655" t="s">
        <v>2776</v>
      </c>
      <c r="J68" s="607" t="s">
        <v>2084</v>
      </c>
    </row>
    <row r="69" spans="2:12" s="607" customFormat="1" ht="15.75" customHeight="1">
      <c r="B69" s="617" t="str">
        <f t="shared" si="0"/>
        <v>Start with an example:</v>
      </c>
      <c r="C69" s="601" t="s">
        <v>268</v>
      </c>
      <c r="D69" s="601" t="s">
        <v>599</v>
      </c>
      <c r="E69" s="602" t="s">
        <v>1516</v>
      </c>
      <c r="F69" s="662" t="s">
        <v>2854</v>
      </c>
      <c r="G69" s="616"/>
      <c r="H69" s="655" t="s">
        <v>2776</v>
      </c>
      <c r="J69" s="607" t="s">
        <v>2085</v>
      </c>
    </row>
    <row r="70" spans="2:12" s="607" customFormat="1" ht="15.75" customHeight="1">
      <c r="B70" s="617" t="str">
        <f t="shared" si="0"/>
        <v>Tab Descriptions</v>
      </c>
      <c r="C70" s="601" t="s">
        <v>248</v>
      </c>
      <c r="D70" s="601" t="s">
        <v>640</v>
      </c>
      <c r="E70" s="602" t="s">
        <v>871</v>
      </c>
      <c r="F70" s="662" t="s">
        <v>2855</v>
      </c>
      <c r="G70" s="616"/>
      <c r="H70" s="655" t="s">
        <v>2776</v>
      </c>
      <c r="J70" s="607" t="s">
        <v>2086</v>
      </c>
      <c r="L70" s="607" t="s">
        <v>2087</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2856</v>
      </c>
      <c r="G71" s="616"/>
      <c r="H71" s="655" t="s">
        <v>2776</v>
      </c>
      <c r="J71" s="607" t="s">
        <v>2088</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2857</v>
      </c>
      <c r="G72" s="616"/>
      <c r="H72" s="655" t="s">
        <v>2776</v>
      </c>
      <c r="J72" s="607" t="s">
        <v>2089</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2858</v>
      </c>
      <c r="G73" s="616"/>
      <c r="H73" s="655" t="s">
        <v>2776</v>
      </c>
      <c r="J73" s="607" t="s">
        <v>2090</v>
      </c>
      <c r="L73" s="607" t="s">
        <v>2091</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2859</v>
      </c>
      <c r="G74" s="616"/>
      <c r="H74" s="655" t="s">
        <v>2776</v>
      </c>
      <c r="J74" s="607" t="s">
        <v>2092</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2860</v>
      </c>
      <c r="G75" s="616"/>
      <c r="H75" s="655" t="s">
        <v>2776</v>
      </c>
      <c r="J75" s="607" t="s">
        <v>2093</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2861</v>
      </c>
      <c r="G76" s="616"/>
      <c r="H76" s="655" t="s">
        <v>2776</v>
      </c>
      <c r="J76" s="607" t="s">
        <v>2094</v>
      </c>
    </row>
    <row r="77" spans="2:12" s="607" customFormat="1" ht="15.75" customHeight="1">
      <c r="B77" s="617" t="str">
        <f t="shared" si="1"/>
        <v>Tools' -&gt; Macro -&gt; Security</v>
      </c>
      <c r="C77" s="601" t="s">
        <v>255</v>
      </c>
      <c r="D77" s="601" t="s">
        <v>647</v>
      </c>
      <c r="E77" s="602" t="s">
        <v>872</v>
      </c>
      <c r="F77" s="662" t="s">
        <v>255</v>
      </c>
      <c r="G77" s="616"/>
      <c r="H77" s="655" t="s">
        <v>2776</v>
      </c>
      <c r="J77" s="607" t="s">
        <v>2095</v>
      </c>
    </row>
    <row r="78" spans="2:12" s="607" customFormat="1" ht="15.75" customHeight="1">
      <c r="B78" s="617" t="str">
        <f t="shared" si="1"/>
        <v>Trusted publishers tab, click Trust all installed add-ins and templates</v>
      </c>
      <c r="C78" s="601" t="s">
        <v>256</v>
      </c>
      <c r="D78" s="601" t="s">
        <v>648</v>
      </c>
      <c r="E78" s="602" t="s">
        <v>873</v>
      </c>
      <c r="F78" s="662" t="s">
        <v>2862</v>
      </c>
      <c r="G78" s="616"/>
      <c r="H78" s="655" t="s">
        <v>2776</v>
      </c>
      <c r="J78" s="607" t="s">
        <v>2096</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2863</v>
      </c>
      <c r="G79" s="616"/>
      <c r="H79" s="655" t="s">
        <v>2776</v>
      </c>
      <c r="J79" s="607" t="s">
        <v>2097</v>
      </c>
    </row>
    <row r="80" spans="2:12" s="607" customFormat="1" ht="15.75" customHeight="1">
      <c r="B80" s="617" t="str">
        <f t="shared" si="1"/>
        <v>Using the Tool</v>
      </c>
      <c r="C80" s="601" t="s">
        <v>257</v>
      </c>
      <c r="D80" s="601" t="s">
        <v>650</v>
      </c>
      <c r="E80" s="602" t="s">
        <v>874</v>
      </c>
      <c r="F80" s="662" t="s">
        <v>2864</v>
      </c>
      <c r="G80" s="616"/>
      <c r="H80" s="655" t="s">
        <v>2776</v>
      </c>
      <c r="J80" s="607" t="s">
        <v>2098</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2865</v>
      </c>
      <c r="G81" s="616"/>
      <c r="H81" s="655" t="s">
        <v>2776</v>
      </c>
      <c r="J81" s="607" t="s">
        <v>2099</v>
      </c>
      <c r="L81" s="607" t="s">
        <v>2100</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1909</v>
      </c>
      <c r="E82" s="602" t="s">
        <v>1525</v>
      </c>
      <c r="F82" s="662" t="s">
        <v>2866</v>
      </c>
      <c r="G82" s="616"/>
      <c r="H82" s="655" t="s">
        <v>2776</v>
      </c>
      <c r="J82" s="607" t="s">
        <v>2101</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1910</v>
      </c>
      <c r="F83" s="662" t="s">
        <v>2867</v>
      </c>
      <c r="G83" s="616"/>
      <c r="H83" s="655"/>
      <c r="J83" s="607" t="s">
        <v>2102</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2868</v>
      </c>
      <c r="G84" s="616"/>
      <c r="H84" s="655"/>
      <c r="J84" s="607" t="s">
        <v>2103</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1911</v>
      </c>
      <c r="E85" s="608" t="s">
        <v>1527</v>
      </c>
      <c r="F85" s="662" t="s">
        <v>2869</v>
      </c>
      <c r="G85" s="616"/>
      <c r="H85" s="655"/>
      <c r="J85" s="607" t="s">
        <v>2104</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2870</v>
      </c>
      <c r="G86" s="616"/>
      <c r="H86" s="655"/>
      <c r="J86" s="607" t="s">
        <v>2105</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1912</v>
      </c>
      <c r="E87" s="602" t="s">
        <v>1529</v>
      </c>
      <c r="F87" s="662" t="s">
        <v>2871</v>
      </c>
      <c r="G87" s="616"/>
      <c r="H87" s="655"/>
      <c r="J87" s="607" t="s">
        <v>2106</v>
      </c>
    </row>
    <row r="88" spans="2:13" s="607" customFormat="1" ht="15.75" customHeight="1">
      <c r="B88" s="617" t="str">
        <f t="shared" si="1"/>
        <v>Ballast Factor</v>
      </c>
      <c r="C88" s="601" t="s">
        <v>288</v>
      </c>
      <c r="D88" s="601" t="s">
        <v>654</v>
      </c>
      <c r="E88" s="602" t="s">
        <v>876</v>
      </c>
      <c r="F88" s="662" t="s">
        <v>2872</v>
      </c>
      <c r="G88" s="616"/>
      <c r="H88" s="655"/>
      <c r="J88" s="607" t="s">
        <v>2107</v>
      </c>
      <c r="L88" s="607" t="s">
        <v>2108</v>
      </c>
    </row>
    <row r="89" spans="2:13" s="607" customFormat="1" ht="15.75" customHeight="1">
      <c r="B89" s="617" t="str">
        <f t="shared" si="1"/>
        <v>Fixture Cost</v>
      </c>
      <c r="C89" s="601" t="s">
        <v>84</v>
      </c>
      <c r="D89" s="601" t="s">
        <v>655</v>
      </c>
      <c r="E89" s="602" t="s">
        <v>1530</v>
      </c>
      <c r="F89" s="662" t="s">
        <v>2873</v>
      </c>
      <c r="G89" s="616"/>
      <c r="H89" s="655"/>
      <c r="J89" s="607" t="s">
        <v>2109</v>
      </c>
    </row>
    <row r="90" spans="2:13" s="607" customFormat="1" ht="15.75" customHeight="1">
      <c r="B90" s="617" t="str">
        <f t="shared" si="1"/>
        <v>Fixture Life (hours)</v>
      </c>
      <c r="C90" s="601" t="s">
        <v>83</v>
      </c>
      <c r="D90" s="601" t="s">
        <v>656</v>
      </c>
      <c r="E90" s="602" t="s">
        <v>1531</v>
      </c>
      <c r="F90" s="662" t="s">
        <v>2874</v>
      </c>
      <c r="G90" s="616"/>
      <c r="H90" s="655"/>
      <c r="J90" s="607" t="s">
        <v>2110</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1913</v>
      </c>
      <c r="E91" s="602" t="s">
        <v>1914</v>
      </c>
      <c r="F91" s="662" t="s">
        <v>2875</v>
      </c>
      <c r="G91" s="616"/>
      <c r="H91" s="655"/>
      <c r="J91" s="607" t="s">
        <v>2111</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1915</v>
      </c>
      <c r="E92" s="602" t="s">
        <v>1532</v>
      </c>
      <c r="F92" s="662" t="s">
        <v>2876</v>
      </c>
      <c r="G92" s="616"/>
      <c r="H92" s="655"/>
      <c r="J92" s="607" t="s">
        <v>2112</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1916</v>
      </c>
      <c r="E93" s="602" t="s">
        <v>1917</v>
      </c>
      <c r="F93" s="662" t="s">
        <v>2877</v>
      </c>
      <c r="G93" s="616"/>
      <c r="H93" s="655"/>
      <c r="J93" s="607" t="s">
        <v>2113</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2878</v>
      </c>
      <c r="G94" s="616"/>
      <c r="H94" s="655"/>
      <c r="J94" s="607" t="s">
        <v>2114</v>
      </c>
    </row>
    <row r="95" spans="2:13" s="607" customFormat="1" ht="15.75" customHeight="1">
      <c r="B95" s="617" t="str">
        <f t="shared" si="1"/>
        <v>Total Light Loss Factor</v>
      </c>
      <c r="C95" s="601" t="s">
        <v>548</v>
      </c>
      <c r="D95" s="601" t="s">
        <v>658</v>
      </c>
      <c r="E95" s="602" t="s">
        <v>1534</v>
      </c>
      <c r="F95" s="662" t="s">
        <v>2879</v>
      </c>
      <c r="G95" s="616"/>
      <c r="H95" s="655"/>
      <c r="J95" s="607" t="s">
        <v>2115</v>
      </c>
      <c r="L95" s="607" t="s">
        <v>2116</v>
      </c>
      <c r="M95" s="607" t="s">
        <v>2117</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1918</v>
      </c>
      <c r="E96" s="602" t="s">
        <v>1535</v>
      </c>
      <c r="F96" s="662" t="s">
        <v>2880</v>
      </c>
      <c r="G96" s="616"/>
      <c r="H96" s="655"/>
      <c r="J96" s="607" t="s">
        <v>2118</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1919</v>
      </c>
      <c r="E97" s="602" t="s">
        <v>1536</v>
      </c>
      <c r="F97" s="662" t="s">
        <v>3324</v>
      </c>
      <c r="G97" s="616"/>
      <c r="H97" s="655"/>
      <c r="J97" s="607" t="s">
        <v>2119</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1920</v>
      </c>
      <c r="F98" s="662" t="s">
        <v>2881</v>
      </c>
      <c r="G98" s="616"/>
      <c r="H98" s="655"/>
      <c r="J98" s="607" t="s">
        <v>2120</v>
      </c>
    </row>
    <row r="99" spans="2:24" s="607" customFormat="1" ht="15.75" customHeight="1">
      <c r="B99" s="617" t="str">
        <f t="shared" si="1"/>
        <v>Replacement Bulb Cost</v>
      </c>
      <c r="C99" s="601" t="s">
        <v>85</v>
      </c>
      <c r="D99" s="601" t="s">
        <v>1921</v>
      </c>
      <c r="E99" s="602" t="s">
        <v>1537</v>
      </c>
      <c r="F99" s="662" t="s">
        <v>2882</v>
      </c>
      <c r="G99" s="616"/>
      <c r="H99" s="655"/>
      <c r="J99" s="607" t="s">
        <v>2121</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3323</v>
      </c>
      <c r="G100" s="616"/>
      <c r="H100" s="655"/>
      <c r="J100" s="607" t="s">
        <v>2122</v>
      </c>
    </row>
    <row r="101" spans="2:24" s="607" customFormat="1" ht="15.75" customHeight="1">
      <c r="B101" s="617" t="str">
        <f t="shared" si="1"/>
        <v>Type</v>
      </c>
      <c r="C101" s="601" t="s">
        <v>1</v>
      </c>
      <c r="D101" s="601" t="s">
        <v>661</v>
      </c>
      <c r="E101" s="602" t="s">
        <v>877</v>
      </c>
      <c r="F101" s="662" t="s">
        <v>2883</v>
      </c>
      <c r="G101" s="616"/>
      <c r="H101" s="655"/>
      <c r="J101" s="607" t="s">
        <v>2123</v>
      </c>
      <c r="L101" s="607" t="s">
        <v>2124</v>
      </c>
      <c r="M101" s="607" t="s">
        <v>2125</v>
      </c>
      <c r="N101" s="607" t="s">
        <v>2126</v>
      </c>
      <c r="O101" s="607" t="s">
        <v>2127</v>
      </c>
    </row>
    <row r="102" spans="2:24" s="607" customFormat="1" ht="15.75" customHeight="1">
      <c r="B102" s="617" t="str">
        <f t="shared" si="1"/>
        <v>Watts</v>
      </c>
      <c r="C102" s="601" t="s">
        <v>49</v>
      </c>
      <c r="D102" s="601" t="s">
        <v>49</v>
      </c>
      <c r="E102" s="602" t="s">
        <v>878</v>
      </c>
      <c r="F102" s="662" t="s">
        <v>2884</v>
      </c>
      <c r="G102" s="616"/>
      <c r="H102" s="655"/>
      <c r="J102" s="607" t="s">
        <v>2128</v>
      </c>
      <c r="L102" s="607" t="s">
        <v>2129</v>
      </c>
      <c r="M102" s="607" t="s">
        <v>2130</v>
      </c>
      <c r="N102" s="607" t="s">
        <v>2131</v>
      </c>
      <c r="O102" s="607" t="s">
        <v>2132</v>
      </c>
    </row>
    <row r="103" spans="2:24" s="607" customFormat="1" ht="15.75" customHeight="1">
      <c r="B103" s="617" t="str">
        <f t="shared" si="1"/>
        <v>Inputs</v>
      </c>
      <c r="C103" s="601" t="s">
        <v>106</v>
      </c>
      <c r="D103" s="601" t="s">
        <v>662</v>
      </c>
      <c r="E103" s="601" t="s">
        <v>879</v>
      </c>
      <c r="F103" s="662" t="s">
        <v>2885</v>
      </c>
      <c r="G103" s="616"/>
      <c r="H103" s="655"/>
      <c r="J103" s="607" t="s">
        <v>2133</v>
      </c>
      <c r="L103" s="607" t="s">
        <v>2134</v>
      </c>
      <c r="M103" s="607" t="s">
        <v>2135</v>
      </c>
      <c r="N103" s="607" t="s">
        <v>2136</v>
      </c>
      <c r="O103" s="607" t="s">
        <v>2137</v>
      </c>
      <c r="P103" s="607" t="s">
        <v>2138</v>
      </c>
      <c r="Q103" s="607" t="s">
        <v>2139</v>
      </c>
      <c r="R103" s="607" t="s">
        <v>2140</v>
      </c>
      <c r="S103" s="607" t="s">
        <v>2141</v>
      </c>
      <c r="T103" s="607" t="s">
        <v>2142</v>
      </c>
      <c r="U103" s="607" t="s">
        <v>2143</v>
      </c>
      <c r="V103" s="607" t="s">
        <v>2144</v>
      </c>
      <c r="W103" s="607" t="s">
        <v>2145</v>
      </c>
      <c r="X103" s="607" t="s">
        <v>2146</v>
      </c>
    </row>
    <row r="104" spans="2:24" s="607" customFormat="1" ht="15.75" customHeight="1">
      <c r="B104" s="617" t="str">
        <f t="shared" si="1"/>
        <v>Analysis Period (years)</v>
      </c>
      <c r="C104" s="601" t="s">
        <v>90</v>
      </c>
      <c r="D104" s="601" t="s">
        <v>663</v>
      </c>
      <c r="E104" s="602" t="s">
        <v>880</v>
      </c>
      <c r="F104" s="662" t="s">
        <v>2886</v>
      </c>
      <c r="G104" s="616"/>
      <c r="H104" s="655"/>
      <c r="J104" s="607" t="s">
        <v>2147</v>
      </c>
    </row>
    <row r="105" spans="2:24" s="607" customFormat="1" ht="15.75" customHeight="1">
      <c r="B105" s="617" t="str">
        <f t="shared" si="1"/>
        <v>Bulb Replacement Cost (labor only)</v>
      </c>
      <c r="C105" s="601" t="s">
        <v>214</v>
      </c>
      <c r="D105" s="601" t="s">
        <v>666</v>
      </c>
      <c r="E105" s="602" t="s">
        <v>1539</v>
      </c>
      <c r="F105" s="662" t="s">
        <v>2887</v>
      </c>
      <c r="G105" s="616"/>
      <c r="H105" s="655"/>
      <c r="J105" s="607" t="s">
        <v>2148</v>
      </c>
    </row>
    <row r="106" spans="2:24" s="607" customFormat="1" ht="15.75" customHeight="1">
      <c r="B106" s="617" t="str">
        <f t="shared" si="1"/>
        <v>Choose Baseline Fixture</v>
      </c>
      <c r="C106" s="601" t="s">
        <v>58</v>
      </c>
      <c r="D106" s="601" t="s">
        <v>667</v>
      </c>
      <c r="E106" s="602" t="s">
        <v>1540</v>
      </c>
      <c r="F106" s="662" t="s">
        <v>2888</v>
      </c>
      <c r="G106" s="616"/>
      <c r="H106" s="655"/>
      <c r="J106" s="607" t="s">
        <v>2149</v>
      </c>
    </row>
    <row r="107" spans="2:24" s="607" customFormat="1" ht="15.75" customHeight="1">
      <c r="B107" s="617" t="str">
        <f t="shared" si="1"/>
        <v>Choose Upgrade Fixture(s)</v>
      </c>
      <c r="C107" s="601" t="s">
        <v>1744</v>
      </c>
      <c r="D107" s="601" t="s">
        <v>1922</v>
      </c>
      <c r="E107" s="602" t="s">
        <v>1541</v>
      </c>
      <c r="F107" s="662" t="s">
        <v>3319</v>
      </c>
      <c r="G107" s="616"/>
      <c r="H107" s="655"/>
      <c r="J107" s="607" t="s">
        <v>2150</v>
      </c>
    </row>
    <row r="108" spans="2:24" s="607" customFormat="1" ht="15.75" customHeight="1">
      <c r="B108" s="617" t="str">
        <f t="shared" si="1"/>
        <v>Default 4380 assumes 12 hours per day</v>
      </c>
      <c r="C108" s="601" t="s">
        <v>287</v>
      </c>
      <c r="D108" s="601" t="s">
        <v>1923</v>
      </c>
      <c r="E108" s="602" t="s">
        <v>1542</v>
      </c>
      <c r="F108" s="662" t="s">
        <v>2889</v>
      </c>
      <c r="G108" s="616"/>
      <c r="H108" s="655"/>
      <c r="J108" s="607" t="s">
        <v>2151</v>
      </c>
    </row>
    <row r="109" spans="2:24" s="607" customFormat="1" ht="15.75" customHeight="1">
      <c r="B109" s="617" t="str">
        <f t="shared" si="1"/>
        <v>Energy Cost ($/kWh)</v>
      </c>
      <c r="C109" s="601" t="s">
        <v>82</v>
      </c>
      <c r="D109" s="601" t="s">
        <v>668</v>
      </c>
      <c r="E109" s="602" t="s">
        <v>881</v>
      </c>
      <c r="F109" s="662" t="s">
        <v>2890</v>
      </c>
      <c r="G109" s="616"/>
      <c r="H109" s="655"/>
      <c r="J109" s="607" t="s">
        <v>2152</v>
      </c>
      <c r="L109" s="607" t="s">
        <v>2153</v>
      </c>
    </row>
    <row r="110" spans="2:24" s="607" customFormat="1" ht="15.75" customHeight="1">
      <c r="B110" s="617" t="str">
        <f t="shared" si="1"/>
        <v>Fixture installation (labor)</v>
      </c>
      <c r="C110" s="601" t="s">
        <v>87</v>
      </c>
      <c r="D110" s="601" t="s">
        <v>669</v>
      </c>
      <c r="E110" s="602" t="s">
        <v>1543</v>
      </c>
      <c r="F110" s="662" t="s">
        <v>2891</v>
      </c>
      <c r="G110" s="616"/>
      <c r="H110" s="655"/>
      <c r="J110" s="607" t="s">
        <v>2154</v>
      </c>
    </row>
    <row r="111" spans="2:24" s="607" customFormat="1" ht="15.75" customHeight="1">
      <c r="B111" s="617" t="str">
        <f t="shared" si="1"/>
        <v>Fixture Name</v>
      </c>
      <c r="C111" s="601" t="s">
        <v>50</v>
      </c>
      <c r="D111" s="601" t="s">
        <v>670</v>
      </c>
      <c r="E111" s="602" t="s">
        <v>1544</v>
      </c>
      <c r="F111" s="662" t="s">
        <v>2892</v>
      </c>
      <c r="G111" s="616"/>
      <c r="H111" s="655"/>
      <c r="J111" s="607" t="s">
        <v>2155</v>
      </c>
      <c r="L111" s="607" t="s">
        <v>2156</v>
      </c>
      <c r="M111" s="607" t="s">
        <v>2157</v>
      </c>
      <c r="N111" s="607" t="s">
        <v>2158</v>
      </c>
    </row>
    <row r="112" spans="2:24" s="607" customFormat="1" ht="15.75" customHeight="1">
      <c r="B112" s="617" t="str">
        <f t="shared" si="1"/>
        <v>Lanes</v>
      </c>
      <c r="C112" s="601" t="s">
        <v>51</v>
      </c>
      <c r="D112" s="601" t="s">
        <v>671</v>
      </c>
      <c r="E112" s="602" t="s">
        <v>883</v>
      </c>
      <c r="F112" s="662" t="s">
        <v>2893</v>
      </c>
      <c r="G112" s="616"/>
      <c r="H112" s="655"/>
      <c r="J112" s="607" t="s">
        <v>2159</v>
      </c>
      <c r="L112" s="607" t="s">
        <v>2160</v>
      </c>
    </row>
    <row r="113" spans="2:33" s="607" customFormat="1" ht="15.75" customHeight="1">
      <c r="B113" s="617" t="str">
        <f t="shared" si="1"/>
        <v>Luminaire Dirt Depreciation</v>
      </c>
      <c r="C113" s="601" t="s">
        <v>95</v>
      </c>
      <c r="D113" s="601" t="s">
        <v>672</v>
      </c>
      <c r="E113" s="602" t="s">
        <v>1545</v>
      </c>
      <c r="F113" s="662" t="s">
        <v>2894</v>
      </c>
      <c r="G113" s="616"/>
      <c r="H113" s="655"/>
      <c r="J113" s="607" t="s">
        <v>2161</v>
      </c>
    </row>
    <row r="114" spans="2:33" s="607" customFormat="1" ht="15.75" customHeight="1">
      <c r="B114" s="617" t="str">
        <f t="shared" si="1"/>
        <v>Number of Lanes</v>
      </c>
      <c r="C114" s="601" t="s">
        <v>5</v>
      </c>
      <c r="D114" s="601" t="s">
        <v>673</v>
      </c>
      <c r="E114" s="602" t="s">
        <v>885</v>
      </c>
      <c r="F114" s="662" t="s">
        <v>2895</v>
      </c>
      <c r="G114" s="616"/>
      <c r="H114" s="655"/>
      <c r="J114" s="607" t="s">
        <v>2162</v>
      </c>
      <c r="L114" s="607" t="s">
        <v>2163</v>
      </c>
      <c r="M114" s="607" t="s">
        <v>2164</v>
      </c>
      <c r="N114" s="607" t="s">
        <v>2165</v>
      </c>
    </row>
    <row r="115" spans="2:33" s="607" customFormat="1" ht="15.75" customHeight="1">
      <c r="B115" s="617" t="str">
        <f t="shared" si="1"/>
        <v>Operating hours</v>
      </c>
      <c r="C115" s="601" t="s">
        <v>16</v>
      </c>
      <c r="D115" s="601" t="s">
        <v>674</v>
      </c>
      <c r="E115" s="602" t="s">
        <v>886</v>
      </c>
      <c r="F115" s="662" t="s">
        <v>2896</v>
      </c>
      <c r="G115" s="616"/>
      <c r="H115" s="655"/>
      <c r="J115" s="607" t="s">
        <v>2166</v>
      </c>
      <c r="L115" s="607" t="s">
        <v>2167</v>
      </c>
    </row>
    <row r="116" spans="2:33" s="607" customFormat="1" ht="15.75" customHeight="1">
      <c r="B116" s="617" t="str">
        <f t="shared" si="1"/>
        <v>Pole Placement</v>
      </c>
      <c r="C116" s="601" t="s">
        <v>15</v>
      </c>
      <c r="D116" s="601" t="s">
        <v>675</v>
      </c>
      <c r="E116" s="602" t="s">
        <v>887</v>
      </c>
      <c r="F116" s="662" t="s">
        <v>2897</v>
      </c>
      <c r="G116" s="616"/>
      <c r="H116" s="655"/>
      <c r="J116" s="607" t="s">
        <v>2168</v>
      </c>
      <c r="L116" s="607" t="s">
        <v>2169</v>
      </c>
      <c r="M116" s="607" t="s">
        <v>2170</v>
      </c>
      <c r="N116" s="607" t="s">
        <v>2171</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2898</v>
      </c>
      <c r="G117" s="616"/>
      <c r="H117" s="655"/>
      <c r="J117" s="607" t="s">
        <v>2172</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3314</v>
      </c>
      <c r="G118" s="616"/>
      <c r="H118" s="655"/>
      <c r="J118" s="607" t="s">
        <v>2173</v>
      </c>
    </row>
    <row r="119" spans="2:33" s="607" customFormat="1" ht="15.75" customHeight="1">
      <c r="B119" s="617" t="str">
        <f t="shared" si="1"/>
        <v>Select Calculation Method</v>
      </c>
      <c r="C119" s="601" t="s">
        <v>1762</v>
      </c>
      <c r="D119" s="601" t="s">
        <v>1764</v>
      </c>
      <c r="E119" s="602" t="s">
        <v>1763</v>
      </c>
      <c r="F119" s="662" t="s">
        <v>2899</v>
      </c>
      <c r="G119" s="616"/>
      <c r="H119" s="655"/>
      <c r="J119" s="607" t="s">
        <v>2174</v>
      </c>
    </row>
    <row r="120" spans="2:33" s="607" customFormat="1" ht="15.75" customHeight="1">
      <c r="B120" s="617" t="str">
        <f t="shared" si="1"/>
        <v>Temperature Effects</v>
      </c>
      <c r="C120" s="601" t="s">
        <v>307</v>
      </c>
      <c r="D120" s="601" t="s">
        <v>678</v>
      </c>
      <c r="E120" s="602" t="s">
        <v>888</v>
      </c>
      <c r="F120" s="662" t="s">
        <v>2900</v>
      </c>
      <c r="G120" s="616"/>
      <c r="H120" s="655"/>
      <c r="J120" s="607" t="s">
        <v>2175</v>
      </c>
    </row>
    <row r="121" spans="2:33" s="607" customFormat="1" ht="15.75" customHeight="1">
      <c r="B121" s="617" t="str">
        <f t="shared" si="1"/>
        <v>Units</v>
      </c>
      <c r="C121" s="601" t="s">
        <v>32</v>
      </c>
      <c r="D121" s="601" t="s">
        <v>679</v>
      </c>
      <c r="E121" s="602" t="s">
        <v>889</v>
      </c>
      <c r="F121" s="662" t="s">
        <v>2901</v>
      </c>
      <c r="G121" s="616"/>
      <c r="H121" s="655"/>
      <c r="J121" s="607" t="s">
        <v>2176</v>
      </c>
    </row>
    <row r="122" spans="2:33" s="607" customFormat="1" ht="15.75" customHeight="1">
      <c r="B122" s="617" t="str">
        <f t="shared" si="1"/>
        <v>Upgrade</v>
      </c>
      <c r="C122" s="601" t="s">
        <v>19</v>
      </c>
      <c r="D122" s="601" t="s">
        <v>680</v>
      </c>
      <c r="E122" s="602" t="s">
        <v>890</v>
      </c>
      <c r="F122" s="662" t="s">
        <v>2902</v>
      </c>
      <c r="G122" s="616"/>
      <c r="H122" s="655"/>
      <c r="I122" s="607" t="s">
        <v>2177</v>
      </c>
      <c r="J122" s="607" t="s">
        <v>2178</v>
      </c>
      <c r="L122" s="607" t="s">
        <v>2179</v>
      </c>
      <c r="M122" s="607" t="s">
        <v>2180</v>
      </c>
      <c r="N122" s="607" t="s">
        <v>2181</v>
      </c>
      <c r="O122" s="607" t="s">
        <v>2182</v>
      </c>
      <c r="P122" s="607" t="s">
        <v>2183</v>
      </c>
      <c r="Q122" s="607" t="s">
        <v>2184</v>
      </c>
      <c r="R122" s="607" t="s">
        <v>2185</v>
      </c>
      <c r="S122" s="607" t="s">
        <v>2186</v>
      </c>
      <c r="T122" s="607" t="s">
        <v>2187</v>
      </c>
      <c r="U122" s="607" t="s">
        <v>2188</v>
      </c>
      <c r="V122" s="607" t="s">
        <v>2189</v>
      </c>
      <c r="W122" s="607" t="s">
        <v>2190</v>
      </c>
      <c r="X122" s="607" t="s">
        <v>2191</v>
      </c>
      <c r="Y122" s="607" t="s">
        <v>2192</v>
      </c>
      <c r="Z122" s="607" t="s">
        <v>2193</v>
      </c>
      <c r="AA122" s="607" t="s">
        <v>2194</v>
      </c>
      <c r="AB122" s="607" t="s">
        <v>2195</v>
      </c>
      <c r="AC122" s="607" t="s">
        <v>2196</v>
      </c>
      <c r="AD122" s="607" t="s">
        <v>2197</v>
      </c>
      <c r="AE122" s="607" t="s">
        <v>2198</v>
      </c>
      <c r="AF122" s="607" t="s">
        <v>2199</v>
      </c>
      <c r="AG122" s="607" t="s">
        <v>2200</v>
      </c>
    </row>
    <row r="123" spans="2:33" s="607" customFormat="1" ht="15.75" customHeight="1">
      <c r="B123" s="617" t="str">
        <f t="shared" si="1"/>
        <v>IES</v>
      </c>
      <c r="C123" s="601" t="s">
        <v>1249</v>
      </c>
      <c r="D123" s="601" t="s">
        <v>1249</v>
      </c>
      <c r="E123" s="602" t="s">
        <v>1249</v>
      </c>
      <c r="F123" s="662" t="s">
        <v>1249</v>
      </c>
      <c r="G123" s="616"/>
      <c r="H123" s="655"/>
      <c r="I123" s="607" t="s">
        <v>2201</v>
      </c>
    </row>
    <row r="124" spans="2:33" s="607" customFormat="1" ht="15.75" customHeight="1">
      <c r="B124" s="617" t="str">
        <f t="shared" si="1"/>
        <v>CIE</v>
      </c>
      <c r="C124" s="601" t="s">
        <v>1250</v>
      </c>
      <c r="D124" s="601" t="s">
        <v>1250</v>
      </c>
      <c r="E124" s="602" t="s">
        <v>1250</v>
      </c>
      <c r="F124" s="662" t="s">
        <v>1250</v>
      </c>
      <c r="G124" s="616"/>
      <c r="H124" s="655"/>
      <c r="I124" s="607" t="s">
        <v>2201</v>
      </c>
    </row>
    <row r="125" spans="2:33" s="607" customFormat="1" ht="15.75" customHeight="1">
      <c r="B125" s="617" t="str">
        <f t="shared" si="1"/>
        <v>Both</v>
      </c>
      <c r="C125" s="601" t="s">
        <v>1245</v>
      </c>
      <c r="D125" s="601" t="s">
        <v>1351</v>
      </c>
      <c r="E125" s="602" t="s">
        <v>1352</v>
      </c>
      <c r="F125" s="662" t="s">
        <v>2903</v>
      </c>
      <c r="G125" s="616"/>
      <c r="H125" s="655"/>
      <c r="I125" s="607" t="s">
        <v>2202</v>
      </c>
    </row>
    <row r="126" spans="2:33" s="607" customFormat="1" ht="15.75" customHeight="1">
      <c r="B126" s="617" t="str">
        <f t="shared" si="1"/>
        <v>Go back</v>
      </c>
      <c r="C126" s="688" t="s">
        <v>3336</v>
      </c>
      <c r="D126" s="688" t="s">
        <v>3333</v>
      </c>
      <c r="E126" s="688" t="s">
        <v>3334</v>
      </c>
      <c r="F126" s="662" t="s">
        <v>3335</v>
      </c>
      <c r="G126" s="616"/>
      <c r="H126" s="655"/>
      <c r="J126" s="607" t="s">
        <v>2203</v>
      </c>
    </row>
    <row r="127" spans="2:33" s="607" customFormat="1" ht="15.75" customHeight="1">
      <c r="B127" s="617" t="str">
        <f t="shared" si="1"/>
        <v>Arm length</v>
      </c>
      <c r="C127" s="601" t="s">
        <v>4</v>
      </c>
      <c r="D127" s="601" t="s">
        <v>1335</v>
      </c>
      <c r="E127" s="602" t="s">
        <v>891</v>
      </c>
      <c r="F127" s="662" t="s">
        <v>2904</v>
      </c>
      <c r="G127" s="616"/>
      <c r="H127" s="655"/>
      <c r="J127" s="607" t="s">
        <v>2204</v>
      </c>
      <c r="L127" s="607" t="s">
        <v>2205</v>
      </c>
      <c r="M127" s="607" t="s">
        <v>2206</v>
      </c>
      <c r="N127" s="607" t="s">
        <v>2207</v>
      </c>
    </row>
    <row r="128" spans="2:33" s="607" customFormat="1" ht="15.75" customHeight="1">
      <c r="B128" s="617" t="str">
        <f t="shared" si="1"/>
        <v>Fixtures/km</v>
      </c>
      <c r="C128" s="601" t="s">
        <v>55</v>
      </c>
      <c r="D128" s="601" t="s">
        <v>681</v>
      </c>
      <c r="E128" s="602" t="s">
        <v>1550</v>
      </c>
      <c r="F128" s="662" t="s">
        <v>2905</v>
      </c>
      <c r="G128" s="616"/>
      <c r="H128" s="655"/>
      <c r="J128" s="607" t="s">
        <v>2208</v>
      </c>
      <c r="L128" s="607" t="s">
        <v>2209</v>
      </c>
      <c r="M128" s="607" t="s">
        <v>2210</v>
      </c>
      <c r="N128" s="607" t="s">
        <v>2211</v>
      </c>
    </row>
    <row r="129" spans="2:18" s="607" customFormat="1" ht="15.75" customHeight="1">
      <c r="B129" s="617" t="str">
        <f t="shared" si="1"/>
        <v>Median Width</v>
      </c>
      <c r="C129" s="601" t="s">
        <v>34</v>
      </c>
      <c r="D129" s="601" t="s">
        <v>682</v>
      </c>
      <c r="E129" s="602" t="s">
        <v>1551</v>
      </c>
      <c r="F129" s="662" t="s">
        <v>2906</v>
      </c>
      <c r="G129" s="616"/>
      <c r="H129" s="655"/>
      <c r="J129" s="607" t="s">
        <v>2212</v>
      </c>
      <c r="L129" s="607" t="s">
        <v>2213</v>
      </c>
      <c r="M129" s="607" t="s">
        <v>2214</v>
      </c>
      <c r="N129" s="607" t="s">
        <v>2215</v>
      </c>
    </row>
    <row r="130" spans="2:18" s="607" customFormat="1" ht="15.75" customHeight="1">
      <c r="B130" s="617" t="str">
        <f t="shared" si="1"/>
        <v>meters</v>
      </c>
      <c r="C130" s="601" t="s">
        <v>7</v>
      </c>
      <c r="D130" s="601" t="s">
        <v>683</v>
      </c>
      <c r="E130" s="602" t="s">
        <v>894</v>
      </c>
      <c r="F130" s="662" t="s">
        <v>2907</v>
      </c>
      <c r="G130" s="616"/>
      <c r="H130" s="655"/>
      <c r="J130" s="607" t="s">
        <v>2216</v>
      </c>
      <c r="L130" s="607" t="s">
        <v>2217</v>
      </c>
      <c r="M130" s="607" t="s">
        <v>2218</v>
      </c>
      <c r="N130" s="607" t="s">
        <v>2219</v>
      </c>
      <c r="O130" s="607" t="s">
        <v>2220</v>
      </c>
      <c r="P130" s="607" t="s">
        <v>2221</v>
      </c>
      <c r="Q130" s="607" t="s">
        <v>2222</v>
      </c>
      <c r="R130" s="607" t="s">
        <v>2223</v>
      </c>
    </row>
    <row r="131" spans="2:18" s="607" customFormat="1" ht="15.75" customHeight="1">
      <c r="B131" s="617" t="str">
        <f t="shared" si="1"/>
        <v>Luminaire Mounting Height</v>
      </c>
      <c r="C131" s="601" t="s">
        <v>1144</v>
      </c>
      <c r="D131" s="601" t="s">
        <v>1334</v>
      </c>
      <c r="E131" s="601" t="s">
        <v>1552</v>
      </c>
      <c r="F131" s="662" t="s">
        <v>2908</v>
      </c>
      <c r="G131" s="616"/>
      <c r="H131" s="655"/>
      <c r="J131" s="607" t="s">
        <v>2224</v>
      </c>
      <c r="L131" s="607" t="s">
        <v>2225</v>
      </c>
      <c r="M131" s="607" t="s">
        <v>2226</v>
      </c>
      <c r="N131" s="607" t="s">
        <v>2227</v>
      </c>
      <c r="O131" s="607" t="s">
        <v>2228</v>
      </c>
      <c r="P131" s="607" t="s">
        <v>2229</v>
      </c>
    </row>
    <row r="132" spans="2:18" s="607" customFormat="1" ht="15.75" customHeight="1">
      <c r="B132" s="617" t="str">
        <f t="shared" si="1"/>
        <v>Shoulder Width</v>
      </c>
      <c r="C132" s="601" t="s">
        <v>33</v>
      </c>
      <c r="D132" s="601" t="s">
        <v>684</v>
      </c>
      <c r="E132" s="602" t="s">
        <v>1553</v>
      </c>
      <c r="F132" s="662" t="s">
        <v>2909</v>
      </c>
      <c r="G132" s="616"/>
      <c r="H132" s="655"/>
      <c r="J132" s="607" t="s">
        <v>2230</v>
      </c>
      <c r="L132" s="607" t="s">
        <v>2231</v>
      </c>
    </row>
    <row r="133" spans="2:18" s="607" customFormat="1" ht="15.75" customHeight="1">
      <c r="B133" s="617" t="str">
        <f t="shared" si="1"/>
        <v>Spacing of Grid</v>
      </c>
      <c r="C133" s="601" t="s">
        <v>36</v>
      </c>
      <c r="D133" s="601" t="s">
        <v>685</v>
      </c>
      <c r="E133" s="602" t="s">
        <v>896</v>
      </c>
      <c r="F133" s="662" t="s">
        <v>2910</v>
      </c>
      <c r="G133" s="616"/>
      <c r="H133" s="655"/>
      <c r="J133" s="607" t="s">
        <v>2232</v>
      </c>
      <c r="L133" s="607" t="s">
        <v>2233</v>
      </c>
    </row>
    <row r="134" spans="2:18" s="607" customFormat="1" ht="15.75" customHeight="1">
      <c r="B134" s="617" t="str">
        <f t="shared" si="1"/>
        <v>Single-side</v>
      </c>
      <c r="C134" s="601" t="s">
        <v>320</v>
      </c>
      <c r="D134" s="601" t="s">
        <v>806</v>
      </c>
      <c r="E134" s="602" t="s">
        <v>1554</v>
      </c>
      <c r="F134" s="662" t="s">
        <v>3299</v>
      </c>
      <c r="G134" s="616"/>
      <c r="H134" s="655"/>
      <c r="I134" s="607" t="s">
        <v>2234</v>
      </c>
      <c r="J134" s="607" t="s">
        <v>2235</v>
      </c>
      <c r="L134" s="607" t="s">
        <v>2236</v>
      </c>
    </row>
    <row r="135" spans="2:18" s="607" customFormat="1" ht="15.75" customHeight="1">
      <c r="B135" s="617" t="str">
        <f t="shared" si="1"/>
        <v>Staggered</v>
      </c>
      <c r="C135" s="601" t="s">
        <v>367</v>
      </c>
      <c r="D135" s="601" t="s">
        <v>807</v>
      </c>
      <c r="E135" s="602" t="s">
        <v>990</v>
      </c>
      <c r="F135" s="662" t="s">
        <v>3300</v>
      </c>
      <c r="G135" s="616"/>
      <c r="H135" s="655"/>
      <c r="I135" s="607" t="s">
        <v>2234</v>
      </c>
      <c r="J135" s="607" t="s">
        <v>2235</v>
      </c>
      <c r="L135" s="607" t="s">
        <v>2236</v>
      </c>
    </row>
    <row r="136" spans="2:18" s="607" customFormat="1" ht="15.75" customHeight="1">
      <c r="B136" s="617" t="str">
        <f t="shared" si="1"/>
        <v>Median mounted</v>
      </c>
      <c r="C136" s="601" t="s">
        <v>1184</v>
      </c>
      <c r="D136" s="601" t="s">
        <v>1185</v>
      </c>
      <c r="E136" s="602" t="s">
        <v>1555</v>
      </c>
      <c r="F136" s="662" t="s">
        <v>2911</v>
      </c>
      <c r="G136" s="616"/>
      <c r="H136" s="655"/>
      <c r="I136" s="607" t="s">
        <v>2234</v>
      </c>
      <c r="J136" s="607" t="s">
        <v>2235</v>
      </c>
      <c r="L136" s="607" t="s">
        <v>2236</v>
      </c>
    </row>
    <row r="137" spans="2:18" s="607" customFormat="1" ht="15.75" customHeight="1">
      <c r="B137" s="617" t="str">
        <f t="shared" si="1"/>
        <v>Opposite</v>
      </c>
      <c r="C137" s="601" t="s">
        <v>1246</v>
      </c>
      <c r="D137" s="601" t="s">
        <v>1406</v>
      </c>
      <c r="E137" s="602" t="s">
        <v>1354</v>
      </c>
      <c r="F137" s="662" t="s">
        <v>2912</v>
      </c>
      <c r="G137" s="616"/>
      <c r="H137" s="655"/>
      <c r="I137" s="607" t="s">
        <v>2234</v>
      </c>
      <c r="J137" s="607" t="s">
        <v>2235</v>
      </c>
      <c r="L137" s="607" t="s">
        <v>2236</v>
      </c>
    </row>
    <row r="138" spans="2:18" s="607" customFormat="1" ht="15.75" customHeight="1">
      <c r="B138" s="617" t="str">
        <f t="shared" si="1"/>
        <v>Lighting Standards</v>
      </c>
      <c r="C138" s="601" t="s">
        <v>325</v>
      </c>
      <c r="D138" s="601" t="s">
        <v>686</v>
      </c>
      <c r="E138" s="601" t="s">
        <v>897</v>
      </c>
      <c r="F138" s="662" t="s">
        <v>2913</v>
      </c>
      <c r="G138" s="616"/>
      <c r="H138" s="655"/>
      <c r="J138" s="607" t="s">
        <v>2237</v>
      </c>
    </row>
    <row r="139" spans="2:18" s="607" customFormat="1" ht="15.75" customHeight="1">
      <c r="B139" s="617" t="str">
        <f t="shared" si="1"/>
        <v>Ambient luminance</v>
      </c>
      <c r="C139" s="601" t="s">
        <v>158</v>
      </c>
      <c r="D139" s="601" t="s">
        <v>687</v>
      </c>
      <c r="E139" s="602" t="s">
        <v>898</v>
      </c>
      <c r="F139" s="662" t="s">
        <v>2914</v>
      </c>
      <c r="G139" s="616"/>
      <c r="H139" s="655"/>
      <c r="J139" s="607" t="s">
        <v>2238</v>
      </c>
    </row>
    <row r="140" spans="2:18" s="607" customFormat="1" ht="15.75" customHeight="1">
      <c r="B140" s="617" t="str">
        <f t="shared" ref="B140:B203" si="2">INDEX(C140:G140,MATCH($B$11,$C$11:$G$11,0))</f>
        <v>Average Illuminance Target (Iavg)</v>
      </c>
      <c r="C140" s="601" t="s">
        <v>184</v>
      </c>
      <c r="D140" s="601" t="s">
        <v>664</v>
      </c>
      <c r="E140" s="602" t="s">
        <v>899</v>
      </c>
      <c r="F140" s="662" t="s">
        <v>2915</v>
      </c>
      <c r="G140" s="616"/>
      <c r="H140" s="655"/>
      <c r="J140" s="607" t="s">
        <v>2239</v>
      </c>
      <c r="L140" s="607" t="s">
        <v>2240</v>
      </c>
      <c r="M140" s="607" t="s">
        <v>2241</v>
      </c>
    </row>
    <row r="141" spans="2:18" s="607" customFormat="1" ht="15.75" customHeight="1">
      <c r="B141" s="617" t="str">
        <f t="shared" si="2"/>
        <v>Average Luminance Target (Lav)</v>
      </c>
      <c r="C141" s="601" t="s">
        <v>357</v>
      </c>
      <c r="D141" s="601" t="s">
        <v>665</v>
      </c>
      <c r="E141" s="602" t="s">
        <v>900</v>
      </c>
      <c r="F141" s="662" t="s">
        <v>2916</v>
      </c>
      <c r="G141" s="616"/>
      <c r="H141" s="655"/>
      <c r="J141" s="607" t="s">
        <v>2242</v>
      </c>
      <c r="L141" s="607" t="s">
        <v>2243</v>
      </c>
      <c r="M141" s="607" t="s">
        <v>2244</v>
      </c>
    </row>
    <row r="142" spans="2:18" s="607" customFormat="1" ht="15.75" customHeight="1">
      <c r="B142" s="617" t="str">
        <f t="shared" si="2"/>
        <v>Calculation Assumptions per:</v>
      </c>
      <c r="C142" s="601" t="s">
        <v>213</v>
      </c>
      <c r="D142" s="601" t="s">
        <v>688</v>
      </c>
      <c r="E142" s="602" t="s">
        <v>1558</v>
      </c>
      <c r="F142" s="662" t="s">
        <v>2917</v>
      </c>
      <c r="G142" s="616"/>
      <c r="H142" s="655"/>
    </row>
    <row r="143" spans="2:18" s="607" customFormat="1" ht="15.75" customHeight="1">
      <c r="B143" s="617" t="str">
        <f t="shared" si="2"/>
        <v>calculation method</v>
      </c>
      <c r="C143" s="601" t="s">
        <v>218</v>
      </c>
      <c r="D143" s="601" t="s">
        <v>689</v>
      </c>
      <c r="E143" s="602" t="s">
        <v>901</v>
      </c>
      <c r="F143" s="662" t="s">
        <v>2918</v>
      </c>
      <c r="G143" s="616"/>
      <c r="H143" s="655"/>
    </row>
    <row r="144" spans="2:18" s="607" customFormat="1" ht="15.75" customHeight="1">
      <c r="B144" s="617" t="str">
        <f t="shared" si="2"/>
        <v>cd/m2</v>
      </c>
      <c r="C144" s="601" t="s">
        <v>186</v>
      </c>
      <c r="D144" s="601" t="s">
        <v>186</v>
      </c>
      <c r="E144" s="602" t="s">
        <v>186</v>
      </c>
      <c r="F144" s="662" t="s">
        <v>2919</v>
      </c>
      <c r="G144" s="616"/>
      <c r="H144" s="655"/>
      <c r="J144" s="607" t="s">
        <v>2245</v>
      </c>
      <c r="L144" s="607" t="s">
        <v>2246</v>
      </c>
    </row>
    <row r="145" spans="2:22" s="607" customFormat="1" ht="15.75" customHeight="1">
      <c r="B145" s="617" t="str">
        <f t="shared" si="2"/>
        <v>Collector</v>
      </c>
      <c r="C145" s="601" t="s">
        <v>148</v>
      </c>
      <c r="D145" s="601" t="s">
        <v>690</v>
      </c>
      <c r="E145" s="602" t="s">
        <v>902</v>
      </c>
      <c r="F145" s="663" t="s">
        <v>2920</v>
      </c>
      <c r="G145" s="616"/>
      <c r="H145" s="655"/>
      <c r="J145" s="607" t="s">
        <v>2247</v>
      </c>
      <c r="L145" s="607" t="s">
        <v>2248</v>
      </c>
      <c r="M145" s="607" t="s">
        <v>2249</v>
      </c>
    </row>
    <row r="146" spans="2:22" s="607" customFormat="1" ht="15.75" customHeight="1">
      <c r="B146" s="617" t="str">
        <f t="shared" si="2"/>
        <v>Dry</v>
      </c>
      <c r="C146" s="601" t="s">
        <v>167</v>
      </c>
      <c r="D146" s="601" t="s">
        <v>691</v>
      </c>
      <c r="E146" s="602" t="s">
        <v>903</v>
      </c>
      <c r="F146" s="661" t="s">
        <v>2921</v>
      </c>
      <c r="G146" s="616"/>
      <c r="H146" s="655"/>
      <c r="J146" s="607" t="s">
        <v>2250</v>
      </c>
    </row>
    <row r="147" spans="2:22" s="607" customFormat="1" ht="15.75" customHeight="1">
      <c r="B147" s="617" t="str">
        <f t="shared" si="2"/>
        <v>Expressway</v>
      </c>
      <c r="C147" s="601" t="s">
        <v>140</v>
      </c>
      <c r="D147" s="601" t="s">
        <v>692</v>
      </c>
      <c r="E147" s="602" t="s">
        <v>1559</v>
      </c>
      <c r="F147" s="663" t="s">
        <v>2922</v>
      </c>
      <c r="G147" s="616"/>
      <c r="H147" s="655"/>
      <c r="J147" s="607" t="s">
        <v>2251</v>
      </c>
      <c r="L147" s="607" t="s">
        <v>2252</v>
      </c>
      <c r="M147" s="607" t="s">
        <v>2253</v>
      </c>
    </row>
    <row r="148" spans="2:22" s="607" customFormat="1" ht="15.75" customHeight="1">
      <c r="B148" s="617" t="str">
        <f t="shared" si="2"/>
        <v>Freeway Class A</v>
      </c>
      <c r="C148" s="601" t="s">
        <v>135</v>
      </c>
      <c r="D148" s="601" t="s">
        <v>693</v>
      </c>
      <c r="E148" s="602" t="s">
        <v>904</v>
      </c>
      <c r="F148" s="663" t="s">
        <v>2923</v>
      </c>
      <c r="G148" s="616"/>
      <c r="H148" s="655"/>
      <c r="J148" s="607" t="s">
        <v>2254</v>
      </c>
      <c r="L148" s="607" t="s">
        <v>2255</v>
      </c>
    </row>
    <row r="149" spans="2:22" s="607" customFormat="1" ht="15.75" customHeight="1">
      <c r="B149" s="617" t="str">
        <f t="shared" si="2"/>
        <v>Freeway Class B</v>
      </c>
      <c r="C149" s="601" t="s">
        <v>137</v>
      </c>
      <c r="D149" s="601" t="s">
        <v>694</v>
      </c>
      <c r="E149" s="602" t="s">
        <v>905</v>
      </c>
      <c r="F149" s="661" t="s">
        <v>2924</v>
      </c>
      <c r="G149" s="616"/>
      <c r="H149" s="655"/>
      <c r="J149" s="607" t="s">
        <v>2256</v>
      </c>
      <c r="L149" s="607" t="s">
        <v>2257</v>
      </c>
    </row>
    <row r="150" spans="2:22" s="607" customFormat="1" ht="15.75" customHeight="1">
      <c r="B150" s="617" t="str">
        <f t="shared" si="2"/>
        <v>High</v>
      </c>
      <c r="C150" s="601" t="s">
        <v>134</v>
      </c>
      <c r="D150" s="601" t="s">
        <v>695</v>
      </c>
      <c r="E150" s="602" t="s">
        <v>906</v>
      </c>
      <c r="F150" s="661" t="s">
        <v>2925</v>
      </c>
      <c r="G150" s="616"/>
      <c r="H150" s="655"/>
      <c r="J150" s="607" t="s">
        <v>2258</v>
      </c>
      <c r="L150" s="607" t="s">
        <v>2259</v>
      </c>
      <c r="M150" s="607" t="s">
        <v>2260</v>
      </c>
      <c r="N150" s="607" t="s">
        <v>2261</v>
      </c>
      <c r="O150" s="607" t="s">
        <v>2262</v>
      </c>
      <c r="P150" s="607" t="s">
        <v>2263</v>
      </c>
      <c r="Q150" s="607" t="s">
        <v>2264</v>
      </c>
      <c r="R150" s="607" t="s">
        <v>2265</v>
      </c>
      <c r="S150" s="607" t="s">
        <v>2266</v>
      </c>
      <c r="T150" s="607" t="s">
        <v>2267</v>
      </c>
      <c r="U150" s="607" t="s">
        <v>2268</v>
      </c>
      <c r="V150" s="607" t="s">
        <v>2269</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1924</v>
      </c>
      <c r="E151" s="602" t="s">
        <v>1560</v>
      </c>
      <c r="F151" s="662" t="s">
        <v>2926</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1925</v>
      </c>
      <c r="E152" s="602" t="s">
        <v>1561</v>
      </c>
      <c r="F152" s="661" t="s">
        <v>2927</v>
      </c>
      <c r="G152" s="616"/>
      <c r="H152" s="655"/>
      <c r="J152" s="607" t="s">
        <v>2270</v>
      </c>
    </row>
    <row r="153" spans="2:22" s="607" customFormat="1" ht="15.75" customHeight="1">
      <c r="B153" s="617" t="str">
        <f t="shared" si="2"/>
        <v>Illuminance Method</v>
      </c>
      <c r="C153" s="601" t="s">
        <v>212</v>
      </c>
      <c r="D153" s="601" t="s">
        <v>696</v>
      </c>
      <c r="E153" s="602" t="s">
        <v>907</v>
      </c>
      <c r="F153" s="661" t="s">
        <v>2928</v>
      </c>
      <c r="G153" s="616"/>
      <c r="H153" s="655"/>
      <c r="J153" s="607" t="s">
        <v>2271</v>
      </c>
    </row>
    <row r="154" spans="2:22" s="607" customFormat="1" ht="15.75" customHeight="1">
      <c r="B154" s="617" t="str">
        <f t="shared" si="2"/>
        <v>Illuminance Target (Iavg)</v>
      </c>
      <c r="C154" s="601" t="s">
        <v>359</v>
      </c>
      <c r="D154" s="601" t="s">
        <v>697</v>
      </c>
      <c r="E154" s="602" t="s">
        <v>908</v>
      </c>
      <c r="F154" s="661" t="s">
        <v>2929</v>
      </c>
      <c r="G154" s="616"/>
      <c r="H154" s="655"/>
      <c r="J154" s="607" t="s">
        <v>2272</v>
      </c>
    </row>
    <row r="155" spans="2:22" s="607" customFormat="1" ht="15.75" customHeight="1">
      <c r="B155" s="617" t="str">
        <f t="shared" si="2"/>
        <v>International Commission on Illumination (CIE)</v>
      </c>
      <c r="C155" s="601" t="s">
        <v>189</v>
      </c>
      <c r="D155" s="601" t="s">
        <v>698</v>
      </c>
      <c r="E155" s="602" t="s">
        <v>909</v>
      </c>
      <c r="F155" s="661" t="s">
        <v>2930</v>
      </c>
      <c r="G155" s="616"/>
      <c r="H155" s="655"/>
      <c r="J155" s="607" t="s">
        <v>2273</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2274</v>
      </c>
    </row>
    <row r="157" spans="2:22" s="607" customFormat="1" ht="15.75" customHeight="1">
      <c r="B157" s="617" t="str">
        <f t="shared" si="2"/>
        <v>Intersection density</v>
      </c>
      <c r="C157" s="601" t="s">
        <v>154</v>
      </c>
      <c r="D157" s="601" t="s">
        <v>699</v>
      </c>
      <c r="E157" s="602" t="s">
        <v>911</v>
      </c>
      <c r="F157" s="661" t="s">
        <v>2931</v>
      </c>
      <c r="G157" s="616"/>
      <c r="H157" s="655"/>
      <c r="J157" s="607" t="s">
        <v>2275</v>
      </c>
    </row>
    <row r="158" spans="2:22" s="607" customFormat="1" ht="15.75" customHeight="1">
      <c r="B158" s="617" t="str">
        <f t="shared" si="2"/>
        <v>Lighting class</v>
      </c>
      <c r="C158" s="601" t="s">
        <v>163</v>
      </c>
      <c r="D158" s="601" t="s">
        <v>700</v>
      </c>
      <c r="E158" s="602" t="s">
        <v>1562</v>
      </c>
      <c r="F158" s="661" t="s">
        <v>2932</v>
      </c>
      <c r="G158" s="616"/>
      <c r="H158" s="655"/>
      <c r="J158" s="607" t="s">
        <v>2276</v>
      </c>
    </row>
    <row r="159" spans="2:22" s="607" customFormat="1" ht="15.75" customHeight="1">
      <c r="B159" s="617" t="str">
        <f t="shared" si="2"/>
        <v>Local</v>
      </c>
      <c r="C159" s="601" t="s">
        <v>153</v>
      </c>
      <c r="D159" s="601" t="s">
        <v>153</v>
      </c>
      <c r="E159" s="602" t="s">
        <v>153</v>
      </c>
      <c r="F159" s="661" t="s">
        <v>2933</v>
      </c>
      <c r="G159" s="616"/>
      <c r="H159" s="655"/>
      <c r="J159" s="607" t="s">
        <v>2277</v>
      </c>
      <c r="L159" s="607" t="s">
        <v>2278</v>
      </c>
    </row>
    <row r="160" spans="2:22" s="607" customFormat="1" ht="15.75" customHeight="1">
      <c r="B160" s="617" t="str">
        <f t="shared" si="2"/>
        <v>Low</v>
      </c>
      <c r="C160" s="601" t="s">
        <v>142</v>
      </c>
      <c r="D160" s="601" t="s">
        <v>701</v>
      </c>
      <c r="E160" s="602" t="s">
        <v>912</v>
      </c>
      <c r="F160" s="661" t="s">
        <v>2934</v>
      </c>
      <c r="G160" s="616"/>
      <c r="H160" s="655"/>
      <c r="J160" s="607" t="s">
        <v>2279</v>
      </c>
      <c r="L160" s="607" t="s">
        <v>2280</v>
      </c>
      <c r="M160" s="607" t="s">
        <v>2281</v>
      </c>
      <c r="N160" s="607" t="s">
        <v>2282</v>
      </c>
      <c r="O160" s="607" t="s">
        <v>2283</v>
      </c>
      <c r="P160" s="607" t="s">
        <v>2284</v>
      </c>
      <c r="Q160" s="607" t="s">
        <v>2285</v>
      </c>
      <c r="R160" s="607" t="s">
        <v>2286</v>
      </c>
      <c r="S160" s="607" t="s">
        <v>2287</v>
      </c>
      <c r="T160" s="607" t="s">
        <v>2288</v>
      </c>
    </row>
    <row r="161" spans="2:14" s="607" customFormat="1" ht="15.75" customHeight="1">
      <c r="B161" s="617" t="str">
        <f t="shared" si="2"/>
        <v>Luminance Method</v>
      </c>
      <c r="C161" s="601" t="s">
        <v>1726</v>
      </c>
      <c r="D161" s="601" t="s">
        <v>1739</v>
      </c>
      <c r="E161" s="602" t="s">
        <v>1740</v>
      </c>
      <c r="F161" s="661" t="s">
        <v>2935</v>
      </c>
      <c r="G161" s="616"/>
      <c r="H161" s="655"/>
    </row>
    <row r="162" spans="2:14" s="607" customFormat="1" ht="15.75" customHeight="1">
      <c r="B162" s="617" t="str">
        <f t="shared" si="2"/>
        <v>Luminance Method for IES Standard</v>
      </c>
      <c r="C162" s="601" t="s">
        <v>1266</v>
      </c>
      <c r="D162" s="601" t="s">
        <v>1355</v>
      </c>
      <c r="E162" s="602" t="s">
        <v>1563</v>
      </c>
      <c r="F162" s="663" t="s">
        <v>2936</v>
      </c>
      <c r="G162" s="616"/>
      <c r="H162" s="655"/>
      <c r="J162" s="607" t="s">
        <v>2289</v>
      </c>
      <c r="L162" s="607" t="s">
        <v>2290</v>
      </c>
    </row>
    <row r="163" spans="2:14" s="607" customFormat="1" ht="15.75" customHeight="1">
      <c r="B163" s="617" t="str">
        <f t="shared" si="2"/>
        <v>Luminance Method for CIE Standard</v>
      </c>
      <c r="C163" s="601" t="s">
        <v>1267</v>
      </c>
      <c r="D163" s="601" t="s">
        <v>1356</v>
      </c>
      <c r="E163" s="602" t="s">
        <v>1564</v>
      </c>
      <c r="F163" s="663" t="s">
        <v>2937</v>
      </c>
      <c r="G163" s="616"/>
      <c r="H163" s="655"/>
      <c r="J163" s="607" t="s">
        <v>2291</v>
      </c>
    </row>
    <row r="164" spans="2:14" s="607" customFormat="1" ht="15.75" customHeight="1">
      <c r="B164" s="617" t="str">
        <f t="shared" si="2"/>
        <v>Lux</v>
      </c>
      <c r="C164" s="601" t="s">
        <v>18</v>
      </c>
      <c r="D164" s="601" t="s">
        <v>18</v>
      </c>
      <c r="E164" s="602" t="s">
        <v>18</v>
      </c>
      <c r="F164" s="661" t="s">
        <v>2938</v>
      </c>
      <c r="G164" s="616"/>
      <c r="H164" s="655"/>
      <c r="J164" s="607" t="s">
        <v>2292</v>
      </c>
      <c r="L164" s="607" t="s">
        <v>2293</v>
      </c>
    </row>
    <row r="165" spans="2:14" s="607" customFormat="1" ht="15.75" customHeight="1">
      <c r="B165" s="617" t="str">
        <f t="shared" si="2"/>
        <v>Major</v>
      </c>
      <c r="C165" s="601" t="s">
        <v>143</v>
      </c>
      <c r="D165" s="601" t="s">
        <v>702</v>
      </c>
      <c r="E165" s="602" t="s">
        <v>913</v>
      </c>
      <c r="F165" s="663" t="s">
        <v>2939</v>
      </c>
      <c r="G165" s="616"/>
      <c r="H165" s="655"/>
      <c r="J165" s="607" t="s">
        <v>2294</v>
      </c>
      <c r="L165" s="607" t="s">
        <v>2295</v>
      </c>
    </row>
    <row r="166" spans="2:14" s="607" customFormat="1" ht="15.75" customHeight="1">
      <c r="B166" s="617" t="str">
        <f t="shared" si="2"/>
        <v>Mixed</v>
      </c>
      <c r="C166" s="601" t="s">
        <v>147</v>
      </c>
      <c r="D166" s="601" t="s">
        <v>703</v>
      </c>
      <c r="E166" s="602" t="s">
        <v>914</v>
      </c>
      <c r="F166" s="661" t="s">
        <v>2940</v>
      </c>
      <c r="G166" s="616"/>
      <c r="H166" s="655"/>
      <c r="J166" s="607" t="s">
        <v>2296</v>
      </c>
    </row>
    <row r="167" spans="2:14" s="607" customFormat="1" ht="15.75" customHeight="1">
      <c r="B167" s="617" t="str">
        <f t="shared" si="2"/>
        <v>Mixed with high % non motorized</v>
      </c>
      <c r="C167" s="601" t="s">
        <v>146</v>
      </c>
      <c r="D167" s="601" t="s">
        <v>704</v>
      </c>
      <c r="E167" s="602" t="s">
        <v>915</v>
      </c>
      <c r="F167" s="661" t="s">
        <v>2941</v>
      </c>
      <c r="G167" s="616"/>
      <c r="H167" s="655"/>
      <c r="J167" s="607" t="s">
        <v>2297</v>
      </c>
    </row>
    <row r="168" spans="2:14" s="607" customFormat="1" ht="15.75" customHeight="1">
      <c r="B168" s="617" t="str">
        <f t="shared" si="2"/>
        <v>Moderate</v>
      </c>
      <c r="C168" s="601" t="s">
        <v>136</v>
      </c>
      <c r="D168" s="601" t="s">
        <v>705</v>
      </c>
      <c r="E168" s="602" t="s">
        <v>916</v>
      </c>
      <c r="F168" s="661" t="s">
        <v>2942</v>
      </c>
      <c r="G168" s="616"/>
      <c r="H168" s="655"/>
      <c r="J168" s="607" t="s">
        <v>2298</v>
      </c>
      <c r="L168" s="607" t="s">
        <v>2299</v>
      </c>
      <c r="M168" s="607" t="s">
        <v>2300</v>
      </c>
      <c r="N168" s="607" t="s">
        <v>2301</v>
      </c>
    </row>
    <row r="169" spans="2:14" s="607" customFormat="1" ht="15.75" customHeight="1">
      <c r="B169" s="617" t="str">
        <f t="shared" si="2"/>
        <v>Moderate or Good</v>
      </c>
      <c r="C169" s="601" t="s">
        <v>161</v>
      </c>
      <c r="D169" s="601" t="s">
        <v>706</v>
      </c>
      <c r="E169" s="602" t="s">
        <v>917</v>
      </c>
      <c r="F169" s="661" t="s">
        <v>2943</v>
      </c>
      <c r="G169" s="616"/>
      <c r="H169" s="655"/>
      <c r="J169" s="607" t="s">
        <v>2302</v>
      </c>
    </row>
    <row r="170" spans="2:14" s="607" customFormat="1" ht="15.75" customHeight="1">
      <c r="B170" s="617" t="str">
        <f t="shared" si="2"/>
        <v>Motorized only</v>
      </c>
      <c r="C170" s="601" t="s">
        <v>149</v>
      </c>
      <c r="D170" s="601" t="s">
        <v>707</v>
      </c>
      <c r="E170" s="602" t="s">
        <v>918</v>
      </c>
      <c r="F170" s="661" t="s">
        <v>2944</v>
      </c>
      <c r="G170" s="616"/>
      <c r="H170" s="655"/>
      <c r="J170" s="607" t="s">
        <v>2303</v>
      </c>
    </row>
    <row r="171" spans="2:14" s="607" customFormat="1" ht="15.75" customHeight="1">
      <c r="B171" s="617" t="str">
        <f t="shared" si="2"/>
        <v>No</v>
      </c>
      <c r="C171" s="601" t="s">
        <v>151</v>
      </c>
      <c r="D171" s="601" t="s">
        <v>708</v>
      </c>
      <c r="E171" s="602" t="s">
        <v>151</v>
      </c>
      <c r="F171" s="662" t="s">
        <v>2945</v>
      </c>
      <c r="G171" s="616"/>
      <c r="H171" s="655"/>
      <c r="J171" s="607" t="s">
        <v>2304</v>
      </c>
    </row>
    <row r="172" spans="2:14" s="607" customFormat="1" ht="15.75" customHeight="1">
      <c r="B172" s="617" t="str">
        <f t="shared" si="2"/>
        <v>Not present</v>
      </c>
      <c r="C172" s="601" t="s">
        <v>157</v>
      </c>
      <c r="D172" s="601" t="s">
        <v>709</v>
      </c>
      <c r="E172" s="602" t="s">
        <v>919</v>
      </c>
      <c r="F172" s="661" t="s">
        <v>2946</v>
      </c>
      <c r="G172" s="616"/>
      <c r="H172" s="655"/>
      <c r="J172" s="607" t="s">
        <v>2305</v>
      </c>
    </row>
    <row r="173" spans="2:14" s="607" customFormat="1" ht="15.75" customHeight="1">
      <c r="B173" s="617" t="str">
        <f t="shared" si="2"/>
        <v>Note CIE Uo is the inverse of IES Uo; value should be IES method, greater than one</v>
      </c>
      <c r="C173" s="601" t="s">
        <v>315</v>
      </c>
      <c r="D173" s="601" t="s">
        <v>710</v>
      </c>
      <c r="E173" s="602" t="s">
        <v>920</v>
      </c>
      <c r="F173" s="661" t="s">
        <v>2947</v>
      </c>
      <c r="G173" s="616"/>
      <c r="H173" s="655"/>
    </row>
    <row r="174" spans="2:14" s="607" customFormat="1" ht="15.75" customHeight="1">
      <c r="B174" s="617" t="str">
        <f t="shared" si="2"/>
        <v>Options</v>
      </c>
      <c r="C174" s="601" t="s">
        <v>127</v>
      </c>
      <c r="D174" s="601" t="s">
        <v>127</v>
      </c>
      <c r="E174" s="602" t="s">
        <v>921</v>
      </c>
      <c r="F174" s="661" t="s">
        <v>2948</v>
      </c>
      <c r="G174" s="616"/>
      <c r="H174" s="655"/>
      <c r="J174" s="607" t="s">
        <v>2306</v>
      </c>
    </row>
    <row r="175" spans="2:14" s="607" customFormat="1" ht="15.75" customHeight="1">
      <c r="B175" s="617" t="str">
        <f t="shared" si="2"/>
        <v>Uniformity Ratio (Lavg/Lmin)</v>
      </c>
      <c r="C175" s="601" t="s">
        <v>1145</v>
      </c>
      <c r="D175" s="601" t="s">
        <v>1146</v>
      </c>
      <c r="E175" s="602" t="s">
        <v>1147</v>
      </c>
      <c r="F175" s="663" t="s">
        <v>2949</v>
      </c>
      <c r="G175" s="616"/>
      <c r="H175" s="655"/>
      <c r="J175" s="607" t="s">
        <v>2307</v>
      </c>
      <c r="L175" s="607" t="s">
        <v>2308</v>
      </c>
    </row>
    <row r="176" spans="2:14" s="607" customFormat="1" ht="15.75" customHeight="1">
      <c r="B176" s="617" t="str">
        <f t="shared" si="2"/>
        <v>Uniformity Ratio (Lmax/Lmin)</v>
      </c>
      <c r="C176" s="601" t="s">
        <v>1191</v>
      </c>
      <c r="D176" s="601" t="s">
        <v>1192</v>
      </c>
      <c r="E176" s="602" t="s">
        <v>1565</v>
      </c>
      <c r="F176" s="663" t="s">
        <v>2950</v>
      </c>
      <c r="G176" s="616"/>
      <c r="H176" s="655"/>
      <c r="J176" s="607" t="s">
        <v>2309</v>
      </c>
      <c r="L176" s="607" t="s">
        <v>2310</v>
      </c>
    </row>
    <row r="177" spans="2:13" s="607" customFormat="1" ht="15.75" customHeight="1">
      <c r="B177" s="617" t="str">
        <f t="shared" si="2"/>
        <v>Parameter</v>
      </c>
      <c r="C177" s="601" t="s">
        <v>126</v>
      </c>
      <c r="D177" s="601" t="s">
        <v>711</v>
      </c>
      <c r="E177" s="602" t="s">
        <v>922</v>
      </c>
      <c r="F177" s="661" t="s">
        <v>2951</v>
      </c>
      <c r="G177" s="616"/>
      <c r="H177" s="655"/>
      <c r="J177" s="607" t="s">
        <v>2311</v>
      </c>
    </row>
    <row r="178" spans="2:13" s="607" customFormat="1" ht="15.75" customHeight="1">
      <c r="B178" s="617" t="str">
        <f t="shared" si="2"/>
        <v>Parked Vehicles</v>
      </c>
      <c r="C178" s="601" t="s">
        <v>155</v>
      </c>
      <c r="D178" s="601" t="s">
        <v>712</v>
      </c>
      <c r="E178" s="602" t="s">
        <v>923</v>
      </c>
      <c r="F178" s="663" t="s">
        <v>2952</v>
      </c>
      <c r="G178" s="616"/>
      <c r="H178" s="655"/>
      <c r="J178" s="607" t="s">
        <v>2312</v>
      </c>
    </row>
    <row r="179" spans="2:13" s="607" customFormat="1" ht="15.75" customHeight="1">
      <c r="B179" s="617" t="str">
        <f t="shared" si="2"/>
        <v>Pavement Classification
(Minimum Maintained Average Values)</v>
      </c>
      <c r="C179" s="601" t="s">
        <v>360</v>
      </c>
      <c r="D179" s="601" t="s">
        <v>713</v>
      </c>
      <c r="E179" s="602" t="s">
        <v>1566</v>
      </c>
      <c r="F179" s="662" t="s">
        <v>2953</v>
      </c>
      <c r="G179" s="616"/>
      <c r="H179" s="655"/>
      <c r="J179" s="607" t="s">
        <v>2313</v>
      </c>
    </row>
    <row r="180" spans="2:13" s="607" customFormat="1" ht="15.75" customHeight="1">
      <c r="B180" s="617" t="str">
        <f t="shared" si="2"/>
        <v>Pedestrian Conflict Areas</v>
      </c>
      <c r="C180" s="601" t="s">
        <v>131</v>
      </c>
      <c r="D180" s="601" t="s">
        <v>714</v>
      </c>
      <c r="E180" s="602" t="s">
        <v>924</v>
      </c>
      <c r="F180" s="661" t="s">
        <v>2954</v>
      </c>
      <c r="G180" s="616"/>
      <c r="H180" s="655"/>
      <c r="J180" s="607" t="s">
        <v>2314</v>
      </c>
      <c r="L180" s="607" t="s">
        <v>2315</v>
      </c>
    </row>
    <row r="181" spans="2:13" s="607" customFormat="1" ht="15.75" customHeight="1">
      <c r="B181" s="617" t="str">
        <f t="shared" si="2"/>
        <v>Poor</v>
      </c>
      <c r="C181" s="601" t="s">
        <v>160</v>
      </c>
      <c r="D181" s="601" t="s">
        <v>701</v>
      </c>
      <c r="E181" s="602" t="s">
        <v>925</v>
      </c>
      <c r="F181" s="661" t="s">
        <v>2955</v>
      </c>
      <c r="G181" s="616"/>
      <c r="H181" s="655"/>
      <c r="J181" s="607" t="s">
        <v>2316</v>
      </c>
    </row>
    <row r="182" spans="2:13" s="607" customFormat="1" ht="15.75" customHeight="1">
      <c r="B182" s="617" t="str">
        <f t="shared" si="2"/>
        <v>Present</v>
      </c>
      <c r="C182" s="601" t="s">
        <v>156</v>
      </c>
      <c r="D182" s="601" t="s">
        <v>715</v>
      </c>
      <c r="E182" s="602" t="s">
        <v>926</v>
      </c>
      <c r="F182" s="661" t="s">
        <v>2956</v>
      </c>
      <c r="G182" s="616"/>
      <c r="H182" s="655"/>
      <c r="J182" s="607" t="s">
        <v>2317</v>
      </c>
    </row>
    <row r="183" spans="2:13" s="607" customFormat="1" ht="15.75" customHeight="1">
      <c r="B183" s="617" t="str">
        <f t="shared" si="2"/>
        <v>Road</v>
      </c>
      <c r="C183" s="601" t="s">
        <v>130</v>
      </c>
      <c r="D183" s="601" t="s">
        <v>716</v>
      </c>
      <c r="E183" s="602" t="s">
        <v>1567</v>
      </c>
      <c r="F183" s="661" t="s">
        <v>2957</v>
      </c>
      <c r="G183" s="616"/>
      <c r="H183" s="655"/>
      <c r="J183" s="607" t="s">
        <v>2318</v>
      </c>
      <c r="L183" s="607" t="s">
        <v>2319</v>
      </c>
    </row>
    <row r="184" spans="2:13" s="607" customFormat="1" ht="15.75" customHeight="1">
      <c r="B184" s="617" t="str">
        <f t="shared" si="2"/>
        <v>Road and Pedestrian Conflict Area</v>
      </c>
      <c r="C184" s="601" t="s">
        <v>125</v>
      </c>
      <c r="D184" s="601" t="s">
        <v>717</v>
      </c>
      <c r="E184" s="602" t="s">
        <v>927</v>
      </c>
      <c r="F184" s="661" t="s">
        <v>2958</v>
      </c>
      <c r="G184" s="616"/>
      <c r="H184" s="655"/>
      <c r="J184" s="607" t="s">
        <v>2320</v>
      </c>
      <c r="L184" s="607" t="s">
        <v>2321</v>
      </c>
    </row>
    <row r="185" spans="2:13" s="607" customFormat="1" ht="15.75" customHeight="1">
      <c r="B185" s="617" t="str">
        <f t="shared" si="2"/>
        <v>Road Surface</v>
      </c>
      <c r="C185" s="601" t="s">
        <v>164</v>
      </c>
      <c r="D185" s="601" t="s">
        <v>718</v>
      </c>
      <c r="E185" s="602" t="s">
        <v>928</v>
      </c>
      <c r="F185" s="661" t="s">
        <v>2959</v>
      </c>
      <c r="G185" s="616"/>
      <c r="H185" s="655"/>
      <c r="J185" s="607" t="s">
        <v>2322</v>
      </c>
    </row>
    <row r="186" spans="2:13" s="607" customFormat="1" ht="15.75" customHeight="1">
      <c r="B186" s="617" t="str">
        <f t="shared" si="2"/>
        <v>Road Surface Type</v>
      </c>
      <c r="C186" s="601" t="s">
        <v>200</v>
      </c>
      <c r="D186" s="601" t="s">
        <v>719</v>
      </c>
      <c r="E186" s="602" t="s">
        <v>929</v>
      </c>
      <c r="F186" s="661" t="s">
        <v>2960</v>
      </c>
      <c r="G186" s="616"/>
      <c r="H186" s="655"/>
      <c r="J186" s="607" t="s">
        <v>2323</v>
      </c>
      <c r="L186" s="607" t="s">
        <v>2324</v>
      </c>
      <c r="M186" s="607" t="s">
        <v>2325</v>
      </c>
    </row>
    <row r="187" spans="2:13" s="607" customFormat="1" ht="15.75" customHeight="1">
      <c r="B187" s="617" t="str">
        <f t="shared" si="2"/>
        <v xml:space="preserve">Separation of carriageways
</v>
      </c>
      <c r="C187" s="601" t="s">
        <v>150</v>
      </c>
      <c r="D187" s="601" t="s">
        <v>720</v>
      </c>
      <c r="E187" s="602" t="s">
        <v>930</v>
      </c>
      <c r="F187" s="661" t="s">
        <v>2961</v>
      </c>
      <c r="G187" s="616"/>
      <c r="H187" s="655"/>
      <c r="J187" s="607" t="s">
        <v>2326</v>
      </c>
    </row>
    <row r="188" spans="2:13" s="607" customFormat="1" ht="15.75" customHeight="1">
      <c r="B188" s="617" t="str">
        <f t="shared" si="2"/>
        <v>Speed</v>
      </c>
      <c r="C188" s="601" t="s">
        <v>132</v>
      </c>
      <c r="D188" s="601" t="s">
        <v>721</v>
      </c>
      <c r="E188" s="602" t="s">
        <v>931</v>
      </c>
      <c r="F188" s="662" t="s">
        <v>2962</v>
      </c>
      <c r="G188" s="616"/>
      <c r="H188" s="655"/>
      <c r="J188" s="607" t="s">
        <v>2327</v>
      </c>
    </row>
    <row r="189" spans="2:13" s="607" customFormat="1" ht="15.75" customHeight="1">
      <c r="B189" s="617" t="str">
        <f t="shared" si="2"/>
        <v>Standard Surface</v>
      </c>
      <c r="C189" s="601" t="s">
        <v>202</v>
      </c>
      <c r="D189" s="601" t="s">
        <v>722</v>
      </c>
      <c r="E189" s="602" t="s">
        <v>932</v>
      </c>
      <c r="F189" s="661" t="s">
        <v>2963</v>
      </c>
      <c r="G189" s="616"/>
      <c r="H189" s="655"/>
      <c r="J189" s="607" t="s">
        <v>2328</v>
      </c>
    </row>
    <row r="190" spans="2:13" s="607" customFormat="1" ht="15.75" customHeight="1">
      <c r="B190" s="617" t="str">
        <f t="shared" si="2"/>
        <v>Surround ratio</v>
      </c>
      <c r="C190" s="601" t="s">
        <v>166</v>
      </c>
      <c r="D190" s="601" t="s">
        <v>723</v>
      </c>
      <c r="E190" s="602" t="s">
        <v>933</v>
      </c>
      <c r="F190" s="661" t="s">
        <v>2964</v>
      </c>
      <c r="G190" s="616"/>
      <c r="H190" s="655"/>
      <c r="J190" s="607" t="s">
        <v>2329</v>
      </c>
    </row>
    <row r="191" spans="2:13" s="607" customFormat="1" ht="15.75" customHeight="1">
      <c r="B191" s="617" t="str">
        <f t="shared" si="2"/>
        <v>Table 1: IESNA Illuminance Method - Recommended Values</v>
      </c>
      <c r="C191" s="601" t="s">
        <v>123</v>
      </c>
      <c r="D191" s="601" t="s">
        <v>724</v>
      </c>
      <c r="E191" s="602" t="s">
        <v>934</v>
      </c>
      <c r="F191" s="661" t="s">
        <v>2965</v>
      </c>
      <c r="G191" s="616"/>
      <c r="H191" s="655"/>
      <c r="J191" s="607" t="s">
        <v>2330</v>
      </c>
    </row>
    <row r="192" spans="2:13" s="607" customFormat="1" ht="15.75" customHeight="1">
      <c r="B192" s="617" t="str">
        <f t="shared" si="2"/>
        <v>Table 2: CIE Parameters for the Selection of M Lighting Class</v>
      </c>
      <c r="C192" s="601" t="s">
        <v>124</v>
      </c>
      <c r="D192" s="601" t="s">
        <v>725</v>
      </c>
      <c r="E192" s="602" t="s">
        <v>935</v>
      </c>
      <c r="F192" s="661" t="s">
        <v>2966</v>
      </c>
      <c r="G192" s="616"/>
      <c r="H192" s="655"/>
      <c r="J192" s="607" t="s">
        <v>2331</v>
      </c>
    </row>
    <row r="193" spans="2:14" s="607" customFormat="1" ht="15.75" customHeight="1">
      <c r="B193" s="617" t="str">
        <f t="shared" si="2"/>
        <v>Table 3: CIE Lighting classes for motorized traffic</v>
      </c>
      <c r="C193" s="601" t="s">
        <v>162</v>
      </c>
      <c r="D193" s="601" t="s">
        <v>726</v>
      </c>
      <c r="E193" s="602" t="s">
        <v>936</v>
      </c>
      <c r="F193" s="661" t="s">
        <v>2967</v>
      </c>
      <c r="G193" s="616"/>
      <c r="H193" s="655"/>
      <c r="J193" s="607" t="s">
        <v>2332</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2968</v>
      </c>
      <c r="G194" s="616"/>
      <c r="H194" s="655"/>
      <c r="J194" s="607" t="s">
        <v>2333</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2969</v>
      </c>
      <c r="G195" s="616"/>
      <c r="H195" s="655"/>
      <c r="J195" s="607" t="s">
        <v>2334</v>
      </c>
    </row>
    <row r="196" spans="2:14" s="607" customFormat="1" ht="15.75" customHeight="1">
      <c r="B196" s="617" t="str">
        <f t="shared" si="2"/>
        <v>Threshold increment</v>
      </c>
      <c r="C196" s="601" t="s">
        <v>165</v>
      </c>
      <c r="D196" s="601" t="s">
        <v>729</v>
      </c>
      <c r="E196" s="602" t="s">
        <v>939</v>
      </c>
      <c r="F196" s="661" t="s">
        <v>2970</v>
      </c>
      <c r="G196" s="616"/>
      <c r="H196" s="655"/>
      <c r="J196" s="607" t="s">
        <v>2335</v>
      </c>
    </row>
    <row r="197" spans="2:14" s="607" customFormat="1" ht="15.75" customHeight="1">
      <c r="B197" s="617" t="str">
        <f t="shared" si="2"/>
        <v>Traffic Composition</v>
      </c>
      <c r="C197" s="601" t="s">
        <v>145</v>
      </c>
      <c r="D197" s="601" t="s">
        <v>730</v>
      </c>
      <c r="E197" s="602" t="s">
        <v>940</v>
      </c>
      <c r="F197" s="661" t="s">
        <v>2971</v>
      </c>
      <c r="G197" s="616"/>
      <c r="H197" s="655"/>
      <c r="J197" s="607" t="s">
        <v>2336</v>
      </c>
    </row>
    <row r="198" spans="2:14" s="607" customFormat="1" ht="15.75" customHeight="1">
      <c r="B198" s="617" t="str">
        <f t="shared" si="2"/>
        <v>Traffic Volume</v>
      </c>
      <c r="C198" s="601" t="s">
        <v>138</v>
      </c>
      <c r="D198" s="601" t="s">
        <v>731</v>
      </c>
      <c r="E198" s="602" t="s">
        <v>941</v>
      </c>
      <c r="F198" s="661" t="s">
        <v>2972</v>
      </c>
      <c r="G198" s="616"/>
      <c r="H198" s="655"/>
      <c r="J198" s="607" t="s">
        <v>2337</v>
      </c>
    </row>
    <row r="199" spans="2:14" s="607" customFormat="1" ht="15.75" customHeight="1">
      <c r="B199" s="617" t="str">
        <f t="shared" si="2"/>
        <v>Uniformity Ratio Eavg/Emin</v>
      </c>
      <c r="C199" s="601" t="s">
        <v>361</v>
      </c>
      <c r="D199" s="601" t="s">
        <v>732</v>
      </c>
      <c r="E199" s="602" t="s">
        <v>942</v>
      </c>
      <c r="F199" s="663" t="s">
        <v>2973</v>
      </c>
      <c r="G199" s="616"/>
      <c r="H199" s="655"/>
      <c r="J199" s="607" t="s">
        <v>2338</v>
      </c>
    </row>
    <row r="200" spans="2:14" s="607" customFormat="1" ht="15.75" customHeight="1">
      <c r="B200" s="617" t="str">
        <f t="shared" si="2"/>
        <v>unitless</v>
      </c>
      <c r="C200" s="601" t="s">
        <v>183</v>
      </c>
      <c r="D200" s="601" t="s">
        <v>733</v>
      </c>
      <c r="E200" s="602" t="s">
        <v>943</v>
      </c>
      <c r="F200" s="661" t="s">
        <v>2974</v>
      </c>
      <c r="G200" s="616"/>
      <c r="H200" s="655"/>
      <c r="J200" s="607" t="s">
        <v>2339</v>
      </c>
      <c r="L200" s="607" t="s">
        <v>2340</v>
      </c>
      <c r="M200" s="607" t="s">
        <v>2341</v>
      </c>
      <c r="N200" s="607" t="s">
        <v>2342</v>
      </c>
    </row>
    <row r="201" spans="2:14" s="607" customFormat="1" ht="15.75" customHeight="1">
      <c r="B201" s="617" t="str">
        <f t="shared" si="2"/>
        <v>Veiling Luminance Ratio                   Lvmax/Lavg</v>
      </c>
      <c r="C201" s="601" t="s">
        <v>362</v>
      </c>
      <c r="D201" s="601" t="s">
        <v>734</v>
      </c>
      <c r="E201" s="602" t="s">
        <v>1568</v>
      </c>
      <c r="F201" s="663" t="s">
        <v>2975</v>
      </c>
      <c r="G201" s="616"/>
      <c r="H201" s="655"/>
      <c r="J201" s="607" t="s">
        <v>2343</v>
      </c>
    </row>
    <row r="202" spans="2:14" s="607" customFormat="1" ht="15.75" customHeight="1">
      <c r="B202" s="617" t="str">
        <f t="shared" si="2"/>
        <v>Very High</v>
      </c>
      <c r="C202" s="601" t="s">
        <v>133</v>
      </c>
      <c r="D202" s="601" t="s">
        <v>735</v>
      </c>
      <c r="E202" s="602" t="s">
        <v>944</v>
      </c>
      <c r="F202" s="661" t="s">
        <v>2976</v>
      </c>
      <c r="G202" s="616"/>
      <c r="H202" s="655"/>
      <c r="J202" s="607" t="s">
        <v>2344</v>
      </c>
    </row>
    <row r="203" spans="2:14" s="607" customFormat="1" ht="15.75" customHeight="1">
      <c r="B203" s="617" t="str">
        <f t="shared" si="2"/>
        <v>Very Low</v>
      </c>
      <c r="C203" s="601" t="s">
        <v>144</v>
      </c>
      <c r="D203" s="601" t="s">
        <v>736</v>
      </c>
      <c r="E203" s="602" t="s">
        <v>945</v>
      </c>
      <c r="F203" s="661" t="s">
        <v>2977</v>
      </c>
      <c r="G203" s="616"/>
      <c r="H203" s="655"/>
      <c r="J203" s="607" t="s">
        <v>2345</v>
      </c>
    </row>
    <row r="204" spans="2:14" s="607" customFormat="1" ht="15.75" customHeight="1">
      <c r="B204" s="617" t="str">
        <f t="shared" ref="B204:B267" si="3">INDEX(C204:G204,MATCH($B$11,$C$11:$G$11,0))</f>
        <v>View Description of a Standard Below:</v>
      </c>
      <c r="C204" s="601" t="s">
        <v>216</v>
      </c>
      <c r="D204" s="601" t="s">
        <v>737</v>
      </c>
      <c r="E204" s="602" t="s">
        <v>946</v>
      </c>
      <c r="F204" s="661" t="s">
        <v>2978</v>
      </c>
      <c r="G204" s="616"/>
      <c r="H204" s="655"/>
      <c r="J204" s="607" t="s">
        <v>2346</v>
      </c>
    </row>
    <row r="205" spans="2:14" s="607" customFormat="1" ht="15.75" customHeight="1">
      <c r="B205" s="617" t="str">
        <f t="shared" si="3"/>
        <v>Visual guidance/ traffic control</v>
      </c>
      <c r="C205" s="601" t="s">
        <v>159</v>
      </c>
      <c r="D205" s="601" t="s">
        <v>738</v>
      </c>
      <c r="E205" s="602" t="s">
        <v>947</v>
      </c>
      <c r="F205" s="661" t="s">
        <v>2979</v>
      </c>
      <c r="G205" s="616"/>
      <c r="H205" s="655"/>
      <c r="J205" s="607" t="s">
        <v>2347</v>
      </c>
    </row>
    <row r="206" spans="2:14" s="607" customFormat="1" ht="15.75" customHeight="1">
      <c r="B206" s="617" t="str">
        <f t="shared" si="3"/>
        <v>Vw Selected</v>
      </c>
      <c r="C206" s="601" t="s">
        <v>129</v>
      </c>
      <c r="D206" s="601" t="s">
        <v>739</v>
      </c>
      <c r="E206" s="602" t="s">
        <v>948</v>
      </c>
      <c r="F206" s="661" t="s">
        <v>2980</v>
      </c>
      <c r="G206" s="616"/>
      <c r="H206" s="655"/>
      <c r="J206" s="607" t="s">
        <v>2348</v>
      </c>
    </row>
    <row r="207" spans="2:14" s="607" customFormat="1" ht="15.75" customHeight="1">
      <c r="B207" s="617" t="str">
        <f t="shared" si="3"/>
        <v>Weighting Value Vw</v>
      </c>
      <c r="C207" s="601" t="s">
        <v>128</v>
      </c>
      <c r="D207" s="601" t="s">
        <v>740</v>
      </c>
      <c r="E207" s="602" t="s">
        <v>949</v>
      </c>
      <c r="F207" s="661" t="s">
        <v>2981</v>
      </c>
      <c r="G207" s="616"/>
      <c r="H207" s="655"/>
      <c r="J207" s="607" t="s">
        <v>2349</v>
      </c>
    </row>
    <row r="208" spans="2:14" s="607" customFormat="1" ht="15.75" customHeight="1">
      <c r="B208" s="617" t="str">
        <f t="shared" si="3"/>
        <v>Wet*</v>
      </c>
      <c r="C208" s="601" t="s">
        <v>168</v>
      </c>
      <c r="D208" s="601" t="s">
        <v>741</v>
      </c>
      <c r="E208" s="602" t="s">
        <v>950</v>
      </c>
      <c r="F208" s="661" t="s">
        <v>2982</v>
      </c>
      <c r="G208" s="616"/>
      <c r="H208" s="655"/>
      <c r="J208" s="607" t="s">
        <v>2350</v>
      </c>
    </row>
    <row r="209" spans="2:16" s="607" customFormat="1" ht="15.75" customHeight="1">
      <c r="B209" s="617" t="str">
        <f t="shared" si="3"/>
        <v>Yes</v>
      </c>
      <c r="C209" s="601" t="s">
        <v>152</v>
      </c>
      <c r="D209" s="601" t="s">
        <v>742</v>
      </c>
      <c r="E209" s="602" t="s">
        <v>951</v>
      </c>
      <c r="F209" s="662" t="s">
        <v>2983</v>
      </c>
      <c r="G209" s="616"/>
      <c r="H209" s="655"/>
      <c r="J209" s="607" t="s">
        <v>2351</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1926</v>
      </c>
      <c r="D210" s="601" t="s">
        <v>1899</v>
      </c>
      <c r="E210" s="602" t="s">
        <v>1927</v>
      </c>
      <c r="F210" s="662" t="s">
        <v>2984</v>
      </c>
      <c r="G210" s="616"/>
      <c r="H210" s="655"/>
      <c r="J210" s="607" t="s">
        <v>2352</v>
      </c>
    </row>
    <row r="211" spans="2:16" s="607" customFormat="1" ht="15.75" customHeight="1">
      <c r="B211" s="617" t="str">
        <f t="shared" si="3"/>
        <v xml:space="preserve">Design Criteria  Illuminance </v>
      </c>
      <c r="C211" s="601" t="s">
        <v>345</v>
      </c>
      <c r="D211" s="601" t="s">
        <v>743</v>
      </c>
      <c r="E211" s="602" t="s">
        <v>952</v>
      </c>
      <c r="F211" s="662" t="s">
        <v>2985</v>
      </c>
      <c r="G211" s="616"/>
      <c r="H211" s="655"/>
      <c r="J211" s="607" t="s">
        <v>2353</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1928</v>
      </c>
      <c r="D212" s="601" t="s">
        <v>744</v>
      </c>
      <c r="E212" s="602" t="s">
        <v>1929</v>
      </c>
      <c r="F212" s="661" t="s">
        <v>2986</v>
      </c>
      <c r="G212" s="616"/>
      <c r="H212" s="655"/>
      <c r="J212" s="607" t="s">
        <v>2354</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1946</v>
      </c>
      <c r="D213" s="601" t="s">
        <v>745</v>
      </c>
      <c r="E213" s="602" t="s">
        <v>1930</v>
      </c>
      <c r="F213" s="661" t="s">
        <v>2987</v>
      </c>
      <c r="G213" s="616"/>
      <c r="H213" s="655"/>
      <c r="J213" s="607" t="s">
        <v>2355</v>
      </c>
    </row>
    <row r="214" spans="2:16" s="607" customFormat="1" ht="15.75" customHeight="1">
      <c r="B214" s="617" t="str">
        <f t="shared" si="3"/>
        <v>CIE Classification Definitions</v>
      </c>
      <c r="C214" s="601" t="s">
        <v>493</v>
      </c>
      <c r="D214" s="601" t="s">
        <v>746</v>
      </c>
      <c r="E214" s="602" t="s">
        <v>953</v>
      </c>
      <c r="F214" s="661" t="s">
        <v>2988</v>
      </c>
      <c r="G214" s="616"/>
      <c r="H214" s="655"/>
      <c r="J214" s="607" t="s">
        <v>2356</v>
      </c>
      <c r="K214" s="601"/>
      <c r="L214" s="601"/>
      <c r="M214" s="601"/>
      <c r="N214" s="601"/>
      <c r="O214" s="601"/>
      <c r="P214" s="601"/>
    </row>
    <row r="215" spans="2:16" s="607" customFormat="1" ht="15.75" customHeight="1">
      <c r="B215" s="617" t="str">
        <f t="shared" si="3"/>
        <v>Average Luminance of the Road Surface (Lav)</v>
      </c>
      <c r="C215" s="601" t="s">
        <v>1947</v>
      </c>
      <c r="D215" s="601" t="s">
        <v>747</v>
      </c>
      <c r="E215" s="601" t="s">
        <v>1948</v>
      </c>
      <c r="F215" s="661" t="s">
        <v>2989</v>
      </c>
      <c r="G215" s="616"/>
      <c r="H215" s="655"/>
      <c r="J215" s="607" t="s">
        <v>2357</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1949</v>
      </c>
      <c r="D216" s="601" t="s">
        <v>748</v>
      </c>
      <c r="E216" s="602" t="s">
        <v>1950</v>
      </c>
      <c r="F216" s="661" t="s">
        <v>2990</v>
      </c>
      <c r="G216" s="616"/>
      <c r="H216" s="655"/>
      <c r="J216" s="607" t="s">
        <v>2358</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1931</v>
      </c>
      <c r="F217" s="661" t="s">
        <v>2991</v>
      </c>
      <c r="G217" s="616"/>
      <c r="H217" s="655"/>
      <c r="J217" s="607" t="s">
        <v>2359</v>
      </c>
      <c r="K217" s="601"/>
      <c r="L217" s="601"/>
      <c r="M217" s="601"/>
      <c r="N217" s="601"/>
      <c r="O217" s="601"/>
      <c r="P217" s="601"/>
    </row>
    <row r="218" spans="2:16" s="607" customFormat="1" ht="15.75" customHeight="1">
      <c r="B218" s="617" t="str">
        <f t="shared" si="3"/>
        <v xml:space="preserve">Overall uniformity of Road Luminance (U0) </v>
      </c>
      <c r="C218" s="601" t="s">
        <v>1951</v>
      </c>
      <c r="D218" s="601" t="s">
        <v>750</v>
      </c>
      <c r="E218" s="601" t="s">
        <v>1952</v>
      </c>
      <c r="F218" s="661" t="s">
        <v>2992</v>
      </c>
      <c r="G218" s="616"/>
      <c r="H218" s="655"/>
      <c r="J218" s="607" t="s">
        <v>2360</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1953</v>
      </c>
      <c r="D219" s="601" t="s">
        <v>751</v>
      </c>
      <c r="E219" s="601" t="s">
        <v>1954</v>
      </c>
      <c r="F219" s="663" t="s">
        <v>2993</v>
      </c>
      <c r="G219" s="616"/>
      <c r="H219" s="655"/>
      <c r="J219" s="607" t="s">
        <v>2361</v>
      </c>
      <c r="K219" s="601"/>
      <c r="L219" s="601"/>
      <c r="M219" s="601"/>
      <c r="N219" s="601"/>
      <c r="O219" s="601"/>
      <c r="P219" s="601"/>
    </row>
    <row r="220" spans="2:16" s="607" customFormat="1" ht="15.75" customHeight="1">
      <c r="B220" s="617" t="str">
        <f t="shared" si="3"/>
        <v xml:space="preserve">Longitudinal Uniformity of Road Surface Luminance (Ul): </v>
      </c>
      <c r="C220" s="601" t="s">
        <v>1955</v>
      </c>
      <c r="D220" s="601" t="s">
        <v>752</v>
      </c>
      <c r="E220" s="601" t="s">
        <v>1956</v>
      </c>
      <c r="F220" s="661" t="s">
        <v>2994</v>
      </c>
      <c r="G220" s="616"/>
      <c r="H220" s="655"/>
      <c r="J220" s="607" t="s">
        <v>2362</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1957</v>
      </c>
      <c r="D221" s="601" t="s">
        <v>753</v>
      </c>
      <c r="E221" s="601" t="s">
        <v>1958</v>
      </c>
      <c r="F221" s="663" t="s">
        <v>2995</v>
      </c>
      <c r="G221" s="616"/>
      <c r="H221" s="655"/>
      <c r="J221" s="607" t="s">
        <v>2363</v>
      </c>
      <c r="K221" s="601"/>
      <c r="L221" s="601"/>
      <c r="M221" s="601"/>
      <c r="N221" s="601"/>
      <c r="O221" s="601"/>
      <c r="P221" s="601"/>
    </row>
    <row r="222" spans="2:16" s="607" customFormat="1" ht="15.75" customHeight="1">
      <c r="B222" s="617" t="str">
        <f t="shared" si="3"/>
        <v>Threshold Increment TI (fTI)</v>
      </c>
      <c r="C222" s="601" t="s">
        <v>1959</v>
      </c>
      <c r="D222" s="601" t="s">
        <v>754</v>
      </c>
      <c r="E222" s="601" t="s">
        <v>1960</v>
      </c>
      <c r="F222" s="661" t="s">
        <v>2996</v>
      </c>
      <c r="G222" s="616"/>
      <c r="H222" s="655"/>
      <c r="J222" s="607" t="s">
        <v>2364</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2997</v>
      </c>
      <c r="G223" s="616"/>
      <c r="H223" s="655"/>
      <c r="J223" s="607" t="s">
        <v>2365</v>
      </c>
      <c r="K223" s="601"/>
      <c r="L223" s="601"/>
      <c r="M223" s="601"/>
      <c r="N223" s="601"/>
      <c r="O223" s="601"/>
      <c r="P223" s="601"/>
    </row>
    <row r="224" spans="2:16" s="607" customFormat="1" ht="15.75" customHeight="1">
      <c r="B224" s="617" t="str">
        <f t="shared" si="3"/>
        <v>Surround Ratio SR (Rs)</v>
      </c>
      <c r="C224" s="601" t="s">
        <v>1961</v>
      </c>
      <c r="D224" s="601" t="s">
        <v>756</v>
      </c>
      <c r="E224" s="601" t="s">
        <v>1962</v>
      </c>
      <c r="F224" s="661" t="s">
        <v>2998</v>
      </c>
      <c r="G224" s="616"/>
      <c r="H224" s="655"/>
      <c r="J224" s="607" t="s">
        <v>2366</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2999</v>
      </c>
      <c r="G225" s="616"/>
      <c r="H225" s="655"/>
      <c r="J225" s="607" t="s">
        <v>2367</v>
      </c>
    </row>
    <row r="226" spans="2:14" s="607" customFormat="1" ht="15.75" customHeight="1">
      <c r="B226" s="617" t="str">
        <f t="shared" si="3"/>
        <v>Surround ratio is defined in CIE 140-2000.</v>
      </c>
      <c r="C226" s="601" t="s">
        <v>497</v>
      </c>
      <c r="D226" s="601" t="s">
        <v>758</v>
      </c>
      <c r="E226" s="602" t="s">
        <v>1571</v>
      </c>
      <c r="F226" s="663" t="s">
        <v>3000</v>
      </c>
      <c r="G226" s="616"/>
      <c r="H226" s="655"/>
      <c r="J226" s="607" t="s">
        <v>2368</v>
      </c>
    </row>
    <row r="227" spans="2:14" s="607" customFormat="1" ht="15.75" customHeight="1">
      <c r="B227" s="617" t="str">
        <f t="shared" si="3"/>
        <v>Fixtures</v>
      </c>
      <c r="C227" s="601" t="s">
        <v>38</v>
      </c>
      <c r="D227" s="601" t="s">
        <v>759</v>
      </c>
      <c r="E227" s="601" t="s">
        <v>1572</v>
      </c>
      <c r="F227" s="663" t="s">
        <v>3001</v>
      </c>
      <c r="G227" s="616"/>
      <c r="H227" s="655"/>
      <c r="J227" s="607" t="s">
        <v>2369</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1881</v>
      </c>
      <c r="E228" s="601" t="s">
        <v>1573</v>
      </c>
      <c r="F228" s="661" t="s">
        <v>3322</v>
      </c>
      <c r="G228" s="616"/>
      <c r="H228" s="655"/>
      <c r="J228" s="607" t="s">
        <v>2370</v>
      </c>
    </row>
    <row r="229" spans="2:14" s="607" customFormat="1" ht="15.75" customHeight="1">
      <c r="B229" s="617" t="str">
        <f t="shared" si="3"/>
        <v>Comments</v>
      </c>
      <c r="C229" s="601" t="s">
        <v>70</v>
      </c>
      <c r="D229" s="601" t="s">
        <v>760</v>
      </c>
      <c r="E229" s="602" t="s">
        <v>954</v>
      </c>
      <c r="F229" s="661" t="s">
        <v>3002</v>
      </c>
      <c r="G229" s="616"/>
      <c r="H229" s="655"/>
      <c r="J229" s="607" t="s">
        <v>2371</v>
      </c>
      <c r="L229" s="607" t="s">
        <v>2372</v>
      </c>
    </row>
    <row r="230" spans="2:14" s="607" customFormat="1" ht="15.75" customHeight="1">
      <c r="B230" s="617" t="str">
        <f t="shared" si="3"/>
        <v>Distribution Type</v>
      </c>
      <c r="C230" s="601" t="s">
        <v>71</v>
      </c>
      <c r="D230" s="601" t="s">
        <v>761</v>
      </c>
      <c r="E230" s="602" t="s">
        <v>955</v>
      </c>
      <c r="F230" s="661" t="s">
        <v>3003</v>
      </c>
      <c r="G230" s="616"/>
      <c r="H230" s="655"/>
      <c r="J230" s="607" t="s">
        <v>2373</v>
      </c>
      <c r="L230" s="607" t="s">
        <v>2374</v>
      </c>
    </row>
    <row r="231" spans="2:14" s="607" customFormat="1" ht="15.75" customHeight="1">
      <c r="B231" s="617" t="str">
        <f t="shared" si="3"/>
        <v>Fixture Data Row</v>
      </c>
      <c r="C231" s="601" t="s">
        <v>72</v>
      </c>
      <c r="D231" s="601" t="s">
        <v>762</v>
      </c>
      <c r="E231" s="602" t="s">
        <v>1574</v>
      </c>
      <c r="F231" s="661" t="s">
        <v>3004</v>
      </c>
      <c r="G231" s="616"/>
      <c r="H231" s="655"/>
      <c r="J231" s="607" t="s">
        <v>2375</v>
      </c>
    </row>
    <row r="232" spans="2:14" s="607" customFormat="1" ht="15.75" customHeight="1">
      <c r="B232" s="617" t="str">
        <f t="shared" si="3"/>
        <v>Include?</v>
      </c>
      <c r="C232" s="601" t="s">
        <v>1155</v>
      </c>
      <c r="D232" s="601" t="s">
        <v>1156</v>
      </c>
      <c r="E232" s="602" t="s">
        <v>1157</v>
      </c>
      <c r="F232" s="661" t="s">
        <v>3005</v>
      </c>
      <c r="G232" s="616"/>
      <c r="H232" s="655"/>
      <c r="J232" s="607" t="s">
        <v>2376</v>
      </c>
    </row>
    <row r="233" spans="2:14" s="607" customFormat="1" ht="15.75" customHeight="1">
      <c r="B233" s="617" t="str">
        <f t="shared" si="3"/>
        <v>Lamp Lumen Depreciation</v>
      </c>
      <c r="C233" s="601" t="s">
        <v>96</v>
      </c>
      <c r="D233" s="601" t="s">
        <v>763</v>
      </c>
      <c r="E233" s="602" t="s">
        <v>884</v>
      </c>
      <c r="F233" s="661" t="s">
        <v>3006</v>
      </c>
      <c r="G233" s="616"/>
      <c r="H233" s="655"/>
      <c r="J233" s="607" t="s">
        <v>2377</v>
      </c>
    </row>
    <row r="234" spans="2:14" s="607" customFormat="1" ht="15.75" customHeight="1">
      <c r="B234" s="617" t="str">
        <f t="shared" si="3"/>
        <v>Manufacturer</v>
      </c>
      <c r="C234" s="601" t="s">
        <v>68</v>
      </c>
      <c r="D234" s="601" t="s">
        <v>764</v>
      </c>
      <c r="E234" s="602" t="s">
        <v>956</v>
      </c>
      <c r="F234" s="661" t="s">
        <v>3007</v>
      </c>
      <c r="G234" s="616"/>
      <c r="H234" s="655"/>
      <c r="J234" s="607" t="s">
        <v>2378</v>
      </c>
      <c r="L234" s="607" t="s">
        <v>2379</v>
      </c>
    </row>
    <row r="235" spans="2:14" s="607" customFormat="1" ht="15.75" customHeight="1">
      <c r="B235" s="617" t="str">
        <f t="shared" si="3"/>
        <v>Model #</v>
      </c>
      <c r="C235" s="601" t="s">
        <v>69</v>
      </c>
      <c r="D235" s="601" t="s">
        <v>765</v>
      </c>
      <c r="E235" s="602" t="s">
        <v>957</v>
      </c>
      <c r="F235" s="661" t="s">
        <v>3008</v>
      </c>
      <c r="G235" s="616"/>
      <c r="H235" s="655"/>
      <c r="J235" s="607" t="s">
        <v>2380</v>
      </c>
      <c r="L235" s="607" t="s">
        <v>2381</v>
      </c>
    </row>
    <row r="236" spans="2:14" s="607" customFormat="1" ht="15.75" customHeight="1">
      <c r="B236" s="617" t="str">
        <f t="shared" si="3"/>
        <v>Defaults fixture prices are in dollars, but may be edited to match your currency</v>
      </c>
      <c r="C236" s="601" t="s">
        <v>549</v>
      </c>
      <c r="D236" s="601" t="s">
        <v>766</v>
      </c>
      <c r="E236" s="601" t="s">
        <v>1575</v>
      </c>
      <c r="F236" s="661" t="s">
        <v>3009</v>
      </c>
      <c r="G236" s="616"/>
      <c r="H236" s="655"/>
      <c r="J236" s="607" t="s">
        <v>2382</v>
      </c>
    </row>
    <row r="237" spans="2:14" s="607" customFormat="1" ht="15.75" customHeight="1">
      <c r="B237" s="617" t="str">
        <f t="shared" si="3"/>
        <v>Baseline</v>
      </c>
      <c r="C237" s="601" t="s">
        <v>22</v>
      </c>
      <c r="D237" s="601" t="s">
        <v>770</v>
      </c>
      <c r="E237" s="602" t="s">
        <v>962</v>
      </c>
      <c r="F237" s="661" t="s">
        <v>3010</v>
      </c>
      <c r="G237" s="616"/>
      <c r="H237" s="655"/>
      <c r="I237" s="607" t="s">
        <v>2383</v>
      </c>
      <c r="J237" s="607" t="s">
        <v>2384</v>
      </c>
      <c r="L237" s="607" t="s">
        <v>2385</v>
      </c>
    </row>
    <row r="238" spans="2:14" s="607" customFormat="1" ht="15.75" customHeight="1">
      <c r="B238" s="617" t="str">
        <f t="shared" si="3"/>
        <v>Average</v>
      </c>
      <c r="C238" s="601" t="s">
        <v>12</v>
      </c>
      <c r="D238" s="601" t="s">
        <v>767</v>
      </c>
      <c r="E238" s="602" t="s">
        <v>958</v>
      </c>
      <c r="F238" s="661" t="s">
        <v>3011</v>
      </c>
      <c r="G238" s="616"/>
      <c r="H238" s="655"/>
      <c r="J238" s="607" t="s">
        <v>2386</v>
      </c>
      <c r="L238" s="607" t="s">
        <v>2387</v>
      </c>
      <c r="M238" s="607" t="s">
        <v>2388</v>
      </c>
      <c r="N238" s="607" t="s">
        <v>2389</v>
      </c>
    </row>
    <row r="239" spans="2:14" s="607" customFormat="1" ht="15.75" customHeight="1">
      <c r="B239" s="617" t="str">
        <f t="shared" si="3"/>
        <v>Illuminance</v>
      </c>
      <c r="C239" s="601" t="s">
        <v>17</v>
      </c>
      <c r="D239" s="601" t="s">
        <v>768</v>
      </c>
      <c r="E239" s="602" t="s">
        <v>959</v>
      </c>
      <c r="F239" s="661" t="s">
        <v>3012</v>
      </c>
      <c r="G239" s="616"/>
      <c r="H239" s="655"/>
      <c r="J239" s="607" t="s">
        <v>2390</v>
      </c>
    </row>
    <row r="240" spans="2:14" s="607" customFormat="1" ht="15.75" customHeight="1">
      <c r="B240" s="617" t="str">
        <f t="shared" si="3"/>
        <v>Luminance</v>
      </c>
      <c r="C240" s="601" t="s">
        <v>199</v>
      </c>
      <c r="D240" s="601" t="s">
        <v>199</v>
      </c>
      <c r="E240" s="602" t="s">
        <v>960</v>
      </c>
      <c r="F240" s="661" t="s">
        <v>3013</v>
      </c>
      <c r="G240" s="616"/>
      <c r="H240" s="655"/>
      <c r="J240" s="607" t="s">
        <v>2391</v>
      </c>
    </row>
    <row r="241" spans="2:14" s="607" customFormat="1" ht="15.75" customHeight="1">
      <c r="B241" s="617" t="str">
        <f t="shared" si="3"/>
        <v>Uniformity</v>
      </c>
      <c r="C241" s="601" t="s">
        <v>52</v>
      </c>
      <c r="D241" s="601" t="s">
        <v>769</v>
      </c>
      <c r="E241" s="602" t="s">
        <v>961</v>
      </c>
      <c r="F241" s="661" t="s">
        <v>3014</v>
      </c>
      <c r="G241" s="616"/>
      <c r="H241" s="655"/>
      <c r="J241" s="607" t="s">
        <v>2392</v>
      </c>
      <c r="L241" s="607" t="s">
        <v>2393</v>
      </c>
      <c r="M241" s="607" t="s">
        <v>2394</v>
      </c>
    </row>
    <row r="242" spans="2:14" s="607" customFormat="1" ht="15.75" customHeight="1">
      <c r="B242" s="617" t="str">
        <f t="shared" si="3"/>
        <v>Baseline</v>
      </c>
      <c r="C242" s="601" t="s">
        <v>22</v>
      </c>
      <c r="D242" s="601" t="s">
        <v>770</v>
      </c>
      <c r="E242" s="602" t="s">
        <v>962</v>
      </c>
      <c r="F242" s="661" t="s">
        <v>3010</v>
      </c>
      <c r="G242" s="616"/>
      <c r="H242" s="655"/>
      <c r="J242" s="607" t="s">
        <v>2395</v>
      </c>
    </row>
    <row r="243" spans="2:14" s="607" customFormat="1" ht="15.75" customHeight="1">
      <c r="B243" s="617" t="str">
        <f t="shared" si="3"/>
        <v>RESULTS</v>
      </c>
      <c r="C243" s="601" t="s">
        <v>278</v>
      </c>
      <c r="D243" s="601" t="s">
        <v>771</v>
      </c>
      <c r="E243" s="602" t="s">
        <v>963</v>
      </c>
      <c r="F243" s="661" t="s">
        <v>3015</v>
      </c>
      <c r="G243" s="616"/>
      <c r="H243" s="655"/>
      <c r="I243" s="607" t="s">
        <v>2396</v>
      </c>
    </row>
    <row r="244" spans="2:14" s="607" customFormat="1" ht="15.75" customHeight="1">
      <c r="B244" s="617" t="str">
        <f t="shared" si="3"/>
        <v>$/kilometer/yr</v>
      </c>
      <c r="C244" s="601" t="s">
        <v>56</v>
      </c>
      <c r="D244" s="601" t="s">
        <v>772</v>
      </c>
      <c r="E244" s="601" t="s">
        <v>964</v>
      </c>
      <c r="F244" s="661" t="s">
        <v>3016</v>
      </c>
      <c r="G244" s="616"/>
      <c r="H244" s="655"/>
      <c r="J244" s="607" t="s">
        <v>2397</v>
      </c>
    </row>
    <row r="245" spans="2:14" s="607" customFormat="1" ht="15.75" customHeight="1">
      <c r="B245" s="617" t="str">
        <f t="shared" si="3"/>
        <v>Full NPV costs</v>
      </c>
      <c r="C245" s="601" t="s">
        <v>94</v>
      </c>
      <c r="D245" s="601" t="s">
        <v>773</v>
      </c>
      <c r="E245" s="602" t="s">
        <v>965</v>
      </c>
      <c r="F245" s="661" t="s">
        <v>3017</v>
      </c>
      <c r="G245" s="616"/>
      <c r="H245" s="655"/>
      <c r="J245" s="607" t="s">
        <v>2398</v>
      </c>
    </row>
    <row r="246" spans="2:14" s="607" customFormat="1" ht="15.75" customHeight="1">
      <c r="B246" s="617" t="str">
        <f t="shared" si="3"/>
        <v>Graph Data - Alignment</v>
      </c>
      <c r="C246" s="601" t="s">
        <v>64</v>
      </c>
      <c r="D246" s="601" t="s">
        <v>774</v>
      </c>
      <c r="E246" s="602" t="s">
        <v>966</v>
      </c>
      <c r="F246" s="661" t="s">
        <v>3018</v>
      </c>
      <c r="G246" s="616"/>
      <c r="H246" s="655"/>
      <c r="J246" s="607" t="s">
        <v>2399</v>
      </c>
    </row>
    <row r="247" spans="2:14" s="607" customFormat="1" ht="15.75" customHeight="1">
      <c r="B247" s="617" t="str">
        <f t="shared" si="3"/>
        <v>Installation $/km</v>
      </c>
      <c r="C247" s="601" t="s">
        <v>91</v>
      </c>
      <c r="D247" s="601" t="s">
        <v>775</v>
      </c>
      <c r="E247" s="601" t="s">
        <v>967</v>
      </c>
      <c r="F247" s="661" t="s">
        <v>3019</v>
      </c>
      <c r="G247" s="616"/>
      <c r="H247" s="655"/>
      <c r="J247" s="607" t="s">
        <v>2400</v>
      </c>
    </row>
    <row r="248" spans="2:14" s="607" customFormat="1" ht="15.75" customHeight="1">
      <c r="B248" s="617" t="str">
        <f t="shared" si="3"/>
        <v>kWh/kilometer/yr</v>
      </c>
      <c r="C248" s="601" t="s">
        <v>57</v>
      </c>
      <c r="D248" s="601" t="s">
        <v>776</v>
      </c>
      <c r="E248" s="601" t="s">
        <v>968</v>
      </c>
      <c r="F248" s="661" t="s">
        <v>3020</v>
      </c>
      <c r="G248" s="616"/>
      <c r="H248" s="655"/>
      <c r="J248" s="607" t="s">
        <v>2401</v>
      </c>
      <c r="L248" s="607" t="s">
        <v>2402</v>
      </c>
      <c r="M248" s="607" t="s">
        <v>2403</v>
      </c>
    </row>
    <row r="249" spans="2:14" s="607" customFormat="1" ht="15.75" customHeight="1">
      <c r="B249" s="617" t="str">
        <f t="shared" si="3"/>
        <v>Max</v>
      </c>
      <c r="C249" s="601" t="s">
        <v>11</v>
      </c>
      <c r="D249" s="601" t="s">
        <v>777</v>
      </c>
      <c r="E249" s="602" t="s">
        <v>969</v>
      </c>
      <c r="F249" s="662" t="s">
        <v>3021</v>
      </c>
      <c r="G249" s="616"/>
      <c r="H249" s="655"/>
      <c r="J249" s="607" t="s">
        <v>2404</v>
      </c>
      <c r="L249" s="607" t="s">
        <v>2405</v>
      </c>
      <c r="M249" s="607" t="s">
        <v>2406</v>
      </c>
      <c r="N249" s="607" t="s">
        <v>2407</v>
      </c>
    </row>
    <row r="250" spans="2:14" s="607" customFormat="1" ht="15.75" customHeight="1">
      <c r="B250" s="617" t="str">
        <f t="shared" si="3"/>
        <v>NPV Energy Cost $/km</v>
      </c>
      <c r="C250" s="601" t="s">
        <v>92</v>
      </c>
      <c r="D250" s="601" t="s">
        <v>1932</v>
      </c>
      <c r="E250" s="601" t="s">
        <v>970</v>
      </c>
      <c r="F250" s="661" t="s">
        <v>3022</v>
      </c>
      <c r="G250" s="616"/>
      <c r="H250" s="655"/>
      <c r="J250" s="607" t="s">
        <v>2408</v>
      </c>
    </row>
    <row r="251" spans="2:14" s="607" customFormat="1" ht="15.75" customHeight="1">
      <c r="B251" s="617" t="str">
        <f t="shared" si="3"/>
        <v>NPV Maintenance Cost ($/km)</v>
      </c>
      <c r="C251" s="601" t="s">
        <v>93</v>
      </c>
      <c r="D251" s="601" t="s">
        <v>778</v>
      </c>
      <c r="E251" s="601" t="s">
        <v>971</v>
      </c>
      <c r="F251" s="661" t="s">
        <v>3023</v>
      </c>
      <c r="G251" s="616"/>
      <c r="H251" s="655"/>
      <c r="J251" s="607" t="s">
        <v>2409</v>
      </c>
    </row>
    <row r="252" spans="2:14" s="607" customFormat="1" ht="15.75" customHeight="1">
      <c r="B252" s="617" t="str">
        <f t="shared" si="3"/>
        <v>Target - Avg Illuminance</v>
      </c>
      <c r="C252" s="601" t="s">
        <v>1052</v>
      </c>
      <c r="D252" s="601" t="s">
        <v>779</v>
      </c>
      <c r="E252" s="602" t="s">
        <v>1576</v>
      </c>
      <c r="F252" s="661" t="s">
        <v>3024</v>
      </c>
      <c r="G252" s="616"/>
      <c r="H252" s="655"/>
      <c r="J252" s="607" t="s">
        <v>2410</v>
      </c>
      <c r="L252" s="607" t="s">
        <v>2411</v>
      </c>
    </row>
    <row r="253" spans="2:14" s="607" customFormat="1" ht="15.75" customHeight="1">
      <c r="B253" s="617" t="str">
        <f t="shared" si="3"/>
        <v>Target - Min Illuminance</v>
      </c>
      <c r="C253" s="601" t="s">
        <v>1053</v>
      </c>
      <c r="D253" s="601" t="s">
        <v>780</v>
      </c>
      <c r="E253" s="602" t="s">
        <v>1577</v>
      </c>
      <c r="F253" s="661" t="s">
        <v>3025</v>
      </c>
      <c r="G253" s="616"/>
      <c r="H253" s="655"/>
      <c r="J253" s="607" t="s">
        <v>2412</v>
      </c>
    </row>
    <row r="254" spans="2:14" s="607" customFormat="1" ht="15.75" customHeight="1">
      <c r="B254" s="617" t="str">
        <f t="shared" si="3"/>
        <v>$/fixture</v>
      </c>
      <c r="C254" s="601" t="s">
        <v>23</v>
      </c>
      <c r="D254" s="601" t="s">
        <v>781</v>
      </c>
      <c r="E254" s="601" t="s">
        <v>1578</v>
      </c>
      <c r="F254" s="661" t="s">
        <v>3026</v>
      </c>
      <c r="G254" s="616"/>
      <c r="H254" s="655"/>
      <c r="J254" s="607" t="s">
        <v>2413</v>
      </c>
    </row>
    <row r="255" spans="2:14" s="607" customFormat="1" ht="15.75" customHeight="1">
      <c r="B255" s="617" t="str">
        <f t="shared" si="3"/>
        <v>Annual Energy</v>
      </c>
      <c r="C255" s="601" t="s">
        <v>20</v>
      </c>
      <c r="D255" s="601" t="s">
        <v>782</v>
      </c>
      <c r="E255" s="602" t="s">
        <v>972</v>
      </c>
      <c r="F255" s="663" t="s">
        <v>3027</v>
      </c>
      <c r="G255" s="616"/>
      <c r="H255" s="655"/>
      <c r="J255" s="607" t="s">
        <v>2414</v>
      </c>
    </row>
    <row r="256" spans="2:14" s="607" customFormat="1" ht="15.75" customHeight="1">
      <c r="B256" s="617" t="str">
        <f t="shared" si="3"/>
        <v>kWh/fixture</v>
      </c>
      <c r="C256" s="601" t="s">
        <v>21</v>
      </c>
      <c r="D256" s="601" t="s">
        <v>784</v>
      </c>
      <c r="E256" s="601" t="s">
        <v>1579</v>
      </c>
      <c r="F256" s="661" t="s">
        <v>3028</v>
      </c>
      <c r="G256" s="616"/>
      <c r="H256" s="655"/>
      <c r="J256" s="607" t="s">
        <v>2415</v>
      </c>
      <c r="L256" s="607" t="s">
        <v>2416</v>
      </c>
      <c r="M256" s="607" t="s">
        <v>2417</v>
      </c>
    </row>
    <row r="257" spans="2:15" s="607" customFormat="1" ht="15.75" customHeight="1">
      <c r="B257" s="617" t="str">
        <f t="shared" si="3"/>
        <v>Min</v>
      </c>
      <c r="C257" s="601" t="s">
        <v>10</v>
      </c>
      <c r="D257" s="601" t="s">
        <v>785</v>
      </c>
      <c r="E257" s="602" t="s">
        <v>975</v>
      </c>
      <c r="F257" s="662" t="s">
        <v>3029</v>
      </c>
      <c r="G257" s="616"/>
      <c r="H257" s="655"/>
      <c r="J257" s="607" t="s">
        <v>2418</v>
      </c>
      <c r="L257" s="607" t="s">
        <v>2419</v>
      </c>
      <c r="M257" s="607" t="s">
        <v>2420</v>
      </c>
      <c r="N257" s="607" t="s">
        <v>2421</v>
      </c>
    </row>
    <row r="258" spans="2:15" s="607" customFormat="1" ht="15.75" customHeight="1">
      <c r="B258" s="617" t="str">
        <f t="shared" si="3"/>
        <v>Discount Rate</v>
      </c>
      <c r="C258" s="601" t="s">
        <v>89</v>
      </c>
      <c r="D258" s="601" t="s">
        <v>787</v>
      </c>
      <c r="E258" s="602" t="s">
        <v>976</v>
      </c>
      <c r="F258" s="663" t="s">
        <v>3030</v>
      </c>
      <c r="G258" s="616"/>
      <c r="H258" s="655"/>
      <c r="J258" s="607" t="s">
        <v>2422</v>
      </c>
      <c r="L258" s="607" t="s">
        <v>2423</v>
      </c>
    </row>
    <row r="259" spans="2:15" s="607" customFormat="1" ht="15.75" customHeight="1">
      <c r="B259" s="617" t="str">
        <f t="shared" si="3"/>
        <v>Pole installation cost
(labor + materials)</v>
      </c>
      <c r="C259" s="601" t="s">
        <v>88</v>
      </c>
      <c r="D259" s="601" t="s">
        <v>788</v>
      </c>
      <c r="E259" s="602" t="s">
        <v>1580</v>
      </c>
      <c r="F259" s="661" t="s">
        <v>3031</v>
      </c>
      <c r="G259" s="616"/>
      <c r="H259" s="655"/>
      <c r="J259" s="607" t="s">
        <v>2424</v>
      </c>
    </row>
    <row r="260" spans="2:15" s="607" customFormat="1" ht="15.75" customHeight="1">
      <c r="B260" s="617" t="str">
        <f t="shared" si="3"/>
        <v>Description:</v>
      </c>
      <c r="C260" s="601" t="s">
        <v>31</v>
      </c>
      <c r="D260" s="601" t="s">
        <v>790</v>
      </c>
      <c r="E260" s="602" t="s">
        <v>977</v>
      </c>
      <c r="F260" s="661" t="s">
        <v>3032</v>
      </c>
      <c r="G260" s="616"/>
      <c r="H260" s="655"/>
      <c r="J260" s="607" t="s">
        <v>2425</v>
      </c>
    </row>
    <row r="261" spans="2:15" s="607" customFormat="1" ht="15.75" customHeight="1">
      <c r="B261" s="617" t="str">
        <f t="shared" si="3"/>
        <v>Lane Width</v>
      </c>
      <c r="C261" s="601" t="s">
        <v>6</v>
      </c>
      <c r="D261" s="601" t="s">
        <v>791</v>
      </c>
      <c r="E261" s="602" t="s">
        <v>978</v>
      </c>
      <c r="F261" s="661" t="s">
        <v>3033</v>
      </c>
      <c r="G261" s="616"/>
      <c r="H261" s="655"/>
      <c r="J261" s="607" t="s">
        <v>2426</v>
      </c>
      <c r="L261" s="607" t="s">
        <v>2427</v>
      </c>
      <c r="M261" s="607" t="s">
        <v>2428</v>
      </c>
      <c r="N261" s="607" t="s">
        <v>2429</v>
      </c>
      <c r="O261" s="607" t="s">
        <v>2430</v>
      </c>
    </row>
    <row r="262" spans="2:15" s="607" customFormat="1" ht="15.75" customHeight="1">
      <c r="B262" s="617" t="str">
        <f t="shared" si="3"/>
        <v>Light Geometry:</v>
      </c>
      <c r="C262" s="601" t="s">
        <v>13</v>
      </c>
      <c r="D262" s="601" t="s">
        <v>792</v>
      </c>
      <c r="E262" s="602" t="s">
        <v>979</v>
      </c>
      <c r="F262" s="661" t="s">
        <v>3034</v>
      </c>
      <c r="G262" s="616"/>
      <c r="H262" s="655"/>
      <c r="J262" s="607" t="s">
        <v>2431</v>
      </c>
      <c r="L262" s="607" t="s">
        <v>2432</v>
      </c>
    </row>
    <row r="263" spans="2:15" s="607" customFormat="1" ht="15.75" customHeight="1">
      <c r="B263" s="617" t="str">
        <f t="shared" si="3"/>
        <v>Number of Points in Grid</v>
      </c>
      <c r="C263" s="601" t="s">
        <v>35</v>
      </c>
      <c r="D263" s="601" t="s">
        <v>793</v>
      </c>
      <c r="E263" s="602" t="s">
        <v>980</v>
      </c>
      <c r="F263" s="662" t="s">
        <v>3035</v>
      </c>
      <c r="G263" s="616"/>
      <c r="H263" s="655"/>
      <c r="J263" s="607" t="s">
        <v>2433</v>
      </c>
      <c r="L263" s="607" t="s">
        <v>2434</v>
      </c>
      <c r="M263" s="607" t="s">
        <v>2435</v>
      </c>
    </row>
    <row r="264" spans="2:15" s="607" customFormat="1" ht="15.75" customHeight="1">
      <c r="B264" s="617" t="str">
        <f t="shared" si="3"/>
        <v>Pole Spacing</v>
      </c>
      <c r="C264" s="601" t="s">
        <v>2</v>
      </c>
      <c r="D264" s="601" t="s">
        <v>794</v>
      </c>
      <c r="E264" s="602" t="s">
        <v>1581</v>
      </c>
      <c r="F264" s="663" t="s">
        <v>3036</v>
      </c>
      <c r="G264" s="616"/>
      <c r="H264" s="655"/>
      <c r="J264" s="607" t="s">
        <v>2436</v>
      </c>
      <c r="L264" s="607" t="s">
        <v>2437</v>
      </c>
      <c r="M264" s="607" t="s">
        <v>2438</v>
      </c>
      <c r="N264" s="607" t="s">
        <v>2439</v>
      </c>
      <c r="O264" s="607" t="s">
        <v>2440</v>
      </c>
    </row>
    <row r="265" spans="2:15" s="607" customFormat="1" ht="15.75" customHeight="1">
      <c r="B265" s="617" t="str">
        <f t="shared" si="3"/>
        <v>Uniformity Ratio (Iavg/Imin)</v>
      </c>
      <c r="C265" s="601" t="s">
        <v>1076</v>
      </c>
      <c r="D265" s="601" t="s">
        <v>1077</v>
      </c>
      <c r="E265" s="602" t="s">
        <v>1078</v>
      </c>
      <c r="F265" s="663" t="s">
        <v>3037</v>
      </c>
      <c r="G265" s="616"/>
      <c r="H265" s="655"/>
      <c r="J265" s="607" t="s">
        <v>2441</v>
      </c>
      <c r="L265" s="607" t="s">
        <v>2442</v>
      </c>
      <c r="M265" s="607" t="s">
        <v>2443</v>
      </c>
    </row>
    <row r="266" spans="2:15" s="607" customFormat="1" ht="15.75" customHeight="1">
      <c r="B266" s="617" t="str">
        <f t="shared" si="3"/>
        <v>Uniformity Ratio (Imin/Iavg)</v>
      </c>
      <c r="C266" s="601" t="s">
        <v>1761</v>
      </c>
      <c r="D266" s="601" t="s">
        <v>1759</v>
      </c>
      <c r="E266" s="602" t="s">
        <v>1760</v>
      </c>
      <c r="F266" s="663" t="s">
        <v>3038</v>
      </c>
      <c r="G266" s="616"/>
      <c r="H266" s="655"/>
      <c r="J266" s="607" t="s">
        <v>2444</v>
      </c>
    </row>
    <row r="267" spans="2:15" s="607" customFormat="1" ht="15.75" customHeight="1">
      <c r="B267" s="617" t="str">
        <f t="shared" si="3"/>
        <v>Uniformity Ratio (IES - lavg/lmin; CIE - lmin/lavg)</v>
      </c>
      <c r="C267" s="601" t="s">
        <v>1933</v>
      </c>
      <c r="D267" s="601" t="s">
        <v>1357</v>
      </c>
      <c r="E267" s="602" t="s">
        <v>1358</v>
      </c>
      <c r="F267" s="663" t="s">
        <v>3039</v>
      </c>
      <c r="G267" s="616"/>
      <c r="H267" s="655"/>
      <c r="J267" s="607" t="s">
        <v>2445</v>
      </c>
    </row>
    <row r="268" spans="2:15" s="607" customFormat="1" ht="15.75" customHeight="1">
      <c r="B268" s="617" t="str">
        <f t="shared" ref="B268:B298" si="4">INDEX(C268:G268,MATCH($B$11,$C$11:$G$11,0))</f>
        <v>Average Illuminance</v>
      </c>
      <c r="C268" s="601" t="s">
        <v>39</v>
      </c>
      <c r="D268" s="601" t="s">
        <v>814</v>
      </c>
      <c r="E268" s="602" t="s">
        <v>1359</v>
      </c>
      <c r="F268" s="661" t="s">
        <v>3040</v>
      </c>
      <c r="G268" s="616"/>
      <c r="H268" s="655"/>
      <c r="J268" s="607" t="s">
        <v>2446</v>
      </c>
    </row>
    <row r="269" spans="2:15" s="607" customFormat="1" ht="15.75" customHeight="1">
      <c r="B269" s="617" t="str">
        <f t="shared" si="4"/>
        <v>Minimum Illuminance</v>
      </c>
      <c r="C269" s="601" t="s">
        <v>40</v>
      </c>
      <c r="D269" s="601" t="s">
        <v>815</v>
      </c>
      <c r="E269" s="602" t="s">
        <v>1360</v>
      </c>
      <c r="F269" s="662" t="s">
        <v>3041</v>
      </c>
      <c r="G269" s="616"/>
      <c r="H269" s="655"/>
      <c r="J269" s="607" t="s">
        <v>2447</v>
      </c>
    </row>
    <row r="270" spans="2:15" s="607" customFormat="1" ht="15.75" customHeight="1">
      <c r="B270" s="617" t="str">
        <f t="shared" si="4"/>
        <v>Maximum Illuminance</v>
      </c>
      <c r="C270" s="601" t="s">
        <v>54</v>
      </c>
      <c r="D270" s="601" t="s">
        <v>816</v>
      </c>
      <c r="E270" s="602" t="s">
        <v>1361</v>
      </c>
      <c r="F270" s="662" t="s">
        <v>3042</v>
      </c>
      <c r="G270" s="616"/>
      <c r="H270" s="655"/>
      <c r="J270" s="607" t="s">
        <v>2448</v>
      </c>
    </row>
    <row r="271" spans="2:15" s="607" customFormat="1" ht="15.75" customHeight="1">
      <c r="B271" s="617" t="str">
        <f t="shared" si="4"/>
        <v>Average Luminance</v>
      </c>
      <c r="C271" s="601" t="s">
        <v>203</v>
      </c>
      <c r="D271" s="604" t="s">
        <v>783</v>
      </c>
      <c r="E271" s="602" t="s">
        <v>1582</v>
      </c>
      <c r="F271" s="662" t="s">
        <v>3043</v>
      </c>
      <c r="G271" s="616"/>
      <c r="H271" s="655"/>
      <c r="J271" s="607" t="s">
        <v>2449</v>
      </c>
    </row>
    <row r="272" spans="2:15" s="607" customFormat="1" ht="15.75" customHeight="1">
      <c r="B272" s="617" t="str">
        <f t="shared" si="4"/>
        <v>Minimum Luminance</v>
      </c>
      <c r="C272" s="601" t="s">
        <v>204</v>
      </c>
      <c r="D272" s="604" t="s">
        <v>786</v>
      </c>
      <c r="E272" s="602" t="s">
        <v>1583</v>
      </c>
      <c r="F272" s="662" t="s">
        <v>3044</v>
      </c>
      <c r="G272" s="616"/>
      <c r="H272" s="655"/>
      <c r="J272" s="607" t="s">
        <v>2450</v>
      </c>
    </row>
    <row r="273" spans="1:18" s="607" customFormat="1" ht="15.75" customHeight="1">
      <c r="B273" s="617" t="str">
        <f t="shared" si="4"/>
        <v>Maximum Luminance</v>
      </c>
      <c r="C273" s="601" t="s">
        <v>1271</v>
      </c>
      <c r="D273" s="601" t="s">
        <v>1362</v>
      </c>
      <c r="E273" s="602" t="s">
        <v>1363</v>
      </c>
      <c r="F273" s="662" t="s">
        <v>3045</v>
      </c>
      <c r="G273" s="616"/>
      <c r="H273" s="655"/>
      <c r="J273" s="607" t="s">
        <v>2451</v>
      </c>
    </row>
    <row r="274" spans="1:18" s="607" customFormat="1" ht="15.75" customHeight="1">
      <c r="B274" s="617" t="str">
        <f t="shared" si="4"/>
        <v>Uniformity Ratio (Imax/Imin)</v>
      </c>
      <c r="C274" s="601" t="s">
        <v>1263</v>
      </c>
      <c r="D274" s="601" t="s">
        <v>1364</v>
      </c>
      <c r="E274" s="602" t="s">
        <v>1078</v>
      </c>
      <c r="F274" s="662" t="s">
        <v>3046</v>
      </c>
      <c r="G274" s="616"/>
      <c r="H274" s="655"/>
      <c r="J274" s="607" t="s">
        <v>2452</v>
      </c>
    </row>
    <row r="275" spans="1:18" s="607" customFormat="1" ht="15.75" customHeight="1">
      <c r="B275" s="617" t="str">
        <f t="shared" si="4"/>
        <v>HPS default lamp lumen depreciation</v>
      </c>
      <c r="C275" s="601" t="s">
        <v>103</v>
      </c>
      <c r="D275" s="601" t="s">
        <v>795</v>
      </c>
      <c r="E275" s="602" t="s">
        <v>1584</v>
      </c>
      <c r="F275" s="662" t="s">
        <v>3047</v>
      </c>
      <c r="G275" s="616"/>
      <c r="H275" s="655"/>
      <c r="J275" s="607" t="s">
        <v>2453</v>
      </c>
    </row>
    <row r="276" spans="1:18" s="607" customFormat="1" ht="15.75" customHeight="1">
      <c r="B276" s="617" t="str">
        <f t="shared" si="4"/>
        <v>HPS default life (hours)</v>
      </c>
      <c r="C276" s="601" t="s">
        <v>101</v>
      </c>
      <c r="D276" s="601" t="s">
        <v>1934</v>
      </c>
      <c r="E276" s="602" t="s">
        <v>1585</v>
      </c>
      <c r="F276" s="662" t="s">
        <v>3048</v>
      </c>
      <c r="G276" s="616"/>
      <c r="H276" s="655"/>
      <c r="J276" s="607" t="s">
        <v>2454</v>
      </c>
    </row>
    <row r="277" spans="1:18" s="607" customFormat="1" ht="15.75" customHeight="1">
      <c r="B277" s="617" t="str">
        <f t="shared" si="4"/>
        <v>LED default lamp lumen depreciation</v>
      </c>
      <c r="C277" s="601" t="s">
        <v>102</v>
      </c>
      <c r="D277" s="601" t="s">
        <v>796</v>
      </c>
      <c r="E277" s="602" t="s">
        <v>1586</v>
      </c>
      <c r="F277" s="662" t="s">
        <v>3049</v>
      </c>
      <c r="G277" s="616"/>
      <c r="H277" s="655"/>
      <c r="J277" s="607" t="s">
        <v>2455</v>
      </c>
    </row>
    <row r="278" spans="1:18" s="607" customFormat="1" ht="15.75" customHeight="1">
      <c r="B278" s="617" t="str">
        <f t="shared" si="4"/>
        <v>LED Default life (hours)</v>
      </c>
      <c r="C278" s="601" t="s">
        <v>100</v>
      </c>
      <c r="D278" s="601" t="s">
        <v>797</v>
      </c>
      <c r="E278" s="602" t="s">
        <v>982</v>
      </c>
      <c r="F278" s="662" t="s">
        <v>3050</v>
      </c>
      <c r="G278" s="616"/>
      <c r="H278" s="655"/>
      <c r="J278" s="607" t="s">
        <v>2456</v>
      </c>
    </row>
    <row r="279" spans="1:18" s="607" customFormat="1" ht="15.75" customHeight="1">
      <c r="B279" s="617" t="str">
        <f t="shared" si="4"/>
        <v>MH default lamp lumen depreciation</v>
      </c>
      <c r="C279" s="601" t="s">
        <v>333</v>
      </c>
      <c r="D279" s="601" t="s">
        <v>798</v>
      </c>
      <c r="E279" s="602" t="s">
        <v>1587</v>
      </c>
      <c r="F279" s="662" t="s">
        <v>3051</v>
      </c>
      <c r="G279" s="616"/>
      <c r="H279" s="655"/>
      <c r="J279" s="607" t="s">
        <v>2457</v>
      </c>
    </row>
    <row r="280" spans="1:18" s="607" customFormat="1" ht="15.75" customHeight="1">
      <c r="B280" s="617" t="str">
        <f t="shared" si="4"/>
        <v>MH default life (hours)</v>
      </c>
      <c r="C280" s="601" t="s">
        <v>332</v>
      </c>
      <c r="D280" s="601" t="s">
        <v>1935</v>
      </c>
      <c r="E280" s="602" t="s">
        <v>1588</v>
      </c>
      <c r="F280" s="662" t="s">
        <v>3052</v>
      </c>
      <c r="G280" s="616"/>
      <c r="H280" s="655"/>
      <c r="J280" s="607" t="s">
        <v>2458</v>
      </c>
    </row>
    <row r="281" spans="1:18" s="607" customFormat="1" ht="15.75" customHeight="1">
      <c r="B281" s="617" t="str">
        <f t="shared" si="4"/>
        <v>Notes</v>
      </c>
      <c r="C281" s="601" t="s">
        <v>99</v>
      </c>
      <c r="D281" s="601" t="s">
        <v>99</v>
      </c>
      <c r="E281" s="602" t="s">
        <v>983</v>
      </c>
      <c r="F281" s="662" t="s">
        <v>3053</v>
      </c>
      <c r="G281" s="616"/>
      <c r="H281" s="655"/>
      <c r="J281" s="607" t="s">
        <v>2459</v>
      </c>
    </row>
    <row r="282" spans="1:18" s="607" customFormat="1" ht="15.75" customHeight="1">
      <c r="B282" s="617" t="str">
        <f t="shared" si="4"/>
        <v>Value</v>
      </c>
      <c r="C282" s="601" t="s">
        <v>98</v>
      </c>
      <c r="D282" s="601" t="s">
        <v>799</v>
      </c>
      <c r="E282" s="602" t="s">
        <v>984</v>
      </c>
      <c r="F282" s="662" t="s">
        <v>3054</v>
      </c>
      <c r="G282" s="616"/>
      <c r="H282" s="655"/>
      <c r="J282" s="607" t="s">
        <v>2460</v>
      </c>
    </row>
    <row r="283" spans="1:18" s="607" customFormat="1" ht="15.75" customHeight="1">
      <c r="B283" s="617" t="str">
        <f t="shared" si="4"/>
        <v>Variable</v>
      </c>
      <c r="C283" s="601" t="s">
        <v>97</v>
      </c>
      <c r="D283" s="601" t="s">
        <v>97</v>
      </c>
      <c r="E283" s="602" t="s">
        <v>97</v>
      </c>
      <c r="F283" s="662" t="s">
        <v>3055</v>
      </c>
      <c r="G283" s="616"/>
      <c r="H283" s="655"/>
      <c r="J283" s="607" t="s">
        <v>2461</v>
      </c>
    </row>
    <row r="284" spans="1:18" s="607" customFormat="1" ht="15.75" customHeight="1">
      <c r="B284" s="617" t="str">
        <f t="shared" si="4"/>
        <v>EXAMPLES</v>
      </c>
      <c r="C284" s="601" t="s">
        <v>276</v>
      </c>
      <c r="D284" s="601" t="s">
        <v>800</v>
      </c>
      <c r="E284" s="602" t="s">
        <v>985</v>
      </c>
      <c r="F284" s="662" t="s">
        <v>3056</v>
      </c>
      <c r="G284" s="616"/>
      <c r="H284" s="655"/>
      <c r="J284" s="607" t="s">
        <v>2462</v>
      </c>
    </row>
    <row r="285" spans="1:18" s="607" customFormat="1" ht="15.75" customHeight="1">
      <c r="B285" s="617" t="str">
        <f t="shared" si="4"/>
        <v>SEAD Procurement Tool for Energy Efficient Street Lighting</v>
      </c>
      <c r="C285" s="601" t="s">
        <v>498</v>
      </c>
      <c r="D285" s="601" t="s">
        <v>801</v>
      </c>
      <c r="E285" s="602" t="s">
        <v>1589</v>
      </c>
      <c r="F285" s="662" t="s">
        <v>3057</v>
      </c>
      <c r="G285" s="616"/>
      <c r="H285" s="655"/>
      <c r="J285" s="607" t="s">
        <v>2463</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3058</v>
      </c>
      <c r="G286" s="616"/>
      <c r="H286" s="655"/>
      <c r="I286" s="601"/>
      <c r="J286" s="601" t="s">
        <v>2464</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3059</v>
      </c>
      <c r="G287" s="616"/>
      <c r="H287" s="655"/>
      <c r="J287" s="607" t="s">
        <v>2465</v>
      </c>
    </row>
    <row r="288" spans="1:18" s="607" customFormat="1" ht="15.75" customHeight="1">
      <c r="B288" s="617" t="str">
        <f t="shared" si="4"/>
        <v>Medium</v>
      </c>
      <c r="C288" s="601" t="s">
        <v>141</v>
      </c>
      <c r="D288" s="601" t="s">
        <v>804</v>
      </c>
      <c r="E288" s="602" t="s">
        <v>988</v>
      </c>
      <c r="F288" s="662" t="s">
        <v>3060</v>
      </c>
      <c r="G288" s="616"/>
      <c r="H288" s="655"/>
      <c r="J288" s="607" t="s">
        <v>2466</v>
      </c>
      <c r="L288" s="607" t="s">
        <v>2467</v>
      </c>
      <c r="M288" s="607" t="s">
        <v>2468</v>
      </c>
      <c r="N288" s="607" t="s">
        <v>2469</v>
      </c>
      <c r="O288" s="607" t="s">
        <v>2470</v>
      </c>
      <c r="P288" s="607" t="s">
        <v>2471</v>
      </c>
      <c r="Q288" s="607" t="s">
        <v>2472</v>
      </c>
      <c r="R288" s="607" t="s">
        <v>2473</v>
      </c>
    </row>
    <row r="289" spans="2:14" s="607" customFormat="1" ht="15.75" customHeight="1">
      <c r="B289" s="617" t="str">
        <f t="shared" si="4"/>
        <v>Results:</v>
      </c>
      <c r="C289" s="601" t="s">
        <v>374</v>
      </c>
      <c r="D289" s="601" t="s">
        <v>808</v>
      </c>
      <c r="E289" s="602" t="s">
        <v>991</v>
      </c>
      <c r="F289" s="662" t="s">
        <v>3061</v>
      </c>
      <c r="G289" s="616"/>
      <c r="H289" s="655"/>
      <c r="J289" s="607" t="s">
        <v>2474</v>
      </c>
    </row>
    <row r="290" spans="2:14" s="607" customFormat="1" ht="15.75" customHeight="1">
      <c r="B290" s="617" t="str">
        <f t="shared" si="4"/>
        <v>Class</v>
      </c>
      <c r="C290" s="601" t="s">
        <v>181</v>
      </c>
      <c r="D290" s="601" t="s">
        <v>809</v>
      </c>
      <c r="E290" s="602" t="s">
        <v>992</v>
      </c>
      <c r="F290" s="662" t="s">
        <v>3062</v>
      </c>
      <c r="G290" s="616"/>
      <c r="H290" s="655"/>
      <c r="J290" s="607" t="s">
        <v>2475</v>
      </c>
    </row>
    <row r="291" spans="2:14" s="607" customFormat="1" ht="15.75" customHeight="1">
      <c r="B291" s="617" t="str">
        <f t="shared" si="4"/>
        <v>Sum of Weighting Values (Vws)</v>
      </c>
      <c r="C291" s="601" t="s">
        <v>501</v>
      </c>
      <c r="D291" s="601" t="s">
        <v>805</v>
      </c>
      <c r="E291" s="602" t="s">
        <v>989</v>
      </c>
      <c r="F291" s="662" t="s">
        <v>3063</v>
      </c>
      <c r="G291" s="616"/>
      <c r="H291" s="655"/>
      <c r="J291" s="607" t="s">
        <v>2476</v>
      </c>
    </row>
    <row r="292" spans="2:14" s="607" customFormat="1" ht="15.75" customHeight="1">
      <c r="B292" s="617" t="str">
        <f t="shared" si="4"/>
        <v>Meets Illuminance?</v>
      </c>
      <c r="C292" s="601" t="s">
        <v>60</v>
      </c>
      <c r="D292" s="601" t="s">
        <v>1336</v>
      </c>
      <c r="E292" s="602" t="s">
        <v>993</v>
      </c>
      <c r="F292" s="662" t="s">
        <v>3064</v>
      </c>
      <c r="G292" s="616"/>
      <c r="H292" s="655"/>
      <c r="J292" s="607" t="s">
        <v>2477</v>
      </c>
      <c r="L292" s="607" t="s">
        <v>2478</v>
      </c>
    </row>
    <row r="293" spans="2:14" s="607" customFormat="1" ht="15.75" customHeight="1">
      <c r="B293" s="617" t="str">
        <f t="shared" si="4"/>
        <v>Target - Average Luminance</v>
      </c>
      <c r="C293" s="601" t="s">
        <v>840</v>
      </c>
      <c r="D293" s="601" t="s">
        <v>810</v>
      </c>
      <c r="E293" s="602" t="s">
        <v>994</v>
      </c>
      <c r="F293" s="662" t="s">
        <v>3065</v>
      </c>
      <c r="G293" s="616"/>
      <c r="H293" s="655"/>
      <c r="J293" s="607" t="s">
        <v>2479</v>
      </c>
      <c r="L293" s="607" t="s">
        <v>2480</v>
      </c>
    </row>
    <row r="294" spans="2:14" s="607" customFormat="1" ht="15.75" customHeight="1">
      <c r="B294" s="617" t="str">
        <f t="shared" si="4"/>
        <v>Target - Uniformity (average/minimum)</v>
      </c>
      <c r="C294" s="601" t="s">
        <v>1193</v>
      </c>
      <c r="D294" s="601" t="s">
        <v>1221</v>
      </c>
      <c r="E294" s="602" t="s">
        <v>1590</v>
      </c>
      <c r="F294" s="662" t="s">
        <v>3066</v>
      </c>
      <c r="G294" s="616"/>
      <c r="H294" s="655"/>
      <c r="J294" s="607" t="s">
        <v>2481</v>
      </c>
      <c r="L294" s="607" t="s">
        <v>2482</v>
      </c>
      <c r="M294" s="607" t="s">
        <v>2483</v>
      </c>
      <c r="N294" s="607" t="s">
        <v>2484</v>
      </c>
    </row>
    <row r="295" spans="2:14" s="607" customFormat="1" ht="15.75" customHeight="1">
      <c r="B295" s="617" t="str">
        <f t="shared" si="4"/>
        <v>Target - Uniformity (maximum/minimum)</v>
      </c>
      <c r="C295" s="601" t="s">
        <v>1194</v>
      </c>
      <c r="D295" s="601" t="s">
        <v>1222</v>
      </c>
      <c r="E295" s="602" t="s">
        <v>1591</v>
      </c>
      <c r="F295" s="662" t="s">
        <v>3067</v>
      </c>
      <c r="G295" s="616"/>
      <c r="H295" s="655"/>
      <c r="J295" s="607" t="s">
        <v>2485</v>
      </c>
    </row>
    <row r="296" spans="2:14" s="607" customFormat="1" ht="15.75" customHeight="1">
      <c r="B296" s="617" t="str">
        <f t="shared" si="4"/>
        <v>Meets Ill. Criteria</v>
      </c>
      <c r="C296" s="601" t="s">
        <v>61</v>
      </c>
      <c r="D296" s="601" t="s">
        <v>811</v>
      </c>
      <c r="E296" s="602" t="s">
        <v>995</v>
      </c>
      <c r="F296" s="662" t="s">
        <v>3068</v>
      </c>
      <c r="G296" s="616"/>
      <c r="H296" s="655"/>
      <c r="J296" s="607" t="s">
        <v>2486</v>
      </c>
      <c r="L296" s="607" t="s">
        <v>2487</v>
      </c>
    </row>
    <row r="297" spans="2:14" s="607" customFormat="1" ht="15.75" customHeight="1">
      <c r="B297" s="617" t="str">
        <f t="shared" si="4"/>
        <v>Fails Ill. Criteria</v>
      </c>
      <c r="C297" s="601" t="s">
        <v>62</v>
      </c>
      <c r="D297" s="601" t="s">
        <v>812</v>
      </c>
      <c r="E297" s="602" t="s">
        <v>996</v>
      </c>
      <c r="F297" s="662" t="s">
        <v>3068</v>
      </c>
      <c r="G297" s="616"/>
      <c r="H297" s="655"/>
      <c r="J297" s="607" t="s">
        <v>2488</v>
      </c>
      <c r="L297" s="607" t="s">
        <v>2489</v>
      </c>
    </row>
    <row r="298" spans="2:14" s="607" customFormat="1" ht="15.75" customHeight="1">
      <c r="B298" s="617" t="str">
        <f t="shared" si="4"/>
        <v>Pole Setback</v>
      </c>
      <c r="C298" s="601" t="s">
        <v>3</v>
      </c>
      <c r="D298" s="601" t="s">
        <v>813</v>
      </c>
      <c r="E298" s="602" t="s">
        <v>997</v>
      </c>
      <c r="F298" s="662" t="s">
        <v>3069</v>
      </c>
      <c r="G298" s="616"/>
      <c r="H298" s="655"/>
      <c r="J298" s="607" t="s">
        <v>2490</v>
      </c>
      <c r="L298" s="607" t="s">
        <v>2491</v>
      </c>
      <c r="M298" s="607" t="s">
        <v>2492</v>
      </c>
      <c r="N298" s="607" t="s">
        <v>2493</v>
      </c>
    </row>
    <row r="299" spans="2:14" s="607" customFormat="1" ht="15.75" customHeight="1">
      <c r="B299" s="617" t="s">
        <v>502</v>
      </c>
      <c r="C299" s="601" t="s">
        <v>502</v>
      </c>
      <c r="D299" s="601" t="s">
        <v>818</v>
      </c>
      <c r="E299" s="602" t="s">
        <v>998</v>
      </c>
      <c r="F299" s="662" t="s">
        <v>3070</v>
      </c>
      <c r="G299" s="616"/>
      <c r="H299" s="655"/>
      <c r="I299" s="607" t="s">
        <v>2494</v>
      </c>
    </row>
    <row r="300" spans="2:14" s="607" customFormat="1" ht="15.75" customHeight="1">
      <c r="B300" s="617" t="s">
        <v>503</v>
      </c>
      <c r="C300" s="601" t="s">
        <v>503</v>
      </c>
      <c r="D300" s="601" t="s">
        <v>819</v>
      </c>
      <c r="E300" s="602" t="s">
        <v>999</v>
      </c>
      <c r="F300" s="662" t="s">
        <v>3071</v>
      </c>
      <c r="G300" s="616"/>
      <c r="H300" s="655"/>
      <c r="I300" s="607" t="s">
        <v>2495</v>
      </c>
    </row>
    <row r="301" spans="2:14" s="607" customFormat="1" ht="15.75" customHeight="1">
      <c r="B301" s="617" t="s">
        <v>504</v>
      </c>
      <c r="C301" s="601" t="s">
        <v>504</v>
      </c>
      <c r="D301" s="601" t="s">
        <v>820</v>
      </c>
      <c r="E301" s="602" t="s">
        <v>1000</v>
      </c>
      <c r="F301" s="662" t="s">
        <v>3072</v>
      </c>
      <c r="G301" s="616"/>
      <c r="H301" s="655"/>
      <c r="I301" s="607" t="s">
        <v>2496</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3073</v>
      </c>
      <c r="G302" s="616"/>
      <c r="H302" s="655"/>
      <c r="I302" s="607" t="s">
        <v>2497</v>
      </c>
    </row>
    <row r="303" spans="2:14" s="607" customFormat="1" ht="15.75" customHeight="1">
      <c r="B303" s="617" t="str">
        <f t="shared" si="5"/>
        <v>Enter the Fixture Reference Name</v>
      </c>
      <c r="C303" s="601" t="s">
        <v>506</v>
      </c>
      <c r="D303" s="601" t="s">
        <v>822</v>
      </c>
      <c r="E303" s="602" t="s">
        <v>1593</v>
      </c>
      <c r="F303" s="662" t="s">
        <v>3074</v>
      </c>
      <c r="G303" s="616"/>
      <c r="H303" s="655"/>
      <c r="I303" s="607" t="s">
        <v>2498</v>
      </c>
    </row>
    <row r="304" spans="2:14" s="607" customFormat="1" ht="15.75" customHeight="1">
      <c r="B304" s="617" t="str">
        <f t="shared" si="5"/>
        <v>Fixture Reference Name</v>
      </c>
      <c r="C304" s="601" t="s">
        <v>296</v>
      </c>
      <c r="D304" s="601" t="s">
        <v>823</v>
      </c>
      <c r="E304" s="602" t="s">
        <v>1594</v>
      </c>
      <c r="F304" s="662" t="s">
        <v>3075</v>
      </c>
      <c r="G304" s="616"/>
      <c r="H304" s="655"/>
      <c r="I304" s="607" t="s">
        <v>2499</v>
      </c>
    </row>
    <row r="305" spans="2:10" s="607" customFormat="1" ht="15.75" customHeight="1">
      <c r="B305" s="617" t="str">
        <f t="shared" si="5"/>
        <v>New Fixture Name</v>
      </c>
      <c r="C305" s="601" t="s">
        <v>507</v>
      </c>
      <c r="D305" s="601" t="s">
        <v>824</v>
      </c>
      <c r="E305" s="602" t="s">
        <v>1595</v>
      </c>
      <c r="F305" s="662" t="s">
        <v>3076</v>
      </c>
      <c r="G305" s="616"/>
      <c r="H305" s="655"/>
      <c r="I305" s="607" t="s">
        <v>2500</v>
      </c>
    </row>
    <row r="306" spans="2:10" s="607" customFormat="1" ht="15.75" customHeight="1">
      <c r="B306" s="617" t="str">
        <f t="shared" si="5"/>
        <v>Enter the Fixture Type</v>
      </c>
      <c r="C306" s="601" t="s">
        <v>508</v>
      </c>
      <c r="D306" s="601" t="s">
        <v>825</v>
      </c>
      <c r="E306" s="602" t="s">
        <v>1596</v>
      </c>
      <c r="F306" s="662" t="s">
        <v>3077</v>
      </c>
      <c r="G306" s="616"/>
      <c r="H306" s="655"/>
      <c r="I306" s="607" t="s">
        <v>2501</v>
      </c>
    </row>
    <row r="307" spans="2:10" s="607" customFormat="1" ht="15.75" customHeight="1">
      <c r="B307" s="617" t="str">
        <f t="shared" si="5"/>
        <v>Fixture Type</v>
      </c>
      <c r="C307" s="601" t="s">
        <v>509</v>
      </c>
      <c r="D307" s="601" t="s">
        <v>826</v>
      </c>
      <c r="E307" s="602" t="s">
        <v>1597</v>
      </c>
      <c r="F307" s="662" t="s">
        <v>3078</v>
      </c>
      <c r="G307" s="616"/>
      <c r="H307" s="655"/>
      <c r="I307" s="607" t="s">
        <v>2502</v>
      </c>
    </row>
    <row r="308" spans="2:10" s="607" customFormat="1" ht="15.75" customHeight="1">
      <c r="B308" s="617" t="str">
        <f t="shared" si="5"/>
        <v>Fixture type must be LED or HPS - please try again</v>
      </c>
      <c r="C308" s="601" t="s">
        <v>510</v>
      </c>
      <c r="D308" s="601" t="s">
        <v>827</v>
      </c>
      <c r="E308" s="602" t="s">
        <v>1598</v>
      </c>
      <c r="F308" s="662" t="s">
        <v>3079</v>
      </c>
      <c r="G308" s="616"/>
      <c r="H308" s="655"/>
      <c r="I308" s="607" t="s">
        <v>2503</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3080</v>
      </c>
      <c r="G309" s="616"/>
      <c r="H309" s="655"/>
      <c r="I309" s="607" t="s">
        <v>2504</v>
      </c>
    </row>
    <row r="310" spans="2:10" s="607" customFormat="1" ht="15.75" customHeight="1">
      <c r="B310" s="617" t="str">
        <f t="shared" si="5"/>
        <v>Do you want to clear the saved results before adding new ones?</v>
      </c>
      <c r="C310" s="601" t="s">
        <v>1097</v>
      </c>
      <c r="D310" s="601" t="s">
        <v>1936</v>
      </c>
      <c r="E310" s="601" t="s">
        <v>1227</v>
      </c>
      <c r="F310" s="662" t="s">
        <v>3081</v>
      </c>
      <c r="G310" s="616"/>
      <c r="H310" s="655"/>
      <c r="I310" s="607" t="s">
        <v>2505</v>
      </c>
    </row>
    <row r="311" spans="2:10" s="607" customFormat="1" ht="15.75" customHeight="1">
      <c r="B311" s="617" t="str">
        <f t="shared" si="5"/>
        <v>1) Select fixture data to remove from the tool:</v>
      </c>
      <c r="C311" s="601" t="s">
        <v>582</v>
      </c>
      <c r="D311" s="601" t="s">
        <v>830</v>
      </c>
      <c r="E311" s="601" t="s">
        <v>1601</v>
      </c>
      <c r="F311" s="662" t="s">
        <v>3082</v>
      </c>
      <c r="G311" s="616"/>
      <c r="H311" s="655"/>
      <c r="J311" s="607" t="s">
        <v>2506</v>
      </c>
    </row>
    <row r="312" spans="2:10" s="607" customFormat="1" ht="15.75" customHeight="1">
      <c r="B312" s="617" t="str">
        <f t="shared" si="5"/>
        <v>Selected File:</v>
      </c>
      <c r="C312" s="601" t="s">
        <v>578</v>
      </c>
      <c r="D312" s="601" t="s">
        <v>831</v>
      </c>
      <c r="E312" s="601" t="s">
        <v>1002</v>
      </c>
      <c r="F312" s="662" t="s">
        <v>3083</v>
      </c>
      <c r="G312" s="616"/>
      <c r="H312" s="655"/>
      <c r="J312" s="607" t="s">
        <v>2507</v>
      </c>
    </row>
    <row r="313" spans="2:10" s="607" customFormat="1" ht="15.75" customHeight="1">
      <c r="B313" s="617" t="str">
        <f t="shared" si="5"/>
        <v>2) Confirm deletion (cannot be undone)</v>
      </c>
      <c r="C313" s="601" t="s">
        <v>579</v>
      </c>
      <c r="D313" s="601" t="s">
        <v>832</v>
      </c>
      <c r="E313" s="601" t="s">
        <v>1003</v>
      </c>
      <c r="F313" s="662" t="s">
        <v>3084</v>
      </c>
      <c r="G313" s="616"/>
      <c r="H313" s="655"/>
      <c r="J313" s="607" t="s">
        <v>2508</v>
      </c>
    </row>
    <row r="314" spans="2:10" s="607" customFormat="1" ht="15.75" customHeight="1">
      <c r="B314" s="617" t="str">
        <f t="shared" si="5"/>
        <v>Have comments or feedback? Send an email to sltoolkit@superefficient.org</v>
      </c>
      <c r="C314" s="603" t="s">
        <v>1937</v>
      </c>
      <c r="D314" s="601" t="s">
        <v>834</v>
      </c>
      <c r="E314" s="603" t="s">
        <v>1004</v>
      </c>
      <c r="F314" s="662" t="s">
        <v>3307</v>
      </c>
      <c r="G314" s="616"/>
      <c r="H314" s="655"/>
      <c r="J314" s="607" t="s">
        <v>2509</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3085</v>
      </c>
      <c r="G315" s="616"/>
      <c r="H315" s="655"/>
      <c r="J315" s="607" t="s">
        <v>2510</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3086</v>
      </c>
      <c r="G316" s="616"/>
      <c r="H316" s="655"/>
      <c r="J316" s="607" t="s">
        <v>2511</v>
      </c>
    </row>
    <row r="317" spans="2:10" s="607" customFormat="1" ht="15.75" customHeight="1">
      <c r="B317" s="617" t="str">
        <f t="shared" si="5"/>
        <v>Enter a unique name you can use to identify the fixture</v>
      </c>
      <c r="C317" s="601" t="s">
        <v>538</v>
      </c>
      <c r="D317" s="601" t="s">
        <v>842</v>
      </c>
      <c r="E317" s="601" t="s">
        <v>1605</v>
      </c>
      <c r="F317" s="662" t="s">
        <v>3087</v>
      </c>
      <c r="G317" s="616"/>
      <c r="H317" s="655"/>
      <c r="J317" s="607" t="s">
        <v>2512</v>
      </c>
    </row>
    <row r="318" spans="2:10" s="607" customFormat="1" ht="15.75" customHeight="1">
      <c r="B318" s="617" t="str">
        <f t="shared" si="5"/>
        <v>Enter the fixture type</v>
      </c>
      <c r="C318" s="601" t="s">
        <v>539</v>
      </c>
      <c r="D318" s="601" t="s">
        <v>825</v>
      </c>
      <c r="E318" s="601" t="s">
        <v>1606</v>
      </c>
      <c r="F318" s="662" t="s">
        <v>3088</v>
      </c>
      <c r="G318" s="616"/>
      <c r="H318" s="655"/>
      <c r="J318" s="607" t="s">
        <v>2513</v>
      </c>
    </row>
    <row r="319" spans="2:10" s="607" customFormat="1" ht="15.75" customHeight="1">
      <c r="B319" s="617" t="str">
        <f t="shared" si="5"/>
        <v>Filepath</v>
      </c>
      <c r="C319" s="601" t="s">
        <v>295</v>
      </c>
      <c r="D319" s="601" t="s">
        <v>843</v>
      </c>
      <c r="E319" s="601" t="s">
        <v>1607</v>
      </c>
      <c r="F319" s="662" t="s">
        <v>3089</v>
      </c>
      <c r="G319" s="616"/>
      <c r="H319" s="655"/>
      <c r="J319" s="607" t="s">
        <v>2514</v>
      </c>
    </row>
    <row r="320" spans="2:10" s="607" customFormat="1" ht="15.75" customHeight="1">
      <c r="B320" s="617" t="str">
        <f t="shared" si="5"/>
        <v>Fixture Reference Name</v>
      </c>
      <c r="C320" s="601" t="s">
        <v>296</v>
      </c>
      <c r="D320" s="601" t="s">
        <v>823</v>
      </c>
      <c r="E320" s="601" t="s">
        <v>1608</v>
      </c>
      <c r="F320" s="662" t="s">
        <v>3090</v>
      </c>
      <c r="G320" s="616"/>
      <c r="H320" s="655"/>
      <c r="J320" s="607" t="s">
        <v>2515</v>
      </c>
    </row>
    <row r="321" spans="2:13" s="607" customFormat="1" ht="15.75" customHeight="1">
      <c r="B321" s="617" t="str">
        <f t="shared" si="5"/>
        <v>Fixture Type (HPS, MH or LED)</v>
      </c>
      <c r="C321" s="601" t="s">
        <v>537</v>
      </c>
      <c r="D321" s="601" t="s">
        <v>1721</v>
      </c>
      <c r="E321" s="601" t="s">
        <v>1609</v>
      </c>
      <c r="F321" s="662" t="s">
        <v>3091</v>
      </c>
      <c r="G321" s="616"/>
      <c r="H321" s="655"/>
      <c r="J321" s="607" t="s">
        <v>2516</v>
      </c>
    </row>
    <row r="322" spans="2:13" s="607" customFormat="1" ht="15.75" customHeight="1">
      <c r="B322" s="617" t="str">
        <f t="shared" si="5"/>
        <v>Use this sheet to load IES files</v>
      </c>
      <c r="C322" s="601" t="s">
        <v>1682</v>
      </c>
      <c r="D322" s="601" t="s">
        <v>1683</v>
      </c>
      <c r="E322" s="601" t="s">
        <v>1684</v>
      </c>
      <c r="F322" s="662" t="s">
        <v>3092</v>
      </c>
      <c r="G322" s="616"/>
      <c r="H322" s="655"/>
      <c r="J322" s="607" t="s">
        <v>2517</v>
      </c>
    </row>
    <row r="323" spans="2:13" s="607" customFormat="1" ht="15.75" customHeight="1">
      <c r="B323" s="617" t="str">
        <f t="shared" si="5"/>
        <v>Baseline</v>
      </c>
      <c r="C323" s="603" t="s">
        <v>22</v>
      </c>
      <c r="D323" s="601" t="s">
        <v>770</v>
      </c>
      <c r="E323" s="601" t="s">
        <v>1610</v>
      </c>
      <c r="F323" s="662" t="s">
        <v>3093</v>
      </c>
      <c r="G323" s="616"/>
      <c r="H323" s="655"/>
      <c r="I323" s="607" t="s">
        <v>2518</v>
      </c>
    </row>
    <row r="324" spans="2:13" s="607" customFormat="1" ht="15.75" customHeight="1">
      <c r="B324" s="617" t="str">
        <f t="shared" si="5"/>
        <v>Installation Cost ($/fixture)</v>
      </c>
      <c r="C324" s="603" t="s">
        <v>1065</v>
      </c>
      <c r="D324" s="603" t="s">
        <v>1159</v>
      </c>
      <c r="E324" s="601" t="s">
        <v>1611</v>
      </c>
      <c r="F324" s="662" t="s">
        <v>3094</v>
      </c>
      <c r="G324" s="616"/>
      <c r="H324" s="655"/>
      <c r="J324" s="607" t="s">
        <v>2519</v>
      </c>
      <c r="L324" s="607" t="s">
        <v>2520</v>
      </c>
      <c r="M324" s="607" t="s">
        <v>2521</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1882</v>
      </c>
      <c r="E325" s="601" t="s">
        <v>1612</v>
      </c>
      <c r="F325" s="662" t="s">
        <v>3325</v>
      </c>
      <c r="G325" s="616"/>
      <c r="H325" s="655"/>
      <c r="J325" s="607" t="s">
        <v>2522</v>
      </c>
    </row>
    <row r="326" spans="2:13" s="607" customFormat="1" ht="15.75" customHeight="1">
      <c r="B326" s="617" t="str">
        <f t="shared" si="5"/>
        <v>Energy Cost</v>
      </c>
      <c r="C326" s="603" t="s">
        <v>1007</v>
      </c>
      <c r="D326" s="604" t="s">
        <v>1023</v>
      </c>
      <c r="E326" s="601" t="s">
        <v>1938</v>
      </c>
      <c r="F326" s="662" t="s">
        <v>3095</v>
      </c>
      <c r="G326" s="616"/>
      <c r="H326" s="655"/>
      <c r="J326" s="607" t="s">
        <v>2523</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3332</v>
      </c>
      <c r="G327" s="616"/>
      <c r="H327" s="655"/>
      <c r="J327" s="607" t="s">
        <v>2524</v>
      </c>
    </row>
    <row r="328" spans="2:13" s="607" customFormat="1" ht="15.75" customHeight="1">
      <c r="B328" s="617" t="str">
        <f t="shared" si="5"/>
        <v>Discount Rate</v>
      </c>
      <c r="C328" s="603" t="s">
        <v>89</v>
      </c>
      <c r="D328" s="604" t="s">
        <v>787</v>
      </c>
      <c r="E328" s="601" t="s">
        <v>1009</v>
      </c>
      <c r="F328" s="662" t="s">
        <v>3096</v>
      </c>
      <c r="G328" s="616"/>
      <c r="H328" s="655"/>
      <c r="J328" s="607" t="s">
        <v>2525</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3097</v>
      </c>
      <c r="G329" s="616"/>
      <c r="H329" s="655"/>
      <c r="J329" s="607" t="s">
        <v>2526</v>
      </c>
    </row>
    <row r="330" spans="2:13" s="607" customFormat="1" ht="15.75" customHeight="1">
      <c r="B330" s="617" t="str">
        <f t="shared" si="5"/>
        <v>Analysis Period</v>
      </c>
      <c r="C330" s="603" t="s">
        <v>1010</v>
      </c>
      <c r="D330" s="604" t="s">
        <v>1026</v>
      </c>
      <c r="E330" s="601" t="s">
        <v>1011</v>
      </c>
      <c r="F330" s="662" t="s">
        <v>3098</v>
      </c>
      <c r="G330" s="616"/>
      <c r="H330" s="655"/>
      <c r="J330" s="607" t="s">
        <v>2527</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3099</v>
      </c>
      <c r="G331" s="616"/>
      <c r="H331" s="655"/>
      <c r="J331" s="607" t="s">
        <v>2528</v>
      </c>
    </row>
    <row r="332" spans="2:13" s="607" customFormat="1" ht="15.75" customHeight="1">
      <c r="B332" s="617" t="str">
        <f t="shared" si="5"/>
        <v>Number of Lanes</v>
      </c>
      <c r="C332" s="603" t="s">
        <v>5</v>
      </c>
      <c r="D332" s="604" t="s">
        <v>673</v>
      </c>
      <c r="E332" s="601" t="s">
        <v>1939</v>
      </c>
      <c r="F332" s="662" t="s">
        <v>2895</v>
      </c>
      <c r="G332" s="616"/>
      <c r="H332" s="655"/>
      <c r="J332" s="607" t="s">
        <v>2529</v>
      </c>
    </row>
    <row r="333" spans="2:13" s="607" customFormat="1" ht="15.75" customHeight="1">
      <c r="B333" s="617" t="str">
        <f t="shared" si="5"/>
        <v xml:space="preserve">Indicate the total number of lanes (both travel directions)
</v>
      </c>
      <c r="C333" s="601" t="s">
        <v>1013</v>
      </c>
      <c r="D333" s="604" t="s">
        <v>1028</v>
      </c>
      <c r="E333" s="601" t="s">
        <v>1615</v>
      </c>
      <c r="F333" s="662" t="s">
        <v>3100</v>
      </c>
      <c r="G333" s="616"/>
      <c r="H333" s="655"/>
      <c r="J333" s="607" t="s">
        <v>2530</v>
      </c>
    </row>
    <row r="334" spans="2:13" s="607" customFormat="1" ht="15.75" customHeight="1">
      <c r="B334" s="617" t="str">
        <f t="shared" si="5"/>
        <v>Lane Width</v>
      </c>
      <c r="C334" s="601" t="s">
        <v>6</v>
      </c>
      <c r="D334" s="604" t="s">
        <v>1029</v>
      </c>
      <c r="E334" s="601" t="s">
        <v>1014</v>
      </c>
      <c r="F334" s="662" t="s">
        <v>3101</v>
      </c>
      <c r="G334" s="616"/>
      <c r="H334" s="655"/>
      <c r="J334" s="607" t="s">
        <v>2531</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3102</v>
      </c>
      <c r="G335" s="616"/>
      <c r="H335" s="655"/>
      <c r="J335" s="607" t="s">
        <v>2532</v>
      </c>
    </row>
    <row r="336" spans="2:13" s="607" customFormat="1" ht="15.75" customHeight="1">
      <c r="B336" s="617" t="str">
        <f t="shared" si="5"/>
        <v>Median Width</v>
      </c>
      <c r="C336" s="601" t="s">
        <v>34</v>
      </c>
      <c r="D336" s="604" t="s">
        <v>1031</v>
      </c>
      <c r="E336" s="601" t="s">
        <v>1551</v>
      </c>
      <c r="F336" s="662" t="s">
        <v>3103</v>
      </c>
      <c r="G336" s="616"/>
      <c r="H336" s="655"/>
      <c r="J336" s="607" t="s">
        <v>2533</v>
      </c>
    </row>
    <row r="337" spans="2:13" s="607" customFormat="1" ht="15.75" customHeight="1">
      <c r="B337" s="617" t="str">
        <f t="shared" si="5"/>
        <v xml:space="preserve">Indicate the width of the median. If there is no median, use zero. 
</v>
      </c>
      <c r="C337" s="601" t="s">
        <v>1016</v>
      </c>
      <c r="D337" s="604" t="s">
        <v>1032</v>
      </c>
      <c r="E337" s="601" t="s">
        <v>1617</v>
      </c>
      <c r="F337" s="662" t="s">
        <v>3104</v>
      </c>
      <c r="G337" s="616"/>
      <c r="H337" s="655"/>
      <c r="J337" s="607" t="s">
        <v>2534</v>
      </c>
    </row>
    <row r="338" spans="2:13" s="607" customFormat="1" ht="15.75" customHeight="1">
      <c r="B338" s="617" t="str">
        <f t="shared" si="5"/>
        <v>Pole Placement</v>
      </c>
      <c r="C338" s="601" t="s">
        <v>15</v>
      </c>
      <c r="D338" s="604" t="s">
        <v>1033</v>
      </c>
      <c r="E338" s="601" t="s">
        <v>1618</v>
      </c>
      <c r="F338" s="662" t="s">
        <v>3105</v>
      </c>
      <c r="G338" s="616"/>
      <c r="H338" s="655"/>
      <c r="J338" s="607" t="s">
        <v>2535</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1940</v>
      </c>
      <c r="F339" s="665" t="s">
        <v>3106</v>
      </c>
      <c r="G339" s="616"/>
      <c r="H339" s="655"/>
      <c r="J339" s="607" t="s">
        <v>2536</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1941</v>
      </c>
      <c r="F340" s="661" t="s">
        <v>3107</v>
      </c>
      <c r="G340" s="616"/>
      <c r="H340" s="655"/>
      <c r="J340" s="607" t="s">
        <v>2537</v>
      </c>
    </row>
    <row r="341" spans="2:13" s="607" customFormat="1" ht="15.75" customHeight="1">
      <c r="B341" s="617" t="str">
        <f t="shared" si="5"/>
        <v>Pole Spacing</v>
      </c>
      <c r="C341" s="601" t="s">
        <v>2</v>
      </c>
      <c r="D341" s="604" t="s">
        <v>1036</v>
      </c>
      <c r="E341" s="601" t="s">
        <v>1619</v>
      </c>
      <c r="F341" s="663" t="s">
        <v>3036</v>
      </c>
      <c r="G341" s="616"/>
      <c r="H341" s="655"/>
      <c r="J341" s="607" t="s">
        <v>2538</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3108</v>
      </c>
      <c r="G342" s="616"/>
      <c r="H342" s="655"/>
      <c r="J342" s="607" t="s">
        <v>2539</v>
      </c>
    </row>
    <row r="343" spans="2:13" s="607" customFormat="1" ht="15.75" customHeight="1">
      <c r="B343" s="617" t="str">
        <f t="shared" si="5"/>
        <v>Pole Setback</v>
      </c>
      <c r="C343" s="601" t="s">
        <v>3</v>
      </c>
      <c r="D343" s="604" t="s">
        <v>1038</v>
      </c>
      <c r="E343" s="602" t="s">
        <v>1621</v>
      </c>
      <c r="F343" s="661" t="s">
        <v>3109</v>
      </c>
      <c r="G343" s="616"/>
      <c r="H343" s="655"/>
      <c r="J343" s="607" t="s">
        <v>2540</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3110</v>
      </c>
      <c r="G344" s="616"/>
      <c r="H344" s="655"/>
      <c r="J344" s="607" t="s">
        <v>2541</v>
      </c>
    </row>
    <row r="345" spans="2:13" s="607" customFormat="1" ht="15.75" customHeight="1">
      <c r="B345" s="617" t="str">
        <f t="shared" si="5"/>
        <v>Arm Length</v>
      </c>
      <c r="C345" s="601" t="s">
        <v>1020</v>
      </c>
      <c r="D345" s="604" t="s">
        <v>1040</v>
      </c>
      <c r="E345" s="601" t="s">
        <v>891</v>
      </c>
      <c r="F345" s="661" t="s">
        <v>3111</v>
      </c>
      <c r="G345" s="616"/>
      <c r="H345" s="655"/>
      <c r="J345" s="607" t="s">
        <v>2542</v>
      </c>
    </row>
    <row r="346" spans="2:13" s="607" customFormat="1" ht="15.75" customHeight="1">
      <c r="B346" s="617" t="str">
        <f t="shared" si="5"/>
        <v>Number of Points in Grid</v>
      </c>
      <c r="C346" s="601" t="s">
        <v>35</v>
      </c>
      <c r="D346" s="604" t="s">
        <v>1042</v>
      </c>
      <c r="E346" s="601" t="s">
        <v>1022</v>
      </c>
      <c r="F346" s="662" t="s">
        <v>3112</v>
      </c>
      <c r="G346" s="616"/>
      <c r="H346" s="655"/>
      <c r="J346" s="607" t="s">
        <v>2543</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1942</v>
      </c>
      <c r="F347" s="661" t="s">
        <v>3113</v>
      </c>
      <c r="G347" s="616"/>
      <c r="H347" s="655"/>
      <c r="J347" s="607" t="s">
        <v>2544</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3114</v>
      </c>
      <c r="G348" s="616"/>
      <c r="H348" s="655"/>
    </row>
    <row r="349" spans="2:13" s="607" customFormat="1" ht="15.75" customHeight="1">
      <c r="B349" s="617" t="str">
        <f t="shared" si="5"/>
        <v>(for information only)</v>
      </c>
      <c r="C349" s="601" t="s">
        <v>1059</v>
      </c>
      <c r="D349" s="601" t="s">
        <v>1943</v>
      </c>
      <c r="E349" s="601" t="s">
        <v>1229</v>
      </c>
      <c r="F349" s="661" t="s">
        <v>3115</v>
      </c>
      <c r="G349" s="616"/>
      <c r="H349" s="655"/>
      <c r="J349" s="607" t="s">
        <v>2545</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3116</v>
      </c>
      <c r="G350" s="616"/>
      <c r="H350" s="655"/>
      <c r="J350" s="607" t="s">
        <v>2546</v>
      </c>
    </row>
    <row r="351" spans="2:13" s="607" customFormat="1" ht="15.75" customHeight="1">
      <c r="B351" s="617" t="str">
        <f t="shared" si="5"/>
        <v>and/or</v>
      </c>
      <c r="C351" s="601" t="s">
        <v>1061</v>
      </c>
      <c r="D351" s="601" t="s">
        <v>1883</v>
      </c>
      <c r="E351" s="601" t="s">
        <v>1230</v>
      </c>
      <c r="F351" s="662" t="s">
        <v>3117</v>
      </c>
      <c r="G351" s="616"/>
      <c r="H351" s="655"/>
    </row>
    <row r="352" spans="2:13" s="607" customFormat="1" ht="15.75" customHeight="1">
      <c r="B352" s="617" t="str">
        <f t="shared" si="5"/>
        <v>Equipment Cost ($/fixture)</v>
      </c>
      <c r="C352" s="601" t="s">
        <v>1064</v>
      </c>
      <c r="D352" s="601" t="s">
        <v>1884</v>
      </c>
      <c r="E352" s="601" t="s">
        <v>1625</v>
      </c>
      <c r="F352" s="662" t="s">
        <v>3118</v>
      </c>
      <c r="G352" s="616"/>
      <c r="H352" s="655"/>
      <c r="J352" s="607" t="s">
        <v>2547</v>
      </c>
      <c r="L352" s="607" t="s">
        <v>2548</v>
      </c>
      <c r="M352" s="607" t="s">
        <v>2549</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1885</v>
      </c>
      <c r="E353" s="601" t="s">
        <v>1626</v>
      </c>
      <c r="F353" s="662" t="s">
        <v>3326</v>
      </c>
      <c r="G353" s="616"/>
      <c r="H353" s="655"/>
      <c r="J353" s="607" t="s">
        <v>2550</v>
      </c>
    </row>
    <row r="354" spans="2:13" s="607" customFormat="1" ht="15.75" customHeight="1">
      <c r="B354" s="617" t="str">
        <f t="shared" si="5"/>
        <v>One-time Rebate or Subsidy ($/fixture)</v>
      </c>
      <c r="C354" s="601" t="s">
        <v>1066</v>
      </c>
      <c r="D354" s="601" t="s">
        <v>1886</v>
      </c>
      <c r="E354" s="601" t="s">
        <v>1627</v>
      </c>
      <c r="F354" s="662" t="s">
        <v>3119</v>
      </c>
      <c r="G354" s="616"/>
      <c r="H354" s="655"/>
      <c r="J354" s="607" t="s">
        <v>2551</v>
      </c>
      <c r="L354" s="607" t="s">
        <v>2552</v>
      </c>
      <c r="M354" s="607" t="s">
        <v>2553</v>
      </c>
    </row>
    <row r="355" spans="2:13" s="607" customFormat="1" ht="15.75" customHeight="1">
      <c r="B355" s="617" t="str">
        <f t="shared" si="5"/>
        <v xml:space="preserve">Enter any rebates or subsidies to be removed from the overall equipment cost on a per fixture basis. </v>
      </c>
      <c r="C355" s="601" t="s">
        <v>1111</v>
      </c>
      <c r="D355" s="601" t="s">
        <v>1887</v>
      </c>
      <c r="E355" s="601" t="s">
        <v>1628</v>
      </c>
      <c r="F355" s="662" t="s">
        <v>3120</v>
      </c>
      <c r="G355" s="616"/>
      <c r="H355" s="655"/>
      <c r="J355" s="607" t="s">
        <v>2554</v>
      </c>
    </row>
    <row r="356" spans="2:13" s="607" customFormat="1" ht="15.75" customHeight="1">
      <c r="B356" s="617" t="str">
        <f t="shared" si="5"/>
        <v>Annual Maintenance Cost ($/year)</v>
      </c>
      <c r="C356" s="601" t="s">
        <v>1067</v>
      </c>
      <c r="D356" s="601" t="s">
        <v>1888</v>
      </c>
      <c r="E356" s="601" t="s">
        <v>1231</v>
      </c>
      <c r="F356" s="662" t="s">
        <v>3321</v>
      </c>
      <c r="G356" s="616"/>
      <c r="H356" s="655"/>
      <c r="J356" s="607" t="s">
        <v>2555</v>
      </c>
      <c r="L356" s="607" t="s">
        <v>2556</v>
      </c>
      <c r="M356" s="607" t="s">
        <v>2557</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3327</v>
      </c>
      <c r="G357" s="616"/>
      <c r="H357" s="655"/>
      <c r="J357" s="607" t="s">
        <v>2558</v>
      </c>
    </row>
    <row r="358" spans="2:13" s="607" customFormat="1" ht="15.75" customHeight="1">
      <c r="B358" s="617" t="str">
        <f t="shared" si="5"/>
        <v>Maintenance inflation rate (%/year)</v>
      </c>
      <c r="C358" s="601" t="s">
        <v>1068</v>
      </c>
      <c r="D358" s="601" t="s">
        <v>1889</v>
      </c>
      <c r="E358" s="601" t="s">
        <v>1630</v>
      </c>
      <c r="F358" s="662" t="s">
        <v>3320</v>
      </c>
      <c r="G358" s="616"/>
      <c r="H358" s="655"/>
      <c r="J358" s="607" t="s">
        <v>2559</v>
      </c>
      <c r="L358" s="607" t="s">
        <v>2560</v>
      </c>
      <c r="M358" s="607" t="s">
        <v>2561</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3328</v>
      </c>
      <c r="G359" s="616"/>
      <c r="H359" s="655"/>
      <c r="J359" s="607" t="s">
        <v>2562</v>
      </c>
    </row>
    <row r="360" spans="2:13" s="607" customFormat="1" ht="15.75" customHeight="1">
      <c r="B360" s="617" t="str">
        <f t="shared" si="5"/>
        <v>Lamp Lumen Depreciation</v>
      </c>
      <c r="C360" s="601" t="s">
        <v>96</v>
      </c>
      <c r="D360" s="601" t="s">
        <v>1890</v>
      </c>
      <c r="E360" s="601" t="s">
        <v>1632</v>
      </c>
      <c r="F360" s="662" t="s">
        <v>3006</v>
      </c>
      <c r="G360" s="616"/>
      <c r="H360" s="655"/>
      <c r="J360" s="607" t="s">
        <v>2563</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3329</v>
      </c>
      <c r="G361" s="616"/>
      <c r="H361" s="655"/>
      <c r="J361" s="607" t="s">
        <v>2564</v>
      </c>
    </row>
    <row r="362" spans="2:13" s="607" customFormat="1" ht="15.75" customHeight="1">
      <c r="B362" s="617" t="str">
        <f t="shared" si="5"/>
        <v>Luminaire Dirt Depreciation (design year)</v>
      </c>
      <c r="C362" s="601" t="s">
        <v>1080</v>
      </c>
      <c r="D362" s="601" t="s">
        <v>1891</v>
      </c>
      <c r="E362" s="602" t="s">
        <v>1634</v>
      </c>
      <c r="F362" s="662" t="s">
        <v>3121</v>
      </c>
      <c r="G362" s="616"/>
      <c r="H362" s="655"/>
      <c r="J362" s="607" t="s">
        <v>2565</v>
      </c>
      <c r="L362" s="607" t="s">
        <v>2566</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3330</v>
      </c>
      <c r="G363" s="616"/>
      <c r="H363" s="655"/>
      <c r="J363" s="607" t="s">
        <v>2567</v>
      </c>
    </row>
    <row r="364" spans="2:13" s="607" customFormat="1" ht="15.75" customHeight="1">
      <c r="B364" s="617" t="str">
        <f t="shared" si="5"/>
        <v>Desired fixture not available in the table below?</v>
      </c>
      <c r="C364" s="603" t="s">
        <v>1083</v>
      </c>
      <c r="D364" s="603" t="s">
        <v>1892</v>
      </c>
      <c r="E364" s="601" t="s">
        <v>1636</v>
      </c>
      <c r="F364" s="662" t="s">
        <v>3122</v>
      </c>
      <c r="G364" s="616"/>
      <c r="H364" s="655"/>
      <c r="J364" s="607" t="s">
        <v>2568</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3123</v>
      </c>
      <c r="G365" s="616"/>
      <c r="H365" s="655"/>
      <c r="J365" s="607" t="s">
        <v>2569</v>
      </c>
      <c r="L365" s="607" t="s">
        <v>2570</v>
      </c>
    </row>
    <row r="366" spans="2:13" s="607" customFormat="1" ht="15.75" customHeight="1">
      <c r="B366" s="617" t="str">
        <f t="shared" ref="B366:B429" si="6">INDEX(C366:G366,MATCH($B$11,$C$11:$G$11,0))</f>
        <v>Need to remove a fixture?</v>
      </c>
      <c r="C366" s="603" t="s">
        <v>1084</v>
      </c>
      <c r="D366" s="603" t="s">
        <v>1167</v>
      </c>
      <c r="E366" s="601" t="s">
        <v>1638</v>
      </c>
      <c r="F366" s="662" t="s">
        <v>3124</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3125</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3313</v>
      </c>
      <c r="G368" s="616"/>
      <c r="H368" s="655"/>
      <c r="J368" s="607" t="s">
        <v>2571</v>
      </c>
    </row>
    <row r="369" spans="2:31" s="607" customFormat="1" ht="15.75" customHeight="1">
      <c r="B369" s="617" t="str">
        <f t="shared" si="6"/>
        <v>Notes:</v>
      </c>
      <c r="C369" s="603" t="s">
        <v>1079</v>
      </c>
      <c r="D369" s="603" t="s">
        <v>1893</v>
      </c>
      <c r="E369" s="601" t="s">
        <v>1232</v>
      </c>
      <c r="F369" s="662" t="s">
        <v>3126</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3127</v>
      </c>
      <c r="G370" s="616"/>
      <c r="H370" s="655"/>
    </row>
    <row r="371" spans="2:31" s="607" customFormat="1" ht="15.75" customHeight="1">
      <c r="B371" s="617" t="str">
        <f t="shared" si="6"/>
        <v>Energy Inflation Rate (%/year)</v>
      </c>
      <c r="C371" s="603" t="s">
        <v>1069</v>
      </c>
      <c r="D371" s="603" t="s">
        <v>1894</v>
      </c>
      <c r="E371" s="601" t="s">
        <v>1233</v>
      </c>
      <c r="F371" s="662" t="s">
        <v>3137</v>
      </c>
      <c r="G371" s="616"/>
      <c r="H371" s="655"/>
      <c r="J371" s="607" t="s">
        <v>2572</v>
      </c>
    </row>
    <row r="372" spans="2:31" s="607" customFormat="1" ht="15.75" customHeight="1">
      <c r="B372" s="617" t="str">
        <f t="shared" si="6"/>
        <v>Simple Payback</v>
      </c>
      <c r="C372" s="603" t="s">
        <v>1125</v>
      </c>
      <c r="D372" s="603" t="s">
        <v>1337</v>
      </c>
      <c r="E372" s="601" t="s">
        <v>1234</v>
      </c>
      <c r="F372" s="662" t="s">
        <v>3128</v>
      </c>
      <c r="G372" s="616"/>
      <c r="H372" s="655"/>
      <c r="J372" s="607" t="s">
        <v>2573</v>
      </c>
    </row>
    <row r="373" spans="2:31" s="607" customFormat="1" ht="15.75" customHeight="1">
      <c r="B373" s="617" t="str">
        <f t="shared" si="6"/>
        <v>Total Installation Cost</v>
      </c>
      <c r="C373" s="603" t="s">
        <v>1126</v>
      </c>
      <c r="D373" s="603" t="s">
        <v>1338</v>
      </c>
      <c r="E373" s="601" t="s">
        <v>1235</v>
      </c>
      <c r="F373" s="662" t="s">
        <v>3129</v>
      </c>
      <c r="G373" s="616"/>
      <c r="H373" s="655"/>
      <c r="J373" s="607" t="s">
        <v>2574</v>
      </c>
    </row>
    <row r="374" spans="2:31" s="607" customFormat="1" ht="15.75" customHeight="1">
      <c r="B374" s="617" t="str">
        <f t="shared" si="6"/>
        <v>Total Annual Cost</v>
      </c>
      <c r="C374" s="603" t="s">
        <v>1127</v>
      </c>
      <c r="D374" s="603" t="s">
        <v>1339</v>
      </c>
      <c r="E374" s="601" t="s">
        <v>1236</v>
      </c>
      <c r="F374" s="662" t="s">
        <v>3130</v>
      </c>
      <c r="G374" s="616"/>
      <c r="H374" s="655"/>
      <c r="J374" s="607" t="s">
        <v>2575</v>
      </c>
    </row>
    <row r="375" spans="2:31" s="607" customFormat="1" ht="15.75" customHeight="1">
      <c r="B375" s="617" t="str">
        <f t="shared" si="6"/>
        <v>Installation Cost Difference (to baseline)</v>
      </c>
      <c r="C375" s="603" t="s">
        <v>1129</v>
      </c>
      <c r="D375" s="603" t="s">
        <v>1169</v>
      </c>
      <c r="E375" s="601" t="s">
        <v>1237</v>
      </c>
      <c r="F375" s="662" t="s">
        <v>3131</v>
      </c>
      <c r="G375" s="616"/>
      <c r="H375" s="655"/>
      <c r="J375" s="607" t="s">
        <v>2576</v>
      </c>
    </row>
    <row r="376" spans="2:31" s="607" customFormat="1" ht="15.75" customHeight="1">
      <c r="B376" s="617" t="str">
        <f t="shared" si="6"/>
        <v>Annual Cost Savings (to baseline)</v>
      </c>
      <c r="C376" s="603" t="s">
        <v>1128</v>
      </c>
      <c r="D376" s="603" t="s">
        <v>1170</v>
      </c>
      <c r="E376" s="601" t="s">
        <v>1640</v>
      </c>
      <c r="F376" s="662" t="s">
        <v>3132</v>
      </c>
      <c r="G376" s="616"/>
      <c r="H376" s="655"/>
      <c r="J376" s="607" t="s">
        <v>2577</v>
      </c>
    </row>
    <row r="377" spans="2:31" s="607" customFormat="1" ht="15.75" customHeight="1">
      <c r="B377" s="617" t="str">
        <f t="shared" si="6"/>
        <v>Net Present Value - Total Cost of Ownership</v>
      </c>
      <c r="C377" s="603" t="s">
        <v>1133</v>
      </c>
      <c r="D377" s="603" t="s">
        <v>1171</v>
      </c>
      <c r="E377" s="601" t="s">
        <v>1239</v>
      </c>
      <c r="F377" s="662" t="s">
        <v>3133</v>
      </c>
      <c r="G377" s="616"/>
      <c r="H377" s="655"/>
      <c r="J377" s="607" t="s">
        <v>2578</v>
      </c>
      <c r="L377" s="607" t="s">
        <v>2579</v>
      </c>
    </row>
    <row r="378" spans="2:31" s="607" customFormat="1" ht="15.75" customHeight="1">
      <c r="B378" s="617" t="str">
        <f t="shared" si="6"/>
        <v>Year</v>
      </c>
      <c r="C378" s="603" t="s">
        <v>1134</v>
      </c>
      <c r="D378" s="603" t="s">
        <v>1895</v>
      </c>
      <c r="E378" s="601" t="s">
        <v>1240</v>
      </c>
      <c r="F378" s="662" t="s">
        <v>3134</v>
      </c>
      <c r="G378" s="616"/>
      <c r="H378" s="655"/>
      <c r="J378" s="607" t="s">
        <v>2580</v>
      </c>
      <c r="L378" s="607" t="s">
        <v>2581</v>
      </c>
      <c r="M378" s="607" t="s">
        <v>2582</v>
      </c>
      <c r="N378" s="607" t="s">
        <v>2583</v>
      </c>
      <c r="O378" s="607" t="s">
        <v>2584</v>
      </c>
      <c r="P378" s="607" t="s">
        <v>2585</v>
      </c>
      <c r="Q378" s="607" t="s">
        <v>2586</v>
      </c>
      <c r="R378" s="607" t="s">
        <v>2587</v>
      </c>
      <c r="S378" s="607" t="s">
        <v>2588</v>
      </c>
      <c r="T378" s="607" t="s">
        <v>2589</v>
      </c>
      <c r="U378" s="607" t="s">
        <v>2590</v>
      </c>
      <c r="V378" s="607" t="s">
        <v>2591</v>
      </c>
      <c r="W378" s="607" t="s">
        <v>2592</v>
      </c>
      <c r="X378" s="607" t="s">
        <v>2593</v>
      </c>
      <c r="Y378" s="607" t="s">
        <v>2594</v>
      </c>
      <c r="Z378" s="607" t="s">
        <v>2595</v>
      </c>
      <c r="AA378" s="607" t="s">
        <v>2596</v>
      </c>
      <c r="AB378" s="607" t="s">
        <v>2597</v>
      </c>
      <c r="AC378" s="607" t="s">
        <v>2598</v>
      </c>
      <c r="AD378" s="607" t="s">
        <v>2599</v>
      </c>
      <c r="AE378" s="607" t="s">
        <v>2600</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1896</v>
      </c>
      <c r="E379" s="601" t="s">
        <v>1641</v>
      </c>
      <c r="F379" s="662" t="s">
        <v>3135</v>
      </c>
      <c r="G379" s="616"/>
      <c r="H379" s="655"/>
    </row>
    <row r="380" spans="2:31" s="607" customFormat="1" ht="15.75" customHeight="1">
      <c r="B380" s="617" t="str">
        <f t="shared" si="6"/>
        <v>Create output file</v>
      </c>
      <c r="C380" s="603" t="s">
        <v>1149</v>
      </c>
      <c r="D380" s="603" t="s">
        <v>1897</v>
      </c>
      <c r="E380" s="601" t="s">
        <v>1241</v>
      </c>
      <c r="F380" s="662" t="s">
        <v>3136</v>
      </c>
      <c r="G380" s="616"/>
      <c r="H380" s="655"/>
    </row>
    <row r="381" spans="2:31" s="607" customFormat="1" ht="15.75" customHeight="1">
      <c r="B381" s="617" t="str">
        <f t="shared" si="6"/>
        <v>Energy Inflation Rate (%/year)</v>
      </c>
      <c r="C381" s="603" t="s">
        <v>1069</v>
      </c>
      <c r="D381" s="603" t="s">
        <v>1894</v>
      </c>
      <c r="E381" s="601" t="s">
        <v>1233</v>
      </c>
      <c r="F381" s="662" t="s">
        <v>3137</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1898</v>
      </c>
      <c r="E382" s="601" t="s">
        <v>1642</v>
      </c>
      <c r="F382" s="662" t="s">
        <v>3138</v>
      </c>
      <c r="G382" s="616"/>
      <c r="H382" s="655"/>
    </row>
    <row r="383" spans="2:31" s="607" customFormat="1" ht="15.75" customHeight="1">
      <c r="B383" s="617" t="str">
        <f t="shared" si="6"/>
        <v>(enter values here)</v>
      </c>
      <c r="C383" s="603" t="s">
        <v>1154</v>
      </c>
      <c r="D383" s="604" t="s">
        <v>1177</v>
      </c>
      <c r="E383" s="604" t="s">
        <v>1178</v>
      </c>
      <c r="F383" s="662" t="s">
        <v>3139</v>
      </c>
      <c r="G383" s="616"/>
      <c r="H383" s="655"/>
    </row>
    <row r="384" spans="2:31" s="607" customFormat="1" ht="15.75" customHeight="1">
      <c r="B384" s="617" t="str">
        <f t="shared" si="6"/>
        <v>(read me)</v>
      </c>
      <c r="C384" s="603" t="s">
        <v>1141</v>
      </c>
      <c r="D384" s="604" t="s">
        <v>1180</v>
      </c>
      <c r="E384" s="604" t="s">
        <v>1179</v>
      </c>
      <c r="F384" s="662" t="s">
        <v>3140</v>
      </c>
      <c r="G384" s="616"/>
      <c r="H384" s="655"/>
    </row>
    <row r="385" spans="2:10" s="607" customFormat="1" ht="15.75" customHeight="1">
      <c r="B385" s="617" t="str">
        <f t="shared" si="6"/>
        <v>(navigate)</v>
      </c>
      <c r="C385" s="603" t="s">
        <v>1142</v>
      </c>
      <c r="D385" s="604" t="s">
        <v>1181</v>
      </c>
      <c r="E385" s="604" t="s">
        <v>1182</v>
      </c>
      <c r="F385" s="662" t="s">
        <v>3141</v>
      </c>
      <c r="G385" s="616"/>
      <c r="H385" s="655"/>
    </row>
    <row r="386" spans="2:10" s="607" customFormat="1" ht="15.75" customHeight="1">
      <c r="B386" s="617" t="str">
        <f t="shared" si="6"/>
        <v>Single-side</v>
      </c>
      <c r="C386" s="601" t="s">
        <v>320</v>
      </c>
      <c r="D386" s="601" t="s">
        <v>1183</v>
      </c>
      <c r="E386" s="601" t="s">
        <v>1554</v>
      </c>
      <c r="F386" s="662" t="s">
        <v>3299</v>
      </c>
      <c r="G386" s="616"/>
      <c r="H386" s="655"/>
    </row>
    <row r="387" spans="2:10" s="607" customFormat="1" ht="15.75" customHeight="1">
      <c r="B387" s="617" t="str">
        <f t="shared" si="6"/>
        <v>Staggered</v>
      </c>
      <c r="C387" s="601" t="s">
        <v>367</v>
      </c>
      <c r="D387" s="601" t="s">
        <v>807</v>
      </c>
      <c r="E387" s="601" t="s">
        <v>990</v>
      </c>
      <c r="F387" s="662" t="s">
        <v>3300</v>
      </c>
      <c r="G387" s="616"/>
      <c r="H387" s="655"/>
    </row>
    <row r="388" spans="2:10" s="607" customFormat="1" ht="15.75" customHeight="1">
      <c r="B388" s="617" t="str">
        <f t="shared" si="6"/>
        <v>Median mounted</v>
      </c>
      <c r="C388" s="601" t="s">
        <v>1184</v>
      </c>
      <c r="D388" s="601" t="s">
        <v>1185</v>
      </c>
      <c r="E388" s="601" t="s">
        <v>1353</v>
      </c>
      <c r="F388" s="662" t="s">
        <v>3301</v>
      </c>
      <c r="G388" s="616"/>
      <c r="H388" s="655"/>
    </row>
    <row r="389" spans="2:10" s="607" customFormat="1" ht="15.75" customHeight="1">
      <c r="B389" s="617" t="str">
        <f t="shared" si="6"/>
        <v>Opposite</v>
      </c>
      <c r="C389" s="601" t="s">
        <v>1246</v>
      </c>
      <c r="D389" s="609" t="s">
        <v>1406</v>
      </c>
      <c r="E389" s="601" t="s">
        <v>1354</v>
      </c>
      <c r="F389" s="662" t="s">
        <v>2912</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3142</v>
      </c>
      <c r="G390" s="616"/>
      <c r="H390" s="655"/>
      <c r="I390" s="607" t="s">
        <v>2601</v>
      </c>
    </row>
    <row r="391" spans="2:10" s="607" customFormat="1" ht="15.75" customHeight="1">
      <c r="B391" s="617" t="str">
        <f t="shared" si="6"/>
        <v>1) Add files to list below</v>
      </c>
      <c r="C391" s="601" t="s">
        <v>1751</v>
      </c>
      <c r="D391" s="601" t="s">
        <v>1752</v>
      </c>
      <c r="E391" s="601" t="s">
        <v>1753</v>
      </c>
      <c r="F391" s="662" t="s">
        <v>3143</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3144</v>
      </c>
      <c r="G392" s="616"/>
      <c r="H392" s="655"/>
      <c r="I392" s="607" t="s">
        <v>2602</v>
      </c>
    </row>
    <row r="393" spans="2:10" s="607" customFormat="1" ht="15.75" customHeight="1">
      <c r="B393" s="617" t="str">
        <f t="shared" si="6"/>
        <v>Be sure to add the Fixture Type and edit the Fixture Name if desired</v>
      </c>
      <c r="C393" s="601" t="s">
        <v>1197</v>
      </c>
      <c r="D393" s="601" t="s">
        <v>1225</v>
      </c>
      <c r="E393" s="601" t="s">
        <v>1644</v>
      </c>
      <c r="F393" s="662" t="s">
        <v>3145</v>
      </c>
      <c r="G393" s="616"/>
      <c r="H393" s="655"/>
      <c r="I393" s="607" t="s">
        <v>2603</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3146</v>
      </c>
      <c r="G394" s="616"/>
      <c r="H394" s="655"/>
      <c r="J394" s="607" t="s">
        <v>2604</v>
      </c>
    </row>
    <row r="395" spans="2:10" s="607" customFormat="1" ht="15.75" customHeight="1">
      <c r="B395" s="617" t="str">
        <f t="shared" si="6"/>
        <v>Fixture already installed (mark with 'x')</v>
      </c>
      <c r="C395" s="601" t="s">
        <v>1124</v>
      </c>
      <c r="D395" s="601" t="s">
        <v>1209</v>
      </c>
      <c r="E395" s="601" t="s">
        <v>1647</v>
      </c>
      <c r="F395" s="662" t="s">
        <v>3318</v>
      </c>
      <c r="G395" s="616"/>
      <c r="H395" s="655"/>
      <c r="J395" s="607" t="s">
        <v>2605</v>
      </c>
    </row>
    <row r="396" spans="2:10" s="607" customFormat="1" ht="15.75" customHeight="1">
      <c r="B396" s="617" t="str">
        <f t="shared" si="6"/>
        <v>Inputs</v>
      </c>
      <c r="C396" s="601" t="s">
        <v>106</v>
      </c>
      <c r="D396" s="601" t="s">
        <v>1210</v>
      </c>
      <c r="E396" s="602" t="s">
        <v>879</v>
      </c>
      <c r="F396" s="662" t="s">
        <v>3147</v>
      </c>
      <c r="G396" s="616"/>
      <c r="H396" s="655"/>
      <c r="J396" s="607" t="s">
        <v>2606</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3148</v>
      </c>
      <c r="G397" s="616"/>
      <c r="H397" s="655"/>
      <c r="I397" s="607" t="s">
        <v>2607</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3149</v>
      </c>
      <c r="G398" s="616"/>
      <c r="H398" s="655"/>
      <c r="I398" s="607" t="s">
        <v>2608</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3150</v>
      </c>
      <c r="G399" s="616"/>
      <c r="H399" s="655"/>
      <c r="I399" s="607" t="s">
        <v>2609</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3151</v>
      </c>
      <c r="G400" s="616"/>
      <c r="H400" s="655"/>
      <c r="I400" s="607" t="s">
        <v>2610</v>
      </c>
    </row>
    <row r="401" spans="1:10" s="607" customFormat="1" ht="15.75" customHeight="1">
      <c r="B401" s="617" t="str">
        <f t="shared" si="6"/>
        <v xml:space="preserve">Output file is generated successfully in </v>
      </c>
      <c r="C401" s="601" t="s">
        <v>1309</v>
      </c>
      <c r="D401" s="601" t="s">
        <v>1412</v>
      </c>
      <c r="E401" s="601" t="s">
        <v>1461</v>
      </c>
      <c r="F401" s="662" t="s">
        <v>3152</v>
      </c>
      <c r="G401" s="616"/>
      <c r="H401" s="655"/>
      <c r="I401" s="607" t="s">
        <v>2611</v>
      </c>
    </row>
    <row r="402" spans="1:10" s="607" customFormat="1" ht="15.75" customHeight="1">
      <c r="B402" s="617" t="str">
        <f t="shared" si="6"/>
        <v>Others</v>
      </c>
      <c r="C402" s="601" t="s">
        <v>1260</v>
      </c>
      <c r="D402" s="601" t="s">
        <v>1365</v>
      </c>
      <c r="E402" s="601" t="s">
        <v>1366</v>
      </c>
      <c r="F402" s="662" t="s">
        <v>3153</v>
      </c>
      <c r="G402" s="616"/>
      <c r="H402" s="655"/>
    </row>
    <row r="403" spans="1:10" s="607" customFormat="1" ht="15.75" customHeight="1">
      <c r="B403" s="618" t="str">
        <f t="shared" si="6"/>
        <v>Illuminance Calculations</v>
      </c>
      <c r="C403" s="603" t="s">
        <v>1261</v>
      </c>
      <c r="D403" s="604" t="s">
        <v>789</v>
      </c>
      <c r="E403" s="601" t="s">
        <v>1648</v>
      </c>
      <c r="F403" s="662" t="s">
        <v>3154</v>
      </c>
      <c r="G403" s="616"/>
      <c r="H403" s="655"/>
      <c r="J403" s="607" t="s">
        <v>2612</v>
      </c>
    </row>
    <row r="404" spans="1:10" s="607" customFormat="1" ht="15.75" customHeight="1">
      <c r="B404" s="618" t="str">
        <f t="shared" si="6"/>
        <v>Luminance Calculations</v>
      </c>
      <c r="C404" s="603" t="s">
        <v>1262</v>
      </c>
      <c r="D404" s="604" t="s">
        <v>1367</v>
      </c>
      <c r="E404" s="601" t="s">
        <v>1649</v>
      </c>
      <c r="F404" s="662" t="s">
        <v>3155</v>
      </c>
      <c r="G404" s="616"/>
      <c r="H404" s="655"/>
      <c r="J404" s="607" t="s">
        <v>2613</v>
      </c>
    </row>
    <row r="405" spans="1:10" s="607" customFormat="1" ht="15.75" customHeight="1">
      <c r="B405" s="618" t="str">
        <f t="shared" si="6"/>
        <v>The table below displays Illuminance at every gridpoint</v>
      </c>
      <c r="C405" s="603" t="s">
        <v>1264</v>
      </c>
      <c r="D405" s="603" t="s">
        <v>1413</v>
      </c>
      <c r="E405" s="601" t="s">
        <v>1650</v>
      </c>
      <c r="F405" s="662" t="s">
        <v>3156</v>
      </c>
      <c r="G405" s="616"/>
      <c r="H405" s="655"/>
      <c r="J405" s="607" t="s">
        <v>2614</v>
      </c>
    </row>
    <row r="406" spans="1:10" s="607" customFormat="1" ht="15.75" customHeight="1">
      <c r="B406" s="618" t="str">
        <f t="shared" si="6"/>
        <v>The table below displays Luminance at every gridpoint</v>
      </c>
      <c r="C406" s="603" t="s">
        <v>1265</v>
      </c>
      <c r="D406" s="603" t="s">
        <v>1413</v>
      </c>
      <c r="E406" s="601" t="s">
        <v>1651</v>
      </c>
      <c r="F406" s="662" t="s">
        <v>3157</v>
      </c>
      <c r="G406" s="616"/>
      <c r="H406" s="655"/>
      <c r="J406" s="607" t="s">
        <v>2615</v>
      </c>
    </row>
    <row r="407" spans="1:10" s="607" customFormat="1" ht="15.75" customHeight="1">
      <c r="B407" s="618" t="str">
        <f t="shared" si="6"/>
        <v>Average</v>
      </c>
      <c r="C407" s="603" t="s">
        <v>12</v>
      </c>
      <c r="D407" s="604" t="s">
        <v>767</v>
      </c>
      <c r="E407" s="604" t="s">
        <v>958</v>
      </c>
      <c r="F407" s="661" t="s">
        <v>3011</v>
      </c>
      <c r="G407" s="616"/>
      <c r="H407" s="655"/>
      <c r="J407" s="607" t="s">
        <v>2616</v>
      </c>
    </row>
    <row r="408" spans="1:10" s="607" customFormat="1" ht="15.75" customHeight="1">
      <c r="B408" s="618" t="str">
        <f t="shared" si="6"/>
        <v>Minimum</v>
      </c>
      <c r="C408" s="603" t="s">
        <v>1268</v>
      </c>
      <c r="D408" s="604" t="s">
        <v>1368</v>
      </c>
      <c r="E408" s="604" t="s">
        <v>1369</v>
      </c>
      <c r="F408" s="662" t="s">
        <v>3158</v>
      </c>
      <c r="G408" s="616"/>
      <c r="H408" s="655"/>
      <c r="J408" s="607" t="s">
        <v>2617</v>
      </c>
    </row>
    <row r="409" spans="1:10" s="607" customFormat="1" ht="15.75" customHeight="1">
      <c r="B409" s="618" t="str">
        <f t="shared" si="6"/>
        <v>Maximum</v>
      </c>
      <c r="C409" s="603" t="s">
        <v>1269</v>
      </c>
      <c r="D409" s="604" t="s">
        <v>1370</v>
      </c>
      <c r="E409" s="604" t="s">
        <v>1371</v>
      </c>
      <c r="F409" s="662" t="s">
        <v>3159</v>
      </c>
      <c r="G409" s="616"/>
      <c r="H409" s="655"/>
      <c r="J409" s="607" t="s">
        <v>2618</v>
      </c>
    </row>
    <row r="410" spans="1:10" s="607" customFormat="1" ht="15.75" customHeight="1">
      <c r="B410" s="618" t="str">
        <f t="shared" si="6"/>
        <v>Minimum/Average</v>
      </c>
      <c r="C410" s="603" t="s">
        <v>1323</v>
      </c>
      <c r="D410" s="604" t="s">
        <v>1372</v>
      </c>
      <c r="E410" s="604" t="s">
        <v>1373</v>
      </c>
      <c r="F410" s="662" t="s">
        <v>3160</v>
      </c>
      <c r="G410" s="616"/>
      <c r="H410" s="655"/>
      <c r="J410" s="607" t="s">
        <v>2619</v>
      </c>
    </row>
    <row r="411" spans="1:10" s="607" customFormat="1" ht="15.75" customHeight="1">
      <c r="B411" s="618" t="str">
        <f t="shared" si="6"/>
        <v>Maximum/Minimum</v>
      </c>
      <c r="C411" s="603" t="s">
        <v>1324</v>
      </c>
      <c r="D411" s="604" t="s">
        <v>1374</v>
      </c>
      <c r="E411" s="604" t="s">
        <v>1375</v>
      </c>
      <c r="F411" s="662" t="s">
        <v>3161</v>
      </c>
      <c r="G411" s="616"/>
      <c r="H411" s="655"/>
      <c r="J411" s="607" t="s">
        <v>2620</v>
      </c>
    </row>
    <row r="412" spans="1:10" s="607" customFormat="1" ht="15.75" customHeight="1">
      <c r="B412" s="618" t="str">
        <f t="shared" si="6"/>
        <v>(enter values here)</v>
      </c>
      <c r="C412" s="603" t="s">
        <v>1154</v>
      </c>
      <c r="D412" s="604" t="s">
        <v>1177</v>
      </c>
      <c r="E412" s="604" t="s">
        <v>1178</v>
      </c>
      <c r="F412" s="662" t="s">
        <v>3162</v>
      </c>
      <c r="G412" s="616"/>
      <c r="H412" s="655"/>
    </row>
    <row r="413" spans="1:10" s="607" customFormat="1" ht="15.75" customHeight="1">
      <c r="B413" s="618" t="str">
        <f t="shared" si="6"/>
        <v>(read me)</v>
      </c>
      <c r="C413" s="603" t="s">
        <v>1141</v>
      </c>
      <c r="D413" s="604" t="s">
        <v>1180</v>
      </c>
      <c r="E413" s="604" t="s">
        <v>1179</v>
      </c>
      <c r="F413" s="662" t="s">
        <v>3140</v>
      </c>
      <c r="G413" s="616"/>
      <c r="H413" s="655"/>
    </row>
    <row r="414" spans="1:10" s="607" customFormat="1" ht="15.75" customHeight="1">
      <c r="B414" s="618" t="str">
        <f t="shared" si="6"/>
        <v>(navigate)</v>
      </c>
      <c r="C414" s="603" t="s">
        <v>1142</v>
      </c>
      <c r="D414" s="604" t="s">
        <v>1181</v>
      </c>
      <c r="E414" s="604" t="s">
        <v>1182</v>
      </c>
      <c r="F414" s="662" t="s">
        <v>3141</v>
      </c>
      <c r="G414" s="616"/>
      <c r="H414" s="655"/>
    </row>
    <row r="415" spans="1:10" s="607" customFormat="1" ht="15.75" customHeight="1">
      <c r="B415" s="618" t="str">
        <f t="shared" si="6"/>
        <v>Output</v>
      </c>
      <c r="C415" s="603" t="s">
        <v>1310</v>
      </c>
      <c r="D415" s="604" t="s">
        <v>1455</v>
      </c>
      <c r="E415" s="604" t="s">
        <v>1462</v>
      </c>
      <c r="F415" s="662" t="s">
        <v>3163</v>
      </c>
      <c r="G415" s="616"/>
      <c r="H415" s="655"/>
    </row>
    <row r="416" spans="1:10" s="607" customFormat="1" ht="15.75" customHeight="1">
      <c r="A416" s="607">
        <v>416</v>
      </c>
      <c r="B416" s="618" t="str">
        <f t="shared" si="6"/>
        <v>Illuminance vs Wattage</v>
      </c>
      <c r="C416" s="603" t="s">
        <v>1311</v>
      </c>
      <c r="D416" s="604" t="s">
        <v>1414</v>
      </c>
      <c r="E416" s="604" t="s">
        <v>1463</v>
      </c>
      <c r="F416" s="662" t="s">
        <v>3164</v>
      </c>
      <c r="G416" s="616"/>
      <c r="H416" s="655"/>
    </row>
    <row r="417" spans="1:17" s="607" customFormat="1" ht="15.75" customHeight="1">
      <c r="A417" s="607">
        <v>417</v>
      </c>
      <c r="B417" s="618" t="str">
        <f t="shared" si="6"/>
        <v>Target vs Actual Avg Illuminance</v>
      </c>
      <c r="C417" s="603" t="s">
        <v>1312</v>
      </c>
      <c r="D417" s="604" t="s">
        <v>1415</v>
      </c>
      <c r="E417" s="604" t="s">
        <v>1464</v>
      </c>
      <c r="F417" s="662" t="s">
        <v>3165</v>
      </c>
      <c r="G417" s="616"/>
      <c r="H417" s="655"/>
    </row>
    <row r="418" spans="1:17" s="607" customFormat="1" ht="15.75" customHeight="1">
      <c r="A418" s="607">
        <v>418</v>
      </c>
      <c r="B418" s="618" t="str">
        <f t="shared" si="6"/>
        <v>Uniformity (Illuminance)</v>
      </c>
      <c r="C418" s="603" t="s">
        <v>1343</v>
      </c>
      <c r="D418" s="604" t="s">
        <v>1486</v>
      </c>
      <c r="E418" s="604" t="s">
        <v>1488</v>
      </c>
      <c r="F418" s="662" t="s">
        <v>3166</v>
      </c>
      <c r="G418" s="616"/>
      <c r="H418" s="655"/>
    </row>
    <row r="419" spans="1:17" s="607" customFormat="1" ht="15.75" customHeight="1">
      <c r="A419" s="607">
        <v>419</v>
      </c>
      <c r="B419" s="618" t="str">
        <f t="shared" si="6"/>
        <v>Luminance vs Wattage</v>
      </c>
      <c r="C419" s="601" t="s">
        <v>1313</v>
      </c>
      <c r="D419" s="601" t="s">
        <v>1652</v>
      </c>
      <c r="E419" s="601" t="s">
        <v>1465</v>
      </c>
      <c r="F419" s="662" t="s">
        <v>3167</v>
      </c>
      <c r="G419" s="616"/>
      <c r="H419" s="655"/>
    </row>
    <row r="420" spans="1:17" s="607" customFormat="1" ht="15.75" customHeight="1">
      <c r="A420" s="607">
        <v>420</v>
      </c>
      <c r="B420" s="618" t="str">
        <f t="shared" si="6"/>
        <v>Target vs Actual Avg Luminance</v>
      </c>
      <c r="C420" s="601" t="s">
        <v>1314</v>
      </c>
      <c r="D420" s="601" t="s">
        <v>1653</v>
      </c>
      <c r="E420" s="601" t="s">
        <v>1466</v>
      </c>
      <c r="F420" s="662" t="s">
        <v>3168</v>
      </c>
      <c r="G420" s="616"/>
      <c r="H420" s="655"/>
    </row>
    <row r="421" spans="1:17" s="607" customFormat="1" ht="15.75" customHeight="1">
      <c r="A421" s="607">
        <v>421</v>
      </c>
      <c r="B421" s="617" t="str">
        <f t="shared" si="6"/>
        <v>Uniformity (Luminance)</v>
      </c>
      <c r="C421" s="601" t="s">
        <v>1342</v>
      </c>
      <c r="D421" s="604" t="s">
        <v>1487</v>
      </c>
      <c r="E421" s="604" t="s">
        <v>1489</v>
      </c>
      <c r="F421" s="662" t="s">
        <v>3169</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3170</v>
      </c>
      <c r="G422" s="616"/>
      <c r="H422" s="655"/>
    </row>
    <row r="423" spans="1:17" s="607" customFormat="1" ht="15.75" customHeight="1">
      <c r="A423" s="607">
        <v>423</v>
      </c>
      <c r="B423" s="617" t="str">
        <f t="shared" si="6"/>
        <v>Dashboard</v>
      </c>
      <c r="C423" s="601" t="s">
        <v>1270</v>
      </c>
      <c r="D423" s="601" t="s">
        <v>1416</v>
      </c>
      <c r="E423" s="601" t="s">
        <v>1467</v>
      </c>
      <c r="F423" s="661" t="s">
        <v>3171</v>
      </c>
      <c r="G423" s="616"/>
      <c r="H423" s="655"/>
      <c r="J423" s="607" t="s">
        <v>2621</v>
      </c>
    </row>
    <row r="424" spans="1:17" s="607" customFormat="1" ht="15.75" customHeight="1">
      <c r="A424" s="607">
        <v>424</v>
      </c>
      <c r="B424" s="617" t="str">
        <f t="shared" si="6"/>
        <v>Inputs</v>
      </c>
      <c r="C424" s="601" t="s">
        <v>106</v>
      </c>
      <c r="D424" s="604" t="s">
        <v>662</v>
      </c>
      <c r="E424" s="604" t="s">
        <v>879</v>
      </c>
      <c r="F424" s="662" t="s">
        <v>3147</v>
      </c>
      <c r="G424" s="616"/>
      <c r="H424" s="655"/>
      <c r="J424" s="607" t="s">
        <v>2622</v>
      </c>
    </row>
    <row r="425" spans="1:17" s="607" customFormat="1" ht="15.75" customHeight="1">
      <c r="A425" s="607">
        <v>425</v>
      </c>
      <c r="B425" s="617" t="str">
        <f t="shared" si="6"/>
        <v>Simulation ID</v>
      </c>
      <c r="C425" s="601" t="s">
        <v>1051</v>
      </c>
      <c r="D425" s="601" t="s">
        <v>1051</v>
      </c>
      <c r="E425" s="601" t="s">
        <v>1468</v>
      </c>
      <c r="F425" s="662" t="s">
        <v>3172</v>
      </c>
      <c r="G425" s="616"/>
      <c r="H425" s="655"/>
      <c r="J425" s="607" t="s">
        <v>2623</v>
      </c>
      <c r="L425" s="607" t="s">
        <v>2624</v>
      </c>
      <c r="M425" s="607" t="s">
        <v>2625</v>
      </c>
      <c r="N425" s="607" t="s">
        <v>2626</v>
      </c>
      <c r="O425" s="607" t="s">
        <v>2627</v>
      </c>
      <c r="P425" s="607" t="s">
        <v>2628</v>
      </c>
      <c r="Q425" s="607" t="s">
        <v>2629</v>
      </c>
    </row>
    <row r="426" spans="1:17" s="607" customFormat="1" ht="15.75" customHeight="1">
      <c r="A426" s="607">
        <v>426</v>
      </c>
      <c r="B426" s="617" t="str">
        <f t="shared" si="6"/>
        <v>Fixture Name</v>
      </c>
      <c r="C426" s="601" t="s">
        <v>50</v>
      </c>
      <c r="D426" s="604" t="s">
        <v>670</v>
      </c>
      <c r="E426" s="604" t="s">
        <v>882</v>
      </c>
      <c r="F426" s="662" t="s">
        <v>3173</v>
      </c>
      <c r="G426" s="616"/>
      <c r="H426" s="655"/>
      <c r="J426" s="607" t="s">
        <v>2630</v>
      </c>
      <c r="L426" s="607" t="s">
        <v>2631</v>
      </c>
      <c r="M426" s="607" t="s">
        <v>2632</v>
      </c>
      <c r="N426" s="607" t="s">
        <v>2633</v>
      </c>
      <c r="O426" s="607" t="s">
        <v>2634</v>
      </c>
      <c r="P426" s="607" t="s">
        <v>2635</v>
      </c>
      <c r="Q426" s="607" t="s">
        <v>2636</v>
      </c>
    </row>
    <row r="427" spans="1:17" s="607" customFormat="1" ht="15.75" customHeight="1">
      <c r="A427" s="607">
        <v>427</v>
      </c>
      <c r="B427" s="617" t="str">
        <f t="shared" si="6"/>
        <v>Type</v>
      </c>
      <c r="C427" s="601" t="s">
        <v>1</v>
      </c>
      <c r="D427" s="604" t="s">
        <v>661</v>
      </c>
      <c r="E427" s="604" t="s">
        <v>877</v>
      </c>
      <c r="F427" s="662" t="s">
        <v>2883</v>
      </c>
      <c r="G427" s="616"/>
      <c r="H427" s="655"/>
      <c r="J427" s="607" t="s">
        <v>2637</v>
      </c>
      <c r="L427" s="607" t="s">
        <v>2638</v>
      </c>
      <c r="M427" s="607" t="s">
        <v>2639</v>
      </c>
      <c r="N427" s="607" t="s">
        <v>2640</v>
      </c>
      <c r="O427" s="607" t="s">
        <v>2641</v>
      </c>
      <c r="P427" s="607" t="s">
        <v>2642</v>
      </c>
      <c r="Q427" s="607" t="s">
        <v>2643</v>
      </c>
    </row>
    <row r="428" spans="1:17" s="607" customFormat="1" ht="15.75" customHeight="1">
      <c r="A428" s="607">
        <v>428</v>
      </c>
      <c r="B428" s="617" t="str">
        <f t="shared" si="6"/>
        <v>Watts</v>
      </c>
      <c r="C428" s="601" t="s">
        <v>49</v>
      </c>
      <c r="D428" s="604" t="s">
        <v>49</v>
      </c>
      <c r="E428" s="604" t="s">
        <v>878</v>
      </c>
      <c r="F428" s="662" t="s">
        <v>2884</v>
      </c>
      <c r="G428" s="616"/>
      <c r="H428" s="655"/>
      <c r="J428" s="607" t="s">
        <v>2644</v>
      </c>
      <c r="L428" s="607" t="s">
        <v>2645</v>
      </c>
      <c r="M428" s="607" t="s">
        <v>2646</v>
      </c>
      <c r="N428" s="607" t="s">
        <v>2647</v>
      </c>
      <c r="O428" s="607" t="s">
        <v>2648</v>
      </c>
      <c r="P428" s="607" t="s">
        <v>2649</v>
      </c>
      <c r="Q428" s="607" t="s">
        <v>2650</v>
      </c>
    </row>
    <row r="429" spans="1:17" s="607" customFormat="1" ht="15.75" customHeight="1">
      <c r="B429" s="617" t="str">
        <f t="shared" si="6"/>
        <v>Fixtures/km</v>
      </c>
      <c r="C429" s="601" t="s">
        <v>55</v>
      </c>
      <c r="D429" s="604" t="s">
        <v>681</v>
      </c>
      <c r="E429" s="604" t="s">
        <v>892</v>
      </c>
      <c r="F429" s="662" t="s">
        <v>2905</v>
      </c>
      <c r="G429" s="616"/>
      <c r="H429" s="655"/>
      <c r="J429" s="607" t="s">
        <v>2651</v>
      </c>
    </row>
    <row r="430" spans="1:17" s="607" customFormat="1" ht="15.75" customHeight="1">
      <c r="B430" s="617" t="str">
        <f t="shared" ref="B430:B493" si="7">INDEX(C430:G430,MATCH($B$11,$C$11:$G$11,0))</f>
        <v>Number of Lanes</v>
      </c>
      <c r="C430" s="601" t="s">
        <v>5</v>
      </c>
      <c r="D430" s="604" t="s">
        <v>673</v>
      </c>
      <c r="E430" s="604" t="s">
        <v>885</v>
      </c>
      <c r="F430" s="662" t="s">
        <v>2895</v>
      </c>
      <c r="G430" s="616"/>
      <c r="H430" s="655"/>
      <c r="J430" s="607" t="s">
        <v>2652</v>
      </c>
    </row>
    <row r="431" spans="1:17" s="607" customFormat="1" ht="15.75" customHeight="1">
      <c r="B431" s="617" t="str">
        <f t="shared" si="7"/>
        <v>Lane Width</v>
      </c>
      <c r="C431" s="601" t="s">
        <v>6</v>
      </c>
      <c r="D431" s="604" t="s">
        <v>791</v>
      </c>
      <c r="E431" s="604" t="s">
        <v>978</v>
      </c>
      <c r="F431" s="662" t="s">
        <v>3033</v>
      </c>
      <c r="G431" s="616"/>
      <c r="H431" s="655"/>
      <c r="J431" s="607" t="s">
        <v>2653</v>
      </c>
    </row>
    <row r="432" spans="1:17" s="607" customFormat="1" ht="15.75" customHeight="1">
      <c r="B432" s="617" t="str">
        <f t="shared" si="7"/>
        <v>Shoulder Width</v>
      </c>
      <c r="C432" s="601" t="s">
        <v>33</v>
      </c>
      <c r="D432" s="604" t="s">
        <v>684</v>
      </c>
      <c r="E432" s="604" t="s">
        <v>895</v>
      </c>
      <c r="F432" s="662" t="s">
        <v>3174</v>
      </c>
      <c r="G432" s="616"/>
      <c r="H432" s="655"/>
    </row>
    <row r="433" spans="2:12" s="607" customFormat="1" ht="15.75" customHeight="1">
      <c r="B433" s="617" t="str">
        <f t="shared" si="7"/>
        <v>Median Width</v>
      </c>
      <c r="C433" s="601" t="s">
        <v>34</v>
      </c>
      <c r="D433" s="604" t="s">
        <v>682</v>
      </c>
      <c r="E433" s="604" t="s">
        <v>893</v>
      </c>
      <c r="F433" s="662" t="s">
        <v>3175</v>
      </c>
      <c r="G433" s="616"/>
      <c r="H433" s="655"/>
      <c r="J433" s="607" t="s">
        <v>2654</v>
      </c>
    </row>
    <row r="434" spans="2:12" s="607" customFormat="1" ht="15.75" customHeight="1">
      <c r="B434" s="617" t="str">
        <f t="shared" si="7"/>
        <v>Pole Placement</v>
      </c>
      <c r="C434" s="601" t="s">
        <v>15</v>
      </c>
      <c r="D434" s="604" t="s">
        <v>675</v>
      </c>
      <c r="E434" s="604" t="s">
        <v>887</v>
      </c>
      <c r="F434" s="662" t="s">
        <v>3176</v>
      </c>
      <c r="G434" s="616"/>
      <c r="H434" s="655"/>
      <c r="J434" s="607" t="s">
        <v>2655</v>
      </c>
    </row>
    <row r="435" spans="2:12" s="607" customFormat="1" ht="15.75" customHeight="1">
      <c r="B435" s="617" t="str">
        <f t="shared" si="7"/>
        <v>Luminaire Mounting Height</v>
      </c>
      <c r="C435" s="601" t="s">
        <v>1144</v>
      </c>
      <c r="D435" s="604" t="s">
        <v>1334</v>
      </c>
      <c r="E435" s="604" t="s">
        <v>1226</v>
      </c>
      <c r="F435" s="662" t="s">
        <v>3177</v>
      </c>
      <c r="G435" s="616"/>
      <c r="H435" s="655"/>
      <c r="J435" s="607" t="s">
        <v>2656</v>
      </c>
    </row>
    <row r="436" spans="2:12" s="607" customFormat="1" ht="15.75" customHeight="1">
      <c r="B436" s="617" t="str">
        <f t="shared" si="7"/>
        <v>Pole Spacing</v>
      </c>
      <c r="C436" s="601" t="s">
        <v>2</v>
      </c>
      <c r="D436" s="604" t="s">
        <v>794</v>
      </c>
      <c r="E436" s="604" t="s">
        <v>981</v>
      </c>
      <c r="F436" s="662" t="s">
        <v>3178</v>
      </c>
      <c r="G436" s="616"/>
      <c r="H436" s="655"/>
      <c r="J436" s="607" t="s">
        <v>2657</v>
      </c>
    </row>
    <row r="437" spans="2:12" s="607" customFormat="1" ht="15.75" customHeight="1">
      <c r="B437" s="617" t="str">
        <f t="shared" si="7"/>
        <v>Pole Setback</v>
      </c>
      <c r="C437" s="601" t="s">
        <v>3</v>
      </c>
      <c r="D437" s="604" t="s">
        <v>813</v>
      </c>
      <c r="E437" s="604" t="s">
        <v>997</v>
      </c>
      <c r="F437" s="662" t="s">
        <v>3179</v>
      </c>
      <c r="G437" s="616"/>
      <c r="H437" s="655"/>
      <c r="J437" s="607" t="s">
        <v>2658</v>
      </c>
    </row>
    <row r="438" spans="2:12" s="607" customFormat="1" ht="15.75" customHeight="1">
      <c r="B438" s="617" t="str">
        <f t="shared" si="7"/>
        <v>Arm Length</v>
      </c>
      <c r="C438" s="601" t="s">
        <v>1020</v>
      </c>
      <c r="D438" s="604" t="s">
        <v>1335</v>
      </c>
      <c r="E438" s="604" t="s">
        <v>891</v>
      </c>
      <c r="F438" s="662" t="s">
        <v>3111</v>
      </c>
      <c r="G438" s="616"/>
      <c r="H438" s="655"/>
      <c r="J438" s="607" t="s">
        <v>2659</v>
      </c>
    </row>
    <row r="439" spans="2:12" s="607" customFormat="1" ht="15.75" customHeight="1">
      <c r="B439" s="617" t="str">
        <f t="shared" si="7"/>
        <v>Lighting Output Multiplier</v>
      </c>
      <c r="C439" s="601" t="s">
        <v>1054</v>
      </c>
      <c r="D439" s="601" t="s">
        <v>1654</v>
      </c>
      <c r="E439" s="601" t="s">
        <v>1655</v>
      </c>
      <c r="F439" s="662" t="s">
        <v>3180</v>
      </c>
      <c r="G439" s="616"/>
      <c r="H439" s="655"/>
      <c r="J439" s="607" t="s">
        <v>2660</v>
      </c>
    </row>
    <row r="440" spans="2:12" s="607" customFormat="1" ht="15.75" customHeight="1">
      <c r="B440" s="617" t="str">
        <f t="shared" si="7"/>
        <v>Annual Energy</v>
      </c>
      <c r="C440" s="601" t="s">
        <v>20</v>
      </c>
      <c r="D440" s="604" t="s">
        <v>782</v>
      </c>
      <c r="E440" s="604" t="s">
        <v>972</v>
      </c>
      <c r="F440" s="662" t="s">
        <v>3181</v>
      </c>
      <c r="G440" s="616"/>
      <c r="H440" s="655"/>
      <c r="J440" s="607" t="s">
        <v>2661</v>
      </c>
    </row>
    <row r="441" spans="2:12" s="607" customFormat="1" ht="15.75" customHeight="1">
      <c r="B441" s="617" t="str">
        <f t="shared" si="7"/>
        <v>kWh/fixture</v>
      </c>
      <c r="C441" s="601" t="s">
        <v>21</v>
      </c>
      <c r="D441" s="604" t="s">
        <v>784</v>
      </c>
      <c r="E441" s="604" t="s">
        <v>974</v>
      </c>
      <c r="F441" s="662" t="s">
        <v>3182</v>
      </c>
      <c r="G441" s="616"/>
      <c r="H441" s="655"/>
      <c r="J441" s="607" t="s">
        <v>2662</v>
      </c>
    </row>
    <row r="442" spans="2:12" s="607" customFormat="1" ht="15.75" customHeight="1">
      <c r="B442" s="617" t="str">
        <f t="shared" si="7"/>
        <v>kWh/kilometer/yr</v>
      </c>
      <c r="C442" s="601" t="s">
        <v>57</v>
      </c>
      <c r="D442" s="604" t="s">
        <v>776</v>
      </c>
      <c r="E442" s="604" t="s">
        <v>968</v>
      </c>
      <c r="F442" s="662" t="s">
        <v>3183</v>
      </c>
      <c r="G442" s="616"/>
      <c r="H442" s="655"/>
      <c r="J442" s="607" t="s">
        <v>2663</v>
      </c>
    </row>
    <row r="443" spans="2:12" s="607" customFormat="1" ht="15.75" customHeight="1">
      <c r="B443" s="617" t="str">
        <f t="shared" si="7"/>
        <v>Illuminance</v>
      </c>
      <c r="C443" s="601" t="s">
        <v>17</v>
      </c>
      <c r="D443" s="604" t="s">
        <v>768</v>
      </c>
      <c r="E443" s="604" t="s">
        <v>959</v>
      </c>
      <c r="F443" s="662" t="s">
        <v>3184</v>
      </c>
      <c r="G443" s="616"/>
      <c r="H443" s="655"/>
      <c r="J443" s="607" t="s">
        <v>2664</v>
      </c>
    </row>
    <row r="444" spans="2:12" s="607" customFormat="1" ht="15.75" customHeight="1">
      <c r="B444" s="617" t="str">
        <f t="shared" si="7"/>
        <v>Average</v>
      </c>
      <c r="C444" s="601" t="s">
        <v>12</v>
      </c>
      <c r="D444" s="604" t="s">
        <v>767</v>
      </c>
      <c r="E444" s="604" t="s">
        <v>958</v>
      </c>
      <c r="F444" s="662" t="s">
        <v>3060</v>
      </c>
      <c r="G444" s="616"/>
      <c r="H444" s="655"/>
      <c r="J444" s="607" t="s">
        <v>2665</v>
      </c>
      <c r="L444" s="607" t="s">
        <v>2666</v>
      </c>
    </row>
    <row r="445" spans="2:12" s="607" customFormat="1" ht="15.75" customHeight="1">
      <c r="B445" s="617" t="str">
        <f t="shared" si="7"/>
        <v>Minimum</v>
      </c>
      <c r="C445" s="601" t="s">
        <v>1268</v>
      </c>
      <c r="D445" s="601" t="s">
        <v>1368</v>
      </c>
      <c r="E445" s="601" t="s">
        <v>1369</v>
      </c>
      <c r="F445" s="662" t="s">
        <v>3185</v>
      </c>
      <c r="G445" s="616"/>
      <c r="H445" s="655"/>
      <c r="J445" s="607" t="s">
        <v>2667</v>
      </c>
      <c r="L445" s="607" t="s">
        <v>2668</v>
      </c>
    </row>
    <row r="446" spans="2:12" s="607" customFormat="1" ht="15.75" customHeight="1">
      <c r="B446" s="617" t="str">
        <f t="shared" si="7"/>
        <v>Maximum</v>
      </c>
      <c r="C446" s="601" t="s">
        <v>1269</v>
      </c>
      <c r="D446" s="604" t="s">
        <v>1370</v>
      </c>
      <c r="E446" s="604" t="s">
        <v>1371</v>
      </c>
      <c r="F446" s="662" t="s">
        <v>3186</v>
      </c>
      <c r="G446" s="616"/>
      <c r="H446" s="655"/>
      <c r="J446" s="607" t="s">
        <v>2669</v>
      </c>
      <c r="L446" s="607" t="s">
        <v>2670</v>
      </c>
    </row>
    <row r="447" spans="2:12" s="607" customFormat="1" ht="15.75" customHeight="1">
      <c r="B447" s="617" t="str">
        <f t="shared" si="7"/>
        <v>Uniformity</v>
      </c>
      <c r="C447" s="601" t="s">
        <v>52</v>
      </c>
      <c r="D447" s="604" t="s">
        <v>769</v>
      </c>
      <c r="E447" s="604" t="s">
        <v>961</v>
      </c>
      <c r="F447" s="662" t="s">
        <v>3187</v>
      </c>
      <c r="G447" s="616"/>
      <c r="H447" s="655"/>
      <c r="J447" s="607" t="s">
        <v>2671</v>
      </c>
    </row>
    <row r="448" spans="2:12" s="607" customFormat="1" ht="15.75" customHeight="1">
      <c r="B448" s="617" t="str">
        <f t="shared" si="7"/>
        <v>Target Average</v>
      </c>
      <c r="C448" s="601" t="s">
        <v>1276</v>
      </c>
      <c r="D448" s="601" t="s">
        <v>1417</v>
      </c>
      <c r="E448" s="601" t="s">
        <v>1469</v>
      </c>
      <c r="F448" s="662" t="s">
        <v>3188</v>
      </c>
      <c r="G448" s="616"/>
      <c r="H448" s="655"/>
      <c r="J448" s="607" t="s">
        <v>2672</v>
      </c>
      <c r="L448" s="607" t="s">
        <v>2673</v>
      </c>
    </row>
    <row r="449" spans="2:13" s="607" customFormat="1" ht="15.75" customHeight="1">
      <c r="B449" s="617" t="str">
        <f t="shared" si="7"/>
        <v>Target Minimum</v>
      </c>
      <c r="C449" s="601" t="s">
        <v>1277</v>
      </c>
      <c r="D449" s="601" t="s">
        <v>1418</v>
      </c>
      <c r="E449" s="601" t="s">
        <v>1470</v>
      </c>
      <c r="F449" s="662" t="s">
        <v>3189</v>
      </c>
      <c r="G449" s="616"/>
      <c r="H449" s="655"/>
    </row>
    <row r="450" spans="2:13" s="607" customFormat="1" ht="15.75" customHeight="1">
      <c r="B450" s="617" t="str">
        <f t="shared" si="7"/>
        <v>Meets Illuminance?</v>
      </c>
      <c r="C450" s="601" t="s">
        <v>60</v>
      </c>
      <c r="D450" s="604" t="s">
        <v>1336</v>
      </c>
      <c r="E450" s="604" t="s">
        <v>993</v>
      </c>
      <c r="F450" s="662" t="s">
        <v>3190</v>
      </c>
      <c r="G450" s="616"/>
      <c r="H450" s="655"/>
      <c r="J450" s="607" t="s">
        <v>2674</v>
      </c>
    </row>
    <row r="451" spans="2:13" s="607" customFormat="1" ht="15.75" customHeight="1">
      <c r="B451" s="617" t="str">
        <f t="shared" si="7"/>
        <v>Luminance</v>
      </c>
      <c r="C451" s="601" t="s">
        <v>199</v>
      </c>
      <c r="D451" s="604" t="s">
        <v>199</v>
      </c>
      <c r="E451" s="604" t="s">
        <v>960</v>
      </c>
      <c r="F451" s="662" t="s">
        <v>3191</v>
      </c>
      <c r="G451" s="616"/>
      <c r="H451" s="655"/>
      <c r="J451" s="607" t="s">
        <v>2675</v>
      </c>
    </row>
    <row r="452" spans="2:13" s="607" customFormat="1" ht="15.75" customHeight="1">
      <c r="B452" s="617" t="str">
        <f t="shared" si="7"/>
        <v>Uniformity - Lavg/Lmin</v>
      </c>
      <c r="C452" s="601" t="s">
        <v>1278</v>
      </c>
      <c r="D452" s="601" t="s">
        <v>1376</v>
      </c>
      <c r="E452" s="601" t="s">
        <v>1377</v>
      </c>
      <c r="F452" s="662" t="s">
        <v>3192</v>
      </c>
      <c r="G452" s="616"/>
      <c r="H452" s="655"/>
      <c r="I452" s="607" t="s">
        <v>2676</v>
      </c>
    </row>
    <row r="453" spans="2:13" s="607" customFormat="1" ht="15.75" customHeight="1">
      <c r="B453" s="617" t="str">
        <f t="shared" si="7"/>
        <v>Uniformity - Lmax/Lmin</v>
      </c>
      <c r="C453" s="601" t="s">
        <v>1279</v>
      </c>
      <c r="D453" s="601" t="s">
        <v>1378</v>
      </c>
      <c r="E453" s="601" t="s">
        <v>1379</v>
      </c>
      <c r="F453" s="662" t="s">
        <v>3193</v>
      </c>
      <c r="G453" s="616"/>
      <c r="H453" s="655"/>
      <c r="I453" s="607" t="s">
        <v>2677</v>
      </c>
    </row>
    <row r="454" spans="2:13" s="607" customFormat="1" ht="15.75" customHeight="1">
      <c r="B454" s="617" t="str">
        <f t="shared" si="7"/>
        <v>Overall Uniformity (min/avg)</v>
      </c>
      <c r="C454" s="601" t="s">
        <v>1325</v>
      </c>
      <c r="D454" s="601" t="s">
        <v>1380</v>
      </c>
      <c r="E454" s="601" t="s">
        <v>1381</v>
      </c>
      <c r="F454" s="662" t="s">
        <v>3194</v>
      </c>
      <c r="G454" s="616"/>
      <c r="H454" s="655"/>
      <c r="I454" s="607" t="s">
        <v>2678</v>
      </c>
      <c r="J454" s="607" t="s">
        <v>2679</v>
      </c>
      <c r="L454" s="607" t="s">
        <v>2308</v>
      </c>
    </row>
    <row r="455" spans="2:13" s="607" customFormat="1" ht="15.75" customHeight="1">
      <c r="B455" s="617" t="str">
        <f t="shared" si="7"/>
        <v>Longitudinal Uniformity (min/max)</v>
      </c>
      <c r="C455" s="601" t="s">
        <v>1349</v>
      </c>
      <c r="D455" s="601" t="s">
        <v>1382</v>
      </c>
      <c r="E455" s="601" t="s">
        <v>1383</v>
      </c>
      <c r="F455" s="662" t="s">
        <v>3195</v>
      </c>
      <c r="G455" s="616"/>
      <c r="H455" s="655"/>
      <c r="I455" s="607" t="s">
        <v>2680</v>
      </c>
      <c r="J455" s="607" t="s">
        <v>2681</v>
      </c>
      <c r="L455" s="607" t="s">
        <v>2310</v>
      </c>
    </row>
    <row r="456" spans="2:13" s="607" customFormat="1" ht="15.75" customHeight="1">
      <c r="B456" s="617" t="str">
        <f t="shared" si="7"/>
        <v>Target Uniformity - avg/min</v>
      </c>
      <c r="C456" s="601" t="s">
        <v>1280</v>
      </c>
      <c r="D456" s="601" t="s">
        <v>1419</v>
      </c>
      <c r="E456" s="601" t="s">
        <v>1471</v>
      </c>
      <c r="F456" s="662" t="s">
        <v>3196</v>
      </c>
      <c r="G456" s="616"/>
      <c r="H456" s="655"/>
      <c r="I456" s="607" t="s">
        <v>2682</v>
      </c>
    </row>
    <row r="457" spans="2:13" s="607" customFormat="1" ht="15.75" customHeight="1">
      <c r="B457" s="617" t="str">
        <f t="shared" si="7"/>
        <v>Target Uniformity - max/min</v>
      </c>
      <c r="C457" s="601" t="s">
        <v>1281</v>
      </c>
      <c r="D457" s="601" t="s">
        <v>1420</v>
      </c>
      <c r="E457" s="601" t="s">
        <v>1472</v>
      </c>
      <c r="F457" s="662" t="s">
        <v>3197</v>
      </c>
      <c r="G457" s="616"/>
      <c r="H457" s="655"/>
      <c r="I457" s="607" t="s">
        <v>2683</v>
      </c>
    </row>
    <row r="458" spans="2:13" s="607" customFormat="1" ht="15.75" customHeight="1">
      <c r="B458" s="617" t="str">
        <f t="shared" si="7"/>
        <v>Meets Luminance?</v>
      </c>
      <c r="C458" s="601" t="s">
        <v>209</v>
      </c>
      <c r="D458" s="604" t="s">
        <v>817</v>
      </c>
      <c r="E458" s="604" t="s">
        <v>993</v>
      </c>
      <c r="F458" s="662" t="s">
        <v>3198</v>
      </c>
      <c r="G458" s="616"/>
      <c r="H458" s="655"/>
      <c r="I458" s="607" t="s">
        <v>2684</v>
      </c>
      <c r="J458" s="607" t="s">
        <v>2685</v>
      </c>
    </row>
    <row r="459" spans="2:13" s="607" customFormat="1" ht="15.75" customHeight="1">
      <c r="B459" s="617" t="str">
        <f t="shared" si="7"/>
        <v>Target Overall Uniformity (min/avg)</v>
      </c>
      <c r="C459" s="601" t="s">
        <v>1326</v>
      </c>
      <c r="D459" s="601" t="s">
        <v>1421</v>
      </c>
      <c r="E459" s="601" t="s">
        <v>1473</v>
      </c>
      <c r="F459" s="662" t="s">
        <v>3199</v>
      </c>
      <c r="G459" s="616"/>
      <c r="H459" s="655"/>
      <c r="I459" s="607" t="s">
        <v>2686</v>
      </c>
      <c r="J459" s="607" t="s">
        <v>2481</v>
      </c>
      <c r="L459" s="607" t="s">
        <v>2482</v>
      </c>
      <c r="M459" s="607" t="s">
        <v>2484</v>
      </c>
    </row>
    <row r="460" spans="2:13" s="607" customFormat="1" ht="15.75" customHeight="1">
      <c r="B460" s="617" t="str">
        <f t="shared" si="7"/>
        <v>Target Longitudinal Uniformity (max/min)</v>
      </c>
      <c r="C460" s="601" t="s">
        <v>1327</v>
      </c>
      <c r="D460" s="601" t="s">
        <v>1422</v>
      </c>
      <c r="E460" s="601" t="s">
        <v>1474</v>
      </c>
      <c r="F460" s="662" t="s">
        <v>3200</v>
      </c>
      <c r="G460" s="616"/>
      <c r="H460" s="655"/>
      <c r="I460" s="607" t="s">
        <v>2687</v>
      </c>
      <c r="J460" s="607" t="s">
        <v>2485</v>
      </c>
    </row>
    <row r="461" spans="2:13" s="607" customFormat="1" ht="15.75" customHeight="1">
      <c r="B461" s="617" t="str">
        <f t="shared" si="7"/>
        <v>Simple Payback</v>
      </c>
      <c r="C461" s="601" t="s">
        <v>1125</v>
      </c>
      <c r="D461" s="604" t="s">
        <v>1337</v>
      </c>
      <c r="E461" s="604" t="s">
        <v>1234</v>
      </c>
      <c r="F461" s="662" t="s">
        <v>3128</v>
      </c>
      <c r="G461" s="616"/>
      <c r="H461" s="655"/>
      <c r="J461" s="607" t="s">
        <v>2688</v>
      </c>
    </row>
    <row r="462" spans="2:13" s="607" customFormat="1" ht="15.75" customHeight="1">
      <c r="B462" s="617" t="str">
        <f t="shared" si="7"/>
        <v>Total Installation Cost</v>
      </c>
      <c r="C462" s="601" t="s">
        <v>1126</v>
      </c>
      <c r="D462" s="604" t="s">
        <v>1338</v>
      </c>
      <c r="E462" s="604" t="s">
        <v>1235</v>
      </c>
      <c r="F462" s="662" t="s">
        <v>3129</v>
      </c>
      <c r="G462" s="616"/>
      <c r="H462" s="655"/>
      <c r="J462" s="607" t="s">
        <v>2689</v>
      </c>
    </row>
    <row r="463" spans="2:13" s="607" customFormat="1" ht="15.75" customHeight="1">
      <c r="B463" s="617" t="str">
        <f t="shared" si="7"/>
        <v>Total Annual Cost</v>
      </c>
      <c r="C463" s="601" t="s">
        <v>1127</v>
      </c>
      <c r="D463" s="604" t="s">
        <v>1339</v>
      </c>
      <c r="E463" s="604" t="s">
        <v>1236</v>
      </c>
      <c r="F463" s="662" t="s">
        <v>3130</v>
      </c>
      <c r="G463" s="616"/>
      <c r="H463" s="655"/>
      <c r="J463" s="607" t="s">
        <v>2690</v>
      </c>
    </row>
    <row r="464" spans="2:13" s="607" customFormat="1" ht="15.75" customHeight="1">
      <c r="B464" s="617" t="str">
        <f t="shared" si="7"/>
        <v>Installation Cost Difference (to baseline)</v>
      </c>
      <c r="C464" s="601" t="s">
        <v>1129</v>
      </c>
      <c r="D464" s="604" t="s">
        <v>1169</v>
      </c>
      <c r="E464" s="604" t="s">
        <v>1237</v>
      </c>
      <c r="F464" s="662" t="s">
        <v>3201</v>
      </c>
      <c r="G464" s="616"/>
      <c r="H464" s="655"/>
      <c r="J464" s="607" t="s">
        <v>2691</v>
      </c>
    </row>
    <row r="465" spans="2:12" s="607" customFormat="1" ht="15.75" customHeight="1">
      <c r="B465" s="617" t="str">
        <f t="shared" si="7"/>
        <v>Annual Cost Savings (to baseline)</v>
      </c>
      <c r="C465" s="601" t="s">
        <v>1128</v>
      </c>
      <c r="D465" s="604" t="s">
        <v>1170</v>
      </c>
      <c r="E465" s="604" t="s">
        <v>1238</v>
      </c>
      <c r="F465" s="662" t="s">
        <v>3202</v>
      </c>
      <c r="G465" s="616"/>
      <c r="H465" s="655"/>
      <c r="J465" s="607" t="s">
        <v>2692</v>
      </c>
    </row>
    <row r="466" spans="2:12" s="607" customFormat="1" ht="15.75" customHeight="1">
      <c r="B466" s="617" t="str">
        <f t="shared" si="7"/>
        <v>Simple Payback</v>
      </c>
      <c r="C466" s="601" t="s">
        <v>1125</v>
      </c>
      <c r="D466" s="604" t="s">
        <v>1337</v>
      </c>
      <c r="E466" s="604" t="s">
        <v>1234</v>
      </c>
      <c r="F466" s="662" t="s">
        <v>3128</v>
      </c>
      <c r="G466" s="616"/>
      <c r="H466" s="655"/>
      <c r="J466" s="607" t="s">
        <v>2693</v>
      </c>
    </row>
    <row r="467" spans="2:12" s="607" customFormat="1" ht="15.75" customHeight="1">
      <c r="B467" s="617" t="str">
        <f t="shared" si="7"/>
        <v>Net Present Value - Total Cost of Ownership</v>
      </c>
      <c r="C467" s="601" t="s">
        <v>1133</v>
      </c>
      <c r="D467" s="604" t="s">
        <v>1171</v>
      </c>
      <c r="E467" s="604" t="s">
        <v>1239</v>
      </c>
      <c r="F467" s="662" t="s">
        <v>3133</v>
      </c>
      <c r="G467" s="616"/>
      <c r="H467" s="655"/>
      <c r="J467" s="607" t="s">
        <v>2694</v>
      </c>
    </row>
    <row r="468" spans="2:12" s="607" customFormat="1" ht="15.75" customHeight="1">
      <c r="B468" s="617" t="str">
        <f t="shared" si="7"/>
        <v>Year 0</v>
      </c>
      <c r="C468" s="601" t="s">
        <v>1282</v>
      </c>
      <c r="D468" s="601" t="s">
        <v>1423</v>
      </c>
      <c r="E468" s="603" t="s">
        <v>1384</v>
      </c>
      <c r="F468" s="662" t="s">
        <v>3203</v>
      </c>
      <c r="G468" s="616"/>
      <c r="H468" s="655"/>
      <c r="J468" s="607" t="s">
        <v>2695</v>
      </c>
    </row>
    <row r="469" spans="2:12" s="607" customFormat="1" ht="15.75" customHeight="1">
      <c r="B469" s="617" t="str">
        <f t="shared" si="7"/>
        <v>Year 1</v>
      </c>
      <c r="C469" s="601" t="s">
        <v>1283</v>
      </c>
      <c r="D469" s="601" t="s">
        <v>1424</v>
      </c>
      <c r="E469" s="603" t="s">
        <v>1385</v>
      </c>
      <c r="F469" s="663" t="s">
        <v>3204</v>
      </c>
      <c r="G469" s="616"/>
      <c r="H469" s="655"/>
      <c r="J469" s="607" t="s">
        <v>2696</v>
      </c>
      <c r="L469" s="607" t="s">
        <v>2697</v>
      </c>
    </row>
    <row r="470" spans="2:12" s="607" customFormat="1" ht="15.75" customHeight="1">
      <c r="B470" s="617" t="str">
        <f t="shared" si="7"/>
        <v>Year 2</v>
      </c>
      <c r="C470" s="601" t="s">
        <v>1284</v>
      </c>
      <c r="D470" s="601" t="s">
        <v>1425</v>
      </c>
      <c r="E470" s="603" t="s">
        <v>1386</v>
      </c>
      <c r="F470" s="662" t="s">
        <v>3205</v>
      </c>
      <c r="G470" s="616"/>
      <c r="H470" s="655"/>
      <c r="J470" s="607" t="s">
        <v>2698</v>
      </c>
      <c r="L470" s="607" t="s">
        <v>2699</v>
      </c>
    </row>
    <row r="471" spans="2:12" s="607" customFormat="1" ht="15.75" customHeight="1">
      <c r="B471" s="617" t="str">
        <f t="shared" si="7"/>
        <v>Year 3</v>
      </c>
      <c r="C471" s="601" t="s">
        <v>1285</v>
      </c>
      <c r="D471" s="601" t="s">
        <v>1426</v>
      </c>
      <c r="E471" s="603" t="s">
        <v>1387</v>
      </c>
      <c r="F471" s="662" t="s">
        <v>3206</v>
      </c>
      <c r="G471" s="616"/>
      <c r="H471" s="655"/>
      <c r="J471" s="607" t="s">
        <v>2700</v>
      </c>
      <c r="L471" s="607" t="s">
        <v>2701</v>
      </c>
    </row>
    <row r="472" spans="2:12" s="607" customFormat="1" ht="15.75" customHeight="1">
      <c r="B472" s="617" t="str">
        <f t="shared" si="7"/>
        <v>Year 4</v>
      </c>
      <c r="C472" s="601" t="s">
        <v>1286</v>
      </c>
      <c r="D472" s="601" t="s">
        <v>1427</v>
      </c>
      <c r="E472" s="603" t="s">
        <v>1388</v>
      </c>
      <c r="F472" s="663" t="s">
        <v>3207</v>
      </c>
      <c r="G472" s="616"/>
      <c r="H472" s="655"/>
      <c r="J472" s="607" t="s">
        <v>2702</v>
      </c>
      <c r="L472" s="607" t="s">
        <v>2703</v>
      </c>
    </row>
    <row r="473" spans="2:12" s="607" customFormat="1" ht="15.75" customHeight="1">
      <c r="B473" s="617" t="str">
        <f t="shared" si="7"/>
        <v>Year 5</v>
      </c>
      <c r="C473" s="601" t="s">
        <v>1287</v>
      </c>
      <c r="D473" s="601" t="s">
        <v>1428</v>
      </c>
      <c r="E473" s="603" t="s">
        <v>1389</v>
      </c>
      <c r="F473" s="662" t="s">
        <v>3208</v>
      </c>
      <c r="G473" s="616"/>
      <c r="H473" s="655"/>
      <c r="J473" s="607" t="s">
        <v>2704</v>
      </c>
      <c r="L473" s="607" t="s">
        <v>2705</v>
      </c>
    </row>
    <row r="474" spans="2:12" s="607" customFormat="1" ht="15.75" customHeight="1">
      <c r="B474" s="617" t="str">
        <f t="shared" si="7"/>
        <v>Year 6</v>
      </c>
      <c r="C474" s="601" t="s">
        <v>1288</v>
      </c>
      <c r="D474" s="601" t="s">
        <v>1429</v>
      </c>
      <c r="E474" s="603" t="s">
        <v>1390</v>
      </c>
      <c r="F474" s="663" t="s">
        <v>3209</v>
      </c>
      <c r="G474" s="616"/>
      <c r="H474" s="655"/>
      <c r="J474" s="607" t="s">
        <v>2706</v>
      </c>
      <c r="L474" s="607" t="s">
        <v>2707</v>
      </c>
    </row>
    <row r="475" spans="2:12" s="607" customFormat="1" ht="15.75" customHeight="1">
      <c r="B475" s="617" t="str">
        <f t="shared" si="7"/>
        <v>Year 7</v>
      </c>
      <c r="C475" s="601" t="s">
        <v>1289</v>
      </c>
      <c r="D475" s="601" t="s">
        <v>1430</v>
      </c>
      <c r="E475" s="603" t="s">
        <v>1391</v>
      </c>
      <c r="F475" s="662" t="s">
        <v>3210</v>
      </c>
      <c r="G475" s="616"/>
      <c r="H475" s="655"/>
      <c r="J475" s="607" t="s">
        <v>2708</v>
      </c>
      <c r="L475" s="607" t="s">
        <v>2709</v>
      </c>
    </row>
    <row r="476" spans="2:12" s="607" customFormat="1" ht="15.75" customHeight="1">
      <c r="B476" s="617" t="str">
        <f t="shared" si="7"/>
        <v>Year 8</v>
      </c>
      <c r="C476" s="601" t="s">
        <v>1290</v>
      </c>
      <c r="D476" s="601" t="s">
        <v>1431</v>
      </c>
      <c r="E476" s="603" t="s">
        <v>1392</v>
      </c>
      <c r="F476" s="663" t="s">
        <v>3211</v>
      </c>
      <c r="G476" s="616"/>
      <c r="H476" s="655"/>
      <c r="J476" s="607" t="s">
        <v>2710</v>
      </c>
      <c r="L476" s="607" t="s">
        <v>2711</v>
      </c>
    </row>
    <row r="477" spans="2:12" s="607" customFormat="1" ht="15.75" customHeight="1">
      <c r="B477" s="617" t="str">
        <f t="shared" si="7"/>
        <v>Year 9</v>
      </c>
      <c r="C477" s="601" t="s">
        <v>1291</v>
      </c>
      <c r="D477" s="601" t="s">
        <v>1432</v>
      </c>
      <c r="E477" s="603" t="s">
        <v>1393</v>
      </c>
      <c r="F477" s="663" t="s">
        <v>3212</v>
      </c>
      <c r="G477" s="616"/>
      <c r="H477" s="655"/>
      <c r="J477" s="607" t="s">
        <v>2712</v>
      </c>
      <c r="L477" s="607" t="s">
        <v>2713</v>
      </c>
    </row>
    <row r="478" spans="2:12" s="607" customFormat="1" ht="15.75" customHeight="1">
      <c r="B478" s="617" t="str">
        <f t="shared" si="7"/>
        <v>Year 10</v>
      </c>
      <c r="C478" s="601" t="s">
        <v>1292</v>
      </c>
      <c r="D478" s="601" t="s">
        <v>1433</v>
      </c>
      <c r="E478" s="603" t="s">
        <v>1394</v>
      </c>
      <c r="F478" s="663" t="s">
        <v>3213</v>
      </c>
      <c r="G478" s="616"/>
      <c r="H478" s="655"/>
      <c r="J478" s="607" t="s">
        <v>2714</v>
      </c>
      <c r="L478" s="607" t="s">
        <v>2715</v>
      </c>
    </row>
    <row r="479" spans="2:12" s="607" customFormat="1" ht="15.75" customHeight="1">
      <c r="B479" s="617" t="str">
        <f t="shared" si="7"/>
        <v>Year 11</v>
      </c>
      <c r="C479" s="601" t="s">
        <v>1293</v>
      </c>
      <c r="D479" s="601" t="s">
        <v>1434</v>
      </c>
      <c r="E479" s="603" t="s">
        <v>1395</v>
      </c>
      <c r="F479" s="663" t="s">
        <v>3214</v>
      </c>
      <c r="G479" s="616"/>
      <c r="H479" s="655"/>
      <c r="J479" s="607" t="s">
        <v>2716</v>
      </c>
      <c r="L479" s="607" t="s">
        <v>2717</v>
      </c>
    </row>
    <row r="480" spans="2:12" s="607" customFormat="1" ht="15.75" customHeight="1">
      <c r="B480" s="617" t="str">
        <f t="shared" si="7"/>
        <v>Year 12</v>
      </c>
      <c r="C480" s="601" t="s">
        <v>1294</v>
      </c>
      <c r="D480" s="601" t="s">
        <v>1435</v>
      </c>
      <c r="E480" s="603" t="s">
        <v>1396</v>
      </c>
      <c r="F480" s="663" t="s">
        <v>3215</v>
      </c>
      <c r="G480" s="616"/>
      <c r="H480" s="655"/>
      <c r="J480" s="607" t="s">
        <v>2718</v>
      </c>
      <c r="L480" s="607" t="s">
        <v>2719</v>
      </c>
    </row>
    <row r="481" spans="2:12" s="607" customFormat="1" ht="15.75" customHeight="1">
      <c r="B481" s="617" t="str">
        <f t="shared" si="7"/>
        <v>Year 13</v>
      </c>
      <c r="C481" s="601" t="s">
        <v>1295</v>
      </c>
      <c r="D481" s="601" t="s">
        <v>1436</v>
      </c>
      <c r="E481" s="603" t="s">
        <v>1397</v>
      </c>
      <c r="F481" s="663" t="s">
        <v>3216</v>
      </c>
      <c r="G481" s="616"/>
      <c r="H481" s="655"/>
      <c r="J481" s="607" t="s">
        <v>2720</v>
      </c>
      <c r="L481" s="607" t="s">
        <v>2721</v>
      </c>
    </row>
    <row r="482" spans="2:12" s="607" customFormat="1" ht="15.75" customHeight="1">
      <c r="B482" s="617" t="str">
        <f t="shared" si="7"/>
        <v>Year 14</v>
      </c>
      <c r="C482" s="601" t="s">
        <v>1296</v>
      </c>
      <c r="D482" s="601" t="s">
        <v>1437</v>
      </c>
      <c r="E482" s="603" t="s">
        <v>1398</v>
      </c>
      <c r="F482" s="663" t="s">
        <v>3217</v>
      </c>
      <c r="G482" s="616"/>
      <c r="H482" s="655"/>
      <c r="J482" s="607" t="s">
        <v>2722</v>
      </c>
      <c r="L482" s="607" t="s">
        <v>2723</v>
      </c>
    </row>
    <row r="483" spans="2:12" s="607" customFormat="1" ht="15.75" customHeight="1">
      <c r="B483" s="617" t="str">
        <f t="shared" si="7"/>
        <v>Year 15</v>
      </c>
      <c r="C483" s="601" t="s">
        <v>1297</v>
      </c>
      <c r="D483" s="601" t="s">
        <v>1438</v>
      </c>
      <c r="E483" s="603" t="s">
        <v>1399</v>
      </c>
      <c r="F483" s="663" t="s">
        <v>3218</v>
      </c>
      <c r="G483" s="616"/>
      <c r="H483" s="655"/>
      <c r="J483" s="607" t="s">
        <v>2724</v>
      </c>
      <c r="L483" s="607" t="s">
        <v>2725</v>
      </c>
    </row>
    <row r="484" spans="2:12" s="607" customFormat="1" ht="15.75" customHeight="1">
      <c r="B484" s="617" t="str">
        <f t="shared" si="7"/>
        <v>Year 16</v>
      </c>
      <c r="C484" s="601" t="s">
        <v>1298</v>
      </c>
      <c r="D484" s="601" t="s">
        <v>1439</v>
      </c>
      <c r="E484" s="603" t="s">
        <v>1400</v>
      </c>
      <c r="F484" s="663" t="s">
        <v>3219</v>
      </c>
      <c r="G484" s="616"/>
      <c r="H484" s="655"/>
      <c r="J484" s="607" t="s">
        <v>2726</v>
      </c>
      <c r="L484" s="607" t="s">
        <v>2727</v>
      </c>
    </row>
    <row r="485" spans="2:12" s="607" customFormat="1" ht="15.75" customHeight="1">
      <c r="B485" s="617" t="str">
        <f t="shared" si="7"/>
        <v>Year 17</v>
      </c>
      <c r="C485" s="601" t="s">
        <v>1299</v>
      </c>
      <c r="D485" s="601" t="s">
        <v>1440</v>
      </c>
      <c r="E485" s="603" t="s">
        <v>1401</v>
      </c>
      <c r="F485" s="663" t="s">
        <v>3220</v>
      </c>
      <c r="G485" s="616"/>
      <c r="H485" s="655"/>
      <c r="J485" s="607" t="s">
        <v>2728</v>
      </c>
      <c r="L485" s="607" t="s">
        <v>2729</v>
      </c>
    </row>
    <row r="486" spans="2:12" s="607" customFormat="1" ht="15.75" customHeight="1">
      <c r="B486" s="617" t="str">
        <f t="shared" si="7"/>
        <v>Year 18</v>
      </c>
      <c r="C486" s="601" t="s">
        <v>1300</v>
      </c>
      <c r="D486" s="601" t="s">
        <v>1441</v>
      </c>
      <c r="E486" s="603" t="s">
        <v>1402</v>
      </c>
      <c r="F486" s="662" t="s">
        <v>3221</v>
      </c>
      <c r="G486" s="616"/>
      <c r="H486" s="655"/>
      <c r="J486" s="607" t="s">
        <v>2730</v>
      </c>
      <c r="L486" s="607" t="s">
        <v>2731</v>
      </c>
    </row>
    <row r="487" spans="2:12" s="607" customFormat="1" ht="15.75" customHeight="1">
      <c r="B487" s="617" t="str">
        <f t="shared" si="7"/>
        <v>Year 19</v>
      </c>
      <c r="C487" s="601" t="s">
        <v>1301</v>
      </c>
      <c r="D487" s="601" t="s">
        <v>1442</v>
      </c>
      <c r="E487" s="603" t="s">
        <v>1403</v>
      </c>
      <c r="F487" s="662" t="s">
        <v>3222</v>
      </c>
      <c r="G487" s="616"/>
      <c r="H487" s="655"/>
      <c r="J487" s="607" t="s">
        <v>2732</v>
      </c>
      <c r="L487" s="607" t="s">
        <v>2733</v>
      </c>
    </row>
    <row r="488" spans="2:12" s="607" customFormat="1" ht="15.75" customHeight="1">
      <c r="B488" s="617" t="str">
        <f t="shared" si="7"/>
        <v>Year 20</v>
      </c>
      <c r="C488" s="601" t="s">
        <v>1302</v>
      </c>
      <c r="D488" s="601" t="s">
        <v>1443</v>
      </c>
      <c r="E488" s="603" t="s">
        <v>1404</v>
      </c>
      <c r="F488" s="663" t="s">
        <v>3223</v>
      </c>
      <c r="G488" s="616"/>
      <c r="H488" s="655"/>
      <c r="J488" s="607" t="s">
        <v>2734</v>
      </c>
      <c r="L488" s="607" t="s">
        <v>2735</v>
      </c>
    </row>
    <row r="489" spans="2:12" s="607" customFormat="1" ht="15.75" customHeight="1">
      <c r="B489" s="617" t="str">
        <f t="shared" si="7"/>
        <v>Charts</v>
      </c>
      <c r="C489" s="601" t="s">
        <v>1315</v>
      </c>
      <c r="D489" s="601" t="s">
        <v>1444</v>
      </c>
      <c r="E489" s="601" t="s">
        <v>1475</v>
      </c>
      <c r="F489" s="661" t="s">
        <v>3224</v>
      </c>
      <c r="G489" s="616"/>
      <c r="H489" s="655"/>
    </row>
    <row r="490" spans="2:12" s="607" customFormat="1" ht="15.75" customHeight="1">
      <c r="B490" s="617" t="str">
        <f t="shared" si="7"/>
        <v>Wattage</v>
      </c>
      <c r="C490" s="601" t="s">
        <v>41</v>
      </c>
      <c r="D490" s="601" t="s">
        <v>1445</v>
      </c>
      <c r="E490" s="601" t="s">
        <v>1476</v>
      </c>
      <c r="F490" s="661" t="s">
        <v>3225</v>
      </c>
      <c r="G490" s="616"/>
      <c r="H490" s="655"/>
    </row>
    <row r="491" spans="2:12" s="607" customFormat="1" ht="15.75" customHeight="1">
      <c r="B491" s="617" t="str">
        <f t="shared" si="7"/>
        <v>Illuminance</v>
      </c>
      <c r="C491" s="601" t="s">
        <v>17</v>
      </c>
      <c r="D491" s="604" t="s">
        <v>768</v>
      </c>
      <c r="E491" s="604" t="s">
        <v>959</v>
      </c>
      <c r="F491" s="661" t="s">
        <v>3012</v>
      </c>
      <c r="G491" s="616"/>
      <c r="H491" s="655"/>
    </row>
    <row r="492" spans="2:12" s="607" customFormat="1" ht="15.75" customHeight="1">
      <c r="B492" s="617" t="str">
        <f t="shared" si="7"/>
        <v>Luminance</v>
      </c>
      <c r="C492" s="601" t="s">
        <v>199</v>
      </c>
      <c r="D492" s="604" t="s">
        <v>199</v>
      </c>
      <c r="E492" s="604" t="s">
        <v>960</v>
      </c>
      <c r="F492" s="661" t="s">
        <v>3013</v>
      </c>
      <c r="G492" s="616"/>
      <c r="H492" s="655"/>
    </row>
    <row r="493" spans="2:12" s="607" customFormat="1" ht="15.75" customHeight="1">
      <c r="B493" s="617" t="str">
        <f t="shared" si="7"/>
        <v>Baseline</v>
      </c>
      <c r="C493" s="601" t="s">
        <v>22</v>
      </c>
      <c r="D493" s="601" t="s">
        <v>1453</v>
      </c>
      <c r="E493" s="601" t="s">
        <v>1454</v>
      </c>
      <c r="F493" s="662" t="s">
        <v>3010</v>
      </c>
      <c r="G493" s="616"/>
      <c r="H493" s="655"/>
    </row>
    <row r="494" spans="2:12" s="607" customFormat="1" ht="15.75" customHeight="1">
      <c r="B494" s="617" t="str">
        <f t="shared" ref="B494:B557" si="8">INDEX(C494:G494,MATCH($B$11,$C$11:$G$11,0))</f>
        <v>Passes</v>
      </c>
      <c r="C494" s="601" t="s">
        <v>1316</v>
      </c>
      <c r="D494" s="601" t="s">
        <v>1446</v>
      </c>
      <c r="E494" s="604" t="s">
        <v>1477</v>
      </c>
      <c r="F494" s="661" t="s">
        <v>3226</v>
      </c>
      <c r="G494" s="616"/>
      <c r="H494" s="655"/>
    </row>
    <row r="495" spans="2:12" s="607" customFormat="1" ht="15.75" customHeight="1">
      <c r="B495" s="617" t="str">
        <f t="shared" si="8"/>
        <v>Fails</v>
      </c>
      <c r="C495" s="601" t="s">
        <v>1317</v>
      </c>
      <c r="D495" s="601" t="s">
        <v>1447</v>
      </c>
      <c r="E495" s="604" t="s">
        <v>1478</v>
      </c>
      <c r="F495" s="661" t="s">
        <v>3227</v>
      </c>
      <c r="G495" s="616"/>
      <c r="H495" s="655"/>
    </row>
    <row r="496" spans="2:12" s="607" customFormat="1" ht="15.75" customHeight="1">
      <c r="B496" s="617" t="str">
        <f t="shared" si="8"/>
        <v>Target-Average Illuminance</v>
      </c>
      <c r="C496" s="601" t="s">
        <v>1318</v>
      </c>
      <c r="D496" s="601" t="s">
        <v>1448</v>
      </c>
      <c r="E496" s="601" t="s">
        <v>1479</v>
      </c>
      <c r="F496" s="663" t="s">
        <v>3228</v>
      </c>
      <c r="G496" s="616"/>
      <c r="H496" s="655"/>
    </row>
    <row r="497" spans="2:13" s="607" customFormat="1" ht="15.75" customHeight="1">
      <c r="B497" s="617" t="str">
        <f t="shared" si="8"/>
        <v>Average Illuminance</v>
      </c>
      <c r="C497" s="601" t="s">
        <v>39</v>
      </c>
      <c r="D497" s="601" t="s">
        <v>814</v>
      </c>
      <c r="E497" s="601" t="s">
        <v>1359</v>
      </c>
      <c r="F497" s="661" t="s">
        <v>3040</v>
      </c>
      <c r="G497" s="616"/>
      <c r="H497" s="655"/>
    </row>
    <row r="498" spans="2:13" s="607" customFormat="1" ht="15.75" customHeight="1">
      <c r="B498" s="617" t="str">
        <f t="shared" si="8"/>
        <v>Target-Average Luminance</v>
      </c>
      <c r="C498" s="601" t="s">
        <v>1319</v>
      </c>
      <c r="D498" s="601" t="s">
        <v>1656</v>
      </c>
      <c r="E498" s="601" t="s">
        <v>1480</v>
      </c>
      <c r="F498" s="661" t="s">
        <v>3229</v>
      </c>
      <c r="G498" s="616"/>
      <c r="H498" s="655"/>
    </row>
    <row r="499" spans="2:13" s="607" customFormat="1" ht="15.75" customHeight="1">
      <c r="B499" s="617" t="str">
        <f t="shared" si="8"/>
        <v>Average Luminance</v>
      </c>
      <c r="C499" s="601" t="s">
        <v>203</v>
      </c>
      <c r="D499" s="601" t="s">
        <v>1405</v>
      </c>
      <c r="E499" s="604" t="s">
        <v>973</v>
      </c>
      <c r="F499" s="661" t="s">
        <v>3230</v>
      </c>
      <c r="G499" s="616"/>
      <c r="H499" s="655"/>
    </row>
    <row r="500" spans="2:13" s="607" customFormat="1" ht="15.75" customHeight="1">
      <c r="B500" s="617" t="str">
        <f t="shared" si="8"/>
        <v>Min to Avg</v>
      </c>
      <c r="C500" s="601" t="s">
        <v>1320</v>
      </c>
      <c r="D500" s="601" t="s">
        <v>1449</v>
      </c>
      <c r="E500" s="601" t="s">
        <v>1481</v>
      </c>
      <c r="F500" s="662" t="s">
        <v>3231</v>
      </c>
      <c r="G500" s="616"/>
      <c r="H500" s="655"/>
    </row>
    <row r="501" spans="2:13" s="607" customFormat="1" ht="15.75" customHeight="1">
      <c r="B501" s="617" t="str">
        <f t="shared" si="8"/>
        <v>Min to Max</v>
      </c>
      <c r="C501" s="601" t="s">
        <v>1321</v>
      </c>
      <c r="D501" s="601" t="s">
        <v>1450</v>
      </c>
      <c r="E501" s="601" t="s">
        <v>1482</v>
      </c>
      <c r="F501" s="663" t="s">
        <v>3232</v>
      </c>
      <c r="G501" s="616"/>
      <c r="H501" s="655"/>
    </row>
    <row r="502" spans="2:13" s="607" customFormat="1" ht="15.75" customHeight="1">
      <c r="B502" s="617" t="str">
        <f t="shared" si="8"/>
        <v>Avg to Min</v>
      </c>
      <c r="C502" s="601" t="s">
        <v>1328</v>
      </c>
      <c r="D502" s="601" t="s">
        <v>1451</v>
      </c>
      <c r="E502" s="601" t="s">
        <v>1483</v>
      </c>
      <c r="F502" s="663" t="s">
        <v>3233</v>
      </c>
      <c r="G502" s="616"/>
      <c r="H502" s="655"/>
    </row>
    <row r="503" spans="2:13" s="607" customFormat="1" ht="15.75" customHeight="1">
      <c r="B503" s="617" t="str">
        <f t="shared" si="8"/>
        <v>Max to Min</v>
      </c>
      <c r="C503" s="601" t="s">
        <v>1329</v>
      </c>
      <c r="D503" s="601" t="s">
        <v>1452</v>
      </c>
      <c r="E503" s="601" t="s">
        <v>1484</v>
      </c>
      <c r="F503" s="663" t="s">
        <v>3234</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3235</v>
      </c>
      <c r="G504" s="616"/>
      <c r="H504" s="655"/>
      <c r="J504" s="607" t="s">
        <v>2736</v>
      </c>
    </row>
    <row r="505" spans="2:13" s="607" customFormat="1" ht="15.75" customHeight="1">
      <c r="B505" s="617" t="str">
        <f t="shared" si="8"/>
        <v>Optional Inputs</v>
      </c>
      <c r="C505" s="601" t="s">
        <v>1663</v>
      </c>
      <c r="D505" s="601" t="s">
        <v>1832</v>
      </c>
      <c r="E505" s="601" t="s">
        <v>1704</v>
      </c>
      <c r="F505" s="661" t="s">
        <v>3236</v>
      </c>
      <c r="G505" s="616"/>
      <c r="H505" s="655"/>
      <c r="J505" s="607" t="s">
        <v>2737</v>
      </c>
    </row>
    <row r="506" spans="2:13" s="607" customFormat="1" ht="15.75" customHeight="1">
      <c r="B506" s="617" t="str">
        <f t="shared" si="8"/>
        <v>If desired, enter the value for each fixture in the appropriate column. If you wish to use the default value, leave the column blank.</v>
      </c>
      <c r="C506" s="601" t="s">
        <v>1664</v>
      </c>
      <c r="D506" s="601" t="s">
        <v>1833</v>
      </c>
      <c r="E506" s="601" t="s">
        <v>1705</v>
      </c>
      <c r="F506" s="661" t="s">
        <v>3237</v>
      </c>
      <c r="G506" s="616"/>
      <c r="H506" s="655"/>
      <c r="J506" s="607" t="s">
        <v>2738</v>
      </c>
    </row>
    <row r="507" spans="2:13" s="607" customFormat="1" ht="15.75" customHeight="1">
      <c r="B507" s="617" t="str">
        <f t="shared" si="8"/>
        <v>Blue indicates values that are not default</v>
      </c>
      <c r="C507" s="601" t="s">
        <v>1668</v>
      </c>
      <c r="D507" s="601" t="s">
        <v>1834</v>
      </c>
      <c r="E507" s="601" t="s">
        <v>1706</v>
      </c>
      <c r="F507" s="661" t="s">
        <v>3238</v>
      </c>
      <c r="G507" s="616"/>
      <c r="H507" s="655"/>
    </row>
    <row r="508" spans="2:13" s="607" customFormat="1" ht="15.75" customHeight="1">
      <c r="B508" s="617" t="str">
        <f t="shared" si="8"/>
        <v>Return on Investment (after 'x' years)</v>
      </c>
      <c r="C508" s="601" t="s">
        <v>1670</v>
      </c>
      <c r="D508" s="601" t="s">
        <v>1835</v>
      </c>
      <c r="E508" s="601" t="s">
        <v>1707</v>
      </c>
      <c r="F508" s="661" t="s">
        <v>3239</v>
      </c>
      <c r="G508" s="616"/>
      <c r="H508" s="655"/>
      <c r="J508" s="607" t="s">
        <v>2739</v>
      </c>
      <c r="L508" s="607" t="s">
        <v>2740</v>
      </c>
      <c r="M508" s="607" t="s">
        <v>2741</v>
      </c>
    </row>
    <row r="509" spans="2:13" s="607" customFormat="1" ht="15.75" customHeight="1">
      <c r="B509" s="617" t="str">
        <f t="shared" si="8"/>
        <v>Upgrade is cheaper to install than baseline!</v>
      </c>
      <c r="C509" s="601" t="s">
        <v>1675</v>
      </c>
      <c r="D509" s="601" t="s">
        <v>1836</v>
      </c>
      <c r="E509" s="601" t="s">
        <v>1708</v>
      </c>
      <c r="F509" s="661" t="s">
        <v>3240</v>
      </c>
      <c r="G509" s="616"/>
      <c r="H509" s="655"/>
      <c r="J509" s="607" t="s">
        <v>2742</v>
      </c>
    </row>
    <row r="510" spans="2:13" s="607" customFormat="1" ht="15.75" customHeight="1">
      <c r="B510" s="617" t="str">
        <f t="shared" si="8"/>
        <v>Upgrade is more costly to operate!</v>
      </c>
      <c r="C510" s="601" t="s">
        <v>1676</v>
      </c>
      <c r="D510" s="601" t="s">
        <v>1837</v>
      </c>
      <c r="E510" s="601" t="s">
        <v>1709</v>
      </c>
      <c r="F510" s="661" t="s">
        <v>3241</v>
      </c>
      <c r="G510" s="616"/>
      <c r="H510" s="655"/>
      <c r="J510" s="607" t="s">
        <v>2742</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1838</v>
      </c>
      <c r="E511" s="601" t="s">
        <v>1710</v>
      </c>
      <c r="F511" s="661" t="s">
        <v>3242</v>
      </c>
      <c r="G511" s="616"/>
      <c r="H511" s="655"/>
      <c r="J511" s="607" t="s">
        <v>2743</v>
      </c>
    </row>
    <row r="512" spans="2:13" s="607" customFormat="1" ht="15.75" customHeight="1">
      <c r="B512" s="617" t="str">
        <f t="shared" si="8"/>
        <v>Required Inputs</v>
      </c>
      <c r="C512" s="601" t="s">
        <v>1687</v>
      </c>
      <c r="D512" s="601" t="s">
        <v>1839</v>
      </c>
      <c r="E512" s="602" t="s">
        <v>1711</v>
      </c>
      <c r="F512" s="661" t="s">
        <v>3243</v>
      </c>
      <c r="G512" s="616"/>
      <c r="H512" s="655"/>
      <c r="J512" s="607" t="s">
        <v>2744</v>
      </c>
    </row>
    <row r="513" spans="2:10" s="607" customFormat="1" ht="15.75" customHeight="1">
      <c r="B513" s="617" t="str">
        <f t="shared" si="8"/>
        <v>Step 1: Save the IES files you would like to upload to the tool into a folder on your hard drive</v>
      </c>
      <c r="C513" s="601" t="s">
        <v>1944</v>
      </c>
      <c r="D513" s="601" t="s">
        <v>1840</v>
      </c>
      <c r="E513" s="601" t="s">
        <v>1712</v>
      </c>
      <c r="F513" s="661" t="s">
        <v>3244</v>
      </c>
      <c r="G513" s="616"/>
      <c r="H513" s="655"/>
      <c r="J513" s="607" t="s">
        <v>2745</v>
      </c>
    </row>
    <row r="514" spans="2:10" s="607" customFormat="1" ht="15.75" customHeight="1">
      <c r="B514" s="617" t="str">
        <f t="shared" si="8"/>
        <v>Step 2: Select “Add files to list below”</v>
      </c>
      <c r="C514" s="601" t="s">
        <v>1945</v>
      </c>
      <c r="D514" s="601" t="s">
        <v>1841</v>
      </c>
      <c r="E514" s="601" t="s">
        <v>1713</v>
      </c>
      <c r="F514" s="661" t="s">
        <v>3245</v>
      </c>
      <c r="G514" s="616"/>
      <c r="H514" s="655"/>
      <c r="J514" s="607" t="s">
        <v>2746</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1842</v>
      </c>
      <c r="E515" s="601" t="s">
        <v>1714</v>
      </c>
      <c r="F515" s="661" t="s">
        <v>3246</v>
      </c>
      <c r="G515" s="616"/>
      <c r="H515" s="655"/>
      <c r="J515" s="607" t="s">
        <v>2747</v>
      </c>
    </row>
    <row r="516" spans="2:10" s="607" customFormat="1" ht="15.75" customHeight="1">
      <c r="B516" s="617" t="str">
        <f t="shared" si="8"/>
        <v>Step 4: Enter a name for the fixture that you can use to identify the fixture in the tool analysis (the default will be the file name)</v>
      </c>
      <c r="C516" s="601" t="s">
        <v>1689</v>
      </c>
      <c r="D516" s="601" t="s">
        <v>1843</v>
      </c>
      <c r="E516" s="601" t="s">
        <v>1715</v>
      </c>
      <c r="F516" s="661" t="s">
        <v>3247</v>
      </c>
      <c r="G516" s="616"/>
      <c r="H516" s="655"/>
      <c r="J516" s="607" t="s">
        <v>2748</v>
      </c>
    </row>
    <row r="517" spans="2:10" s="607" customFormat="1" ht="15.75" customHeight="1">
      <c r="B517" s="617" t="str">
        <f t="shared" si="8"/>
        <v>Step 5: Enter the Fixture Type (HPS, MH, or LED)</v>
      </c>
      <c r="C517" s="601" t="s">
        <v>1690</v>
      </c>
      <c r="D517" s="601" t="s">
        <v>1844</v>
      </c>
      <c r="E517" s="602" t="s">
        <v>1716</v>
      </c>
      <c r="F517" s="661" t="s">
        <v>3248</v>
      </c>
      <c r="G517" s="616"/>
      <c r="H517" s="655"/>
      <c r="J517" s="607" t="s">
        <v>2749</v>
      </c>
    </row>
    <row r="518" spans="2:10" s="607" customFormat="1" ht="15.75" customHeight="1">
      <c r="B518" s="617" t="str">
        <f t="shared" si="8"/>
        <v>Step 6: If desired, enter data for optional inputs found in columns D-K</v>
      </c>
      <c r="C518" s="601" t="s">
        <v>1693</v>
      </c>
      <c r="D518" s="601" t="s">
        <v>1845</v>
      </c>
      <c r="E518" s="601" t="s">
        <v>1717</v>
      </c>
      <c r="F518" s="661" t="s">
        <v>3249</v>
      </c>
      <c r="G518" s="616"/>
      <c r="H518" s="655"/>
      <c r="J518" s="607" t="s">
        <v>2750</v>
      </c>
    </row>
    <row r="519" spans="2:10" s="607" customFormat="1" ht="15.75" customHeight="1">
      <c r="B519" s="617" t="str">
        <f t="shared" si="8"/>
        <v>Step 7: Select "Begin upload of IES files listed below"</v>
      </c>
      <c r="C519" s="601" t="s">
        <v>1691</v>
      </c>
      <c r="D519" s="601" t="s">
        <v>1846</v>
      </c>
      <c r="E519" s="601" t="s">
        <v>1718</v>
      </c>
      <c r="F519" s="661" t="s">
        <v>3250</v>
      </c>
      <c r="G519" s="616"/>
      <c r="H519" s="655"/>
      <c r="J519" s="607" t="s">
        <v>2751</v>
      </c>
    </row>
    <row r="520" spans="2:10" s="607" customFormat="1" ht="15.75" customHeight="1">
      <c r="B520" s="617" t="str">
        <f t="shared" si="8"/>
        <v>Step 8: Return to “Fixtures” tab and select the fixtures that you want to include in this analysis</v>
      </c>
      <c r="C520" s="601" t="s">
        <v>1692</v>
      </c>
      <c r="D520" s="601" t="s">
        <v>1847</v>
      </c>
      <c r="E520" s="601" t="s">
        <v>1719</v>
      </c>
      <c r="F520" s="661" t="s">
        <v>3251</v>
      </c>
      <c r="G520" s="616"/>
      <c r="H520" s="655"/>
      <c r="J520" s="607" t="s">
        <v>2752</v>
      </c>
    </row>
    <row r="521" spans="2:10" s="607" customFormat="1" ht="15.75" customHeight="1">
      <c r="B521" s="617" t="str">
        <f t="shared" si="8"/>
        <v>Error! Check the value entered for 'pole configuration' and try again</v>
      </c>
      <c r="C521" s="601" t="s">
        <v>1698</v>
      </c>
      <c r="D521" s="601" t="s">
        <v>1848</v>
      </c>
      <c r="E521" s="601" t="s">
        <v>1720</v>
      </c>
      <c r="F521" s="661" t="s">
        <v>3252</v>
      </c>
      <c r="G521" s="616"/>
      <c r="H521" s="655"/>
      <c r="I521" s="607" t="s">
        <v>2753</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1849</v>
      </c>
      <c r="E522" s="601" t="s">
        <v>1801</v>
      </c>
      <c r="F522" s="661" t="s">
        <v>3253</v>
      </c>
      <c r="G522" s="616"/>
      <c r="H522" s="655"/>
      <c r="I522" s="607" t="s">
        <v>2754</v>
      </c>
    </row>
    <row r="523" spans="2:10" s="607" customFormat="1" ht="15.75" customHeight="1">
      <c r="B523" s="617" t="str">
        <f t="shared" si="8"/>
        <v>Pavement Type (only required for luminance calculations)</v>
      </c>
      <c r="C523" s="601" t="s">
        <v>1730</v>
      </c>
      <c r="D523" s="601" t="s">
        <v>1850</v>
      </c>
      <c r="E523" s="601" t="s">
        <v>1802</v>
      </c>
      <c r="F523" s="661" t="s">
        <v>3254</v>
      </c>
      <c r="G523" s="616"/>
      <c r="H523" s="655"/>
      <c r="J523" s="607" t="s">
        <v>2755</v>
      </c>
    </row>
    <row r="524" spans="2:10" s="607" customFormat="1" ht="15.75" customHeight="1">
      <c r="B524" s="617" t="str">
        <f t="shared" si="8"/>
        <v>View your inputs:</v>
      </c>
      <c r="C524" s="601" t="s">
        <v>1731</v>
      </c>
      <c r="D524" s="601" t="s">
        <v>1851</v>
      </c>
      <c r="E524" s="601" t="s">
        <v>1803</v>
      </c>
      <c r="F524" s="663" t="s">
        <v>3255</v>
      </c>
      <c r="G524" s="616"/>
      <c r="H524" s="655"/>
      <c r="J524" s="607" t="s">
        <v>2756</v>
      </c>
    </row>
    <row r="525" spans="2:10" s="607" customFormat="1" ht="15.75" customHeight="1">
      <c r="B525" s="617" t="str">
        <f t="shared" si="8"/>
        <v>Previous</v>
      </c>
      <c r="C525" s="601" t="s">
        <v>1741</v>
      </c>
      <c r="D525" s="601" t="s">
        <v>1852</v>
      </c>
      <c r="E525" s="601" t="s">
        <v>1804</v>
      </c>
      <c r="F525" s="661" t="s">
        <v>3309</v>
      </c>
      <c r="G525" s="616"/>
      <c r="H525" s="655"/>
    </row>
    <row r="526" spans="2:10" s="607" customFormat="1" ht="15.75" customHeight="1">
      <c r="B526" s="617" t="str">
        <f t="shared" si="8"/>
        <v>Next</v>
      </c>
      <c r="C526" s="601" t="s">
        <v>492</v>
      </c>
      <c r="D526" s="601" t="s">
        <v>1853</v>
      </c>
      <c r="E526" s="601" t="s">
        <v>875</v>
      </c>
      <c r="F526" s="661" t="s">
        <v>3308</v>
      </c>
      <c r="G526" s="616"/>
      <c r="H526" s="655"/>
    </row>
    <row r="527" spans="2:10" s="607" customFormat="1" ht="15.75" customHeight="1">
      <c r="B527" s="617" t="str">
        <f t="shared" si="8"/>
        <v>All yellow fields can be edited with your specific input assumptions</v>
      </c>
      <c r="C527" s="601" t="s">
        <v>1747</v>
      </c>
      <c r="D527" s="601" t="s">
        <v>1854</v>
      </c>
      <c r="E527" s="601" t="s">
        <v>1805</v>
      </c>
      <c r="F527" s="661" t="s">
        <v>3256</v>
      </c>
      <c r="G527" s="616"/>
      <c r="H527" s="655" t="str">
        <f>IF(AND(I527="",J527=""),"Remove","Check")</f>
        <v>Remove</v>
      </c>
    </row>
    <row r="528" spans="2:10" s="607" customFormat="1" ht="15.75" customHeight="1">
      <c r="B528" s="617" t="str">
        <f t="shared" si="8"/>
        <v>IES Method</v>
      </c>
      <c r="C528" s="601" t="s">
        <v>1757</v>
      </c>
      <c r="D528" s="601" t="s">
        <v>1855</v>
      </c>
      <c r="E528" s="601" t="s">
        <v>1806</v>
      </c>
      <c r="F528" s="663" t="s">
        <v>3257</v>
      </c>
      <c r="G528" s="616"/>
      <c r="H528" s="655"/>
      <c r="J528" s="607" t="s">
        <v>2757</v>
      </c>
    </row>
    <row r="529" spans="2:10" s="607" customFormat="1" ht="15.75" customHeight="1">
      <c r="B529" s="617" t="str">
        <f t="shared" si="8"/>
        <v>CIE Method</v>
      </c>
      <c r="C529" s="601" t="s">
        <v>1758</v>
      </c>
      <c r="D529" s="601" t="s">
        <v>1856</v>
      </c>
      <c r="E529" s="601" t="s">
        <v>1807</v>
      </c>
      <c r="F529" s="663" t="s">
        <v>3258</v>
      </c>
      <c r="G529" s="616"/>
      <c r="H529" s="655"/>
      <c r="J529" s="607" t="s">
        <v>2758</v>
      </c>
    </row>
    <row r="530" spans="2:10" s="607" customFormat="1" ht="15.75" customHeight="1">
      <c r="B530" s="617" t="str">
        <f t="shared" si="8"/>
        <v>Only the first 125 selected fixtures are shown</v>
      </c>
      <c r="C530" s="603" t="s">
        <v>1775</v>
      </c>
      <c r="D530" s="601" t="s">
        <v>1857</v>
      </c>
      <c r="E530" s="601" t="s">
        <v>1808</v>
      </c>
      <c r="F530" s="661" t="s">
        <v>3259</v>
      </c>
      <c r="G530" s="616"/>
      <c r="H530" s="655"/>
      <c r="J530" s="607" t="s">
        <v>2759</v>
      </c>
    </row>
    <row r="531" spans="2:10" s="607" customFormat="1" ht="15.75" customHeight="1">
      <c r="B531" s="617" t="str">
        <f t="shared" si="8"/>
        <v>Road configuration is same between baseline and upgrade</v>
      </c>
      <c r="C531" s="601" t="s">
        <v>1770</v>
      </c>
      <c r="D531" s="601" t="s">
        <v>1858</v>
      </c>
      <c r="E531" s="601" t="s">
        <v>1809</v>
      </c>
      <c r="F531" s="661" t="s">
        <v>3260</v>
      </c>
      <c r="G531" s="616"/>
      <c r="H531" s="655"/>
      <c r="J531" s="607" t="s">
        <v>2760</v>
      </c>
    </row>
    <row r="532" spans="2:10" s="607" customFormat="1" ht="15.75" customHeight="1">
      <c r="B532" s="617" t="str">
        <f t="shared" si="8"/>
        <v>Baseline road configuration is different from the Upgrade configuration - is this intentional?</v>
      </c>
      <c r="C532" s="601" t="s">
        <v>1776</v>
      </c>
      <c r="D532" s="601" t="s">
        <v>1859</v>
      </c>
      <c r="E532" s="601" t="s">
        <v>1810</v>
      </c>
      <c r="F532" s="661" t="s">
        <v>3261</v>
      </c>
      <c r="G532" s="616"/>
      <c r="H532" s="655"/>
      <c r="J532" s="607" t="s">
        <v>2760</v>
      </c>
    </row>
    <row r="533" spans="2:10" s="607" customFormat="1" ht="15.75" customHeight="1">
      <c r="B533" s="617" t="str">
        <f t="shared" si="8"/>
        <v>The IES calculation method is selected</v>
      </c>
      <c r="C533" s="601" t="s">
        <v>1772</v>
      </c>
      <c r="D533" s="601" t="s">
        <v>1860</v>
      </c>
      <c r="E533" s="601" t="s">
        <v>1811</v>
      </c>
      <c r="F533" s="661" t="s">
        <v>3262</v>
      </c>
      <c r="G533" s="616"/>
      <c r="H533" s="655"/>
      <c r="J533" s="607" t="s">
        <v>2761</v>
      </c>
    </row>
    <row r="534" spans="2:10" s="607" customFormat="1" ht="15.75" customHeight="1">
      <c r="B534" s="617" t="str">
        <f t="shared" si="8"/>
        <v>The CIE calculation method is selected</v>
      </c>
      <c r="C534" s="601" t="s">
        <v>1777</v>
      </c>
      <c r="D534" s="601" t="s">
        <v>1861</v>
      </c>
      <c r="E534" s="601" t="s">
        <v>1812</v>
      </c>
      <c r="F534" s="661" t="s">
        <v>3263</v>
      </c>
      <c r="G534" s="616"/>
      <c r="H534" s="655"/>
      <c r="J534" s="607" t="s">
        <v>2761</v>
      </c>
    </row>
    <row r="535" spans="2:10" s="607" customFormat="1" ht="15.75" customHeight="1">
      <c r="B535" s="617" t="str">
        <f t="shared" si="8"/>
        <v>Both calculation methods are selected</v>
      </c>
      <c r="C535" s="601" t="s">
        <v>1778</v>
      </c>
      <c r="D535" s="601" t="s">
        <v>1862</v>
      </c>
      <c r="E535" s="601" t="s">
        <v>1813</v>
      </c>
      <c r="F535" s="661" t="s">
        <v>3264</v>
      </c>
      <c r="G535" s="616"/>
      <c r="H535" s="655"/>
      <c r="J535" s="607" t="s">
        <v>2761</v>
      </c>
    </row>
    <row r="536" spans="2:10" s="607" customFormat="1" ht="15.75" customHeight="1">
      <c r="B536" s="617" t="str">
        <f t="shared" si="8"/>
        <v>No calculation method is selected</v>
      </c>
      <c r="C536" s="601" t="s">
        <v>1800</v>
      </c>
      <c r="D536" s="601" t="s">
        <v>1863</v>
      </c>
      <c r="E536" s="601" t="s">
        <v>1814</v>
      </c>
      <c r="F536" s="661" t="s">
        <v>3265</v>
      </c>
      <c r="G536" s="616"/>
      <c r="H536" s="655"/>
      <c r="J536" s="607" t="s">
        <v>2761</v>
      </c>
    </row>
    <row r="537" spans="2:10" s="607" customFormat="1" ht="15.75" customHeight="1">
      <c r="B537" s="617" t="str">
        <f t="shared" si="8"/>
        <v>You have entered all lighting targets for the IES method</v>
      </c>
      <c r="C537" s="601" t="s">
        <v>1784</v>
      </c>
      <c r="D537" s="601" t="s">
        <v>1864</v>
      </c>
      <c r="E537" s="601" t="s">
        <v>1815</v>
      </c>
      <c r="F537" s="661" t="s">
        <v>3266</v>
      </c>
      <c r="G537" s="616"/>
      <c r="H537" s="655"/>
      <c r="J537" s="607" t="s">
        <v>2762</v>
      </c>
    </row>
    <row r="538" spans="2:10" s="607" customFormat="1" ht="15.75" customHeight="1">
      <c r="B538" s="617" t="str">
        <f t="shared" si="8"/>
        <v>You have NOT completed the lighting targets for the IES method</v>
      </c>
      <c r="C538" s="601" t="s">
        <v>1783</v>
      </c>
      <c r="D538" s="601" t="s">
        <v>1865</v>
      </c>
      <c r="E538" s="601" t="s">
        <v>1816</v>
      </c>
      <c r="F538" s="661" t="s">
        <v>3267</v>
      </c>
      <c r="G538" s="616"/>
      <c r="H538" s="655"/>
      <c r="J538" s="607" t="s">
        <v>2762</v>
      </c>
    </row>
    <row r="539" spans="2:10" s="607" customFormat="1" ht="15.75" customHeight="1">
      <c r="B539" s="617" t="str">
        <f t="shared" si="8"/>
        <v>You have entered all lighting targets for the CIE method</v>
      </c>
      <c r="C539" s="601" t="s">
        <v>1785</v>
      </c>
      <c r="D539" s="601" t="s">
        <v>1866</v>
      </c>
      <c r="E539" s="601" t="s">
        <v>1817</v>
      </c>
      <c r="F539" s="661" t="s">
        <v>3268</v>
      </c>
      <c r="G539" s="616"/>
      <c r="H539" s="655"/>
      <c r="J539" s="607" t="s">
        <v>2763</v>
      </c>
    </row>
    <row r="540" spans="2:10" s="607" customFormat="1" ht="15.75" customHeight="1">
      <c r="B540" s="617" t="str">
        <f t="shared" si="8"/>
        <v>You have NOT completed the lighting targets for the CIE method</v>
      </c>
      <c r="C540" s="601" t="s">
        <v>1782</v>
      </c>
      <c r="D540" s="601" t="s">
        <v>1867</v>
      </c>
      <c r="E540" s="601" t="s">
        <v>1818</v>
      </c>
      <c r="F540" s="661" t="s">
        <v>3269</v>
      </c>
      <c r="G540" s="616"/>
      <c r="H540" s="655"/>
      <c r="J540" s="607" t="s">
        <v>2763</v>
      </c>
    </row>
    <row r="541" spans="2:10" s="607" customFormat="1" ht="15.75" customHeight="1">
      <c r="B541" s="617" t="str">
        <f t="shared" si="8"/>
        <v>A baseline fixture is selected</v>
      </c>
      <c r="C541" s="601" t="s">
        <v>1773</v>
      </c>
      <c r="D541" s="601" t="s">
        <v>1868</v>
      </c>
      <c r="E541" s="601" t="s">
        <v>1819</v>
      </c>
      <c r="F541" s="661" t="s">
        <v>3270</v>
      </c>
      <c r="G541" s="616"/>
      <c r="H541" s="655"/>
      <c r="J541" s="607" t="s">
        <v>2764</v>
      </c>
    </row>
    <row r="542" spans="2:10" s="607" customFormat="1" ht="15.75" customHeight="1">
      <c r="B542" s="617" t="str">
        <f t="shared" si="8"/>
        <v>No baseline fixture is selected</v>
      </c>
      <c r="C542" s="601" t="s">
        <v>1779</v>
      </c>
      <c r="D542" s="601" t="s">
        <v>1869</v>
      </c>
      <c r="E542" s="601" t="s">
        <v>1820</v>
      </c>
      <c r="F542" s="661" t="s">
        <v>3271</v>
      </c>
      <c r="G542" s="616"/>
      <c r="H542" s="655"/>
      <c r="J542" s="607" t="s">
        <v>2764</v>
      </c>
    </row>
    <row r="543" spans="2:10" s="607" customFormat="1" ht="15.75" customHeight="1">
      <c r="B543" s="617" t="str">
        <f t="shared" si="8"/>
        <v xml:space="preserve"> upgrade fixtures are selected</v>
      </c>
      <c r="C543" s="601" t="s">
        <v>1786</v>
      </c>
      <c r="D543" s="601" t="s">
        <v>1971</v>
      </c>
      <c r="E543" s="601" t="s">
        <v>1972</v>
      </c>
      <c r="F543" s="663" t="s">
        <v>3272</v>
      </c>
      <c r="G543" s="616"/>
      <c r="H543" s="655"/>
      <c r="J543" s="607" t="s">
        <v>2765</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1870</v>
      </c>
      <c r="E544" s="601" t="s">
        <v>1821</v>
      </c>
      <c r="F544" s="662" t="s">
        <v>3273</v>
      </c>
      <c r="G544" s="616"/>
      <c r="H544" s="655"/>
      <c r="J544" s="607" t="s">
        <v>2766</v>
      </c>
    </row>
    <row r="545" spans="2:10" s="607" customFormat="1" ht="15.75" customHeight="1">
      <c r="B545" s="617" t="str">
        <f t="shared" si="8"/>
        <v>Quick check:</v>
      </c>
      <c r="C545" s="603" t="s">
        <v>1771</v>
      </c>
      <c r="D545" s="601" t="s">
        <v>1871</v>
      </c>
      <c r="E545" s="601" t="s">
        <v>1822</v>
      </c>
      <c r="F545" s="661" t="s">
        <v>3274</v>
      </c>
      <c r="G545" s="616"/>
      <c r="H545" s="655"/>
      <c r="J545" s="607" t="s">
        <v>2767</v>
      </c>
    </row>
    <row r="546" spans="2:10" s="607" customFormat="1" ht="15.75" customHeight="1">
      <c r="B546" s="617" t="str">
        <f t="shared" si="8"/>
        <v>Review All Inputs</v>
      </c>
      <c r="C546" s="603" t="s">
        <v>1774</v>
      </c>
      <c r="D546" s="601" t="s">
        <v>1872</v>
      </c>
      <c r="E546" s="601" t="s">
        <v>1823</v>
      </c>
      <c r="F546" s="661" t="s">
        <v>3275</v>
      </c>
      <c r="G546" s="616"/>
      <c r="H546" s="655"/>
      <c r="J546" s="607" t="s">
        <v>2768</v>
      </c>
    </row>
    <row r="547" spans="2:10" s="607" customFormat="1" ht="15.75" customHeight="1">
      <c r="B547" s="617" t="str">
        <f t="shared" si="8"/>
        <v>Currently selected fixtures:</v>
      </c>
      <c r="C547" s="603" t="s">
        <v>1745</v>
      </c>
      <c r="D547" s="601" t="s">
        <v>1873</v>
      </c>
      <c r="E547" s="601" t="s">
        <v>1824</v>
      </c>
      <c r="F547" s="661" t="s">
        <v>3276</v>
      </c>
      <c r="G547" s="616"/>
      <c r="H547" s="655"/>
      <c r="J547" s="607" t="s">
        <v>2769</v>
      </c>
    </row>
    <row r="548" spans="2:10" s="607" customFormat="1" ht="15.75" customHeight="1">
      <c r="B548" s="617" t="str">
        <f t="shared" si="8"/>
        <v>Select one of the fixtures from the list below. To edit the fixture assumptions, find the fixture in the table below</v>
      </c>
      <c r="C548" s="603" t="s">
        <v>1749</v>
      </c>
      <c r="D548" s="601" t="s">
        <v>1874</v>
      </c>
      <c r="E548" s="601" t="s">
        <v>1825</v>
      </c>
      <c r="F548" s="662" t="s">
        <v>3277</v>
      </c>
      <c r="G548" s="616"/>
      <c r="H548" s="655"/>
      <c r="J548" s="607" t="s">
        <v>2770</v>
      </c>
    </row>
    <row r="549" spans="2:10" s="607" customFormat="1" ht="15.75" customHeight="1">
      <c r="B549" s="617" t="str">
        <f t="shared" si="8"/>
        <v>Baseline Fixture Summary</v>
      </c>
      <c r="C549" s="603" t="s">
        <v>1748</v>
      </c>
      <c r="D549" s="601" t="s">
        <v>1875</v>
      </c>
      <c r="E549" s="601" t="s">
        <v>1826</v>
      </c>
      <c r="F549" s="661" t="s">
        <v>3278</v>
      </c>
      <c r="G549" s="616"/>
      <c r="H549" s="655"/>
    </row>
    <row r="550" spans="2:10" s="607" customFormat="1" ht="15.75" customHeight="1">
      <c r="B550" s="617" t="str">
        <f t="shared" si="8"/>
        <v>Describe Road</v>
      </c>
      <c r="C550" s="603" t="s">
        <v>1790</v>
      </c>
      <c r="D550" s="601" t="s">
        <v>1876</v>
      </c>
      <c r="E550" s="601" t="s">
        <v>1827</v>
      </c>
      <c r="F550" s="661" t="s">
        <v>3317</v>
      </c>
      <c r="G550" s="616"/>
      <c r="H550" s="655"/>
    </row>
    <row r="551" spans="2:10" s="607" customFormat="1" ht="15.75" customHeight="1">
      <c r="B551" s="617" t="str">
        <f t="shared" si="8"/>
        <v>Set Lighting Targets</v>
      </c>
      <c r="C551" s="603" t="s">
        <v>1791</v>
      </c>
      <c r="D551" s="601" t="s">
        <v>1877</v>
      </c>
      <c r="E551" s="601" t="s">
        <v>1828</v>
      </c>
      <c r="F551" s="661" t="s">
        <v>3310</v>
      </c>
      <c r="G551" s="616"/>
      <c r="H551" s="655"/>
    </row>
    <row r="552" spans="2:10" s="607" customFormat="1" ht="15.75" customHeight="1">
      <c r="B552" s="617" t="str">
        <f t="shared" si="8"/>
        <v>Choose Fixtures</v>
      </c>
      <c r="C552" s="603" t="s">
        <v>1792</v>
      </c>
      <c r="D552" s="601" t="s">
        <v>1878</v>
      </c>
      <c r="E552" s="601" t="s">
        <v>1829</v>
      </c>
      <c r="F552" s="661" t="s">
        <v>3316</v>
      </c>
      <c r="G552" s="616"/>
      <c r="H552" s="655"/>
    </row>
    <row r="553" spans="2:10" s="607" customFormat="1" ht="15.75" customHeight="1">
      <c r="B553" s="617" t="str">
        <f t="shared" si="8"/>
        <v>Identify Costs</v>
      </c>
      <c r="C553" s="603" t="s">
        <v>1793</v>
      </c>
      <c r="D553" s="601" t="s">
        <v>1879</v>
      </c>
      <c r="E553" s="601" t="s">
        <v>1830</v>
      </c>
      <c r="F553" s="661" t="s">
        <v>3315</v>
      </c>
      <c r="G553" s="616"/>
      <c r="H553" s="655"/>
    </row>
    <row r="554" spans="2:10" s="607" customFormat="1" ht="15.75" customHeight="1">
      <c r="B554" s="617" t="str">
        <f t="shared" si="8"/>
        <v>Confirm Inputs</v>
      </c>
      <c r="C554" s="603" t="s">
        <v>1768</v>
      </c>
      <c r="D554" s="601" t="s">
        <v>1880</v>
      </c>
      <c r="E554" s="601" t="s">
        <v>1831</v>
      </c>
      <c r="F554" s="661" t="s">
        <v>3279</v>
      </c>
      <c r="G554" s="616"/>
      <c r="H554" s="655"/>
      <c r="J554" s="607" t="s">
        <v>2771</v>
      </c>
    </row>
    <row r="555" spans="2:10" ht="15.75" customHeight="1">
      <c r="B555" s="617" t="str">
        <f t="shared" si="8"/>
        <v>Add a fixture</v>
      </c>
      <c r="C555" s="623" t="s">
        <v>1725</v>
      </c>
      <c r="D555" s="601" t="s">
        <v>1973</v>
      </c>
      <c r="E555" s="602" t="s">
        <v>1974</v>
      </c>
      <c r="F555" s="661" t="s">
        <v>3280</v>
      </c>
    </row>
    <row r="556" spans="2:10" ht="15.75" customHeight="1">
      <c r="B556" s="617" t="str">
        <f t="shared" si="8"/>
        <v>Delete a Fixture</v>
      </c>
      <c r="C556" s="601" t="s">
        <v>581</v>
      </c>
      <c r="D556" s="601" t="s">
        <v>833</v>
      </c>
      <c r="E556" s="601" t="s">
        <v>1602</v>
      </c>
      <c r="F556" s="662" t="s">
        <v>3281</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3282</v>
      </c>
      <c r="J557" s="610" t="s">
        <v>2772</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3283</v>
      </c>
      <c r="J558" s="610" t="s">
        <v>2773</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3311</v>
      </c>
      <c r="J559" s="610" t="s">
        <v>2001</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1975</v>
      </c>
      <c r="E560" s="605" t="s">
        <v>1975</v>
      </c>
      <c r="F560" s="661" t="s">
        <v>3331</v>
      </c>
      <c r="J560" s="610" t="s">
        <v>2002</v>
      </c>
    </row>
    <row r="561" spans="2:9" ht="15.75" customHeight="1">
      <c r="B561" s="617" t="str">
        <f>INDEX(C561:G561,MATCH($B$11,$C$11:$G$11,0))</f>
        <v>You're missing an input on the Road Geometry tab. Please fix it and try again!</v>
      </c>
      <c r="C561" s="624" t="s">
        <v>1978</v>
      </c>
      <c r="D561" s="605" t="s">
        <v>1979</v>
      </c>
      <c r="E561" s="605" t="s">
        <v>1979</v>
      </c>
      <c r="F561" s="666" t="s">
        <v>3284</v>
      </c>
      <c r="I561" s="610" t="s">
        <v>2003</v>
      </c>
    </row>
    <row r="562" spans="2:9" ht="15.75" customHeight="1">
      <c r="B562" s="617" t="str">
        <f>INDEX(C562:G562,MATCH($B$11,$C$11:$G$11,0))</f>
        <v>Upload Complete</v>
      </c>
      <c r="C562" s="614" t="s">
        <v>1992</v>
      </c>
      <c r="D562" s="615" t="s">
        <v>1993</v>
      </c>
      <c r="E562" s="615" t="s">
        <v>1994</v>
      </c>
      <c r="F562" s="661" t="s">
        <v>3285</v>
      </c>
      <c r="I562" s="610" t="s">
        <v>2004</v>
      </c>
    </row>
    <row r="563" spans="2:9" ht="15.75" customHeight="1">
      <c r="B563" s="617" t="str">
        <f t="shared" ref="B563:B577" si="9">INDEX(C563:G563,MATCH($B$11,$C$11:$G$11,0))</f>
        <v>Update Baseline View</v>
      </c>
      <c r="C563" s="601" t="s">
        <v>1273</v>
      </c>
      <c r="D563" s="601" t="s">
        <v>1407</v>
      </c>
      <c r="E563" s="602" t="s">
        <v>1556</v>
      </c>
      <c r="F563" s="662" t="s">
        <v>3286</v>
      </c>
    </row>
    <row r="564" spans="2:9" ht="15.75" customHeight="1">
      <c r="B564" s="617" t="str">
        <f t="shared" si="9"/>
        <v>Update Upgrade View</v>
      </c>
      <c r="C564" s="601" t="s">
        <v>1274</v>
      </c>
      <c r="D564" s="601" t="s">
        <v>1408</v>
      </c>
      <c r="E564" s="602" t="s">
        <v>1557</v>
      </c>
      <c r="F564" s="663" t="s">
        <v>3312</v>
      </c>
    </row>
    <row r="565" spans="2:9" ht="15.75" customHeight="1">
      <c r="B565" s="617" t="str">
        <f t="shared" si="9"/>
        <v xml:space="preserve">Calculate Scenario Results </v>
      </c>
      <c r="C565" s="601" t="s">
        <v>1148</v>
      </c>
      <c r="D565" s="601" t="s">
        <v>1220</v>
      </c>
      <c r="E565" s="601" t="s">
        <v>1244</v>
      </c>
      <c r="F565" s="661" t="s">
        <v>3287</v>
      </c>
    </row>
    <row r="566" spans="2:9" ht="15.75" customHeight="1">
      <c r="B566" s="617" t="str">
        <f>INDEX(C566:G566,MATCH($B$11,$C$11:$G$11,0))</f>
        <v>General Costs</v>
      </c>
      <c r="C566" s="605" t="s">
        <v>86</v>
      </c>
      <c r="D566" s="605" t="s">
        <v>1975</v>
      </c>
      <c r="E566" s="605" t="s">
        <v>1975</v>
      </c>
      <c r="F566" s="661" t="s">
        <v>3288</v>
      </c>
    </row>
    <row r="567" spans="2:9" ht="15.75" customHeight="1">
      <c r="B567" s="617" t="str">
        <f t="shared" si="9"/>
        <v>Fixture Costs</v>
      </c>
      <c r="C567" s="605" t="s">
        <v>1765</v>
      </c>
      <c r="D567" s="605" t="s">
        <v>1975</v>
      </c>
      <c r="E567" s="605" t="s">
        <v>1975</v>
      </c>
      <c r="F567" s="661" t="s">
        <v>3289</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1975</v>
      </c>
      <c r="E568" s="605" t="s">
        <v>1975</v>
      </c>
      <c r="F568" s="661" t="s">
        <v>3290</v>
      </c>
    </row>
    <row r="569" spans="2:9" ht="15.75" customHeight="1">
      <c r="B569" s="617" t="str">
        <f t="shared" si="9"/>
        <v>1) Add files to list below</v>
      </c>
      <c r="C569" s="601" t="s">
        <v>1751</v>
      </c>
      <c r="D569" s="601" t="s">
        <v>1752</v>
      </c>
      <c r="E569" s="601" t="s">
        <v>1753</v>
      </c>
      <c r="F569" s="661" t="s">
        <v>3291</v>
      </c>
    </row>
    <row r="570" spans="2:9" ht="15.75" customHeight="1">
      <c r="B570" s="617" t="str">
        <f t="shared" si="9"/>
        <v>2) Begin upload of IES files listed below</v>
      </c>
      <c r="C570" s="601" t="s">
        <v>1756</v>
      </c>
      <c r="D570" s="601" t="s">
        <v>1754</v>
      </c>
      <c r="E570" s="601" t="s">
        <v>1755</v>
      </c>
      <c r="F570" s="661" t="s">
        <v>3292</v>
      </c>
    </row>
    <row r="571" spans="2:9" ht="15.75" customHeight="1">
      <c r="B571" s="617" t="str">
        <f t="shared" si="9"/>
        <v>Error log</v>
      </c>
      <c r="C571" s="601" t="s">
        <v>1048</v>
      </c>
      <c r="D571" s="605" t="s">
        <v>1975</v>
      </c>
      <c r="E571" s="605" t="s">
        <v>1975</v>
      </c>
      <c r="F571" s="661" t="s">
        <v>3293</v>
      </c>
    </row>
    <row r="572" spans="2:9" ht="15.75" customHeight="1">
      <c r="B572" s="617" t="str">
        <f t="shared" si="9"/>
        <v>Do you want to delete the data on the Results page?</v>
      </c>
      <c r="C572" s="601" t="s">
        <v>511</v>
      </c>
      <c r="D572" s="601" t="s">
        <v>828</v>
      </c>
      <c r="E572" s="602" t="s">
        <v>1001</v>
      </c>
      <c r="F572" s="662" t="s">
        <v>3294</v>
      </c>
    </row>
    <row r="573" spans="2:9" ht="15.75" customHeight="1">
      <c r="B573" s="617" t="str">
        <f t="shared" si="9"/>
        <v>Delete Results?</v>
      </c>
      <c r="C573" s="601" t="s">
        <v>512</v>
      </c>
      <c r="D573" s="601" t="s">
        <v>829</v>
      </c>
      <c r="E573" s="602" t="s">
        <v>1600</v>
      </c>
      <c r="F573" s="662" t="s">
        <v>3295</v>
      </c>
    </row>
    <row r="574" spans="2:9" ht="15.75" customHeight="1">
      <c r="B574" s="617" t="str">
        <f t="shared" si="9"/>
        <v>Status...</v>
      </c>
      <c r="C574" s="615" t="s">
        <v>2790</v>
      </c>
      <c r="D574" s="615" t="s">
        <v>2792</v>
      </c>
      <c r="E574" s="615" t="s">
        <v>2793</v>
      </c>
      <c r="F574" s="615" t="s">
        <v>3296</v>
      </c>
    </row>
    <row r="575" spans="2:9" ht="15.75" customHeight="1">
      <c r="B575" s="617" t="str">
        <f t="shared" si="9"/>
        <v>Performing calculations, please wait...</v>
      </c>
      <c r="C575" s="615" t="s">
        <v>2789</v>
      </c>
      <c r="D575" s="615" t="s">
        <v>2795</v>
      </c>
      <c r="E575" s="615" t="s">
        <v>2794</v>
      </c>
      <c r="F575" s="615" t="s">
        <v>3297</v>
      </c>
    </row>
    <row r="576" spans="2:9" ht="15.75" customHeight="1">
      <c r="B576" s="617" t="str">
        <f t="shared" si="9"/>
        <v>Uploading fixtures, please wait…</v>
      </c>
      <c r="C576" s="615" t="s">
        <v>2791</v>
      </c>
      <c r="D576" s="615" t="s">
        <v>2797</v>
      </c>
      <c r="E576" s="615" t="s">
        <v>2796</v>
      </c>
      <c r="F576" s="615" t="s">
        <v>3298</v>
      </c>
    </row>
    <row r="577" spans="2:6" ht="15.75" customHeight="1">
      <c r="B577" s="617" t="str">
        <f t="shared" si="9"/>
        <v>The annual increase in nominal price of electricity.</v>
      </c>
      <c r="C577" s="615" t="s">
        <v>3337</v>
      </c>
      <c r="D577" s="692" t="s">
        <v>3339</v>
      </c>
      <c r="E577" s="692" t="s">
        <v>3340</v>
      </c>
      <c r="F577" s="692" t="s">
        <v>3338</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abSelected="1" workbookViewId="0">
      <selection activeCell="C3" sqref="C3"/>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55" t="s">
        <v>3341</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1798</v>
      </c>
      <c r="B113" t="s">
        <v>1799</v>
      </c>
    </row>
    <row r="114" spans="1:2">
      <c r="A114" t="s">
        <v>1963</v>
      </c>
      <c r="B114" t="s">
        <v>1964</v>
      </c>
    </row>
    <row r="115" spans="1:2">
      <c r="B115" t="s">
        <v>1965</v>
      </c>
    </row>
    <row r="116" spans="1:2">
      <c r="B116" t="s">
        <v>1966</v>
      </c>
    </row>
    <row r="117" spans="1:2">
      <c r="A117" t="s">
        <v>1967</v>
      </c>
      <c r="B117" t="s">
        <v>1968</v>
      </c>
    </row>
    <row r="118" spans="1:2">
      <c r="A118" t="s">
        <v>1976</v>
      </c>
      <c r="B118" t="s">
        <v>1977</v>
      </c>
    </row>
    <row r="119" spans="1:2">
      <c r="A119" t="s">
        <v>1980</v>
      </c>
      <c r="B119" t="s">
        <v>1981</v>
      </c>
    </row>
    <row r="120" spans="1:2">
      <c r="B120" t="s">
        <v>1982</v>
      </c>
    </row>
    <row r="121" spans="1:2">
      <c r="B121" t="s">
        <v>1985</v>
      </c>
    </row>
    <row r="122" spans="1:2">
      <c r="B122" t="s">
        <v>1986</v>
      </c>
    </row>
    <row r="123" spans="1:2">
      <c r="B123" t="s">
        <v>1991</v>
      </c>
    </row>
    <row r="124" spans="1:2">
      <c r="B124" t="s">
        <v>1995</v>
      </c>
    </row>
    <row r="125" spans="1:2">
      <c r="B125" t="s">
        <v>1996</v>
      </c>
    </row>
    <row r="126" spans="1:2">
      <c r="A126" t="s">
        <v>1997</v>
      </c>
      <c r="B126" t="s">
        <v>1998</v>
      </c>
    </row>
    <row r="127" spans="1:2">
      <c r="B127" t="s">
        <v>2000</v>
      </c>
    </row>
    <row r="129" spans="1:2">
      <c r="B129" t="s">
        <v>1983</v>
      </c>
    </row>
    <row r="130" spans="1:2">
      <c r="B130" t="s">
        <v>1984</v>
      </c>
    </row>
    <row r="131" spans="1:2">
      <c r="A131" t="s">
        <v>2777</v>
      </c>
      <c r="B131" t="s">
        <v>2778</v>
      </c>
    </row>
    <row r="132" spans="1:2">
      <c r="A132" t="s">
        <v>2779</v>
      </c>
      <c r="B132" t="s">
        <v>2780</v>
      </c>
    </row>
    <row r="133" spans="1:2">
      <c r="A133" t="s">
        <v>2781</v>
      </c>
      <c r="B133" t="s">
        <v>2783</v>
      </c>
    </row>
    <row r="134" spans="1:2">
      <c r="B134" t="s">
        <v>1079</v>
      </c>
    </row>
    <row r="135" spans="1:2">
      <c r="B135" t="s">
        <v>2785</v>
      </c>
    </row>
    <row r="136" spans="1:2">
      <c r="B136" t="s">
        <v>2786</v>
      </c>
    </row>
    <row r="137" spans="1:2">
      <c r="A137" t="s">
        <v>2787</v>
      </c>
      <c r="B137" t="s">
        <v>2788</v>
      </c>
    </row>
    <row r="138" spans="1:2">
      <c r="B138" t="s">
        <v>2798</v>
      </c>
    </row>
    <row r="139" spans="1:2">
      <c r="B139" t="s">
        <v>2799</v>
      </c>
    </row>
    <row r="140" spans="1:2">
      <c r="B140" t="s">
        <v>2800</v>
      </c>
    </row>
    <row r="141" spans="1:2">
      <c r="A141" t="s">
        <v>3303</v>
      </c>
      <c r="B141" t="s">
        <v>3304</v>
      </c>
    </row>
    <row r="142" spans="1:2">
      <c r="A142" t="s">
        <v>3305</v>
      </c>
      <c r="B142" t="s">
        <v>3306</v>
      </c>
    </row>
    <row r="143" spans="1:2">
      <c r="A143" s="481" t="s">
        <v>3341</v>
      </c>
      <c r="B143" s="481" t="s">
        <v>3342</v>
      </c>
    </row>
    <row r="144" spans="1:2">
      <c r="B144" s="481" t="s">
        <v>3343</v>
      </c>
    </row>
    <row r="145" spans="2:2">
      <c r="B145" s="481" t="s">
        <v>3344</v>
      </c>
    </row>
    <row r="146" spans="2:2">
      <c r="B146" t="s">
        <v>3346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2782</v>
      </c>
      <c r="D4" s="404" t="s">
        <v>66</v>
      </c>
      <c r="E4" s="414">
        <v>34</v>
      </c>
      <c r="F4" s="405">
        <v>40</v>
      </c>
      <c r="G4" s="414">
        <v>2</v>
      </c>
      <c r="H4" s="405">
        <v>3</v>
      </c>
      <c r="I4" s="405"/>
      <c r="J4" s="405">
        <v>0</v>
      </c>
      <c r="K4" s="422" t="s">
        <v>320</v>
      </c>
      <c r="L4" s="405">
        <v>8</v>
      </c>
      <c r="M4" s="405">
        <v>25</v>
      </c>
      <c r="N4" s="405">
        <v>2</v>
      </c>
      <c r="O4" s="405">
        <v>1</v>
      </c>
      <c r="P4" s="405">
        <v>0.61599999999999999</v>
      </c>
    </row>
    <row r="5" spans="2:16">
      <c r="B5" s="412" t="s">
        <v>1999</v>
      </c>
      <c r="C5" s="412" t="s">
        <v>2782</v>
      </c>
      <c r="D5" s="412" t="s">
        <v>66</v>
      </c>
      <c r="E5" s="415">
        <v>34</v>
      </c>
      <c r="F5" s="418">
        <v>40</v>
      </c>
      <c r="G5" s="415">
        <v>2</v>
      </c>
      <c r="H5" s="418">
        <v>3</v>
      </c>
      <c r="I5" s="418"/>
      <c r="J5" s="418">
        <v>0</v>
      </c>
      <c r="K5" s="423" t="s">
        <v>320</v>
      </c>
      <c r="L5" s="418">
        <v>8</v>
      </c>
      <c r="M5" s="418">
        <v>25</v>
      </c>
      <c r="N5" s="418">
        <v>2</v>
      </c>
      <c r="O5" s="418">
        <v>1</v>
      </c>
      <c r="P5" s="418">
        <v>0.61599999999999999</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2782</v>
      </c>
      <c r="D4" s="625" t="s">
        <v>66</v>
      </c>
      <c r="E4" s="626">
        <v>34</v>
      </c>
      <c r="F4" s="627">
        <v>148.92000000000002</v>
      </c>
      <c r="G4" s="627">
        <v>5956.8000000000011</v>
      </c>
    </row>
    <row r="5" spans="2:7">
      <c r="B5" s="412" t="s">
        <v>1999</v>
      </c>
      <c r="C5" s="412" t="s">
        <v>2782</v>
      </c>
      <c r="D5" s="412" t="s">
        <v>66</v>
      </c>
      <c r="E5" s="415">
        <v>34</v>
      </c>
      <c r="F5" s="418">
        <v>148.92000000000002</v>
      </c>
      <c r="G5" s="418">
        <v>5956.8000000000011</v>
      </c>
    </row>
    <row r="12" spans="2:7">
      <c r="B12" s="294"/>
      <c r="C12" s="294"/>
      <c r="D12" s="294"/>
      <c r="E12" s="416"/>
      <c r="F12" s="406"/>
      <c r="G12" s="40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2782</v>
      </c>
      <c r="D4" s="625" t="s">
        <v>66</v>
      </c>
      <c r="E4" s="626">
        <v>34</v>
      </c>
      <c r="F4" s="627">
        <v>4.9699814242012375</v>
      </c>
      <c r="G4" s="627">
        <v>3.7175126494087429</v>
      </c>
      <c r="H4" s="627">
        <v>6.832462419176224</v>
      </c>
      <c r="I4" s="627">
        <v>1.336910427188915</v>
      </c>
      <c r="J4" s="627">
        <v>0</v>
      </c>
      <c r="K4" s="627">
        <v>0</v>
      </c>
      <c r="L4" s="628">
        <v>0</v>
      </c>
      <c r="M4" s="450"/>
      <c r="N4" s="450"/>
      <c r="O4" s="450" t="s">
        <v>1316</v>
      </c>
      <c r="P4" s="450" t="s">
        <v>1317</v>
      </c>
      <c r="Q4" s="450" t="s">
        <v>1316</v>
      </c>
      <c r="R4" s="450" t="s">
        <v>1317</v>
      </c>
      <c r="S4" s="450">
        <v>148.92000000000002</v>
      </c>
      <c r="T4" s="425">
        <v>398.58</v>
      </c>
    </row>
    <row r="5" spans="2:30">
      <c r="B5" s="412" t="s">
        <v>1999</v>
      </c>
      <c r="C5" s="412" t="s">
        <v>2782</v>
      </c>
      <c r="D5" s="412" t="s">
        <v>66</v>
      </c>
      <c r="E5" s="415">
        <v>34</v>
      </c>
      <c r="F5" s="418">
        <v>4.9699814242012375</v>
      </c>
      <c r="G5" s="418">
        <v>3.7175126494087429</v>
      </c>
      <c r="H5" s="418">
        <v>6.832462419176224</v>
      </c>
      <c r="I5" s="418">
        <v>1.336910427188915</v>
      </c>
      <c r="J5" s="418">
        <v>0</v>
      </c>
      <c r="K5" s="418">
        <v>0</v>
      </c>
      <c r="L5" s="412">
        <v>0</v>
      </c>
      <c r="M5" s="450"/>
      <c r="N5" s="450"/>
      <c r="O5" s="450" t="e">
        <f t="shared" ref="O5:O14" si="0">IF($L5=1,$E5,NA())</f>
        <v>#N/A</v>
      </c>
      <c r="P5" s="450">
        <f t="shared" ref="P5:P14" si="1">IF(AND($L5=0,$L5&lt;&gt;""),$E5,NA())</f>
        <v>34</v>
      </c>
      <c r="Q5" s="450" t="e">
        <f t="shared" ref="Q5:Q40" si="2">IF(L5=1,F5,NA())</f>
        <v>#N/A</v>
      </c>
      <c r="R5" s="450">
        <f t="shared" ref="R5:R14" si="3">IF(P5&lt;&gt;"",F5,NA())</f>
        <v>4.9699814242012375</v>
      </c>
      <c r="S5" s="450">
        <v>148.92000000000002</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2782</v>
      </c>
      <c r="D4" s="625" t="s">
        <v>66</v>
      </c>
      <c r="E4" s="626">
        <v>34</v>
      </c>
      <c r="F4" s="627">
        <v>0.52308420232523101</v>
      </c>
      <c r="G4" s="627">
        <v>0.39098434948514632</v>
      </c>
      <c r="H4" s="627">
        <v>0.65186445875567245</v>
      </c>
      <c r="I4" s="627">
        <v>1.3378648097143417</v>
      </c>
      <c r="J4" s="627">
        <v>1.6672392631931603</v>
      </c>
      <c r="K4" s="627">
        <v>0</v>
      </c>
      <c r="L4" s="627">
        <v>0</v>
      </c>
      <c r="M4" s="627">
        <v>0</v>
      </c>
      <c r="N4" s="628">
        <v>0</v>
      </c>
      <c r="R4" s="450">
        <v>148.92000000000002</v>
      </c>
    </row>
    <row r="5" spans="2:26">
      <c r="B5" s="412" t="s">
        <v>1999</v>
      </c>
      <c r="C5" s="412" t="s">
        <v>2782</v>
      </c>
      <c r="D5" s="412" t="s">
        <v>66</v>
      </c>
      <c r="E5" s="415">
        <v>34</v>
      </c>
      <c r="F5" s="418">
        <v>0.52308420232523101</v>
      </c>
      <c r="G5" s="418">
        <v>0.39098434948514632</v>
      </c>
      <c r="H5" s="418">
        <v>0.65186445875567245</v>
      </c>
      <c r="I5" s="418">
        <v>1.3378648097143417</v>
      </c>
      <c r="J5" s="418">
        <v>1.6672392631931603</v>
      </c>
      <c r="K5" s="418">
        <v>0</v>
      </c>
      <c r="L5" s="418">
        <v>0</v>
      </c>
      <c r="M5" s="418">
        <v>0</v>
      </c>
      <c r="N5" s="415">
        <v>0</v>
      </c>
      <c r="R5" s="450">
        <v>148.92000000000002</v>
      </c>
      <c r="S5" s="450" t="e">
        <f>IF($N5=1,$E5,NA())</f>
        <v>#N/A</v>
      </c>
      <c r="T5" s="450">
        <f>IF(AND($N5=0,$N5&lt;&gt;""),$E5,NA())</f>
        <v>34</v>
      </c>
      <c r="U5" s="450" t="e">
        <f>IF($N5=1,$F5,NA())</f>
        <v>#N/A</v>
      </c>
      <c r="V5" s="450">
        <f>IF(AND($N5=0,$N5&lt;&gt;""),$F5,NA())</f>
        <v>0.52308420232523101</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D18" sqref="D18"/>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2782</v>
      </c>
      <c r="D4" s="625" t="s">
        <v>66</v>
      </c>
      <c r="E4" s="626">
        <v>34</v>
      </c>
      <c r="F4" s="677">
        <v>600</v>
      </c>
      <c r="G4" s="677">
        <v>39.89</v>
      </c>
      <c r="H4" s="677"/>
      <c r="I4" s="677"/>
      <c r="J4" s="627"/>
    </row>
    <row r="5" spans="2:10">
      <c r="B5" s="412" t="s">
        <v>1999</v>
      </c>
      <c r="C5" s="412" t="s">
        <v>2782</v>
      </c>
      <c r="D5" s="412" t="s">
        <v>66</v>
      </c>
      <c r="E5" s="415">
        <v>34</v>
      </c>
      <c r="F5" s="678">
        <v>600</v>
      </c>
      <c r="G5" s="678">
        <v>39.89</v>
      </c>
      <c r="H5" s="678">
        <v>0</v>
      </c>
      <c r="I5" s="678">
        <v>0.11</v>
      </c>
      <c r="J5" s="418">
        <v>0</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2782</v>
      </c>
      <c r="D4" s="625" t="s">
        <v>66</v>
      </c>
      <c r="E4" s="626">
        <v>34</v>
      </c>
      <c r="F4" s="679">
        <v>600</v>
      </c>
      <c r="G4" s="679">
        <v>639.89</v>
      </c>
      <c r="H4" s="679">
        <v>679.78</v>
      </c>
      <c r="I4" s="679">
        <v>719.68</v>
      </c>
      <c r="J4" s="679">
        <v>759.57</v>
      </c>
      <c r="K4" s="679">
        <v>799.46</v>
      </c>
      <c r="L4" s="679">
        <v>839.35</v>
      </c>
      <c r="M4" s="679">
        <v>879.24</v>
      </c>
      <c r="N4" s="679">
        <v>919.14</v>
      </c>
      <c r="O4" s="679">
        <v>959.03</v>
      </c>
      <c r="P4" s="679">
        <v>998.92</v>
      </c>
      <c r="Q4" s="679">
        <v>1038.81</v>
      </c>
      <c r="R4" s="679">
        <v>1078.7</v>
      </c>
      <c r="S4" s="679">
        <v>1118.5999999999999</v>
      </c>
      <c r="T4" s="679">
        <v>1158.49</v>
      </c>
      <c r="U4" s="679">
        <v>1198.3800000000001</v>
      </c>
      <c r="V4" s="679">
        <v>1238.27</v>
      </c>
      <c r="W4" s="679">
        <v>1278.1600000000001</v>
      </c>
      <c r="X4" s="679">
        <v>1318.06</v>
      </c>
      <c r="Y4" s="679">
        <v>1357.95</v>
      </c>
      <c r="Z4" s="679">
        <v>1397.84</v>
      </c>
      <c r="AB4" s="503">
        <v>148.92000000000002</v>
      </c>
      <c r="AC4" s="425"/>
    </row>
    <row r="5" spans="2:29">
      <c r="B5" s="412" t="s">
        <v>1999</v>
      </c>
      <c r="C5" s="412" t="s">
        <v>2782</v>
      </c>
      <c r="D5" s="412" t="s">
        <v>66</v>
      </c>
      <c r="E5" s="415">
        <v>34</v>
      </c>
      <c r="F5" s="678">
        <v>600</v>
      </c>
      <c r="G5" s="678">
        <v>639.89</v>
      </c>
      <c r="H5" s="678">
        <v>679.78</v>
      </c>
      <c r="I5" s="678">
        <v>719.68</v>
      </c>
      <c r="J5" s="678">
        <v>759.57</v>
      </c>
      <c r="K5" s="678">
        <v>799.46</v>
      </c>
      <c r="L5" s="678">
        <v>839.35</v>
      </c>
      <c r="M5" s="678">
        <v>879.24</v>
      </c>
      <c r="N5" s="678">
        <v>919.14</v>
      </c>
      <c r="O5" s="678">
        <v>959.03</v>
      </c>
      <c r="P5" s="678">
        <v>998.92</v>
      </c>
      <c r="Q5" s="678">
        <v>1038.81</v>
      </c>
      <c r="R5" s="678">
        <v>1078.7</v>
      </c>
      <c r="S5" s="678">
        <v>1118.5999999999999</v>
      </c>
      <c r="T5" s="678">
        <v>1158.49</v>
      </c>
      <c r="U5" s="678">
        <v>1198.3800000000001</v>
      </c>
      <c r="V5" s="678">
        <v>1238.27</v>
      </c>
      <c r="W5" s="678">
        <v>1278.1600000000001</v>
      </c>
      <c r="X5" s="678">
        <v>1318.06</v>
      </c>
      <c r="Y5" s="678">
        <v>1357.95</v>
      </c>
      <c r="Z5" s="678">
        <v>1397.84</v>
      </c>
      <c r="AB5" s="503">
        <v>148.92000000000002</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2782</v>
      </c>
      <c r="D4" s="625" t="s">
        <v>66</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1999</v>
      </c>
      <c r="C5" s="412" t="s">
        <v>2782</v>
      </c>
      <c r="D5" s="412" t="s">
        <v>66</v>
      </c>
      <c r="E5" s="415">
        <v>34</v>
      </c>
      <c r="F5" s="630" t="s">
        <v>1676</v>
      </c>
      <c r="G5" s="630" t="s">
        <v>2784</v>
      </c>
      <c r="H5" s="630" t="s">
        <v>2784</v>
      </c>
      <c r="I5" s="630" t="s">
        <v>2784</v>
      </c>
      <c r="J5" s="630" t="s">
        <v>2784</v>
      </c>
      <c r="K5" s="630" t="s">
        <v>2784</v>
      </c>
      <c r="L5" s="630" t="s">
        <v>2784</v>
      </c>
      <c r="M5" s="630" t="s">
        <v>2784</v>
      </c>
      <c r="N5" s="630" t="s">
        <v>2784</v>
      </c>
      <c r="O5" s="630" t="s">
        <v>2784</v>
      </c>
      <c r="P5" s="630" t="s">
        <v>2784</v>
      </c>
      <c r="Q5" s="630" t="s">
        <v>2784</v>
      </c>
      <c r="R5" s="630" t="s">
        <v>2784</v>
      </c>
      <c r="S5" s="630" t="s">
        <v>2784</v>
      </c>
      <c r="T5" s="630" t="s">
        <v>2784</v>
      </c>
      <c r="U5" s="630" t="s">
        <v>2784</v>
      </c>
      <c r="V5" s="630" t="s">
        <v>2784</v>
      </c>
      <c r="W5" s="630" t="s">
        <v>2784</v>
      </c>
      <c r="X5" s="630" t="s">
        <v>2784</v>
      </c>
      <c r="Y5" s="630" t="s">
        <v>2784</v>
      </c>
      <c r="Z5" s="387"/>
      <c r="AA5" s="450">
        <v>148.92000000000002</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198</vt:i4>
      </vt:variant>
    </vt:vector>
  </HeadingPairs>
  <TitlesOfParts>
    <vt:vector size="230"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dc:description>v1.7.6b</dc:description>
  <cp:lastModifiedBy>Neal</cp:lastModifiedBy>
  <cp:lastPrinted>2011-09-01T21:00:36Z</cp:lastPrinted>
  <dcterms:created xsi:type="dcterms:W3CDTF">2011-02-01T17:14:54Z</dcterms:created>
  <dcterms:modified xsi:type="dcterms:W3CDTF">2014-12-10T18:25:30Z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